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drawings/drawing86.xml" ContentType="application/vnd.openxmlformats-officedocument.drawing+xml"/>
  <Override PartName="/xl/drawings/drawing85.xml" ContentType="application/vnd.openxmlformats-officedocument.drawing+xml"/>
  <Override PartName="/xl/drawings/drawing84.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56.xml" ContentType="application/vnd.openxmlformats-officedocument.drawing+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16.xml" ContentType="application/vnd.openxmlformats-officedocument.drawing+xml"/>
  <Override PartName="/xl/drawings/drawing115.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24.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00.xml" ContentType="application/vnd.openxmlformats-officedocument.drawing+xml"/>
  <Override PartName="/xl/drawings/drawing99.xml" ContentType="application/vnd.openxmlformats-officedocument.drawing+xml"/>
  <Override PartName="/xl/drawings/drawing98.xml" ContentType="application/vnd.openxmlformats-officedocument.drawing+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drawings/drawing94.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10.xml" ContentType="application/vnd.openxmlformats-officedocument.drawing+xml"/>
  <Override PartName="/xl/drawings/drawing109.xml" ContentType="application/vnd.openxmlformats-officedocument.drawing+xml"/>
  <Override PartName="/xl/drawings/drawing108.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drawings/drawing105.xml" ContentType="application/vnd.openxmlformats-officedocument.drawing+xml"/>
  <Override PartName="/xl/drawings/drawing104.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drawings/drawing33.xml" ContentType="application/vnd.openxmlformats-officedocument.drawing+xml"/>
  <Override PartName="/xl/worksheets/sheet114.xml" ContentType="application/vnd.openxmlformats-officedocument.spreadsheetml.worksheet+xml"/>
  <Override PartName="/xl/worksheets/sheet113.xml" ContentType="application/vnd.openxmlformats-officedocument.spreadsheetml.worksheet+xml"/>
  <Override PartName="/xl/drawings/drawing39.xml" ContentType="application/vnd.openxmlformats-officedocument.drawing+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drawings/drawing40.xml" ContentType="application/vnd.openxmlformats-officedocument.drawing+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drawings/drawing13.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38.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31.xml" ContentType="application/vnd.openxmlformats-officedocument.drawing+xml"/>
  <Override PartName="/xl/drawings/drawing18.xml" ContentType="application/vnd.openxmlformats-officedocument.drawing+xml"/>
  <Override PartName="/xl/drawings/drawing35.xml" ContentType="application/vnd.openxmlformats-officedocument.drawing+xml"/>
  <Override PartName="/xl/drawings/drawing6.xml" ContentType="application/vnd.openxmlformats-officedocument.drawing+xml"/>
  <Override PartName="/xl/drawings/drawing30.xml" ContentType="application/vnd.openxmlformats-officedocument.drawing+xml"/>
  <Override PartName="/xl/drawings/drawing17.xml" ContentType="application/vnd.openxmlformats-officedocument.drawing+xml"/>
  <Override PartName="/xl/drawings/drawing32.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drawings/drawing34.xml" ContentType="application/vnd.openxmlformats-officedocument.drawing+xml"/>
  <Override PartName="/xl/drawings/drawing2.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5.xml" ContentType="application/vnd.openxmlformats-officedocument.drawing+xml"/>
  <Override PartName="/xl/drawings/drawing27.xml" ContentType="application/vnd.openxmlformats-officedocument.drawing+xml"/>
  <Override PartName="/xl/drawings/drawing37.xml" ContentType="application/vnd.openxmlformats-officedocument.drawing+xml"/>
  <Override PartName="/xl/drawings/drawing50.xml" ContentType="application/vnd.openxmlformats-officedocument.drawing+xml"/>
  <Override PartName="/xl/drawings/drawing5.xml" ContentType="application/vnd.openxmlformats-officedocument.drawing+xml"/>
  <Override PartName="/xl/drawings/drawing19.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drawings/drawing4.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28.xml" ContentType="application/vnd.openxmlformats-officedocument.drawing+xml"/>
  <Override PartName="/xl/worksheets/sheet85.xml" ContentType="application/vnd.openxmlformats-officedocument.spreadsheetml.worksheet+xml"/>
  <Override PartName="/xl/worksheets/sheet98.xml" ContentType="application/vnd.openxmlformats-officedocument.spreadsheetml.worksheet+xml"/>
  <Override PartName="/xl/worksheets/sheet8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drawings/drawing44.xml" ContentType="application/vnd.openxmlformats-officedocument.drawing+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drawings/drawing45.xml" ContentType="application/vnd.openxmlformats-officedocument.drawing+xml"/>
  <Override PartName="/xl/drawings/drawing46.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49.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47.xml" ContentType="application/vnd.openxmlformats-officedocument.drawing+xml"/>
  <Override PartName="/xl/drawings/drawing48.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3.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drawings/drawing42.xml" ContentType="application/vnd.openxmlformats-officedocument.drawing+xml"/>
  <Override PartName="/xl/worksheets/sheet70.xml" ContentType="application/vnd.openxmlformats-officedocument.spreadsheetml.worksheet+xml"/>
  <Override PartName="/xl/worksheets/sheet67.xml" ContentType="application/vnd.openxmlformats-officedocument.spreadsheetml.worksheet+xml"/>
  <Override PartName="/xl/worksheets/sheet42.xml" ContentType="application/vnd.openxmlformats-officedocument.spreadsheetml.worksheet+xml"/>
  <Override PartName="/xl/worksheets/sheet65.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60.xml" ContentType="application/vnd.openxmlformats-officedocument.spreadsheetml.worksheet+xml"/>
  <Override PartName="/xl/worksheets/sheet66.xml" ContentType="application/vnd.openxmlformats-officedocument.spreadsheetml.worksheet+xml"/>
  <Override PartName="/xl/worksheets/sheet59.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50.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4.xml" ContentType="application/vnd.openxmlformats-officedocument.spreadsheetml.worksheet+xml"/>
  <Override PartName="/xl/drawings/drawing4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60" yWindow="-165" windowWidth="19005" windowHeight="11265" tabRatio="938" activeTab="5"/>
  </bookViews>
  <sheets>
    <sheet name="Readme First" sheetId="6" r:id="rId1"/>
    <sheet name="Budget Category Descriptions" sheetId="7" r:id="rId2"/>
    <sheet name="BCP Overview Tables" sheetId="5" r:id="rId3"/>
    <sheet name="Building the elec. target" sheetId="8" r:id="rId4"/>
    <sheet name="Building the gas target" sheetId="9" r:id="rId5"/>
    <sheet name="2016-2017 Portfolio View" sheetId="10" r:id="rId6"/>
    <sheet name="Portfolio--2016 only" sheetId="11" r:id="rId7"/>
    <sheet name="Portfolio--2017 only" sheetId="12" r:id="rId8"/>
    <sheet name="2-yr Sector View Electric" sheetId="13" r:id="rId9"/>
    <sheet name="2016 Sector View Elect" sheetId="14" r:id="rId10"/>
    <sheet name="2017 Sector View Elect" sheetId="15" r:id="rId11"/>
    <sheet name="2-yr Sector View Gas" sheetId="16" r:id="rId12"/>
    <sheet name="2016 Sector View Gas" sheetId="17" r:id="rId13"/>
    <sheet name="2017 Sector View Gas" sheetId="18" r:id="rId14"/>
    <sheet name=" LowIncWx Detail_REM E201_Elec" sheetId="19" r:id="rId15"/>
    <sheet name="REM E214 Title Tab " sheetId="20" r:id="rId16"/>
    <sheet name="HmEnrgAsmt Detail_REM_E214 Elec" sheetId="21" r:id="rId17"/>
    <sheet name="WaterHea_Detail_REM_E214 Elec" sheetId="22" r:id="rId18"/>
    <sheet name="Wx_Detail_REM E214 Elec" sheetId="23" r:id="rId19"/>
    <sheet name="SpcHeat Detail_REM_E214 Elec" sheetId="24" r:id="rId20"/>
    <sheet name="HmAppplc_Detail_REM_E214 Elec" sheetId="25" r:id="rId21"/>
    <sheet name="ShwrHead_Detail_REM_E214  Elec" sheetId="26" r:id="rId22"/>
    <sheet name="Web Tstat Detail_REM E214 Elec" sheetId="27" r:id="rId23"/>
    <sheet name="Lighting Detail_REM_E214 Elec" sheetId="28" r:id="rId24"/>
    <sheet name="MHDS Detail_REM_E214 Elec." sheetId="29" r:id="rId25"/>
    <sheet name="ARRAWx Detail_REM_E214 Elec" sheetId="30" r:id="rId26"/>
    <sheet name="HER Detail_REM_E214 elec." sheetId="31" r:id="rId27"/>
    <sheet name="SFNC Detail_REM E215 Elec" sheetId="32" r:id="rId28"/>
    <sheet name="NCMfgHome Detail_REM E215 Elec" sheetId="33" r:id="rId29"/>
    <sheet name="FuelConv Detail_REM E216 Elec" sheetId="34" r:id="rId30"/>
    <sheet name="MF Retr Detail_REM E217 Elec" sheetId="35" r:id="rId31"/>
    <sheet name="MFNC Detail_REM E218 Elec" sheetId="36" r:id="rId32"/>
    <sheet name="LowIncWx Detail_REM G201 Gas" sheetId="37" r:id="rId33"/>
    <sheet name="REM Gas Sch 214 Title" sheetId="38" r:id="rId34"/>
    <sheet name="HmEnrgyAsmt Detail_REM G214 Gas" sheetId="39" r:id="rId35"/>
    <sheet name="WtrHeat Detail_REM G214 Gas" sheetId="40" r:id="rId36"/>
    <sheet name="Wx Detail_REM G214 Gas" sheetId="41" r:id="rId37"/>
    <sheet name="SpHeat Detail_REM G214 Gas" sheetId="42" r:id="rId38"/>
    <sheet name="ShwrHead Detail_REM G214 Gas" sheetId="43" r:id="rId39"/>
    <sheet name="HmApplSvgs Detail_REM G214 Gas" sheetId="44" r:id="rId40"/>
    <sheet name="MHDS Detail_REM G214 Gas" sheetId="45" r:id="rId41"/>
    <sheet name="WebTstat Detail_REM G214 Gas" sheetId="46" r:id="rId42"/>
    <sheet name="HER Detail_REM G214 gas" sheetId="47" r:id="rId43"/>
    <sheet name="SFNC Detail_REM G215 Gas" sheetId="48" r:id="rId44"/>
    <sheet name="NCMfgHomes Detail_REM G215 Gas" sheetId="49" r:id="rId45"/>
    <sheet name="MF Retr Detail_REM G217 Gas" sheetId="50" r:id="rId46"/>
    <sheet name="MFNC Detail_REM G218 Gas" sheetId="51" r:id="rId47"/>
    <sheet name="CI Retr Detail_BEM E250 Elec" sheetId="52" r:id="rId48"/>
    <sheet name="BusLgtGrants_BEM E250 Elect" sheetId="53" r:id="rId49"/>
    <sheet name="CI NC Detail_BEM E251 Elec" sheetId="54" r:id="rId50"/>
    <sheet name="RCM Detail_BEM E253 Elec" sheetId="55" r:id="rId51"/>
    <sheet name="RCM B-U-S Detail_E253 Elec" sheetId="56" r:id="rId52"/>
    <sheet name="ResAcctSW Detail_PSWE_Elec" sheetId="57" r:id="rId53"/>
    <sheet name="LPSD_Detail_Non-449 Elec" sheetId="58" r:id="rId54"/>
    <sheet name="LPSD_Detail_449_Elec" sheetId="59" r:id="rId55"/>
    <sheet name="TechEval Detail_BEM E261 Elec" sheetId="60" r:id="rId56"/>
    <sheet name="Comm Lgt Mkdn_E262 Elect" sheetId="61" r:id="rId57"/>
    <sheet name="Comm Kit-Laund_E262 Elect" sheetId="62" r:id="rId58"/>
    <sheet name="Comm DI_E262 Elect" sheetId="63" r:id="rId59"/>
    <sheet name="Comm HVAC_E262 Elect" sheetId="64" r:id="rId60"/>
    <sheet name="Comm ExpLgt_E262 Elect" sheetId="65" r:id="rId61"/>
    <sheet name="Sm Agr DI_E262 Elect" sheetId="66" r:id="rId62"/>
    <sheet name="Lodging DI_E262 Elec" sheetId="67" r:id="rId63"/>
    <sheet name="Sm Bus DI_E262 Elect" sheetId="68" r:id="rId64"/>
    <sheet name="CI Retr Detail_BEM G250 Gas" sheetId="69" r:id="rId65"/>
    <sheet name="CI NC Detail_BEM G251 Gas" sheetId="70" r:id="rId66"/>
    <sheet name="RCM Detail_BEM 253 Gas" sheetId="71" r:id="rId67"/>
    <sheet name="ResAcctSW Detail_PSWE_Gas" sheetId="72" r:id="rId68"/>
    <sheet name="TechEval Detail_BEM G261 Gas" sheetId="73" r:id="rId69"/>
    <sheet name="Sm Agr DI_G262 Gas" sheetId="74" r:id="rId70"/>
    <sheet name="Lodging DI_G262_Gas" sheetId="75" r:id="rId71"/>
    <sheet name="Sm Bus DI_G262 Gas" sheetId="76" r:id="rId72"/>
    <sheet name="Comm Kit-Laund_G262 Gas" sheetId="77" r:id="rId73"/>
    <sheet name="Comm DI_G262 Gas" sheetId="78" r:id="rId74"/>
    <sheet name="Comm HVAC_G262 Gas" sheetId="79" r:id="rId75"/>
    <sheet name="REM Pilots E249 Elec" sheetId="80" r:id="rId76"/>
    <sheet name="BEM Pilots E249 Elec" sheetId="81" r:id="rId77"/>
    <sheet name="REM Pilots Detail G249 Gas" sheetId="82" r:id="rId78"/>
    <sheet name="BEM Pilots Detail G249 Gas" sheetId="83" r:id="rId79"/>
    <sheet name="NEEA Detail_E254 elec" sheetId="84" r:id="rId80"/>
    <sheet name="T&amp;D Detail_Reg E292 elec" sheetId="85" r:id="rId81"/>
    <sheet name="NEEA Gas MT_no Sched Gas" sheetId="86" r:id="rId82"/>
    <sheet name="Portf Suppt Cust Eng Elec Title" sheetId="87" r:id="rId83"/>
    <sheet name="Engy Adv Detail_PSCE  Elec" sheetId="88" r:id="rId84"/>
    <sheet name="Events Detail_PSCE Elec" sheetId="89" r:id="rId85"/>
    <sheet name="Brochures Detail_PSCE Elec" sheetId="90" r:id="rId86"/>
    <sheet name="Educatn Detail_PSCE E202 Elec" sheetId="91" r:id="rId87"/>
    <sheet name="Port Suppt_Web Exp Elec Title" sheetId="92" r:id="rId88"/>
    <sheet name="CustOnline Detail_PSWE_Elec" sheetId="93" r:id="rId89"/>
    <sheet name="Mkt Intgn Detail_PSWE_Elec" sheetId="94" r:id="rId90"/>
    <sheet name="ABS Detail_PSWE_Elec" sheetId="95" r:id="rId91"/>
    <sheet name="Rebt Procg Detail_Elect" sheetId="96" r:id="rId92"/>
    <sheet name="Progs Supp Detail_PS_ Elec" sheetId="97" r:id="rId93"/>
    <sheet name="Data &amp; Systm Svcs_Elect" sheetId="98" r:id="rId94"/>
    <sheet name="EEC Detail_PS_Elec" sheetId="99" r:id="rId95"/>
    <sheet name="TradeAlly Detail_PS_ Elec" sheetId="100" r:id="rId96"/>
    <sheet name="CAN_Elect" sheetId="101" r:id="rId97"/>
    <sheet name="Port Supp Cust Engage Gas Title" sheetId="102" r:id="rId98"/>
    <sheet name="Engy Adv Detail_PSCE_Gas" sheetId="103" r:id="rId99"/>
    <sheet name="Events Detail_PSCE_Gas" sheetId="104" r:id="rId100"/>
    <sheet name="Brochure Detail_PSCE_Gas" sheetId="105" r:id="rId101"/>
    <sheet name="Eductn Detail_PSCE_G207 Gas" sheetId="106" r:id="rId102"/>
    <sheet name="Port Supp_Web Exp Gas Title" sheetId="107" r:id="rId103"/>
    <sheet name="CustOnline Detail_PSWE_Gas" sheetId="108" r:id="rId104"/>
    <sheet name="Mkt Intg Detail_PSWE_Gas" sheetId="109" r:id="rId105"/>
    <sheet name="ABS Detail_PSWE_Gas" sheetId="110" r:id="rId106"/>
    <sheet name="Rebt Procg_Detail Gas" sheetId="111" r:id="rId107"/>
    <sheet name="Progs Supp Detail_PS_Gas" sheetId="112" r:id="rId108"/>
    <sheet name="Data &amp; Systm Svcs Detail Gas" sheetId="113" r:id="rId109"/>
    <sheet name="EEC Detail_PS_Gas" sheetId="114" r:id="rId110"/>
    <sheet name="TradeAlly Detail_PS_gas" sheetId="115" r:id="rId111"/>
    <sheet name="CAN_PS_Detail Gas" sheetId="116" r:id="rId112"/>
    <sheet name="SuppCrv Detail_R&amp;C_Elec" sheetId="117" r:id="rId113"/>
    <sheet name="Strat Plan Detail_R&amp;C_Elec" sheetId="118" r:id="rId114"/>
    <sheet name="Mktg Resch Detail_PS_ Elec" sheetId="119" r:id="rId115"/>
    <sheet name="Eval Detail_R&amp;C_Elec" sheetId="120" r:id="rId116"/>
    <sheet name="BECAR Detail_R&amp;C Elec" sheetId="121" r:id="rId117"/>
    <sheet name="Verifctn Team Detail Elec" sheetId="122" r:id="rId118"/>
    <sheet name="Supp Crv Detail_R&amp;C_gas" sheetId="123" r:id="rId119"/>
    <sheet name="Strat Pln Detail_R&amp;C_Gas" sheetId="124" r:id="rId120"/>
    <sheet name="Mktg Rsch Detail_PS_gas" sheetId="125" r:id="rId121"/>
    <sheet name="Eval Detail_R&amp;C_Gas" sheetId="126" r:id="rId122"/>
    <sheet name="Verifctn team Detail Gas" sheetId="127" r:id="rId123"/>
    <sheet name="Net Mtr Details_Oth Elec E150" sheetId="128" r:id="rId124"/>
    <sheet name="ElecVehcl Chg Inctv_E195 Elect" sheetId="129" r:id="rId125"/>
  </sheets>
  <externalReferences>
    <externalReference r:id="rId126"/>
    <externalReference r:id="rId127"/>
    <externalReference r:id="rId128"/>
  </externalReferences>
  <definedNames>
    <definedName name="ABS_Elec_totbudget_2015">'[1]2015 Sector View Elect'!$S$71</definedName>
    <definedName name="BEM_2yGas_Budget" comment="This is the sum of the 2, single-year BEM gas budgets.">'2016-2017 Portfolio View'!$J$24:$J$28</definedName>
    <definedName name="BEM_2yrElectric_Budget" comment="This is the sum of the 2, single-year BEM electirc budgets.">'2016-2017 Portfolio View'!$H$24:$H$28</definedName>
    <definedName name="brochr_elec_totbudget_2015">'[1]2015 Sector View Elect'!$S$66</definedName>
    <definedName name="ciloadctr_elec_totbudget_2015">'[1]2015 Sector View Elect'!$S$96</definedName>
    <definedName name="eductn_elec_totbudget_2015">'[1]2015 Sector View Elect'!$S$67</definedName>
    <definedName name="eecomm_elec_totbudget_2015">'[1]2015 Sector View Elect'!$S$75</definedName>
    <definedName name="ElecVehclChgIncent_Elect_2015">'[1]2015 Sector View Elect'!$S$94</definedName>
    <definedName name="enrgyadv_elec_totbudget_2015">'[1]2015 Sector View Elect'!$S$64</definedName>
    <definedName name="events_elec_totbudget_2015">'[1]2015 Sector View Elect'!$S$65</definedName>
    <definedName name="fuelconv_elec_totsavings_2015">'[1]2015 Sector View Elect'!$T$21</definedName>
    <definedName name="hmappl_elec_totsavings_2015">'[1]2015 Sector View Elect'!$T$14</definedName>
    <definedName name="hmenrgyrpts_elec_totsavings_2015">'[1]2015 Sector View Elect'!$T$18</definedName>
    <definedName name="homep_elec_totsavings_2015">'[1]2015 Sector View Elect'!$T$8</definedName>
    <definedName name="lighting_elec_totsavings_2015">'[1]2015 Sector View Elect'!$T$16</definedName>
    <definedName name="liw_elec_totsavings_2015">'[1]2015 Sector View Elect'!$T$7</definedName>
    <definedName name="lu_labor_title">[2]lookups!$H$6:$H$18</definedName>
    <definedName name="lu_m_life">[2]lookups!$F$6:$F$35</definedName>
    <definedName name="lu_unit_type">[2]lookups!$D$6:$D$11</definedName>
    <definedName name="mfnewconst_elec_totsavings_2015">'[1]2015 Sector View Elect'!$T$23</definedName>
    <definedName name="mftretro_elec_totsavings_2015">'[1]2015 Sector View Elect'!$T$22</definedName>
    <definedName name="MHDS_2015_totsavings_elec">'[1]2015 Sector View Elect'!$T$17</definedName>
    <definedName name="mktint_elec_totbudget_2015">'[1]2015 Sector View Elect'!$S$70</definedName>
    <definedName name="netmtr_elec_totbudget_2015">'[1]2015 Sector View Elect'!$S$93</definedName>
    <definedName name="onlineex_elec_totbudget_2015">'[1]2015 Sector View Elect'!$S$69</definedName>
    <definedName name="OthElec_2015_Totbudget_E">'[1]2015 Sector View Elect'!$S$98</definedName>
    <definedName name="OthElectric_2yrElectirc_Budget" comment="This is the sum of the 2, single-year Other Electric electric budgets.">'2016-2017 Portfolio View'!$H$73:$H$74</definedName>
    <definedName name="Pilots_2yrElectric_Budget" comment="This is the sum of the 2, single-year electirc Pilot budgets.">'2016-2017 Portfolio View'!$H$33:$H$34</definedName>
    <definedName name="Pilots_2yrGas_Budgets" comment="This is the sum of the 2, single-year gas Pilots budgets.">'2016-2017 Portfolio View'!$J$33:$J$34</definedName>
    <definedName name="PortSupp_2015_Totbudget_E">'[1]2015 Sector View Elect'!$S$77</definedName>
    <definedName name="PortSupp_2yrElectric_Budget" comment="This is the sum of the 2, single-year electric Portfolio Support budgets.">'2016-2017 Portfolio View'!$H$44,'2016-2017 Portfolio View'!$H$49,'2016-2017 Portfolio View'!$H$53:$H$58</definedName>
    <definedName name="PortSupp_2yrGas_Budgets" comment="This is the sum of the 2, single-year Portfolio Support gas budgets.">'2016-2017 Portfolio View'!$J$44,'2016-2017 Portfolio View'!$J$49,'2016-2017 Portfolio View'!$J$53:$J$58</definedName>
    <definedName name="PrgmsvcAnalytics_Totbudget_Elec_2015">'[1]2015 Sector View Elect'!$S$73</definedName>
    <definedName name="prgmsvcSyst_elec_totbudget_2015">'[1]2015 Sector View Elect'!$S$72</definedName>
    <definedName name="_xlnm.Print_Area" localSheetId="5">'2016-2017 Portfolio View'!$A$1:$K$92</definedName>
    <definedName name="_xlnm.Print_Area" localSheetId="3">'Building the elec. target'!$E$4:$Q$32</definedName>
    <definedName name="_xlnm.Print_Area" localSheetId="4">'Building the gas target'!$C$6:$N$26</definedName>
    <definedName name="RebtProc_Elec_TotBudget_2015">'[1]2015 Sector View Elect'!$S$74</definedName>
    <definedName name="Regional_2yrElectric_Budget" comment="This is the sum of the 2, single-year electric regional budgets.">'2016-2017 Portfolio View'!$H$38:$H$40</definedName>
    <definedName name="Regional_2yrGas_Budgets" comment="This is the sum of the 2, single-year Regional gas budgets.">'2016-2017 Portfolio View'!$J$38:$J$40</definedName>
    <definedName name="REM_2yrElectric_Budget" comment="This is the total 2-year REM electric budget, summing the 2, single-year budgets.">'2016-2017 Portfolio View'!$H$6:$H$20</definedName>
    <definedName name="REM_2yrGas_Budget" comment="This is the sum of the 2, single-year REM gas budgets.">'2016-2017 Portfolio View'!$J$6:$J$20</definedName>
    <definedName name="Res_and_Compl_2yrElectric_Budget" comment="This is the sum of the 2, single-year electric Research &amp; Compliance electric budgets.">'2016-2017 Portfolio View'!$H$62:$H$67</definedName>
    <definedName name="Res_Compl_2yrGas_Budget" comment="This is the sum of the 2, single-year gas budgets for Research &amp; Compliance.">'2016-2017 Portfolio View'!$J$62:$J$67</definedName>
    <definedName name="resdr_elec_totbudget_2015">'[1]2015 Sector View Elect'!$S$97</definedName>
    <definedName name="sfnewconst_elec_totsavings_2015">'[1]2015 Sector View Elect'!$T$19</definedName>
    <definedName name="sfspcht_elec_totsavings_2015">'[1]2015 Sector View Elect'!$T$12</definedName>
    <definedName name="sfwtrht_elec_totsavings_2015">'[1]2015 Sector View Elect'!$T$9</definedName>
    <definedName name="SFWx_ARRA_Totsavings_2015_Elec">'[1]2015 Sector View Elect'!$T$11</definedName>
    <definedName name="sfwx_elec_totsavings_2015">'[1]2015 Sector View Elect'!$T$10</definedName>
    <definedName name="shwrhd_elec_totsavings_2015">'[1]2015 Sector View Elect'!$T$15</definedName>
    <definedName name="trdallysupp_elec_totbudget_2015">'[1]2015 Sector View Elect'!$S$76</definedName>
    <definedName name="Z_074EB09C_6289_46D7_9513_012B68BCA7BF_.wvu.Cols" localSheetId="3" hidden="1">'Building the elec. target'!#REF!</definedName>
    <definedName name="Z_074EB09C_6289_46D7_9513_012B68BCA7BF_.wvu.Cols" localSheetId="4" hidden="1">'Building the gas target'!#REF!</definedName>
    <definedName name="Z_074EB09C_6289_46D7_9513_012B68BCA7BF_.wvu.Rows" localSheetId="9" hidden="1">'2016 Sector View Elect'!$41:$41</definedName>
    <definedName name="Z_074EB09C_6289_46D7_9513_012B68BCA7BF_.wvu.Rows" localSheetId="12" hidden="1">'2016 Sector View Gas'!$33:$33</definedName>
    <definedName name="Z_074EB09C_6289_46D7_9513_012B68BCA7BF_.wvu.Rows" localSheetId="10" hidden="1">'2017 Sector View Elect'!$41:$41</definedName>
    <definedName name="Z_074EB09C_6289_46D7_9513_012B68BCA7BF_.wvu.Rows" localSheetId="13" hidden="1">'2017 Sector View Gas'!$33:$33</definedName>
    <definedName name="Z_074EB09C_6289_46D7_9513_012B68BCA7BF_.wvu.Rows" localSheetId="8" hidden="1">'2-yr Sector View Electric'!#REF!,'2-yr Sector View Electric'!$42:$42</definedName>
    <definedName name="Z_074EB09C_6289_46D7_9513_012B68BCA7BF_.wvu.Rows" localSheetId="11" hidden="1">'2-yr Sector View Gas'!$34:$34</definedName>
    <definedName name="Z_074EB09C_6289_46D7_9513_012B68BCA7BF_.wvu.Rows" localSheetId="4" hidden="1">'Building the gas target'!#REF!</definedName>
    <definedName name="Z_D9EFFE19_D14B_4C6F_BDF4_FF696F73968D_.wvu.Cols" localSheetId="3" hidden="1">'Building the elec. target'!#REF!</definedName>
    <definedName name="Z_D9EFFE19_D14B_4C6F_BDF4_FF696F73968D_.wvu.Cols" localSheetId="4" hidden="1">'Building the gas target'!#REF!</definedName>
    <definedName name="Z_D9EFFE19_D14B_4C6F_BDF4_FF696F73968D_.wvu.Rows" localSheetId="8" hidden="1">'2-yr Sector View Electric'!#REF!</definedName>
    <definedName name="Z_D9EFFE19_D14B_4C6F_BDF4_FF696F73968D_.wvu.Rows" localSheetId="4" hidden="1">'Building the gas target'!#REF!</definedName>
  </definedNames>
  <calcPr calcId="145621"/>
  <customWorkbookViews>
    <customWorkbookView name="Andy Hemstreet - Personal View" guid="{074EB09C-6289-46D7-9513-012B68BCA7BF}" autoUpdate="1" mergeInterval="10" personalView="1" xWindow="13" yWindow="27" windowWidth="1251" windowHeight="732" tabRatio="938" activeSheetId="18"/>
    <customWorkbookView name="Lance Rottger - Personal View" guid="{D9EFFE19-D14B-4C6F-BDF4-FF696F73968D}" mergeInterval="0" personalView="1" xWindow="1687" yWindow="36" windowWidth="1627" windowHeight="749" tabRatio="907" activeSheetId="75"/>
  </customWorkbookViews>
</workbook>
</file>

<file path=xl/calcChain.xml><?xml version="1.0" encoding="utf-8"?>
<calcChain xmlns="http://schemas.openxmlformats.org/spreadsheetml/2006/main">
  <c r="I71" i="12" l="1"/>
  <c r="H10" i="5" l="1"/>
  <c r="F10" i="5"/>
  <c r="AG87" i="5"/>
  <c r="AG86" i="5"/>
  <c r="AG85" i="5"/>
  <c r="AG84" i="5"/>
  <c r="AG68" i="5"/>
  <c r="AG67" i="5"/>
  <c r="AG65" i="5"/>
  <c r="R44" i="5"/>
  <c r="R28" i="5"/>
  <c r="O28" i="5"/>
  <c r="AI87" i="5" l="1"/>
  <c r="AI86" i="5"/>
  <c r="AI85" i="5"/>
  <c r="AI84" i="5"/>
  <c r="AI71" i="5"/>
  <c r="AI68" i="5"/>
  <c r="AI67" i="5"/>
  <c r="AI65" i="5"/>
  <c r="R47" i="5"/>
  <c r="R31" i="5"/>
  <c r="O31" i="5"/>
  <c r="G23" i="9" l="1"/>
  <c r="I83" i="11" l="1"/>
  <c r="O6" i="74" l="1"/>
  <c r="O5" i="74"/>
  <c r="R5" i="74"/>
  <c r="D12" i="74"/>
  <c r="V38" i="16"/>
  <c r="T44" i="16" l="1"/>
  <c r="I78" i="16" l="1"/>
  <c r="J78" i="16"/>
  <c r="K78" i="16"/>
  <c r="L78" i="16"/>
  <c r="M78" i="16"/>
  <c r="N78" i="16"/>
  <c r="O78" i="16"/>
  <c r="P78" i="16"/>
  <c r="Q78" i="16"/>
  <c r="R78" i="16"/>
  <c r="S78" i="16"/>
  <c r="I79" i="16"/>
  <c r="J79" i="16"/>
  <c r="K79" i="16"/>
  <c r="L79" i="16"/>
  <c r="P79" i="16"/>
  <c r="Q79" i="16"/>
  <c r="R79" i="16"/>
  <c r="I80" i="16"/>
  <c r="J80" i="16"/>
  <c r="K80" i="16"/>
  <c r="L80" i="16"/>
  <c r="M80" i="16"/>
  <c r="N80" i="16"/>
  <c r="O80" i="16"/>
  <c r="P80" i="16"/>
  <c r="Q80" i="16"/>
  <c r="R80" i="16"/>
  <c r="S80" i="16"/>
  <c r="I81" i="16"/>
  <c r="J81" i="16"/>
  <c r="K81" i="16"/>
  <c r="L81" i="16"/>
  <c r="M81" i="16"/>
  <c r="N81" i="16"/>
  <c r="O81" i="16"/>
  <c r="P81" i="16"/>
  <c r="Q81" i="16"/>
  <c r="R81" i="16"/>
  <c r="S81" i="16"/>
  <c r="J77" i="16"/>
  <c r="K77" i="16"/>
  <c r="L77" i="16"/>
  <c r="M77" i="16"/>
  <c r="N77" i="16"/>
  <c r="O77" i="16"/>
  <c r="P77" i="16"/>
  <c r="Q77" i="16"/>
  <c r="R77" i="16"/>
  <c r="S77" i="16"/>
  <c r="I77" i="16"/>
  <c r="J58" i="16"/>
  <c r="L58" i="16"/>
  <c r="M58" i="16"/>
  <c r="N58" i="16"/>
  <c r="O58" i="16"/>
  <c r="P58" i="16"/>
  <c r="Q58" i="16"/>
  <c r="R58" i="16"/>
  <c r="I59" i="16"/>
  <c r="J59" i="16"/>
  <c r="K59" i="16"/>
  <c r="L59" i="16"/>
  <c r="M59" i="16"/>
  <c r="N59" i="16"/>
  <c r="O59" i="16"/>
  <c r="P59" i="16"/>
  <c r="Q59" i="16"/>
  <c r="R59" i="16"/>
  <c r="S59" i="16"/>
  <c r="I60" i="16"/>
  <c r="J60" i="16"/>
  <c r="K60" i="16"/>
  <c r="L60" i="16"/>
  <c r="M60" i="16"/>
  <c r="N60" i="16"/>
  <c r="O60" i="16"/>
  <c r="P60" i="16"/>
  <c r="Q60" i="16"/>
  <c r="R60" i="16"/>
  <c r="S60" i="16"/>
  <c r="I61" i="16"/>
  <c r="J61" i="16"/>
  <c r="K61" i="16"/>
  <c r="L61" i="16"/>
  <c r="M61" i="16"/>
  <c r="N61" i="16"/>
  <c r="O61" i="16"/>
  <c r="P61" i="16"/>
  <c r="Q61" i="16"/>
  <c r="R61" i="16"/>
  <c r="S61" i="16"/>
  <c r="I62" i="16"/>
  <c r="J62" i="16"/>
  <c r="K62" i="16"/>
  <c r="L62" i="16"/>
  <c r="M62" i="16"/>
  <c r="N62" i="16"/>
  <c r="O62" i="16"/>
  <c r="P62" i="16"/>
  <c r="Q62" i="16"/>
  <c r="R62" i="16"/>
  <c r="S62" i="16"/>
  <c r="I63" i="16"/>
  <c r="J63" i="16"/>
  <c r="K63" i="16"/>
  <c r="L63" i="16"/>
  <c r="M63" i="16"/>
  <c r="N63" i="16"/>
  <c r="O63" i="16"/>
  <c r="P63" i="16"/>
  <c r="Q63" i="16"/>
  <c r="R63" i="16"/>
  <c r="S63" i="16"/>
  <c r="I64" i="16"/>
  <c r="J64" i="16"/>
  <c r="K64" i="16"/>
  <c r="L64" i="16"/>
  <c r="M64" i="16"/>
  <c r="N64" i="16"/>
  <c r="O64" i="16"/>
  <c r="P64" i="16"/>
  <c r="Q64" i="16"/>
  <c r="R64" i="16"/>
  <c r="S64" i="16"/>
  <c r="I65" i="16"/>
  <c r="J65" i="16"/>
  <c r="K65" i="16"/>
  <c r="L65" i="16"/>
  <c r="M65" i="16"/>
  <c r="N65" i="16"/>
  <c r="O65" i="16"/>
  <c r="P65" i="16"/>
  <c r="Q65" i="16"/>
  <c r="R65" i="16"/>
  <c r="S65" i="16"/>
  <c r="I66" i="16"/>
  <c r="J66" i="16"/>
  <c r="K66" i="16"/>
  <c r="L66" i="16"/>
  <c r="M66" i="16"/>
  <c r="N66" i="16"/>
  <c r="O66" i="16"/>
  <c r="P66" i="16"/>
  <c r="Q66" i="16"/>
  <c r="R66" i="16"/>
  <c r="S66" i="16"/>
  <c r="I67" i="16"/>
  <c r="J67" i="16"/>
  <c r="K67" i="16"/>
  <c r="L67" i="16"/>
  <c r="M67" i="16"/>
  <c r="N67" i="16"/>
  <c r="O67" i="16"/>
  <c r="P67" i="16"/>
  <c r="Q67" i="16"/>
  <c r="R67" i="16"/>
  <c r="S67" i="16"/>
  <c r="I68" i="16"/>
  <c r="J68" i="16"/>
  <c r="K68" i="16"/>
  <c r="L68" i="16"/>
  <c r="M68" i="16"/>
  <c r="N68" i="16"/>
  <c r="O68" i="16"/>
  <c r="P68" i="16"/>
  <c r="Q68" i="16"/>
  <c r="R68" i="16"/>
  <c r="S68" i="16"/>
  <c r="I69" i="16"/>
  <c r="J69" i="16"/>
  <c r="K69" i="16"/>
  <c r="L69" i="16"/>
  <c r="M69" i="16"/>
  <c r="N69" i="16"/>
  <c r="O69" i="16"/>
  <c r="P69" i="16"/>
  <c r="Q69" i="16"/>
  <c r="R69" i="16"/>
  <c r="S69" i="16"/>
  <c r="I70" i="16"/>
  <c r="J70" i="16"/>
  <c r="K70" i="16"/>
  <c r="L70" i="16"/>
  <c r="M70" i="16"/>
  <c r="N70" i="16"/>
  <c r="O70" i="16"/>
  <c r="P70" i="16"/>
  <c r="Q70" i="16"/>
  <c r="R70" i="16"/>
  <c r="S70" i="16"/>
  <c r="J71" i="16"/>
  <c r="L71" i="16"/>
  <c r="M71" i="16"/>
  <c r="N71" i="16"/>
  <c r="O71" i="16"/>
  <c r="P71" i="16"/>
  <c r="Q71" i="16"/>
  <c r="R71" i="16"/>
  <c r="J57" i="16"/>
  <c r="L57" i="16"/>
  <c r="M57" i="16"/>
  <c r="N57" i="16"/>
  <c r="O57" i="16"/>
  <c r="P57" i="16"/>
  <c r="Q57" i="16"/>
  <c r="R57" i="16"/>
  <c r="J51" i="16"/>
  <c r="K51" i="16"/>
  <c r="L51" i="16"/>
  <c r="M51" i="16"/>
  <c r="N51" i="16"/>
  <c r="O51" i="16"/>
  <c r="P51" i="16"/>
  <c r="Q51" i="16"/>
  <c r="R51" i="16"/>
  <c r="S51" i="16"/>
  <c r="T51" i="16"/>
  <c r="I51" i="16"/>
  <c r="I45" i="16"/>
  <c r="J45" i="16"/>
  <c r="K45" i="16"/>
  <c r="L45" i="16"/>
  <c r="M45" i="16"/>
  <c r="N45" i="16"/>
  <c r="O45" i="16"/>
  <c r="P45" i="16"/>
  <c r="Q45" i="16"/>
  <c r="R45" i="16"/>
  <c r="S45" i="16"/>
  <c r="T45" i="16"/>
  <c r="J44" i="16"/>
  <c r="K44" i="16"/>
  <c r="L44" i="16"/>
  <c r="M44" i="16"/>
  <c r="N44" i="16"/>
  <c r="O44" i="16"/>
  <c r="P44" i="16"/>
  <c r="Q44" i="16"/>
  <c r="R44" i="16"/>
  <c r="S44" i="16"/>
  <c r="I44" i="16"/>
  <c r="I27" i="16"/>
  <c r="J27" i="16"/>
  <c r="K27" i="16"/>
  <c r="L27" i="16"/>
  <c r="M27" i="16"/>
  <c r="N27" i="16"/>
  <c r="O27" i="16"/>
  <c r="P27" i="16"/>
  <c r="Q27" i="16"/>
  <c r="R27" i="16"/>
  <c r="S27" i="16"/>
  <c r="T27" i="16"/>
  <c r="I28" i="16"/>
  <c r="J28" i="16"/>
  <c r="K28" i="16"/>
  <c r="L28" i="16"/>
  <c r="M28" i="16"/>
  <c r="N28" i="16"/>
  <c r="O28" i="16"/>
  <c r="P28" i="16"/>
  <c r="Q28" i="16"/>
  <c r="R28" i="16"/>
  <c r="S28" i="16"/>
  <c r="T28" i="16"/>
  <c r="I29" i="16"/>
  <c r="J29" i="16"/>
  <c r="K29" i="16"/>
  <c r="L29" i="16"/>
  <c r="M29" i="16"/>
  <c r="N29" i="16"/>
  <c r="O29" i="16"/>
  <c r="P29" i="16"/>
  <c r="Q29" i="16"/>
  <c r="R29" i="16"/>
  <c r="S29" i="16"/>
  <c r="T29" i="16"/>
  <c r="I30" i="16"/>
  <c r="J30" i="16"/>
  <c r="K30" i="16"/>
  <c r="L30" i="16"/>
  <c r="M30" i="16"/>
  <c r="N30" i="16"/>
  <c r="O30" i="16"/>
  <c r="P30" i="16"/>
  <c r="Q30" i="16"/>
  <c r="R30" i="16"/>
  <c r="S30" i="16"/>
  <c r="T30" i="16"/>
  <c r="I31" i="16"/>
  <c r="J31" i="16"/>
  <c r="K31" i="16"/>
  <c r="L31" i="16"/>
  <c r="M31" i="16"/>
  <c r="N31" i="16"/>
  <c r="O31" i="16"/>
  <c r="P31" i="16"/>
  <c r="Q31" i="16"/>
  <c r="R31" i="16"/>
  <c r="S31" i="16"/>
  <c r="T31" i="16"/>
  <c r="I32" i="16"/>
  <c r="J32" i="16"/>
  <c r="K32" i="16"/>
  <c r="L32" i="16"/>
  <c r="M32" i="16"/>
  <c r="N32" i="16"/>
  <c r="O32" i="16"/>
  <c r="Q32" i="16"/>
  <c r="R32" i="16"/>
  <c r="T32" i="16"/>
  <c r="I33" i="16"/>
  <c r="J33" i="16"/>
  <c r="K33" i="16"/>
  <c r="L33" i="16"/>
  <c r="M33" i="16"/>
  <c r="N33" i="16"/>
  <c r="O33" i="16"/>
  <c r="P33" i="16"/>
  <c r="Q33" i="16"/>
  <c r="R33" i="16"/>
  <c r="S33" i="16"/>
  <c r="T33" i="16"/>
  <c r="I34" i="16"/>
  <c r="J34" i="16"/>
  <c r="K34" i="16"/>
  <c r="L34" i="16"/>
  <c r="M34" i="16"/>
  <c r="N34" i="16"/>
  <c r="O34" i="16"/>
  <c r="P34" i="16"/>
  <c r="Q34" i="16"/>
  <c r="R34" i="16"/>
  <c r="S34" i="16"/>
  <c r="T34" i="16"/>
  <c r="I35" i="16"/>
  <c r="J35" i="16"/>
  <c r="K35" i="16"/>
  <c r="L35" i="16"/>
  <c r="M35" i="16"/>
  <c r="N35" i="16"/>
  <c r="O35" i="16"/>
  <c r="P35" i="16"/>
  <c r="Q35" i="16"/>
  <c r="R35" i="16"/>
  <c r="S35" i="16"/>
  <c r="T35" i="16"/>
  <c r="I36" i="16"/>
  <c r="J36" i="16"/>
  <c r="K36" i="16"/>
  <c r="L36" i="16"/>
  <c r="M36" i="16"/>
  <c r="N36" i="16"/>
  <c r="O36" i="16"/>
  <c r="Q36" i="16"/>
  <c r="R36" i="16"/>
  <c r="T36" i="16"/>
  <c r="I37" i="16"/>
  <c r="J37" i="16"/>
  <c r="K37" i="16"/>
  <c r="L37" i="16"/>
  <c r="M37" i="16"/>
  <c r="N37" i="16"/>
  <c r="O37" i="16"/>
  <c r="P37" i="16"/>
  <c r="Q37" i="16"/>
  <c r="R37" i="16"/>
  <c r="S37" i="16"/>
  <c r="T37" i="16"/>
  <c r="I38" i="16"/>
  <c r="J38" i="16"/>
  <c r="K38" i="16"/>
  <c r="L38" i="16"/>
  <c r="M38" i="16"/>
  <c r="N38" i="16"/>
  <c r="O38" i="16"/>
  <c r="P38" i="16"/>
  <c r="Q38" i="16"/>
  <c r="R38" i="16"/>
  <c r="S38" i="16"/>
  <c r="T38" i="16"/>
  <c r="J26" i="16"/>
  <c r="K26" i="16"/>
  <c r="L26" i="16"/>
  <c r="M26" i="16"/>
  <c r="N26" i="16"/>
  <c r="O26" i="16"/>
  <c r="P26" i="16"/>
  <c r="Q26" i="16"/>
  <c r="R26" i="16"/>
  <c r="S26" i="16"/>
  <c r="T26" i="16"/>
  <c r="I26" i="16"/>
  <c r="T20" i="16"/>
  <c r="S20" i="16"/>
  <c r="R20" i="16"/>
  <c r="Q20" i="16"/>
  <c r="P20" i="16"/>
  <c r="O20" i="16"/>
  <c r="N20" i="16"/>
  <c r="M20" i="16"/>
  <c r="L20" i="16"/>
  <c r="K20" i="16"/>
  <c r="J20" i="16"/>
  <c r="I20" i="16"/>
  <c r="T19" i="16"/>
  <c r="S19" i="16"/>
  <c r="R19" i="16"/>
  <c r="Q19" i="16"/>
  <c r="P19" i="16"/>
  <c r="O19" i="16"/>
  <c r="N19" i="16"/>
  <c r="M19" i="16"/>
  <c r="L19" i="16"/>
  <c r="K19" i="16"/>
  <c r="J19" i="16"/>
  <c r="I19" i="16"/>
  <c r="T18" i="16"/>
  <c r="S18" i="16"/>
  <c r="R18" i="16"/>
  <c r="Q18" i="16"/>
  <c r="P18" i="16"/>
  <c r="O18" i="16"/>
  <c r="N18" i="16"/>
  <c r="M18" i="16"/>
  <c r="L18" i="16"/>
  <c r="K18" i="16"/>
  <c r="J18" i="16"/>
  <c r="I18" i="16"/>
  <c r="T17" i="16"/>
  <c r="S17" i="16"/>
  <c r="R17" i="16"/>
  <c r="Q17" i="16"/>
  <c r="P17" i="16"/>
  <c r="O17" i="16"/>
  <c r="N17" i="16"/>
  <c r="M17" i="16"/>
  <c r="L17" i="16"/>
  <c r="K17" i="16"/>
  <c r="J17" i="16"/>
  <c r="I17" i="16"/>
  <c r="T16" i="16"/>
  <c r="S16" i="16"/>
  <c r="R16" i="16"/>
  <c r="Q16" i="16"/>
  <c r="P16" i="16"/>
  <c r="O16" i="16"/>
  <c r="N16" i="16"/>
  <c r="M16" i="16"/>
  <c r="L16" i="16"/>
  <c r="K16" i="16"/>
  <c r="J16" i="16"/>
  <c r="I16" i="16"/>
  <c r="T15" i="16"/>
  <c r="S15" i="16"/>
  <c r="R15" i="16"/>
  <c r="Q15" i="16"/>
  <c r="P15" i="16"/>
  <c r="O15" i="16"/>
  <c r="N15" i="16"/>
  <c r="M15" i="16"/>
  <c r="L15" i="16"/>
  <c r="K15" i="16"/>
  <c r="J15" i="16"/>
  <c r="I15" i="16"/>
  <c r="T14" i="16"/>
  <c r="S14" i="16"/>
  <c r="R14" i="16"/>
  <c r="Q14" i="16"/>
  <c r="P14" i="16"/>
  <c r="O14" i="16"/>
  <c r="N14" i="16"/>
  <c r="M14" i="16"/>
  <c r="L14" i="16"/>
  <c r="K14" i="16"/>
  <c r="J14" i="16"/>
  <c r="I14" i="16"/>
  <c r="T13" i="16"/>
  <c r="S13" i="16"/>
  <c r="R13" i="16"/>
  <c r="Q13" i="16"/>
  <c r="P13" i="16"/>
  <c r="O13" i="16"/>
  <c r="N13" i="16"/>
  <c r="M13" i="16"/>
  <c r="L13" i="16"/>
  <c r="K13" i="16"/>
  <c r="J13" i="16"/>
  <c r="I13" i="16"/>
  <c r="T12" i="16"/>
  <c r="S12" i="16"/>
  <c r="R12" i="16"/>
  <c r="Q12" i="16"/>
  <c r="P12" i="16"/>
  <c r="O12" i="16"/>
  <c r="N12" i="16"/>
  <c r="M12" i="16"/>
  <c r="L12" i="16"/>
  <c r="K12" i="16"/>
  <c r="J12" i="16"/>
  <c r="I12" i="16"/>
  <c r="T11" i="16"/>
  <c r="S11" i="16"/>
  <c r="R11" i="16"/>
  <c r="Q11" i="16"/>
  <c r="P11" i="16"/>
  <c r="O11" i="16"/>
  <c r="N11" i="16"/>
  <c r="M11" i="16"/>
  <c r="L11" i="16"/>
  <c r="K11" i="16"/>
  <c r="J11" i="16"/>
  <c r="I11" i="16"/>
  <c r="T10" i="16"/>
  <c r="S10" i="16"/>
  <c r="R10" i="16"/>
  <c r="Q10" i="16"/>
  <c r="P10" i="16"/>
  <c r="O10" i="16"/>
  <c r="N10" i="16"/>
  <c r="M10" i="16"/>
  <c r="L10" i="16"/>
  <c r="K10" i="16"/>
  <c r="J10" i="16"/>
  <c r="I10" i="16"/>
  <c r="T9" i="16"/>
  <c r="S9" i="16"/>
  <c r="R9" i="16"/>
  <c r="Q9" i="16"/>
  <c r="P9" i="16"/>
  <c r="O9" i="16"/>
  <c r="N9" i="16"/>
  <c r="M9" i="16"/>
  <c r="L9" i="16"/>
  <c r="K9" i="16"/>
  <c r="J9" i="16"/>
  <c r="I9" i="16"/>
  <c r="T8" i="16"/>
  <c r="S8" i="16"/>
  <c r="R8" i="16"/>
  <c r="Q8" i="16"/>
  <c r="P8" i="16"/>
  <c r="O8" i="16"/>
  <c r="N8" i="16"/>
  <c r="M8" i="16"/>
  <c r="L8" i="16"/>
  <c r="K8" i="16"/>
  <c r="J8" i="16"/>
  <c r="I8" i="16"/>
  <c r="J7" i="16"/>
  <c r="K7" i="16"/>
  <c r="L7" i="16"/>
  <c r="M7" i="16"/>
  <c r="N7" i="16"/>
  <c r="O7" i="16"/>
  <c r="P7" i="16"/>
  <c r="Q7" i="16"/>
  <c r="R7" i="16"/>
  <c r="S7" i="16"/>
  <c r="T7" i="16"/>
  <c r="I7" i="16"/>
  <c r="I99" i="13"/>
  <c r="J99" i="13"/>
  <c r="K99" i="13"/>
  <c r="L99" i="13"/>
  <c r="M99" i="13"/>
  <c r="N99" i="13"/>
  <c r="O99" i="13"/>
  <c r="P99" i="13"/>
  <c r="Q99" i="13"/>
  <c r="R99" i="13"/>
  <c r="S99" i="13"/>
  <c r="J98" i="13"/>
  <c r="K98" i="13"/>
  <c r="L98" i="13"/>
  <c r="M98" i="13"/>
  <c r="N98" i="13"/>
  <c r="O98" i="13"/>
  <c r="P98" i="13"/>
  <c r="Q98" i="13"/>
  <c r="R98" i="13"/>
  <c r="S98" i="13"/>
  <c r="I98" i="13"/>
  <c r="S92" i="13"/>
  <c r="R92" i="13"/>
  <c r="Q92" i="13"/>
  <c r="P92" i="13"/>
  <c r="O92" i="13"/>
  <c r="N92" i="13"/>
  <c r="M92" i="13"/>
  <c r="L92" i="13"/>
  <c r="K92" i="13"/>
  <c r="J92" i="13"/>
  <c r="I92" i="13"/>
  <c r="S91" i="13"/>
  <c r="R91" i="13"/>
  <c r="Q91" i="13"/>
  <c r="P91" i="13"/>
  <c r="O91" i="13"/>
  <c r="N91" i="13"/>
  <c r="M91" i="13"/>
  <c r="L91" i="13"/>
  <c r="K91" i="13"/>
  <c r="J91" i="13"/>
  <c r="I91" i="13"/>
  <c r="S90" i="13"/>
  <c r="R90" i="13"/>
  <c r="Q90" i="13"/>
  <c r="P90" i="13"/>
  <c r="O90" i="13"/>
  <c r="N90" i="13"/>
  <c r="M90" i="13"/>
  <c r="L90" i="13"/>
  <c r="K90" i="13"/>
  <c r="J90" i="13"/>
  <c r="I90" i="13"/>
  <c r="R89" i="13"/>
  <c r="Q89" i="13"/>
  <c r="P89" i="13"/>
  <c r="L89" i="13"/>
  <c r="K89" i="13"/>
  <c r="J89" i="13"/>
  <c r="I89" i="13"/>
  <c r="S88" i="13"/>
  <c r="R88" i="13"/>
  <c r="Q88" i="13"/>
  <c r="P88" i="13"/>
  <c r="O88" i="13"/>
  <c r="N88" i="13"/>
  <c r="M88" i="13"/>
  <c r="L88" i="13"/>
  <c r="K88" i="13"/>
  <c r="J88" i="13"/>
  <c r="I88" i="13"/>
  <c r="J87" i="13"/>
  <c r="K87" i="13"/>
  <c r="L87" i="13"/>
  <c r="M87" i="13"/>
  <c r="N87" i="13"/>
  <c r="O87" i="13"/>
  <c r="P87" i="13"/>
  <c r="Q87" i="13"/>
  <c r="R87" i="13"/>
  <c r="S87" i="13"/>
  <c r="I87" i="13"/>
  <c r="J68" i="13"/>
  <c r="L68" i="13"/>
  <c r="M68" i="13"/>
  <c r="N68" i="13"/>
  <c r="O68" i="13"/>
  <c r="P68" i="13"/>
  <c r="Q68" i="13"/>
  <c r="R68" i="13"/>
  <c r="I69" i="13"/>
  <c r="J69" i="13"/>
  <c r="K69" i="13"/>
  <c r="L69" i="13"/>
  <c r="M69" i="13"/>
  <c r="N69" i="13"/>
  <c r="O69" i="13"/>
  <c r="P69" i="13"/>
  <c r="Q69" i="13"/>
  <c r="R69" i="13"/>
  <c r="S69" i="13"/>
  <c r="I70" i="13"/>
  <c r="J70" i="13"/>
  <c r="K70" i="13"/>
  <c r="L70" i="13"/>
  <c r="M70" i="13"/>
  <c r="N70" i="13"/>
  <c r="O70" i="13"/>
  <c r="P70" i="13"/>
  <c r="Q70" i="13"/>
  <c r="R70" i="13"/>
  <c r="S70" i="13"/>
  <c r="I71" i="13"/>
  <c r="J71" i="13"/>
  <c r="K71" i="13"/>
  <c r="L71" i="13"/>
  <c r="M71" i="13"/>
  <c r="N71" i="13"/>
  <c r="O71" i="13"/>
  <c r="P71" i="13"/>
  <c r="Q71" i="13"/>
  <c r="R71" i="13"/>
  <c r="S71" i="13"/>
  <c r="I72" i="13"/>
  <c r="J72" i="13"/>
  <c r="K72" i="13"/>
  <c r="L72" i="13"/>
  <c r="M72" i="13"/>
  <c r="N72" i="13"/>
  <c r="O72" i="13"/>
  <c r="P72" i="13"/>
  <c r="Q72" i="13"/>
  <c r="R72" i="13"/>
  <c r="S72" i="13"/>
  <c r="I73" i="13"/>
  <c r="J73" i="13"/>
  <c r="K73" i="13"/>
  <c r="L73" i="13"/>
  <c r="M73" i="13"/>
  <c r="N73" i="13"/>
  <c r="O73" i="13"/>
  <c r="P73" i="13"/>
  <c r="Q73" i="13"/>
  <c r="R73" i="13"/>
  <c r="S73" i="13"/>
  <c r="I74" i="13"/>
  <c r="J74" i="13"/>
  <c r="K74" i="13"/>
  <c r="L74" i="13"/>
  <c r="M74" i="13"/>
  <c r="N74" i="13"/>
  <c r="O74" i="13"/>
  <c r="P74" i="13"/>
  <c r="Q74" i="13"/>
  <c r="R74" i="13"/>
  <c r="S74" i="13"/>
  <c r="I75" i="13"/>
  <c r="J75" i="13"/>
  <c r="K75" i="13"/>
  <c r="L75" i="13"/>
  <c r="M75" i="13"/>
  <c r="N75" i="13"/>
  <c r="O75" i="13"/>
  <c r="P75" i="13"/>
  <c r="Q75" i="13"/>
  <c r="R75" i="13"/>
  <c r="S75" i="13"/>
  <c r="I76" i="13"/>
  <c r="J76" i="13"/>
  <c r="K76" i="13"/>
  <c r="L76" i="13"/>
  <c r="M76" i="13"/>
  <c r="N76" i="13"/>
  <c r="O76" i="13"/>
  <c r="P76" i="13"/>
  <c r="Q76" i="13"/>
  <c r="R76" i="13"/>
  <c r="S76" i="13"/>
  <c r="I77" i="13"/>
  <c r="J77" i="13"/>
  <c r="K77" i="13"/>
  <c r="L77" i="13"/>
  <c r="M77" i="13"/>
  <c r="N77" i="13"/>
  <c r="O77" i="13"/>
  <c r="P77" i="13"/>
  <c r="Q77" i="13"/>
  <c r="R77" i="13"/>
  <c r="S77" i="13"/>
  <c r="I78" i="13"/>
  <c r="J78" i="13"/>
  <c r="K78" i="13"/>
  <c r="L78" i="13"/>
  <c r="M78" i="13"/>
  <c r="N78" i="13"/>
  <c r="O78" i="13"/>
  <c r="P78" i="13"/>
  <c r="Q78" i="13"/>
  <c r="R78" i="13"/>
  <c r="S78" i="13"/>
  <c r="I79" i="13"/>
  <c r="J79" i="13"/>
  <c r="K79" i="13"/>
  <c r="L79" i="13"/>
  <c r="M79" i="13"/>
  <c r="N79" i="13"/>
  <c r="O79" i="13"/>
  <c r="P79" i="13"/>
  <c r="Q79" i="13"/>
  <c r="R79" i="13"/>
  <c r="S79" i="13"/>
  <c r="I80" i="13"/>
  <c r="J80" i="13"/>
  <c r="K80" i="13"/>
  <c r="L80" i="13"/>
  <c r="M80" i="13"/>
  <c r="N80" i="13"/>
  <c r="O80" i="13"/>
  <c r="P80" i="13"/>
  <c r="Q80" i="13"/>
  <c r="R80" i="13"/>
  <c r="S80" i="13"/>
  <c r="J81" i="13"/>
  <c r="L81" i="13"/>
  <c r="M81" i="13"/>
  <c r="N81" i="13"/>
  <c r="O81" i="13"/>
  <c r="P81" i="13"/>
  <c r="Q81" i="13"/>
  <c r="R81" i="13"/>
  <c r="J67" i="13"/>
  <c r="L67" i="13"/>
  <c r="M67" i="13"/>
  <c r="N67" i="13"/>
  <c r="O67" i="13"/>
  <c r="P67" i="13"/>
  <c r="Q67" i="13"/>
  <c r="R67" i="13"/>
  <c r="J61" i="13"/>
  <c r="K61" i="13"/>
  <c r="L61" i="13"/>
  <c r="M61" i="13"/>
  <c r="N61" i="13"/>
  <c r="O61" i="13"/>
  <c r="P61" i="13"/>
  <c r="Q61" i="13"/>
  <c r="R61" i="13"/>
  <c r="S61" i="13"/>
  <c r="T61" i="13"/>
  <c r="I61" i="13"/>
  <c r="J60" i="13"/>
  <c r="K60" i="13"/>
  <c r="L60" i="13"/>
  <c r="M60" i="13"/>
  <c r="N60" i="13"/>
  <c r="O60" i="13"/>
  <c r="P60" i="13"/>
  <c r="Q60" i="13"/>
  <c r="R60" i="13"/>
  <c r="S60" i="13"/>
  <c r="T60" i="13"/>
  <c r="I60" i="13"/>
  <c r="J53" i="13"/>
  <c r="K53" i="13"/>
  <c r="L53" i="13"/>
  <c r="M53" i="13"/>
  <c r="N53" i="13"/>
  <c r="O53" i="13"/>
  <c r="P53" i="13"/>
  <c r="Q53" i="13"/>
  <c r="R53" i="13"/>
  <c r="S53" i="13"/>
  <c r="T53" i="13"/>
  <c r="I53" i="13"/>
  <c r="I29" i="13"/>
  <c r="J29" i="13"/>
  <c r="K29" i="13"/>
  <c r="L29" i="13"/>
  <c r="M29" i="13"/>
  <c r="N29" i="13"/>
  <c r="O29" i="13"/>
  <c r="P29" i="13"/>
  <c r="Q29" i="13"/>
  <c r="R29" i="13"/>
  <c r="S29" i="13"/>
  <c r="T29" i="13"/>
  <c r="I30" i="13"/>
  <c r="J30" i="13"/>
  <c r="K30" i="13"/>
  <c r="L30" i="13"/>
  <c r="M30" i="13"/>
  <c r="N30" i="13"/>
  <c r="O30" i="13"/>
  <c r="P30" i="13"/>
  <c r="Q30" i="13"/>
  <c r="R30" i="13"/>
  <c r="S30" i="13"/>
  <c r="T30" i="13"/>
  <c r="I31" i="13"/>
  <c r="J31" i="13"/>
  <c r="K31" i="13"/>
  <c r="L31" i="13"/>
  <c r="M31" i="13"/>
  <c r="N31" i="13"/>
  <c r="O31" i="13"/>
  <c r="P31" i="13"/>
  <c r="Q31" i="13"/>
  <c r="R31" i="13"/>
  <c r="S31" i="13"/>
  <c r="T31" i="13"/>
  <c r="I32" i="13"/>
  <c r="J32" i="13"/>
  <c r="K32" i="13"/>
  <c r="L32" i="13"/>
  <c r="M32" i="13"/>
  <c r="N32" i="13"/>
  <c r="O32" i="13"/>
  <c r="P32" i="13"/>
  <c r="Q32" i="13"/>
  <c r="R32" i="13"/>
  <c r="S32" i="13"/>
  <c r="T32" i="13"/>
  <c r="I33" i="13"/>
  <c r="J33" i="13"/>
  <c r="K33" i="13"/>
  <c r="L33" i="13"/>
  <c r="M33" i="13"/>
  <c r="N33" i="13"/>
  <c r="O33" i="13"/>
  <c r="P33" i="13"/>
  <c r="Q33" i="13"/>
  <c r="R33" i="13"/>
  <c r="S33" i="13"/>
  <c r="T33" i="13"/>
  <c r="I34" i="13"/>
  <c r="J34" i="13"/>
  <c r="K34" i="13"/>
  <c r="L34" i="13"/>
  <c r="M34" i="13"/>
  <c r="N34" i="13"/>
  <c r="O34" i="13"/>
  <c r="P34" i="13"/>
  <c r="Q34" i="13"/>
  <c r="R34" i="13"/>
  <c r="S34" i="13"/>
  <c r="T34" i="13"/>
  <c r="I37" i="13"/>
  <c r="J37" i="13"/>
  <c r="K37" i="13"/>
  <c r="L37" i="13"/>
  <c r="M37" i="13"/>
  <c r="N37" i="13"/>
  <c r="O37" i="13"/>
  <c r="P37" i="13"/>
  <c r="Q37" i="13"/>
  <c r="R37" i="13"/>
  <c r="S37" i="13"/>
  <c r="T37" i="13"/>
  <c r="I38" i="13"/>
  <c r="J38" i="13"/>
  <c r="K38" i="13"/>
  <c r="L38" i="13"/>
  <c r="M38" i="13"/>
  <c r="N38" i="13"/>
  <c r="O38" i="13"/>
  <c r="P38" i="13"/>
  <c r="Q38" i="13"/>
  <c r="R38" i="13"/>
  <c r="S38" i="13"/>
  <c r="T38" i="13"/>
  <c r="I39" i="13"/>
  <c r="J39" i="13"/>
  <c r="K39" i="13"/>
  <c r="L39" i="13"/>
  <c r="M39" i="13"/>
  <c r="N39" i="13"/>
  <c r="O39" i="13"/>
  <c r="P39" i="13"/>
  <c r="Q39" i="13"/>
  <c r="R39" i="13"/>
  <c r="S39" i="13"/>
  <c r="T39" i="13"/>
  <c r="I40" i="13"/>
  <c r="J40" i="13"/>
  <c r="K40" i="13"/>
  <c r="L40" i="13"/>
  <c r="M40" i="13"/>
  <c r="N40" i="13"/>
  <c r="O40" i="13"/>
  <c r="P40" i="13"/>
  <c r="Q40" i="13"/>
  <c r="R40" i="13"/>
  <c r="S40" i="13"/>
  <c r="T40" i="13"/>
  <c r="I41" i="13"/>
  <c r="J41" i="13"/>
  <c r="K41" i="13"/>
  <c r="L41" i="13"/>
  <c r="M41" i="13"/>
  <c r="N41" i="13"/>
  <c r="O41" i="13"/>
  <c r="P41" i="13"/>
  <c r="Q41" i="13"/>
  <c r="R41" i="13"/>
  <c r="S41" i="13"/>
  <c r="T41" i="13"/>
  <c r="I42" i="13"/>
  <c r="J42" i="13"/>
  <c r="K42" i="13"/>
  <c r="L42" i="13"/>
  <c r="M42" i="13"/>
  <c r="N42" i="13"/>
  <c r="O42" i="13"/>
  <c r="P42" i="13"/>
  <c r="Q42" i="13"/>
  <c r="R42" i="13"/>
  <c r="S42" i="13"/>
  <c r="T42" i="13"/>
  <c r="I43" i="13"/>
  <c r="J43" i="13"/>
  <c r="K43" i="13"/>
  <c r="L43" i="13"/>
  <c r="M43" i="13"/>
  <c r="N43" i="13"/>
  <c r="O43" i="13"/>
  <c r="P43" i="13"/>
  <c r="Q43" i="13"/>
  <c r="R43" i="13"/>
  <c r="S43" i="13"/>
  <c r="T43" i="13"/>
  <c r="I44" i="13"/>
  <c r="J44" i="13"/>
  <c r="K44" i="13"/>
  <c r="L44" i="13"/>
  <c r="M44" i="13"/>
  <c r="N44" i="13"/>
  <c r="O44" i="13"/>
  <c r="P44" i="13"/>
  <c r="Q44" i="13"/>
  <c r="R44" i="13"/>
  <c r="S44" i="13"/>
  <c r="T44" i="13"/>
  <c r="I45" i="13"/>
  <c r="J45" i="13"/>
  <c r="K45" i="13"/>
  <c r="L45" i="13"/>
  <c r="M45" i="13"/>
  <c r="N45" i="13"/>
  <c r="O45" i="13"/>
  <c r="P45" i="13"/>
  <c r="Q45" i="13"/>
  <c r="R45" i="13"/>
  <c r="S45" i="13"/>
  <c r="T45" i="13"/>
  <c r="I46" i="13"/>
  <c r="J46" i="13"/>
  <c r="K46" i="13"/>
  <c r="L46" i="13"/>
  <c r="M46" i="13"/>
  <c r="N46" i="13"/>
  <c r="O46" i="13"/>
  <c r="P46" i="13"/>
  <c r="Q46" i="13"/>
  <c r="R46" i="13"/>
  <c r="S46" i="13"/>
  <c r="T46" i="13"/>
  <c r="I47" i="13"/>
  <c r="J47" i="13"/>
  <c r="K47" i="13"/>
  <c r="L47" i="13"/>
  <c r="M47" i="13"/>
  <c r="N47" i="13"/>
  <c r="O47" i="13"/>
  <c r="P47" i="13"/>
  <c r="Q47" i="13"/>
  <c r="R47" i="13"/>
  <c r="S47" i="13"/>
  <c r="T47" i="13"/>
  <c r="J28" i="13"/>
  <c r="L28" i="13"/>
  <c r="M28" i="13"/>
  <c r="N28" i="13"/>
  <c r="O28" i="13"/>
  <c r="P28" i="13"/>
  <c r="Q28" i="13"/>
  <c r="R28" i="13"/>
  <c r="T28" i="13"/>
  <c r="I8" i="13"/>
  <c r="J8" i="13"/>
  <c r="K8" i="13"/>
  <c r="L8" i="13"/>
  <c r="M8" i="13"/>
  <c r="N8" i="13"/>
  <c r="O8" i="13"/>
  <c r="P8" i="13"/>
  <c r="Q8" i="13"/>
  <c r="R8" i="13"/>
  <c r="S8" i="13"/>
  <c r="T8" i="13"/>
  <c r="I9" i="13"/>
  <c r="J9" i="13"/>
  <c r="K9" i="13"/>
  <c r="L9" i="13"/>
  <c r="M9" i="13"/>
  <c r="N9" i="13"/>
  <c r="O9" i="13"/>
  <c r="P9" i="13"/>
  <c r="Q9" i="13"/>
  <c r="R9" i="13"/>
  <c r="S9" i="13"/>
  <c r="T9" i="13"/>
  <c r="I10" i="13"/>
  <c r="J10" i="13"/>
  <c r="K10" i="13"/>
  <c r="L10" i="13"/>
  <c r="M10" i="13"/>
  <c r="N10" i="13"/>
  <c r="O10" i="13"/>
  <c r="P10" i="13"/>
  <c r="Q10" i="13"/>
  <c r="R10" i="13"/>
  <c r="S10" i="13"/>
  <c r="T10" i="13"/>
  <c r="I11" i="13"/>
  <c r="J11" i="13"/>
  <c r="K11" i="13"/>
  <c r="L11" i="13"/>
  <c r="M11" i="13"/>
  <c r="N11" i="13"/>
  <c r="O11" i="13"/>
  <c r="P11" i="13"/>
  <c r="Q11" i="13"/>
  <c r="R11" i="13"/>
  <c r="S11" i="13"/>
  <c r="T11" i="13"/>
  <c r="I12" i="13"/>
  <c r="J12" i="13"/>
  <c r="K12" i="13"/>
  <c r="L12" i="13"/>
  <c r="M12" i="13"/>
  <c r="N12" i="13"/>
  <c r="O12" i="13"/>
  <c r="P12" i="13"/>
  <c r="Q12" i="13"/>
  <c r="R12" i="13"/>
  <c r="S12" i="13"/>
  <c r="T12" i="13"/>
  <c r="I13" i="13"/>
  <c r="J13" i="13"/>
  <c r="K13" i="13"/>
  <c r="L13" i="13"/>
  <c r="M13" i="13"/>
  <c r="N13" i="13"/>
  <c r="O13" i="13"/>
  <c r="P13" i="13"/>
  <c r="Q13" i="13"/>
  <c r="R13" i="13"/>
  <c r="S13" i="13"/>
  <c r="T13" i="13"/>
  <c r="I14" i="13"/>
  <c r="J14" i="13"/>
  <c r="K14" i="13"/>
  <c r="L14" i="13"/>
  <c r="M14" i="13"/>
  <c r="N14" i="13"/>
  <c r="O14" i="13"/>
  <c r="P14" i="13"/>
  <c r="Q14" i="13"/>
  <c r="R14" i="13"/>
  <c r="S14" i="13"/>
  <c r="I15" i="13"/>
  <c r="J15" i="13"/>
  <c r="K15" i="13"/>
  <c r="L15" i="13"/>
  <c r="M15" i="13"/>
  <c r="N15" i="13"/>
  <c r="O15" i="13"/>
  <c r="P15" i="13"/>
  <c r="Q15" i="13"/>
  <c r="R15" i="13"/>
  <c r="S15" i="13"/>
  <c r="T15" i="13"/>
  <c r="I16" i="13"/>
  <c r="J16" i="13"/>
  <c r="K16" i="13"/>
  <c r="L16" i="13"/>
  <c r="M16" i="13"/>
  <c r="N16" i="13"/>
  <c r="O16" i="13"/>
  <c r="P16" i="13"/>
  <c r="Q16" i="13"/>
  <c r="R16" i="13"/>
  <c r="S16" i="13"/>
  <c r="T16" i="13"/>
  <c r="I17" i="13"/>
  <c r="J17" i="13"/>
  <c r="K17" i="13"/>
  <c r="L17" i="13"/>
  <c r="M17" i="13"/>
  <c r="N17" i="13"/>
  <c r="O17" i="13"/>
  <c r="P17" i="13"/>
  <c r="Q17" i="13"/>
  <c r="R17" i="13"/>
  <c r="S17" i="13"/>
  <c r="T17" i="13"/>
  <c r="I18" i="13"/>
  <c r="J18" i="13"/>
  <c r="K18" i="13"/>
  <c r="L18" i="13"/>
  <c r="M18" i="13"/>
  <c r="N18" i="13"/>
  <c r="O18" i="13"/>
  <c r="P18" i="13"/>
  <c r="Q18" i="13"/>
  <c r="R18" i="13"/>
  <c r="S18" i="13"/>
  <c r="T18" i="13"/>
  <c r="I19" i="13"/>
  <c r="J19" i="13"/>
  <c r="K19" i="13"/>
  <c r="L19" i="13"/>
  <c r="M19" i="13"/>
  <c r="N19" i="13"/>
  <c r="O19" i="13"/>
  <c r="P19" i="13"/>
  <c r="Q19" i="13"/>
  <c r="R19" i="13"/>
  <c r="S19" i="13"/>
  <c r="T19" i="13"/>
  <c r="I20" i="13"/>
  <c r="J20" i="13"/>
  <c r="K20" i="13"/>
  <c r="L20" i="13"/>
  <c r="M20" i="13"/>
  <c r="N20" i="13"/>
  <c r="O20" i="13"/>
  <c r="P20" i="13"/>
  <c r="Q20" i="13"/>
  <c r="R20" i="13"/>
  <c r="S20" i="13"/>
  <c r="T20" i="13"/>
  <c r="I21" i="13"/>
  <c r="J21" i="13"/>
  <c r="K21" i="13"/>
  <c r="L21" i="13"/>
  <c r="M21" i="13"/>
  <c r="N21" i="13"/>
  <c r="O21" i="13"/>
  <c r="P21" i="13"/>
  <c r="Q21" i="13"/>
  <c r="R21" i="13"/>
  <c r="S21" i="13"/>
  <c r="T21" i="13"/>
  <c r="I22" i="13"/>
  <c r="J22" i="13"/>
  <c r="K22" i="13"/>
  <c r="L22" i="13"/>
  <c r="M22" i="13"/>
  <c r="N22" i="13"/>
  <c r="O22" i="13"/>
  <c r="P22" i="13"/>
  <c r="Q22" i="13"/>
  <c r="R22" i="13"/>
  <c r="S22" i="13"/>
  <c r="T22" i="13"/>
  <c r="S7" i="13"/>
  <c r="T7" i="13"/>
  <c r="K7" i="13"/>
  <c r="L7" i="13"/>
  <c r="M7" i="13"/>
  <c r="N7" i="13"/>
  <c r="O7" i="13"/>
  <c r="P7" i="13"/>
  <c r="Q7" i="13"/>
  <c r="R7" i="13"/>
  <c r="J7" i="13"/>
  <c r="I7" i="13"/>
  <c r="O6" i="66" l="1"/>
  <c r="O5" i="66"/>
  <c r="P6" i="74" l="1"/>
  <c r="P5" i="74"/>
  <c r="P6" i="66"/>
  <c r="P5" i="66"/>
  <c r="S164" i="68" l="1"/>
  <c r="S165" i="68"/>
  <c r="S166" i="68"/>
  <c r="S167" i="68"/>
  <c r="S168" i="68"/>
  <c r="S169" i="68"/>
  <c r="S170" i="68"/>
  <c r="S171" i="68"/>
  <c r="S172" i="68"/>
  <c r="S173" i="68"/>
  <c r="S174" i="68"/>
  <c r="S175" i="68"/>
  <c r="S176" i="68"/>
  <c r="S177" i="68"/>
  <c r="D17" i="59" l="1"/>
  <c r="D18" i="52" s="1"/>
  <c r="C17" i="59"/>
  <c r="C18" i="52" s="1"/>
  <c r="D12" i="59"/>
  <c r="C12" i="59"/>
  <c r="I35" i="59"/>
  <c r="I34" i="59"/>
  <c r="I33" i="59"/>
  <c r="I43" i="59"/>
  <c r="I42" i="59"/>
  <c r="D17" i="58"/>
  <c r="C17" i="58"/>
  <c r="D12" i="58"/>
  <c r="C12" i="58"/>
  <c r="I35" i="58"/>
  <c r="I34" i="58"/>
  <c r="I33" i="58"/>
  <c r="I43" i="58"/>
  <c r="E49" i="55"/>
  <c r="E50" i="54"/>
  <c r="J47" i="52" l="1"/>
  <c r="J46" i="52"/>
  <c r="J45" i="52"/>
  <c r="J12" i="8" l="1"/>
  <c r="X186" i="67" l="1"/>
  <c r="W186" i="67"/>
  <c r="Y186" i="67" s="1"/>
  <c r="U186" i="67"/>
  <c r="T186" i="67"/>
  <c r="V186" i="67" s="1"/>
  <c r="S186" i="67"/>
  <c r="X185" i="67"/>
  <c r="W185" i="67"/>
  <c r="Y185" i="67" s="1"/>
  <c r="U185" i="67"/>
  <c r="T185" i="67"/>
  <c r="V185" i="67" s="1"/>
  <c r="S185" i="67"/>
  <c r="X184" i="67"/>
  <c r="W184" i="67"/>
  <c r="Y184" i="67" s="1"/>
  <c r="U184" i="67"/>
  <c r="T184" i="67"/>
  <c r="V184" i="67" s="1"/>
  <c r="S184" i="67"/>
  <c r="X183" i="67"/>
  <c r="W183" i="67"/>
  <c r="Y183" i="67" s="1"/>
  <c r="U183" i="67"/>
  <c r="T183" i="67"/>
  <c r="V183" i="67" s="1"/>
  <c r="S183" i="67"/>
  <c r="X182" i="67"/>
  <c r="W182" i="67"/>
  <c r="Y182" i="67" s="1"/>
  <c r="U182" i="67"/>
  <c r="T182" i="67"/>
  <c r="V182" i="67" s="1"/>
  <c r="S182" i="67"/>
  <c r="X181" i="67"/>
  <c r="W181" i="67"/>
  <c r="Y181" i="67" s="1"/>
  <c r="U181" i="67"/>
  <c r="T181" i="67"/>
  <c r="V181" i="67" s="1"/>
  <c r="S181" i="67"/>
  <c r="X180" i="67"/>
  <c r="W180" i="67"/>
  <c r="Y180" i="67" s="1"/>
  <c r="U180" i="67"/>
  <c r="T180" i="67"/>
  <c r="V180" i="67" s="1"/>
  <c r="S180" i="67"/>
  <c r="X179" i="67"/>
  <c r="W179" i="67"/>
  <c r="Y179" i="67" s="1"/>
  <c r="U179" i="67"/>
  <c r="T179" i="67"/>
  <c r="V179" i="67" s="1"/>
  <c r="S179" i="67"/>
  <c r="X178" i="67"/>
  <c r="W178" i="67"/>
  <c r="Y178" i="67" s="1"/>
  <c r="U178" i="67"/>
  <c r="T178" i="67"/>
  <c r="V178" i="67" s="1"/>
  <c r="S178" i="67"/>
  <c r="X177" i="67"/>
  <c r="W177" i="67"/>
  <c r="Y177" i="67" s="1"/>
  <c r="U177" i="67"/>
  <c r="T177" i="67"/>
  <c r="V177" i="67" s="1"/>
  <c r="S177" i="67"/>
  <c r="X176" i="67"/>
  <c r="W176" i="67"/>
  <c r="Y176" i="67" s="1"/>
  <c r="U176" i="67"/>
  <c r="T176" i="67"/>
  <c r="V176" i="67" s="1"/>
  <c r="S176" i="67"/>
  <c r="X175" i="67"/>
  <c r="W175" i="67"/>
  <c r="Y175" i="67" s="1"/>
  <c r="U175" i="67"/>
  <c r="T175" i="67"/>
  <c r="V175" i="67" s="1"/>
  <c r="S175" i="67"/>
  <c r="X174" i="67"/>
  <c r="W174" i="67"/>
  <c r="Y174" i="67" s="1"/>
  <c r="U174" i="67"/>
  <c r="T174" i="67"/>
  <c r="V174" i="67" s="1"/>
  <c r="S174" i="67"/>
  <c r="X173" i="67"/>
  <c r="W173" i="67"/>
  <c r="Y173" i="67" s="1"/>
  <c r="U173" i="67"/>
  <c r="T173" i="67"/>
  <c r="V173" i="67" s="1"/>
  <c r="S173" i="67"/>
  <c r="X172" i="67"/>
  <c r="W172" i="67"/>
  <c r="Y172" i="67" s="1"/>
  <c r="U172" i="67"/>
  <c r="T172" i="67"/>
  <c r="V172" i="67" s="1"/>
  <c r="S172" i="67"/>
  <c r="X171" i="67"/>
  <c r="W171" i="67"/>
  <c r="Y171" i="67" s="1"/>
  <c r="U171" i="67"/>
  <c r="T171" i="67"/>
  <c r="V171" i="67" s="1"/>
  <c r="S171" i="67"/>
  <c r="X170" i="67"/>
  <c r="W170" i="67"/>
  <c r="Y170" i="67" s="1"/>
  <c r="U170" i="67"/>
  <c r="T170" i="67"/>
  <c r="V170" i="67" s="1"/>
  <c r="S170" i="67"/>
  <c r="X169" i="67"/>
  <c r="W169" i="67"/>
  <c r="Y169" i="67" s="1"/>
  <c r="U169" i="67"/>
  <c r="T169" i="67"/>
  <c r="V169" i="67" s="1"/>
  <c r="S169" i="67"/>
  <c r="X168" i="67"/>
  <c r="W168" i="67"/>
  <c r="Y168" i="67" s="1"/>
  <c r="U168" i="67"/>
  <c r="T168" i="67"/>
  <c r="V168" i="67" s="1"/>
  <c r="S168" i="67"/>
  <c r="X167" i="67"/>
  <c r="W167" i="67"/>
  <c r="Y167" i="67" s="1"/>
  <c r="U167" i="67"/>
  <c r="T167" i="67"/>
  <c r="V167" i="67" s="1"/>
  <c r="S167" i="67"/>
  <c r="X166" i="67"/>
  <c r="W166" i="67"/>
  <c r="Y166" i="67" s="1"/>
  <c r="U166" i="67"/>
  <c r="T166" i="67"/>
  <c r="V166" i="67" s="1"/>
  <c r="S166" i="67"/>
  <c r="X165" i="67"/>
  <c r="W165" i="67"/>
  <c r="Y165" i="67" s="1"/>
  <c r="U165" i="67"/>
  <c r="T165" i="67"/>
  <c r="V165" i="67" s="1"/>
  <c r="S165" i="67"/>
  <c r="X164" i="67"/>
  <c r="W164" i="67"/>
  <c r="Y164" i="67" s="1"/>
  <c r="U164" i="67"/>
  <c r="T164" i="67"/>
  <c r="V164" i="67" s="1"/>
  <c r="S164" i="67"/>
  <c r="X163" i="67"/>
  <c r="W163" i="67"/>
  <c r="Y163" i="67" s="1"/>
  <c r="U163" i="67"/>
  <c r="T163" i="67"/>
  <c r="V163" i="67" s="1"/>
  <c r="S163" i="67"/>
  <c r="X162" i="67"/>
  <c r="W162" i="67"/>
  <c r="Y162" i="67" s="1"/>
  <c r="U162" i="67"/>
  <c r="T162" i="67"/>
  <c r="V162" i="67" s="1"/>
  <c r="S162" i="67"/>
  <c r="X161" i="67"/>
  <c r="W161" i="67"/>
  <c r="Y161" i="67" s="1"/>
  <c r="U161" i="67"/>
  <c r="T161" i="67"/>
  <c r="V161" i="67" s="1"/>
  <c r="S161" i="67"/>
  <c r="X160" i="67"/>
  <c r="W160" i="67"/>
  <c r="Y160" i="67" s="1"/>
  <c r="U160" i="67"/>
  <c r="T160" i="67"/>
  <c r="V160" i="67" s="1"/>
  <c r="S160" i="67"/>
  <c r="X159" i="67"/>
  <c r="W159" i="67"/>
  <c r="Y159" i="67" s="1"/>
  <c r="U159" i="67"/>
  <c r="T159" i="67"/>
  <c r="V159" i="67" s="1"/>
  <c r="S159" i="67"/>
  <c r="X158" i="67"/>
  <c r="W158" i="67"/>
  <c r="Y158" i="67" s="1"/>
  <c r="U158" i="67"/>
  <c r="T158" i="67"/>
  <c r="V158" i="67" s="1"/>
  <c r="S158" i="67"/>
  <c r="X157" i="67"/>
  <c r="W157" i="67"/>
  <c r="Y157" i="67" s="1"/>
  <c r="U157" i="67"/>
  <c r="T157" i="67"/>
  <c r="V157" i="67" s="1"/>
  <c r="S157" i="67"/>
  <c r="X156" i="67"/>
  <c r="W156" i="67"/>
  <c r="Y156" i="67" s="1"/>
  <c r="U156" i="67"/>
  <c r="T156" i="67"/>
  <c r="V156" i="67" s="1"/>
  <c r="S156" i="67"/>
  <c r="X155" i="67"/>
  <c r="W155" i="67"/>
  <c r="Y155" i="67" s="1"/>
  <c r="U155" i="67"/>
  <c r="T155" i="67"/>
  <c r="V155" i="67" s="1"/>
  <c r="S155" i="67"/>
  <c r="X154" i="67"/>
  <c r="W154" i="67"/>
  <c r="Y154" i="67" s="1"/>
  <c r="U154" i="67"/>
  <c r="T154" i="67"/>
  <c r="V154" i="67" s="1"/>
  <c r="S154" i="67"/>
  <c r="X153" i="67"/>
  <c r="W153" i="67"/>
  <c r="Y153" i="67" s="1"/>
  <c r="U153" i="67"/>
  <c r="T153" i="67"/>
  <c r="V153" i="67" s="1"/>
  <c r="S153" i="67"/>
  <c r="X152" i="67"/>
  <c r="W152" i="67"/>
  <c r="Y152" i="67" s="1"/>
  <c r="U152" i="67"/>
  <c r="T152" i="67"/>
  <c r="V152" i="67" s="1"/>
  <c r="S152" i="67"/>
  <c r="X151" i="67"/>
  <c r="W151" i="67"/>
  <c r="Y151" i="67" s="1"/>
  <c r="U151" i="67"/>
  <c r="T151" i="67"/>
  <c r="V151" i="67" s="1"/>
  <c r="S151" i="67"/>
  <c r="J18" i="12"/>
  <c r="I18" i="12"/>
  <c r="J17" i="18"/>
  <c r="K17" i="18"/>
  <c r="L17" i="18"/>
  <c r="M17" i="18"/>
  <c r="N17" i="18"/>
  <c r="O17" i="18"/>
  <c r="P17" i="18"/>
  <c r="Q17" i="18"/>
  <c r="R17" i="18"/>
  <c r="S17" i="18"/>
  <c r="T17" i="18"/>
  <c r="I17" i="18"/>
  <c r="D12" i="79" l="1"/>
  <c r="E12" i="79"/>
  <c r="T48" i="77"/>
  <c r="U48" i="77"/>
  <c r="V48" i="77"/>
  <c r="W48" i="77"/>
  <c r="X48" i="77"/>
  <c r="Y48" i="77" s="1"/>
  <c r="T15" i="77"/>
  <c r="S48" i="77"/>
  <c r="W15" i="62"/>
  <c r="T15" i="62"/>
  <c r="W53" i="62"/>
  <c r="X53" i="62"/>
  <c r="Y53" i="62"/>
  <c r="T53" i="62"/>
  <c r="U53" i="62"/>
  <c r="V53" i="62"/>
  <c r="S53" i="62"/>
  <c r="E22" i="42" l="1"/>
  <c r="D22" i="42"/>
  <c r="E12" i="44"/>
  <c r="D12" i="44"/>
  <c r="E22" i="22"/>
  <c r="D22" i="22"/>
  <c r="AB19" i="37" l="1"/>
  <c r="AB20" i="37"/>
  <c r="AB21" i="37"/>
  <c r="AB22" i="37"/>
  <c r="AB23" i="37"/>
  <c r="AB24" i="37"/>
  <c r="AB25" i="37"/>
  <c r="AB26" i="37"/>
  <c r="AB27" i="37"/>
  <c r="AB28" i="37"/>
  <c r="AB29" i="37"/>
  <c r="AB30" i="37"/>
  <c r="AB31" i="37"/>
  <c r="AB32" i="37"/>
  <c r="AB33" i="37"/>
  <c r="AB34" i="37"/>
  <c r="AB35" i="37"/>
  <c r="AB36" i="37"/>
  <c r="AB37" i="37"/>
  <c r="AB38" i="37"/>
  <c r="AB39" i="37"/>
  <c r="AB40" i="37"/>
  <c r="AB41" i="37"/>
  <c r="AB42" i="37"/>
  <c r="AB43" i="37"/>
  <c r="AB44" i="37"/>
  <c r="AB45" i="37"/>
  <c r="AB46" i="37"/>
  <c r="AB47" i="37"/>
  <c r="AB48" i="37"/>
  <c r="AB49" i="37"/>
  <c r="AB50" i="37"/>
  <c r="AB51" i="37"/>
  <c r="AB52" i="37"/>
  <c r="AB53" i="37"/>
  <c r="AB54" i="37"/>
  <c r="AB55" i="37"/>
  <c r="AB56" i="37"/>
  <c r="AB18" i="37"/>
  <c r="S56" i="37"/>
  <c r="T56" i="37"/>
  <c r="S19" i="37"/>
  <c r="T19" i="37"/>
  <c r="S20" i="37"/>
  <c r="T20" i="37"/>
  <c r="S21" i="37"/>
  <c r="T21" i="37"/>
  <c r="S22" i="37"/>
  <c r="T22" i="37"/>
  <c r="S23" i="37"/>
  <c r="T23" i="37"/>
  <c r="S24" i="37"/>
  <c r="T24" i="37"/>
  <c r="S25" i="37"/>
  <c r="T25" i="37"/>
  <c r="S26" i="37"/>
  <c r="T26" i="37"/>
  <c r="S27" i="37"/>
  <c r="T27" i="37"/>
  <c r="S28" i="37"/>
  <c r="T28" i="37"/>
  <c r="S29" i="37"/>
  <c r="T29" i="37"/>
  <c r="S30" i="37"/>
  <c r="T30" i="37"/>
  <c r="S31" i="37"/>
  <c r="T31" i="37"/>
  <c r="S32" i="37"/>
  <c r="T32" i="37"/>
  <c r="S33" i="37"/>
  <c r="T33" i="37"/>
  <c r="S34" i="37"/>
  <c r="T34" i="37"/>
  <c r="S35" i="37"/>
  <c r="T35" i="37"/>
  <c r="S36" i="37"/>
  <c r="T36" i="37"/>
  <c r="S37" i="37"/>
  <c r="T37" i="37"/>
  <c r="S38" i="37"/>
  <c r="T38" i="37"/>
  <c r="S39" i="37"/>
  <c r="T39" i="37"/>
  <c r="S40" i="37"/>
  <c r="T40" i="37"/>
  <c r="S41" i="37"/>
  <c r="T41" i="37"/>
  <c r="S42" i="37"/>
  <c r="T42" i="37"/>
  <c r="S43" i="37"/>
  <c r="T43" i="37"/>
  <c r="S44" i="37"/>
  <c r="T44" i="37"/>
  <c r="S45" i="37"/>
  <c r="T45" i="37"/>
  <c r="S46" i="37"/>
  <c r="T46" i="37"/>
  <c r="S47" i="37"/>
  <c r="T47" i="37"/>
  <c r="S48" i="37"/>
  <c r="T48" i="37"/>
  <c r="S49" i="37"/>
  <c r="T49" i="37"/>
  <c r="S50" i="37"/>
  <c r="T50" i="37"/>
  <c r="S51" i="37"/>
  <c r="T51" i="37"/>
  <c r="S52" i="37"/>
  <c r="T52" i="37"/>
  <c r="S53" i="37"/>
  <c r="T53" i="37"/>
  <c r="S54" i="37"/>
  <c r="T54" i="37"/>
  <c r="S55" i="37"/>
  <c r="T55" i="37"/>
  <c r="S18" i="37"/>
  <c r="T18" i="37"/>
  <c r="S15" i="37"/>
  <c r="R18" i="37"/>
  <c r="R19" i="37"/>
  <c r="R20" i="37"/>
  <c r="R21" i="37"/>
  <c r="R22" i="37"/>
  <c r="R23" i="37"/>
  <c r="R24" i="37"/>
  <c r="R25" i="37"/>
  <c r="R26" i="37"/>
  <c r="R27" i="37"/>
  <c r="R28" i="37"/>
  <c r="R29" i="37"/>
  <c r="R30" i="37"/>
  <c r="R31" i="37"/>
  <c r="R32" i="37"/>
  <c r="R33" i="37"/>
  <c r="R34" i="37"/>
  <c r="R35" i="37"/>
  <c r="R36" i="37"/>
  <c r="R37" i="37"/>
  <c r="R38" i="37"/>
  <c r="R39" i="37"/>
  <c r="R40" i="37"/>
  <c r="R41" i="37"/>
  <c r="R42" i="37"/>
  <c r="R43" i="37"/>
  <c r="R44" i="37"/>
  <c r="R45" i="37"/>
  <c r="R46" i="37"/>
  <c r="R47" i="37"/>
  <c r="R48" i="37"/>
  <c r="R49" i="37"/>
  <c r="R50" i="37"/>
  <c r="R51" i="37"/>
  <c r="R52" i="37"/>
  <c r="R53" i="37"/>
  <c r="R54" i="37"/>
  <c r="R55" i="37"/>
  <c r="R56" i="37"/>
  <c r="R17" i="37"/>
  <c r="E19" i="37"/>
  <c r="D19" i="37"/>
  <c r="E18" i="37"/>
  <c r="D18" i="37"/>
  <c r="E17" i="37"/>
  <c r="D17" i="37"/>
  <c r="E16" i="37"/>
  <c r="D16" i="37"/>
  <c r="AB15" i="19"/>
  <c r="E19" i="19"/>
  <c r="E18" i="19"/>
  <c r="E17" i="19"/>
  <c r="E16" i="19"/>
  <c r="J88" i="15" l="1"/>
  <c r="K88" i="15"/>
  <c r="L88" i="15"/>
  <c r="M88" i="15"/>
  <c r="N88" i="15"/>
  <c r="O88" i="15"/>
  <c r="P88" i="15"/>
  <c r="Q88" i="15"/>
  <c r="S88" i="15"/>
  <c r="I88" i="15"/>
  <c r="Q27" i="17" l="1"/>
  <c r="I27" i="17"/>
  <c r="E20" i="114" l="1"/>
  <c r="E19" i="114"/>
  <c r="E18" i="114"/>
  <c r="E17" i="114"/>
  <c r="E16" i="114"/>
  <c r="E16" i="105"/>
  <c r="F17" i="104"/>
  <c r="F18" i="104"/>
  <c r="F19" i="104"/>
  <c r="F20" i="104"/>
  <c r="F21" i="104"/>
  <c r="E16" i="90"/>
  <c r="E20" i="89"/>
  <c r="E19" i="89"/>
  <c r="E18" i="89"/>
  <c r="E17" i="89"/>
  <c r="E16" i="89"/>
  <c r="E31" i="99"/>
  <c r="D31" i="99"/>
  <c r="E30" i="99"/>
  <c r="D30" i="99"/>
  <c r="E20" i="99"/>
  <c r="E19" i="99"/>
  <c r="E18" i="99"/>
  <c r="E17" i="99"/>
  <c r="E16" i="99"/>
  <c r="D35" i="54" l="1"/>
  <c r="C35" i="54"/>
  <c r="D43" i="53"/>
  <c r="C43" i="53"/>
  <c r="D37" i="71"/>
  <c r="C37" i="71"/>
  <c r="C17" i="55"/>
  <c r="C35" i="55" s="1"/>
  <c r="E44" i="55"/>
  <c r="D44" i="55"/>
  <c r="C44" i="55"/>
  <c r="G40" i="12" l="1"/>
  <c r="B16" i="126" l="1"/>
  <c r="B16" i="120"/>
  <c r="C19" i="52" l="1"/>
  <c r="D28" i="19"/>
  <c r="E16" i="127" l="1"/>
  <c r="D16" i="127"/>
  <c r="E16" i="122"/>
  <c r="D16" i="122"/>
  <c r="E16" i="111"/>
  <c r="D16" i="111"/>
  <c r="D15" i="98"/>
  <c r="E16" i="96"/>
  <c r="D16" i="96"/>
  <c r="E16" i="55"/>
  <c r="E15" i="55"/>
  <c r="E14" i="54"/>
  <c r="D19" i="19"/>
  <c r="D18" i="19"/>
  <c r="D17" i="19"/>
  <c r="D16" i="19"/>
  <c r="J70" i="15" l="1"/>
  <c r="L70" i="15"/>
  <c r="M70" i="15"/>
  <c r="N70" i="15"/>
  <c r="O70" i="15"/>
  <c r="P70" i="15"/>
  <c r="Q70" i="15"/>
  <c r="R70" i="15"/>
  <c r="L27" i="17" l="1"/>
  <c r="M27" i="17"/>
  <c r="O27" i="17"/>
  <c r="R27" i="17"/>
  <c r="T27" i="17"/>
  <c r="I26" i="11" s="1"/>
  <c r="J56" i="17"/>
  <c r="L56" i="17"/>
  <c r="M56" i="17"/>
  <c r="O56" i="17"/>
  <c r="P56" i="17"/>
  <c r="Q56" i="17"/>
  <c r="R56" i="17"/>
  <c r="J65" i="15"/>
  <c r="L65" i="15"/>
  <c r="M65" i="15"/>
  <c r="O65" i="15"/>
  <c r="P65" i="15"/>
  <c r="Q65" i="15"/>
  <c r="R65" i="15"/>
  <c r="J65" i="14"/>
  <c r="L65" i="14"/>
  <c r="M65" i="14"/>
  <c r="O65" i="14"/>
  <c r="P65" i="14"/>
  <c r="Q65" i="14"/>
  <c r="R65" i="14"/>
  <c r="B21" i="51" l="1"/>
  <c r="B20" i="34"/>
  <c r="J32" i="15" l="1"/>
  <c r="K32" i="15"/>
  <c r="L32" i="15"/>
  <c r="M32" i="15"/>
  <c r="O32" i="15"/>
  <c r="P32" i="15"/>
  <c r="Q32" i="15"/>
  <c r="R32" i="15"/>
  <c r="T32" i="15"/>
  <c r="I32" i="15"/>
  <c r="J32" i="14"/>
  <c r="K32" i="14"/>
  <c r="L32" i="14"/>
  <c r="M32" i="14"/>
  <c r="O32" i="14"/>
  <c r="P32" i="14"/>
  <c r="Q32" i="14"/>
  <c r="R32" i="14"/>
  <c r="T32" i="14"/>
  <c r="I32" i="14"/>
  <c r="E47" i="56"/>
  <c r="E49" i="56" s="1"/>
  <c r="E16" i="56"/>
  <c r="E15" i="56"/>
  <c r="D49" i="56"/>
  <c r="C49" i="56"/>
  <c r="E48" i="56"/>
  <c r="D42" i="56"/>
  <c r="E42" i="56" s="1"/>
  <c r="C42" i="56"/>
  <c r="E41" i="56"/>
  <c r="E40" i="56"/>
  <c r="E39" i="56"/>
  <c r="E38" i="56"/>
  <c r="E35" i="56"/>
  <c r="E33" i="56"/>
  <c r="E31" i="56"/>
  <c r="E30" i="56"/>
  <c r="E29" i="56"/>
  <c r="E26" i="56"/>
  <c r="E24" i="56"/>
  <c r="E23" i="56"/>
  <c r="E22" i="56"/>
  <c r="E21" i="56"/>
  <c r="E20" i="56"/>
  <c r="E19" i="56"/>
  <c r="E17" i="56"/>
  <c r="D17" i="56"/>
  <c r="C17" i="56"/>
  <c r="D12" i="56"/>
  <c r="C12" i="56"/>
  <c r="C44" i="56" s="1"/>
  <c r="E11" i="56"/>
  <c r="E10" i="56"/>
  <c r="S6" i="56"/>
  <c r="O6" i="56"/>
  <c r="N6" i="56"/>
  <c r="M6" i="56"/>
  <c r="N32" i="15" s="1"/>
  <c r="L6" i="56"/>
  <c r="K6" i="56"/>
  <c r="J6" i="56"/>
  <c r="I6" i="56"/>
  <c r="H6" i="56"/>
  <c r="S5" i="56"/>
  <c r="S7" i="56" s="1"/>
  <c r="P5" i="56"/>
  <c r="O5" i="56"/>
  <c r="O7" i="56" s="1"/>
  <c r="N5" i="56"/>
  <c r="N7" i="56" s="1"/>
  <c r="M5" i="56"/>
  <c r="N32" i="14" s="1"/>
  <c r="L5" i="56"/>
  <c r="L7" i="56" s="1"/>
  <c r="K5" i="56"/>
  <c r="K7" i="56" s="1"/>
  <c r="J5" i="56"/>
  <c r="J7" i="56" s="1"/>
  <c r="I5" i="56"/>
  <c r="I7" i="56" s="1"/>
  <c r="H5" i="56"/>
  <c r="H7" i="56" s="1"/>
  <c r="M7" i="56" l="1"/>
  <c r="D44" i="56"/>
  <c r="E44" i="56" s="1"/>
  <c r="E12" i="56"/>
  <c r="R5" i="56"/>
  <c r="S32" i="14" s="1"/>
  <c r="P6" i="56"/>
  <c r="P7" i="56" s="1"/>
  <c r="I5" i="70"/>
  <c r="H5" i="70"/>
  <c r="C15" i="70"/>
  <c r="J35" i="15"/>
  <c r="L35" i="15"/>
  <c r="M35" i="15"/>
  <c r="N35" i="15"/>
  <c r="O35" i="15"/>
  <c r="P35" i="15"/>
  <c r="Q35" i="15"/>
  <c r="R35" i="15"/>
  <c r="T35" i="15"/>
  <c r="J35" i="14"/>
  <c r="L35" i="14"/>
  <c r="M35" i="14"/>
  <c r="N35" i="14"/>
  <c r="N36" i="13" s="1"/>
  <c r="O35" i="14"/>
  <c r="P35" i="14"/>
  <c r="P36" i="13" s="1"/>
  <c r="R35" i="14"/>
  <c r="T35" i="14"/>
  <c r="T36" i="13" s="1"/>
  <c r="E11" i="58"/>
  <c r="E11" i="59"/>
  <c r="E45" i="59"/>
  <c r="E37" i="59"/>
  <c r="D37" i="59" s="1"/>
  <c r="J6" i="59" s="1"/>
  <c r="K35" i="15" s="1"/>
  <c r="C37" i="59"/>
  <c r="E18" i="59"/>
  <c r="E17" i="59"/>
  <c r="E16" i="59"/>
  <c r="D15" i="59"/>
  <c r="C15" i="59"/>
  <c r="D13" i="59"/>
  <c r="D40" i="59" s="1"/>
  <c r="C13" i="59"/>
  <c r="E12" i="59"/>
  <c r="O7" i="59"/>
  <c r="M7" i="59"/>
  <c r="S6" i="59"/>
  <c r="P6" i="59"/>
  <c r="O6" i="59"/>
  <c r="N6" i="59"/>
  <c r="L6" i="59"/>
  <c r="K6" i="59"/>
  <c r="I6" i="59"/>
  <c r="H6" i="59"/>
  <c r="R6" i="59" s="1"/>
  <c r="S35" i="15" s="1"/>
  <c r="S5" i="59"/>
  <c r="S7" i="59" s="1"/>
  <c r="O5" i="59"/>
  <c r="N5" i="59"/>
  <c r="N7" i="59" s="1"/>
  <c r="L5" i="59"/>
  <c r="L7" i="59" s="1"/>
  <c r="K5" i="59"/>
  <c r="K7" i="59" s="1"/>
  <c r="J5" i="59"/>
  <c r="J7" i="59" s="1"/>
  <c r="I5" i="59"/>
  <c r="I7" i="59" s="1"/>
  <c r="R34" i="15"/>
  <c r="R34" i="14"/>
  <c r="R35" i="13" s="1"/>
  <c r="S6" i="54"/>
  <c r="S5" i="54"/>
  <c r="L36" i="13" l="1"/>
  <c r="R36" i="13"/>
  <c r="O36" i="13"/>
  <c r="M36" i="13"/>
  <c r="J36" i="13"/>
  <c r="C40" i="59"/>
  <c r="K35" i="14"/>
  <c r="I35" i="15"/>
  <c r="R6" i="56"/>
  <c r="E15" i="59"/>
  <c r="H5" i="59"/>
  <c r="P5" i="59"/>
  <c r="E13" i="59"/>
  <c r="E43" i="55"/>
  <c r="E42" i="55"/>
  <c r="E41" i="55"/>
  <c r="E40" i="55"/>
  <c r="E39" i="55"/>
  <c r="E38" i="55"/>
  <c r="E24" i="55"/>
  <c r="D17" i="55"/>
  <c r="D48" i="69"/>
  <c r="C48" i="69"/>
  <c r="E39" i="69"/>
  <c r="D33" i="69"/>
  <c r="C33" i="69"/>
  <c r="E30" i="69"/>
  <c r="E26" i="69"/>
  <c r="D26" i="69"/>
  <c r="C26" i="69"/>
  <c r="E20" i="69"/>
  <c r="N6" i="54"/>
  <c r="N5" i="54"/>
  <c r="E37" i="54"/>
  <c r="M6" i="54"/>
  <c r="M5" i="54"/>
  <c r="L6" i="54"/>
  <c r="L5" i="54"/>
  <c r="H6" i="54"/>
  <c r="H5" i="54"/>
  <c r="E18" i="54"/>
  <c r="K36" i="13" l="1"/>
  <c r="E40" i="59"/>
  <c r="P7" i="59"/>
  <c r="Q35" i="14"/>
  <c r="R5" i="59"/>
  <c r="R7" i="59" s="1"/>
  <c r="R7" i="56"/>
  <c r="S32" i="15"/>
  <c r="E17" i="55"/>
  <c r="D35" i="55"/>
  <c r="H7" i="59"/>
  <c r="I35" i="14"/>
  <c r="I36" i="13" s="1"/>
  <c r="P6" i="70"/>
  <c r="P5" i="70"/>
  <c r="C32" i="70"/>
  <c r="E25" i="70"/>
  <c r="C25" i="70"/>
  <c r="D25" i="70"/>
  <c r="E13" i="70"/>
  <c r="D13" i="70"/>
  <c r="C13" i="70"/>
  <c r="D33" i="71"/>
  <c r="C33" i="71"/>
  <c r="E30" i="71"/>
  <c r="D16" i="71"/>
  <c r="C16" i="71"/>
  <c r="D26" i="71"/>
  <c r="C26" i="71"/>
  <c r="E19" i="53"/>
  <c r="E45" i="70"/>
  <c r="D45" i="70"/>
  <c r="C45" i="70"/>
  <c r="E32" i="70"/>
  <c r="D32" i="70"/>
  <c r="D15" i="70"/>
  <c r="E38" i="70"/>
  <c r="E29" i="70"/>
  <c r="E19" i="70"/>
  <c r="Q36" i="13" l="1"/>
  <c r="S35" i="14"/>
  <c r="E16" i="71"/>
  <c r="E15" i="70"/>
  <c r="S36" i="13" l="1"/>
  <c r="J29" i="18"/>
  <c r="L29" i="18"/>
  <c r="M29" i="18"/>
  <c r="N29" i="18"/>
  <c r="O29" i="18"/>
  <c r="P29" i="18"/>
  <c r="Q29" i="18"/>
  <c r="R29" i="18"/>
  <c r="R27" i="18" s="1"/>
  <c r="J29" i="17"/>
  <c r="L29" i="17"/>
  <c r="M29" i="17"/>
  <c r="O29" i="17"/>
  <c r="P29" i="17"/>
  <c r="Q29" i="17"/>
  <c r="R29" i="17"/>
  <c r="L33" i="15"/>
  <c r="M33" i="15"/>
  <c r="O33" i="15"/>
  <c r="P33" i="15"/>
  <c r="Q33" i="15"/>
  <c r="R33" i="15"/>
  <c r="R30" i="15" s="1"/>
  <c r="L33" i="14"/>
  <c r="M33" i="14"/>
  <c r="O33" i="14"/>
  <c r="P33" i="14"/>
  <c r="Q33" i="14"/>
  <c r="R33" i="14"/>
  <c r="R30" i="14" s="1"/>
  <c r="F60" i="72"/>
  <c r="F59" i="72"/>
  <c r="F58" i="72"/>
  <c r="E58" i="72"/>
  <c r="D58" i="72"/>
  <c r="F56" i="72"/>
  <c r="F55" i="72"/>
  <c r="F54" i="72"/>
  <c r="F53" i="72"/>
  <c r="E52" i="72"/>
  <c r="D52" i="72"/>
  <c r="F52" i="72" s="1"/>
  <c r="F50" i="72"/>
  <c r="F49" i="72"/>
  <c r="F48" i="72"/>
  <c r="E46" i="72"/>
  <c r="M6" i="72" s="1"/>
  <c r="F47" i="72"/>
  <c r="D46" i="72"/>
  <c r="F46" i="72" s="1"/>
  <c r="F44" i="72"/>
  <c r="F43" i="72"/>
  <c r="F42" i="72"/>
  <c r="F41" i="72"/>
  <c r="E40" i="72"/>
  <c r="D40" i="72"/>
  <c r="F40" i="72" s="1"/>
  <c r="F32" i="72"/>
  <c r="F31" i="72"/>
  <c r="D30" i="72"/>
  <c r="F25" i="72"/>
  <c r="F24" i="72"/>
  <c r="F23" i="72"/>
  <c r="F22" i="72"/>
  <c r="F21" i="72" s="1"/>
  <c r="E21" i="72"/>
  <c r="E30" i="72" s="1"/>
  <c r="D21" i="72"/>
  <c r="B20" i="72"/>
  <c r="F19" i="72"/>
  <c r="F18" i="72"/>
  <c r="F17" i="72"/>
  <c r="F16" i="72"/>
  <c r="F15" i="72" s="1"/>
  <c r="E15" i="72"/>
  <c r="E29" i="72" s="1"/>
  <c r="D15" i="72"/>
  <c r="D29" i="72" s="1"/>
  <c r="P7" i="72"/>
  <c r="O6" i="72"/>
  <c r="N6" i="72"/>
  <c r="L6" i="72"/>
  <c r="K6" i="72"/>
  <c r="I6" i="72"/>
  <c r="O5" i="72"/>
  <c r="O7" i="72" s="1"/>
  <c r="N5" i="72"/>
  <c r="N7" i="72" s="1"/>
  <c r="L5" i="72"/>
  <c r="L7" i="72" s="1"/>
  <c r="K5" i="72"/>
  <c r="K7" i="72" s="1"/>
  <c r="I5" i="72"/>
  <c r="I7" i="72" s="1"/>
  <c r="E46" i="57"/>
  <c r="M6" i="57" s="1"/>
  <c r="N33" i="15" s="1"/>
  <c r="F59" i="57"/>
  <c r="E58" i="57"/>
  <c r="D58" i="57"/>
  <c r="F58" i="57" s="1"/>
  <c r="F54" i="57"/>
  <c r="F53" i="57"/>
  <c r="E52" i="57"/>
  <c r="D52" i="57"/>
  <c r="F52" i="57" s="1"/>
  <c r="F48" i="57"/>
  <c r="D46" i="57"/>
  <c r="F41" i="57"/>
  <c r="E40" i="57"/>
  <c r="L6" i="57" s="1"/>
  <c r="D40" i="57"/>
  <c r="F40" i="57" s="1"/>
  <c r="F34" i="57"/>
  <c r="E21" i="57"/>
  <c r="E30" i="57" s="1"/>
  <c r="D21" i="57"/>
  <c r="B20" i="57"/>
  <c r="F19" i="57"/>
  <c r="F18" i="57"/>
  <c r="F17" i="57"/>
  <c r="F16" i="57"/>
  <c r="E15" i="57"/>
  <c r="D15" i="57"/>
  <c r="D29" i="57" s="1"/>
  <c r="P7" i="57"/>
  <c r="O6" i="57"/>
  <c r="N6" i="57"/>
  <c r="K6" i="57"/>
  <c r="O5" i="57"/>
  <c r="O7" i="57" s="1"/>
  <c r="N5" i="57"/>
  <c r="N7" i="57" s="1"/>
  <c r="L5" i="57"/>
  <c r="K5" i="57"/>
  <c r="K7" i="57" s="1"/>
  <c r="I5" i="57"/>
  <c r="I6" i="57" l="1"/>
  <c r="J33" i="15" s="1"/>
  <c r="F21" i="57"/>
  <c r="I7" i="57"/>
  <c r="J33" i="14"/>
  <c r="D30" i="57"/>
  <c r="H5" i="57"/>
  <c r="I33" i="14" s="1"/>
  <c r="M5" i="72"/>
  <c r="N29" i="17" s="1"/>
  <c r="H5" i="72"/>
  <c r="I29" i="17" s="1"/>
  <c r="M7" i="72"/>
  <c r="E27" i="72"/>
  <c r="J6" i="72" s="1"/>
  <c r="K29" i="18" s="1"/>
  <c r="F30" i="72"/>
  <c r="D27" i="72"/>
  <c r="F29" i="72"/>
  <c r="F27" i="72" s="1"/>
  <c r="H6" i="72"/>
  <c r="D27" i="57"/>
  <c r="L7" i="57"/>
  <c r="F46" i="57"/>
  <c r="M5" i="57"/>
  <c r="E29" i="57"/>
  <c r="E27" i="57" s="1"/>
  <c r="J6" i="57" s="1"/>
  <c r="K33" i="15" s="1"/>
  <c r="F47" i="57"/>
  <c r="H6" i="57"/>
  <c r="F15" i="57"/>
  <c r="R6" i="72" l="1"/>
  <c r="S29" i="18" s="1"/>
  <c r="I29" i="18"/>
  <c r="M7" i="57"/>
  <c r="N33" i="14"/>
  <c r="R6" i="57"/>
  <c r="S33" i="15" s="1"/>
  <c r="I33" i="15"/>
  <c r="D12" i="72"/>
  <c r="J5" i="72"/>
  <c r="K29" i="17" s="1"/>
  <c r="H7" i="72"/>
  <c r="E12" i="72"/>
  <c r="H7" i="57"/>
  <c r="F29" i="57"/>
  <c r="F27" i="57" s="1"/>
  <c r="E12" i="57"/>
  <c r="D12" i="57"/>
  <c r="J5" i="57"/>
  <c r="K33" i="14" s="1"/>
  <c r="F12" i="72" l="1"/>
  <c r="J7" i="72"/>
  <c r="R5" i="72"/>
  <c r="J7" i="57"/>
  <c r="R5" i="57"/>
  <c r="F12" i="57"/>
  <c r="R7" i="72" l="1"/>
  <c r="S29" i="17"/>
  <c r="R7" i="57"/>
  <c r="S33" i="14"/>
  <c r="F25" i="19" l="1"/>
  <c r="F24" i="19"/>
  <c r="F23" i="19"/>
  <c r="F22" i="19"/>
  <c r="D21" i="19"/>
  <c r="F21" i="19" l="1"/>
  <c r="E21" i="19"/>
  <c r="E64" i="44" l="1"/>
  <c r="P6" i="37"/>
  <c r="P5" i="37"/>
  <c r="E70" i="37"/>
  <c r="D70" i="37"/>
  <c r="AB15" i="37"/>
  <c r="AA15" i="37"/>
  <c r="Z15" i="37"/>
  <c r="X15" i="37"/>
  <c r="W15" i="37"/>
  <c r="V15" i="37"/>
  <c r="U15" i="37"/>
  <c r="T15" i="37"/>
  <c r="L15" i="37"/>
  <c r="M15" i="37"/>
  <c r="F25" i="37"/>
  <c r="F24" i="37"/>
  <c r="F23" i="37"/>
  <c r="F22" i="37"/>
  <c r="E21" i="37"/>
  <c r="D21" i="37"/>
  <c r="M15" i="25"/>
  <c r="M15" i="27"/>
  <c r="L15" i="27"/>
  <c r="O15" i="44"/>
  <c r="M15" i="26"/>
  <c r="M15" i="28"/>
  <c r="M15" i="31"/>
  <c r="M15" i="41"/>
  <c r="M15" i="42"/>
  <c r="M15" i="43"/>
  <c r="M15" i="44"/>
  <c r="L15" i="44"/>
  <c r="M15" i="46"/>
  <c r="L15" i="46"/>
  <c r="M15" i="47"/>
  <c r="M15" i="50"/>
  <c r="L15" i="50"/>
  <c r="M15" i="51"/>
  <c r="M15" i="61"/>
  <c r="L15" i="61"/>
  <c r="M15" i="62"/>
  <c r="M15" i="64"/>
  <c r="L15" i="64"/>
  <c r="M15" i="68"/>
  <c r="M15" i="76"/>
  <c r="M15" i="77"/>
  <c r="M15" i="79"/>
  <c r="L15" i="79"/>
  <c r="M15" i="82"/>
  <c r="M15" i="83"/>
  <c r="L15" i="83"/>
  <c r="M15" i="75"/>
  <c r="M15" i="74"/>
  <c r="M15" i="23"/>
  <c r="J36" i="17"/>
  <c r="M36" i="17"/>
  <c r="N36" i="17"/>
  <c r="O36" i="17"/>
  <c r="P36" i="17"/>
  <c r="R36" i="17"/>
  <c r="J35" i="17"/>
  <c r="L35" i="17"/>
  <c r="M35" i="17"/>
  <c r="N35" i="17"/>
  <c r="O35" i="17"/>
  <c r="P35" i="17"/>
  <c r="R35" i="17"/>
  <c r="J36" i="18"/>
  <c r="M36" i="18"/>
  <c r="N36" i="18"/>
  <c r="O36" i="18"/>
  <c r="P36" i="18"/>
  <c r="R36" i="18"/>
  <c r="L35" i="18"/>
  <c r="M35" i="18"/>
  <c r="N35" i="18"/>
  <c r="O35" i="18"/>
  <c r="P35" i="18"/>
  <c r="R35" i="18"/>
  <c r="J35" i="18"/>
  <c r="X65" i="75"/>
  <c r="W65" i="75"/>
  <c r="Y65" i="75" s="1"/>
  <c r="U65" i="75"/>
  <c r="T65" i="75"/>
  <c r="V65" i="75" s="1"/>
  <c r="S65" i="75"/>
  <c r="X64" i="75"/>
  <c r="Y64" i="75" s="1"/>
  <c r="W64" i="75"/>
  <c r="V64" i="75"/>
  <c r="U64" i="75"/>
  <c r="T64" i="75"/>
  <c r="S64" i="75"/>
  <c r="X63" i="75"/>
  <c r="W63" i="75"/>
  <c r="Y63" i="75" s="1"/>
  <c r="U63" i="75"/>
  <c r="T63" i="75"/>
  <c r="V63" i="75" s="1"/>
  <c r="S63" i="75"/>
  <c r="X62" i="75"/>
  <c r="W62" i="75"/>
  <c r="Y62" i="75" s="1"/>
  <c r="U62" i="75"/>
  <c r="T62" i="75"/>
  <c r="V62" i="75" s="1"/>
  <c r="S62" i="75"/>
  <c r="F62" i="75"/>
  <c r="X61" i="75"/>
  <c r="W61" i="75"/>
  <c r="Y61" i="75" s="1"/>
  <c r="V61" i="75"/>
  <c r="U61" i="75"/>
  <c r="T61" i="75"/>
  <c r="S61" i="75"/>
  <c r="F61" i="75"/>
  <c r="X60" i="75"/>
  <c r="W60" i="75"/>
  <c r="Y60" i="75" s="1"/>
  <c r="V60" i="75"/>
  <c r="U60" i="75"/>
  <c r="T60" i="75"/>
  <c r="S60" i="75"/>
  <c r="F60" i="75"/>
  <c r="X59" i="75"/>
  <c r="W59" i="75"/>
  <c r="Y59" i="75" s="1"/>
  <c r="V59" i="75"/>
  <c r="U59" i="75"/>
  <c r="T59" i="75"/>
  <c r="S59" i="75"/>
  <c r="F59" i="75"/>
  <c r="X58" i="75"/>
  <c r="W58" i="75"/>
  <c r="Y58" i="75" s="1"/>
  <c r="V58" i="75"/>
  <c r="U58" i="75"/>
  <c r="T58" i="75"/>
  <c r="S58" i="75"/>
  <c r="E58" i="75"/>
  <c r="O6" i="75" s="1"/>
  <c r="D58" i="75"/>
  <c r="O5" i="75" s="1"/>
  <c r="O7" i="75" s="1"/>
  <c r="Y57" i="75"/>
  <c r="X57" i="75"/>
  <c r="W57" i="75"/>
  <c r="U57" i="75"/>
  <c r="T57" i="75"/>
  <c r="V57" i="75" s="1"/>
  <c r="S57" i="75"/>
  <c r="X56" i="75"/>
  <c r="W56" i="75"/>
  <c r="Y56" i="75" s="1"/>
  <c r="U56" i="75"/>
  <c r="T56" i="75"/>
  <c r="V56" i="75" s="1"/>
  <c r="S56" i="75"/>
  <c r="F56" i="75"/>
  <c r="X55" i="75"/>
  <c r="W55" i="75"/>
  <c r="Y55" i="75" s="1"/>
  <c r="U55" i="75"/>
  <c r="T55" i="75"/>
  <c r="V55" i="75" s="1"/>
  <c r="S55" i="75"/>
  <c r="F55" i="75"/>
  <c r="X54" i="75"/>
  <c r="W54" i="75"/>
  <c r="Y54" i="75" s="1"/>
  <c r="U54" i="75"/>
  <c r="T54" i="75"/>
  <c r="V54" i="75" s="1"/>
  <c r="S54" i="75"/>
  <c r="F54" i="75"/>
  <c r="X53" i="75"/>
  <c r="W53" i="75"/>
  <c r="Y53" i="75" s="1"/>
  <c r="U53" i="75"/>
  <c r="T53" i="75"/>
  <c r="V53" i="75" s="1"/>
  <c r="S53" i="75"/>
  <c r="F53" i="75"/>
  <c r="X52" i="75"/>
  <c r="W52" i="75"/>
  <c r="Y52" i="75" s="1"/>
  <c r="U52" i="75"/>
  <c r="T52" i="75"/>
  <c r="V52" i="75" s="1"/>
  <c r="S52" i="75"/>
  <c r="E52" i="75"/>
  <c r="N6" i="75" s="1"/>
  <c r="D52" i="75"/>
  <c r="Y51" i="75"/>
  <c r="X51" i="75"/>
  <c r="W51" i="75"/>
  <c r="V51" i="75"/>
  <c r="U51" i="75"/>
  <c r="T51" i="75"/>
  <c r="S51" i="75"/>
  <c r="Y50" i="75"/>
  <c r="X50" i="75"/>
  <c r="W50" i="75"/>
  <c r="U50" i="75"/>
  <c r="T50" i="75"/>
  <c r="V50" i="75" s="1"/>
  <c r="S50" i="75"/>
  <c r="F50" i="75"/>
  <c r="Y49" i="75"/>
  <c r="X49" i="75"/>
  <c r="W49" i="75"/>
  <c r="U49" i="75"/>
  <c r="T49" i="75"/>
  <c r="V49" i="75" s="1"/>
  <c r="S49" i="75"/>
  <c r="F49" i="75"/>
  <c r="Y48" i="75"/>
  <c r="X48" i="75"/>
  <c r="W48" i="75"/>
  <c r="U48" i="75"/>
  <c r="T48" i="75"/>
  <c r="V48" i="75" s="1"/>
  <c r="S48" i="75"/>
  <c r="F48" i="75"/>
  <c r="Y47" i="75"/>
  <c r="X47" i="75"/>
  <c r="W47" i="75"/>
  <c r="U47" i="75"/>
  <c r="T47" i="75"/>
  <c r="V47" i="75" s="1"/>
  <c r="S47" i="75"/>
  <c r="F47" i="75"/>
  <c r="Y46" i="75"/>
  <c r="X46" i="75"/>
  <c r="W46" i="75"/>
  <c r="U46" i="75"/>
  <c r="T46" i="75"/>
  <c r="V46" i="75" s="1"/>
  <c r="S46" i="75"/>
  <c r="E46" i="75"/>
  <c r="M6" i="75" s="1"/>
  <c r="D46" i="75"/>
  <c r="F46" i="75" s="1"/>
  <c r="X45" i="75"/>
  <c r="W45" i="75"/>
  <c r="Y45" i="75" s="1"/>
  <c r="U45" i="75"/>
  <c r="T45" i="75"/>
  <c r="V45" i="75" s="1"/>
  <c r="S45" i="75"/>
  <c r="Y44" i="75"/>
  <c r="X44" i="75"/>
  <c r="W44" i="75"/>
  <c r="V44" i="75"/>
  <c r="U44" i="75"/>
  <c r="T44" i="75"/>
  <c r="S44" i="75"/>
  <c r="F44" i="75"/>
  <c r="Y43" i="75"/>
  <c r="X43" i="75"/>
  <c r="W43" i="75"/>
  <c r="V43" i="75"/>
  <c r="U43" i="75"/>
  <c r="T43" i="75"/>
  <c r="S43" i="75"/>
  <c r="F43" i="75"/>
  <c r="Y42" i="75"/>
  <c r="X42" i="75"/>
  <c r="W42" i="75"/>
  <c r="V42" i="75"/>
  <c r="U42" i="75"/>
  <c r="T42" i="75"/>
  <c r="S42" i="75"/>
  <c r="F42" i="75"/>
  <c r="Y41" i="75"/>
  <c r="X41" i="75"/>
  <c r="W41" i="75"/>
  <c r="V41" i="75"/>
  <c r="U41" i="75"/>
  <c r="T41" i="75"/>
  <c r="S41" i="75"/>
  <c r="F41" i="75"/>
  <c r="Y40" i="75"/>
  <c r="X40" i="75"/>
  <c r="W40" i="75"/>
  <c r="V40" i="75"/>
  <c r="U40" i="75"/>
  <c r="T40" i="75"/>
  <c r="S40" i="75"/>
  <c r="F40" i="75"/>
  <c r="E40" i="75"/>
  <c r="D40" i="75"/>
  <c r="X39" i="75"/>
  <c r="W39" i="75"/>
  <c r="Y39" i="75" s="1"/>
  <c r="U39" i="75"/>
  <c r="T39" i="75"/>
  <c r="V39" i="75" s="1"/>
  <c r="S39" i="75"/>
  <c r="X38" i="75"/>
  <c r="W38" i="75"/>
  <c r="Y38" i="75" s="1"/>
  <c r="V38" i="75"/>
  <c r="U38" i="75"/>
  <c r="T38" i="75"/>
  <c r="S38" i="75"/>
  <c r="F38" i="75"/>
  <c r="X37" i="75"/>
  <c r="W37" i="75"/>
  <c r="Y37" i="75" s="1"/>
  <c r="V37" i="75"/>
  <c r="U37" i="75"/>
  <c r="T37" i="75"/>
  <c r="S37" i="75"/>
  <c r="F37" i="75"/>
  <c r="X36" i="75"/>
  <c r="W36" i="75"/>
  <c r="Y36" i="75" s="1"/>
  <c r="V36" i="75"/>
  <c r="U36" i="75"/>
  <c r="T36" i="75"/>
  <c r="S36" i="75"/>
  <c r="F36" i="75"/>
  <c r="X35" i="75"/>
  <c r="W35" i="75"/>
  <c r="Y35" i="75" s="1"/>
  <c r="V35" i="75"/>
  <c r="U35" i="75"/>
  <c r="T35" i="75"/>
  <c r="S35" i="75"/>
  <c r="F35" i="75"/>
  <c r="X34" i="75"/>
  <c r="W34" i="75"/>
  <c r="Y34" i="75" s="1"/>
  <c r="V34" i="75"/>
  <c r="U34" i="75"/>
  <c r="T34" i="75"/>
  <c r="S34" i="75"/>
  <c r="E34" i="75"/>
  <c r="D34" i="75"/>
  <c r="F34" i="75" s="1"/>
  <c r="Y33" i="75"/>
  <c r="X33" i="75"/>
  <c r="W33" i="75"/>
  <c r="U33" i="75"/>
  <c r="T33" i="75"/>
  <c r="V33" i="75" s="1"/>
  <c r="S33" i="75"/>
  <c r="X32" i="75"/>
  <c r="W32" i="75"/>
  <c r="Y32" i="75" s="1"/>
  <c r="U32" i="75"/>
  <c r="T32" i="75"/>
  <c r="V32" i="75" s="1"/>
  <c r="S32" i="75"/>
  <c r="X31" i="75"/>
  <c r="W31" i="75"/>
  <c r="Y31" i="75" s="1"/>
  <c r="V31" i="75"/>
  <c r="U31" i="75"/>
  <c r="T31" i="75"/>
  <c r="S31" i="75"/>
  <c r="Y30" i="75"/>
  <c r="X30" i="75"/>
  <c r="W30" i="75"/>
  <c r="V30" i="75"/>
  <c r="U30" i="75"/>
  <c r="T30" i="75"/>
  <c r="S30" i="75"/>
  <c r="X29" i="75"/>
  <c r="W29" i="75"/>
  <c r="Y29" i="75" s="1"/>
  <c r="U29" i="75"/>
  <c r="T29" i="75"/>
  <c r="V29" i="75" s="1"/>
  <c r="S29" i="75"/>
  <c r="Y28" i="75"/>
  <c r="X28" i="75"/>
  <c r="W28" i="75"/>
  <c r="V28" i="75"/>
  <c r="U28" i="75"/>
  <c r="T28" i="75"/>
  <c r="S28" i="75"/>
  <c r="Y27" i="75"/>
  <c r="X27" i="75"/>
  <c r="W27" i="75"/>
  <c r="U27" i="75"/>
  <c r="T27" i="75"/>
  <c r="V27" i="75" s="1"/>
  <c r="S27" i="75"/>
  <c r="X26" i="75"/>
  <c r="W26" i="75"/>
  <c r="Y26" i="75" s="1"/>
  <c r="V26" i="75"/>
  <c r="U26" i="75"/>
  <c r="T26" i="75"/>
  <c r="S26" i="75"/>
  <c r="X25" i="75"/>
  <c r="W25" i="75"/>
  <c r="Y25" i="75" s="1"/>
  <c r="U25" i="75"/>
  <c r="T25" i="75"/>
  <c r="V25" i="75" s="1"/>
  <c r="S25" i="75"/>
  <c r="F25" i="75"/>
  <c r="X24" i="75"/>
  <c r="W24" i="75"/>
  <c r="Y24" i="75" s="1"/>
  <c r="U24" i="75"/>
  <c r="T24" i="75"/>
  <c r="S24" i="75"/>
  <c r="F24" i="75"/>
  <c r="X23" i="75"/>
  <c r="W23" i="75"/>
  <c r="Y23" i="75" s="1"/>
  <c r="U23" i="75"/>
  <c r="T23" i="75"/>
  <c r="V23" i="75" s="1"/>
  <c r="S23" i="75"/>
  <c r="F23" i="75"/>
  <c r="X22" i="75"/>
  <c r="W22" i="75"/>
  <c r="Y22" i="75" s="1"/>
  <c r="U22" i="75"/>
  <c r="T22" i="75"/>
  <c r="V22" i="75" s="1"/>
  <c r="S22" i="75"/>
  <c r="F22" i="75"/>
  <c r="X21" i="75"/>
  <c r="W21" i="75"/>
  <c r="Y21" i="75" s="1"/>
  <c r="U21" i="75"/>
  <c r="T21" i="75"/>
  <c r="V21" i="75" s="1"/>
  <c r="S21" i="75"/>
  <c r="F21" i="75"/>
  <c r="E21" i="75"/>
  <c r="D21" i="75"/>
  <c r="X20" i="75"/>
  <c r="W20" i="75"/>
  <c r="U20" i="75"/>
  <c r="T20" i="75"/>
  <c r="V20" i="75" s="1"/>
  <c r="S20" i="75"/>
  <c r="B20" i="75"/>
  <c r="X19" i="75"/>
  <c r="W19" i="75"/>
  <c r="Y19" i="75" s="1"/>
  <c r="U19" i="75"/>
  <c r="T19" i="75"/>
  <c r="S19" i="75"/>
  <c r="F19" i="75"/>
  <c r="X18" i="75"/>
  <c r="W18" i="75"/>
  <c r="U18" i="75"/>
  <c r="T18" i="75"/>
  <c r="V18" i="75" s="1"/>
  <c r="S18" i="75"/>
  <c r="F18" i="75"/>
  <c r="X17" i="75"/>
  <c r="W17" i="75"/>
  <c r="Y17" i="75" s="1"/>
  <c r="U17" i="75"/>
  <c r="T17" i="75"/>
  <c r="S17" i="75"/>
  <c r="F17" i="75"/>
  <c r="X16" i="75"/>
  <c r="W16" i="75"/>
  <c r="U16" i="75"/>
  <c r="T16" i="75"/>
  <c r="V16" i="75" s="1"/>
  <c r="S16" i="75"/>
  <c r="L15" i="75" s="1"/>
  <c r="F16" i="75"/>
  <c r="E15" i="75"/>
  <c r="D15" i="75"/>
  <c r="Q6" i="75"/>
  <c r="L6" i="75"/>
  <c r="K6" i="75"/>
  <c r="L36" i="18" s="1"/>
  <c r="I6" i="75"/>
  <c r="Q5" i="75"/>
  <c r="Q7" i="75" s="1"/>
  <c r="L5" i="75"/>
  <c r="L7" i="75" s="1"/>
  <c r="I5" i="75"/>
  <c r="I7" i="75" s="1"/>
  <c r="W4" i="75"/>
  <c r="V4" i="75"/>
  <c r="U4" i="75"/>
  <c r="T4" i="75"/>
  <c r="Q6" i="116"/>
  <c r="Q5" i="116"/>
  <c r="E53" i="111"/>
  <c r="D53" i="111"/>
  <c r="E42" i="111"/>
  <c r="D42" i="111"/>
  <c r="E41" i="111"/>
  <c r="D41" i="111"/>
  <c r="E53" i="96"/>
  <c r="D53" i="96"/>
  <c r="E42" i="96"/>
  <c r="D42" i="96"/>
  <c r="E41" i="96"/>
  <c r="D41" i="96"/>
  <c r="X65" i="74"/>
  <c r="Y65" i="74" s="1"/>
  <c r="W65" i="74"/>
  <c r="U65" i="74"/>
  <c r="T65" i="74"/>
  <c r="V65" i="74" s="1"/>
  <c r="S65" i="74"/>
  <c r="X64" i="74"/>
  <c r="W64" i="74"/>
  <c r="Y64" i="74" s="1"/>
  <c r="U64" i="74"/>
  <c r="T64" i="74"/>
  <c r="V64" i="74" s="1"/>
  <c r="S64" i="74"/>
  <c r="Y63" i="74"/>
  <c r="X63" i="74"/>
  <c r="W63" i="74"/>
  <c r="U63" i="74"/>
  <c r="V63" i="74" s="1"/>
  <c r="T63" i="74"/>
  <c r="S63" i="74"/>
  <c r="X62" i="74"/>
  <c r="Y62" i="74" s="1"/>
  <c r="W62" i="74"/>
  <c r="U62" i="74"/>
  <c r="T62" i="74"/>
  <c r="V62" i="74" s="1"/>
  <c r="S62" i="74"/>
  <c r="F62" i="74"/>
  <c r="X61" i="74"/>
  <c r="Y61" i="74" s="1"/>
  <c r="W61" i="74"/>
  <c r="U61" i="74"/>
  <c r="T61" i="74"/>
  <c r="V61" i="74" s="1"/>
  <c r="S61" i="74"/>
  <c r="F61" i="74"/>
  <c r="X60" i="74"/>
  <c r="Y60" i="74" s="1"/>
  <c r="W60" i="74"/>
  <c r="U60" i="74"/>
  <c r="T60" i="74"/>
  <c r="V60" i="74" s="1"/>
  <c r="S60" i="74"/>
  <c r="F60" i="74"/>
  <c r="X59" i="74"/>
  <c r="Y59" i="74" s="1"/>
  <c r="W59" i="74"/>
  <c r="U59" i="74"/>
  <c r="T59" i="74"/>
  <c r="V59" i="74" s="1"/>
  <c r="S59" i="74"/>
  <c r="F59" i="74"/>
  <c r="X58" i="74"/>
  <c r="Y58" i="74" s="1"/>
  <c r="W58" i="74"/>
  <c r="U58" i="74"/>
  <c r="T58" i="74"/>
  <c r="V58" i="74" s="1"/>
  <c r="S58" i="74"/>
  <c r="E58" i="74"/>
  <c r="D58" i="74"/>
  <c r="F58" i="74" s="1"/>
  <c r="X57" i="74"/>
  <c r="W57" i="74"/>
  <c r="Y57" i="74" s="1"/>
  <c r="V57" i="74"/>
  <c r="U57" i="74"/>
  <c r="T57" i="74"/>
  <c r="S57" i="74"/>
  <c r="Y56" i="74"/>
  <c r="X56" i="74"/>
  <c r="W56" i="74"/>
  <c r="U56" i="74"/>
  <c r="V56" i="74" s="1"/>
  <c r="T56" i="74"/>
  <c r="S56" i="74"/>
  <c r="F56" i="74"/>
  <c r="Y55" i="74"/>
  <c r="X55" i="74"/>
  <c r="W55" i="74"/>
  <c r="U55" i="74"/>
  <c r="V55" i="74" s="1"/>
  <c r="T55" i="74"/>
  <c r="S55" i="74"/>
  <c r="F55" i="74"/>
  <c r="Y54" i="74"/>
  <c r="X54" i="74"/>
  <c r="W54" i="74"/>
  <c r="U54" i="74"/>
  <c r="V54" i="74" s="1"/>
  <c r="T54" i="74"/>
  <c r="S54" i="74"/>
  <c r="F54" i="74"/>
  <c r="Y53" i="74"/>
  <c r="X53" i="74"/>
  <c r="W53" i="74"/>
  <c r="U53" i="74"/>
  <c r="V53" i="74" s="1"/>
  <c r="T53" i="74"/>
  <c r="S53" i="74"/>
  <c r="F53" i="74"/>
  <c r="Y52" i="74"/>
  <c r="X52" i="74"/>
  <c r="W52" i="74"/>
  <c r="U52" i="74"/>
  <c r="V52" i="74" s="1"/>
  <c r="T52" i="74"/>
  <c r="S52" i="74"/>
  <c r="E52" i="74"/>
  <c r="N6" i="74" s="1"/>
  <c r="D52" i="74"/>
  <c r="X51" i="74"/>
  <c r="W51" i="74"/>
  <c r="Y51" i="74" s="1"/>
  <c r="U51" i="74"/>
  <c r="T51" i="74"/>
  <c r="V51" i="74" s="1"/>
  <c r="S51" i="74"/>
  <c r="X50" i="74"/>
  <c r="W50" i="74"/>
  <c r="Y50" i="74" s="1"/>
  <c r="V50" i="74"/>
  <c r="U50" i="74"/>
  <c r="T50" i="74"/>
  <c r="S50" i="74"/>
  <c r="F50" i="74"/>
  <c r="X49" i="74"/>
  <c r="W49" i="74"/>
  <c r="Y49" i="74" s="1"/>
  <c r="V49" i="74"/>
  <c r="U49" i="74"/>
  <c r="T49" i="74"/>
  <c r="S49" i="74"/>
  <c r="F49" i="74"/>
  <c r="X48" i="74"/>
  <c r="W48" i="74"/>
  <c r="Y48" i="74" s="1"/>
  <c r="V48" i="74"/>
  <c r="U48" i="74"/>
  <c r="T48" i="74"/>
  <c r="S48" i="74"/>
  <c r="F48" i="74"/>
  <c r="X47" i="74"/>
  <c r="W47" i="74"/>
  <c r="Y47" i="74" s="1"/>
  <c r="V47" i="74"/>
  <c r="U47" i="74"/>
  <c r="T47" i="74"/>
  <c r="S47" i="74"/>
  <c r="F47" i="74"/>
  <c r="X46" i="74"/>
  <c r="W46" i="74"/>
  <c r="Y46" i="74" s="1"/>
  <c r="V46" i="74"/>
  <c r="U46" i="74"/>
  <c r="T46" i="74"/>
  <c r="S46" i="74"/>
  <c r="E46" i="74"/>
  <c r="M6" i="74" s="1"/>
  <c r="D46" i="74"/>
  <c r="X45" i="74"/>
  <c r="Y45" i="74" s="1"/>
  <c r="W45" i="74"/>
  <c r="U45" i="74"/>
  <c r="T45" i="74"/>
  <c r="V45" i="74" s="1"/>
  <c r="S45" i="74"/>
  <c r="X44" i="74"/>
  <c r="W44" i="74"/>
  <c r="Y44" i="74" s="1"/>
  <c r="U44" i="74"/>
  <c r="T44" i="74"/>
  <c r="V44" i="74" s="1"/>
  <c r="S44" i="74"/>
  <c r="F44" i="74"/>
  <c r="X43" i="74"/>
  <c r="W43" i="74"/>
  <c r="Y43" i="74" s="1"/>
  <c r="U43" i="74"/>
  <c r="T43" i="74"/>
  <c r="V43" i="74" s="1"/>
  <c r="S43" i="74"/>
  <c r="F43" i="74"/>
  <c r="X42" i="74"/>
  <c r="W42" i="74"/>
  <c r="Y42" i="74" s="1"/>
  <c r="U42" i="74"/>
  <c r="T42" i="74"/>
  <c r="V42" i="74" s="1"/>
  <c r="S42" i="74"/>
  <c r="F42" i="74"/>
  <c r="X41" i="74"/>
  <c r="W41" i="74"/>
  <c r="Y41" i="74" s="1"/>
  <c r="U41" i="74"/>
  <c r="T41" i="74"/>
  <c r="V41" i="74" s="1"/>
  <c r="S41" i="74"/>
  <c r="F41" i="74"/>
  <c r="X40" i="74"/>
  <c r="W40" i="74"/>
  <c r="Y40" i="74" s="1"/>
  <c r="U40" i="74"/>
  <c r="T40" i="74"/>
  <c r="V40" i="74" s="1"/>
  <c r="S40" i="74"/>
  <c r="E40" i="74"/>
  <c r="D40" i="74"/>
  <c r="F40" i="74" s="1"/>
  <c r="Y39" i="74"/>
  <c r="X39" i="74"/>
  <c r="W39" i="74"/>
  <c r="U39" i="74"/>
  <c r="V39" i="74" s="1"/>
  <c r="T39" i="74"/>
  <c r="S39" i="74"/>
  <c r="X38" i="74"/>
  <c r="Y38" i="74" s="1"/>
  <c r="W38" i="74"/>
  <c r="U38" i="74"/>
  <c r="T38" i="74"/>
  <c r="V38" i="74" s="1"/>
  <c r="S38" i="74"/>
  <c r="F38" i="74"/>
  <c r="X37" i="74"/>
  <c r="Y37" i="74" s="1"/>
  <c r="W37" i="74"/>
  <c r="U37" i="74"/>
  <c r="T37" i="74"/>
  <c r="V37" i="74" s="1"/>
  <c r="S37" i="74"/>
  <c r="F37" i="74"/>
  <c r="X36" i="74"/>
  <c r="Y36" i="74" s="1"/>
  <c r="W36" i="74"/>
  <c r="U36" i="74"/>
  <c r="T36" i="74"/>
  <c r="V36" i="74" s="1"/>
  <c r="S36" i="74"/>
  <c r="F36" i="74"/>
  <c r="X35" i="74"/>
  <c r="Y35" i="74" s="1"/>
  <c r="W35" i="74"/>
  <c r="U35" i="74"/>
  <c r="T35" i="74"/>
  <c r="V35" i="74" s="1"/>
  <c r="S35" i="74"/>
  <c r="F35" i="74"/>
  <c r="X34" i="74"/>
  <c r="Y34" i="74" s="1"/>
  <c r="W34" i="74"/>
  <c r="U34" i="74"/>
  <c r="T34" i="74"/>
  <c r="V34" i="74" s="1"/>
  <c r="S34" i="74"/>
  <c r="E34" i="74"/>
  <c r="D34" i="74"/>
  <c r="F34" i="74" s="1"/>
  <c r="X33" i="74"/>
  <c r="W33" i="74"/>
  <c r="Y33" i="74" s="1"/>
  <c r="V33" i="74"/>
  <c r="U33" i="74"/>
  <c r="T33" i="74"/>
  <c r="S33" i="74"/>
  <c r="Y32" i="74"/>
  <c r="X32" i="74"/>
  <c r="W32" i="74"/>
  <c r="U32" i="74"/>
  <c r="V32" i="74" s="1"/>
  <c r="T32" i="74"/>
  <c r="S32" i="74"/>
  <c r="X31" i="74"/>
  <c r="Y31" i="74" s="1"/>
  <c r="W31" i="74"/>
  <c r="U31" i="74"/>
  <c r="T31" i="74"/>
  <c r="V31" i="74" s="1"/>
  <c r="S31" i="74"/>
  <c r="X30" i="74"/>
  <c r="W30" i="74"/>
  <c r="Y30" i="74" s="1"/>
  <c r="U30" i="74"/>
  <c r="T30" i="74"/>
  <c r="V30" i="74" s="1"/>
  <c r="S30" i="74"/>
  <c r="Y29" i="74"/>
  <c r="X29" i="74"/>
  <c r="W29" i="74"/>
  <c r="U29" i="74"/>
  <c r="V29" i="74" s="1"/>
  <c r="T29" i="74"/>
  <c r="S29" i="74"/>
  <c r="X28" i="74"/>
  <c r="W28" i="74"/>
  <c r="Y28" i="74" s="1"/>
  <c r="U28" i="74"/>
  <c r="T28" i="74"/>
  <c r="V28" i="74" s="1"/>
  <c r="S28" i="74"/>
  <c r="X27" i="74"/>
  <c r="W27" i="74"/>
  <c r="Y27" i="74" s="1"/>
  <c r="V27" i="74"/>
  <c r="U27" i="74"/>
  <c r="T27" i="74"/>
  <c r="S27" i="74"/>
  <c r="X26" i="74"/>
  <c r="Y26" i="74" s="1"/>
  <c r="W26" i="74"/>
  <c r="U26" i="74"/>
  <c r="T26" i="74"/>
  <c r="V26" i="74" s="1"/>
  <c r="S26" i="74"/>
  <c r="X25" i="74"/>
  <c r="W25" i="74"/>
  <c r="Y25" i="74" s="1"/>
  <c r="U25" i="74"/>
  <c r="T25" i="74"/>
  <c r="V25" i="74" s="1"/>
  <c r="S25" i="74"/>
  <c r="F25" i="74"/>
  <c r="X24" i="74"/>
  <c r="W24" i="74"/>
  <c r="Y24" i="74" s="1"/>
  <c r="U24" i="74"/>
  <c r="T24" i="74"/>
  <c r="S24" i="74"/>
  <c r="F24" i="74"/>
  <c r="X23" i="74"/>
  <c r="W23" i="74"/>
  <c r="Y23" i="74" s="1"/>
  <c r="U23" i="74"/>
  <c r="T23" i="74"/>
  <c r="V23" i="74" s="1"/>
  <c r="S23" i="74"/>
  <c r="F23" i="74"/>
  <c r="X22" i="74"/>
  <c r="W22" i="74"/>
  <c r="Y22" i="74" s="1"/>
  <c r="U22" i="74"/>
  <c r="T22" i="74"/>
  <c r="S22" i="74"/>
  <c r="F22" i="74"/>
  <c r="X21" i="74"/>
  <c r="W21" i="74"/>
  <c r="Y21" i="74" s="1"/>
  <c r="U21" i="74"/>
  <c r="T21" i="74"/>
  <c r="V21" i="74" s="1"/>
  <c r="S21" i="74"/>
  <c r="E21" i="74"/>
  <c r="E30" i="74" s="1"/>
  <c r="D21" i="74"/>
  <c r="F21" i="74" s="1"/>
  <c r="Y20" i="74"/>
  <c r="X20" i="74"/>
  <c r="W20" i="74"/>
  <c r="U20" i="74"/>
  <c r="T20" i="74"/>
  <c r="S20" i="74"/>
  <c r="B20" i="74"/>
  <c r="X19" i="74"/>
  <c r="W19" i="74"/>
  <c r="U19" i="74"/>
  <c r="T19" i="74"/>
  <c r="S19" i="74"/>
  <c r="F19" i="74"/>
  <c r="X18" i="74"/>
  <c r="W18" i="74"/>
  <c r="Y18" i="74" s="1"/>
  <c r="U18" i="74"/>
  <c r="T18" i="74"/>
  <c r="S18" i="74"/>
  <c r="F18" i="74"/>
  <c r="X17" i="74"/>
  <c r="W17" i="74"/>
  <c r="Y17" i="74" s="1"/>
  <c r="U17" i="74"/>
  <c r="T17" i="74"/>
  <c r="S17" i="74"/>
  <c r="F17" i="74"/>
  <c r="X16" i="74"/>
  <c r="W16" i="74"/>
  <c r="Y16" i="74" s="1"/>
  <c r="U16" i="74"/>
  <c r="T16" i="74"/>
  <c r="S16" i="74"/>
  <c r="L15" i="74" s="1"/>
  <c r="F16" i="74"/>
  <c r="E15" i="74"/>
  <c r="D15" i="74"/>
  <c r="Q6" i="74"/>
  <c r="L6" i="74"/>
  <c r="K6" i="74"/>
  <c r="I6" i="74"/>
  <c r="Q5" i="74"/>
  <c r="Q7" i="74" s="1"/>
  <c r="N5" i="74"/>
  <c r="M5" i="74"/>
  <c r="L5" i="74"/>
  <c r="L7" i="74" s="1"/>
  <c r="W4" i="74"/>
  <c r="V4" i="74"/>
  <c r="U4" i="74"/>
  <c r="T4" i="74"/>
  <c r="P36" i="16" l="1"/>
  <c r="K5" i="75"/>
  <c r="H6" i="74"/>
  <c r="I35" i="18" s="1"/>
  <c r="D29" i="74"/>
  <c r="F21" i="37"/>
  <c r="X15" i="75"/>
  <c r="E64" i="75" s="1"/>
  <c r="P6" i="75" s="1"/>
  <c r="Q36" i="18" s="1"/>
  <c r="V24" i="75"/>
  <c r="F52" i="75"/>
  <c r="N5" i="75"/>
  <c r="N7" i="75" s="1"/>
  <c r="F29" i="75"/>
  <c r="H6" i="75"/>
  <c r="I36" i="18" s="1"/>
  <c r="Y16" i="75"/>
  <c r="V17" i="75"/>
  <c r="Y18" i="75"/>
  <c r="V19" i="75"/>
  <c r="Y20" i="75"/>
  <c r="U15" i="75"/>
  <c r="S6" i="75" s="1"/>
  <c r="T36" i="18" s="1"/>
  <c r="T15" i="75"/>
  <c r="S5" i="75" s="1"/>
  <c r="T36" i="17" s="1"/>
  <c r="F58" i="75"/>
  <c r="M5" i="75"/>
  <c r="M7" i="75"/>
  <c r="E27" i="75"/>
  <c r="E12" i="75" s="1"/>
  <c r="F30" i="75"/>
  <c r="F15" i="75"/>
  <c r="W15" i="75"/>
  <c r="D64" i="75" s="1"/>
  <c r="D27" i="75"/>
  <c r="D12" i="75" s="1"/>
  <c r="H5" i="75"/>
  <c r="I36" i="17" s="1"/>
  <c r="Y19" i="74"/>
  <c r="V18" i="74"/>
  <c r="F46" i="74"/>
  <c r="K5" i="74"/>
  <c r="K7" i="74" s="1"/>
  <c r="X15" i="74"/>
  <c r="E64" i="74" s="1"/>
  <c r="Q35" i="18" s="1"/>
  <c r="V17" i="74"/>
  <c r="U15" i="74"/>
  <c r="S6" i="74" s="1"/>
  <c r="T35" i="18" s="1"/>
  <c r="V16" i="74"/>
  <c r="V20" i="74"/>
  <c r="V19" i="74"/>
  <c r="V22" i="74"/>
  <c r="V24" i="74"/>
  <c r="O7" i="74"/>
  <c r="M7" i="74"/>
  <c r="E29" i="74"/>
  <c r="E27" i="74" s="1"/>
  <c r="J6" i="74" s="1"/>
  <c r="Y15" i="74"/>
  <c r="N7" i="74"/>
  <c r="D30" i="74"/>
  <c r="F30" i="74" s="1"/>
  <c r="F52" i="74"/>
  <c r="I5" i="74"/>
  <c r="I7" i="74" s="1"/>
  <c r="F15" i="74"/>
  <c r="W15" i="74"/>
  <c r="D64" i="74" s="1"/>
  <c r="Q35" i="17" s="1"/>
  <c r="H5" i="74"/>
  <c r="I35" i="17" s="1"/>
  <c r="T15" i="74"/>
  <c r="S5" i="74" s="1"/>
  <c r="T35" i="17" s="1"/>
  <c r="E54" i="127"/>
  <c r="D54" i="127"/>
  <c r="E53" i="127"/>
  <c r="D53" i="127"/>
  <c r="E42" i="127"/>
  <c r="D42" i="127"/>
  <c r="E41" i="127"/>
  <c r="D41" i="127"/>
  <c r="E54" i="122"/>
  <c r="D54" i="122"/>
  <c r="E53" i="122"/>
  <c r="D53" i="122"/>
  <c r="E47" i="122"/>
  <c r="D47" i="122"/>
  <c r="E42" i="122"/>
  <c r="D42" i="122"/>
  <c r="E41" i="122"/>
  <c r="D41" i="122"/>
  <c r="F67" i="101"/>
  <c r="M17" i="17"/>
  <c r="N17" i="17"/>
  <c r="O17" i="17"/>
  <c r="Q17" i="17"/>
  <c r="R17" i="17"/>
  <c r="T17" i="17"/>
  <c r="K18" i="17"/>
  <c r="L18" i="17"/>
  <c r="M18" i="17"/>
  <c r="N18" i="17"/>
  <c r="O18" i="17"/>
  <c r="P18" i="17"/>
  <c r="Q18" i="17"/>
  <c r="R18" i="17"/>
  <c r="S18" i="17"/>
  <c r="T18" i="17"/>
  <c r="I18" i="17"/>
  <c r="J18" i="17"/>
  <c r="R45" i="14"/>
  <c r="O45" i="14"/>
  <c r="L45" i="14"/>
  <c r="F17" i="51"/>
  <c r="S23" i="51"/>
  <c r="T23" i="51"/>
  <c r="V23" i="51" s="1"/>
  <c r="U23" i="51"/>
  <c r="S24" i="51"/>
  <c r="T24" i="51"/>
  <c r="U24" i="51"/>
  <c r="V24" i="51"/>
  <c r="S25" i="51"/>
  <c r="T25" i="51"/>
  <c r="V25" i="51" s="1"/>
  <c r="U25" i="51"/>
  <c r="W23" i="51"/>
  <c r="X23" i="51"/>
  <c r="W24" i="51"/>
  <c r="Y24" i="51" s="1"/>
  <c r="X24" i="51"/>
  <c r="W25" i="51"/>
  <c r="X25" i="51"/>
  <c r="W22" i="51"/>
  <c r="Y22" i="51" s="1"/>
  <c r="X22" i="51"/>
  <c r="S17" i="51"/>
  <c r="T17" i="51"/>
  <c r="U17" i="51"/>
  <c r="W17" i="51"/>
  <c r="Y17" i="51" s="1"/>
  <c r="X17" i="51"/>
  <c r="B19" i="41"/>
  <c r="S19" i="41"/>
  <c r="T19" i="41"/>
  <c r="V19" i="41" s="1"/>
  <c r="U19" i="41"/>
  <c r="W19" i="41"/>
  <c r="X19" i="41"/>
  <c r="S20" i="41"/>
  <c r="T20" i="41"/>
  <c r="U20" i="41"/>
  <c r="W20" i="41"/>
  <c r="X20" i="41"/>
  <c r="S21" i="41"/>
  <c r="T21" i="41"/>
  <c r="U21" i="41"/>
  <c r="V21" i="41" s="1"/>
  <c r="W21" i="41"/>
  <c r="X21" i="41"/>
  <c r="Y21" i="41"/>
  <c r="S22" i="41"/>
  <c r="T22" i="41"/>
  <c r="U22" i="41"/>
  <c r="V22" i="41"/>
  <c r="W22" i="41"/>
  <c r="X22" i="41"/>
  <c r="S23" i="41"/>
  <c r="T23" i="41"/>
  <c r="U23" i="41"/>
  <c r="W23" i="41"/>
  <c r="Y23" i="41" s="1"/>
  <c r="X23" i="41"/>
  <c r="S24" i="41"/>
  <c r="T24" i="41"/>
  <c r="U24" i="41"/>
  <c r="W24" i="41"/>
  <c r="X24" i="41"/>
  <c r="Y24" i="41" s="1"/>
  <c r="S25" i="41"/>
  <c r="T25" i="41"/>
  <c r="U25" i="41"/>
  <c r="W25" i="41"/>
  <c r="Y25" i="41" s="1"/>
  <c r="X25" i="41"/>
  <c r="S26" i="41"/>
  <c r="T26" i="41"/>
  <c r="U26" i="41"/>
  <c r="W26" i="41"/>
  <c r="X26" i="41"/>
  <c r="S27" i="41"/>
  <c r="T27" i="41"/>
  <c r="V27" i="41" s="1"/>
  <c r="U27" i="41"/>
  <c r="W27" i="41"/>
  <c r="X27" i="41"/>
  <c r="S28" i="41"/>
  <c r="T28" i="41"/>
  <c r="U28" i="41"/>
  <c r="W28" i="41"/>
  <c r="X28" i="41"/>
  <c r="Y28" i="41" s="1"/>
  <c r="S29" i="41"/>
  <c r="T29" i="41"/>
  <c r="U29" i="41"/>
  <c r="V29" i="41" s="1"/>
  <c r="W29" i="41"/>
  <c r="Y29" i="41" s="1"/>
  <c r="X29" i="41"/>
  <c r="S30" i="41"/>
  <c r="T30" i="41"/>
  <c r="V30" i="41" s="1"/>
  <c r="U30" i="41"/>
  <c r="W30" i="41"/>
  <c r="X30" i="41"/>
  <c r="S31" i="41"/>
  <c r="T31" i="41"/>
  <c r="U31" i="41"/>
  <c r="W31" i="41"/>
  <c r="Y31" i="41" s="1"/>
  <c r="X31" i="41"/>
  <c r="S32" i="41"/>
  <c r="T32" i="41"/>
  <c r="U32" i="41"/>
  <c r="W32" i="41"/>
  <c r="X32" i="41"/>
  <c r="Y32" i="41" s="1"/>
  <c r="S33" i="41"/>
  <c r="T33" i="41"/>
  <c r="U33" i="41"/>
  <c r="W33" i="41"/>
  <c r="X33" i="41"/>
  <c r="Y33" i="41"/>
  <c r="S17" i="41"/>
  <c r="T17" i="41"/>
  <c r="U17" i="41"/>
  <c r="W17" i="41"/>
  <c r="Y17" i="41" s="1"/>
  <c r="X17" i="41"/>
  <c r="S18" i="41"/>
  <c r="T18" i="41"/>
  <c r="U18" i="41"/>
  <c r="W18" i="41"/>
  <c r="X18" i="41"/>
  <c r="Y18" i="41" s="1"/>
  <c r="F17" i="41"/>
  <c r="F18" i="41"/>
  <c r="F67" i="116"/>
  <c r="M15" i="67"/>
  <c r="L15" i="67"/>
  <c r="E34" i="116"/>
  <c r="D34" i="116"/>
  <c r="E21" i="116"/>
  <c r="D21" i="116"/>
  <c r="M15" i="66"/>
  <c r="X150" i="67"/>
  <c r="W150" i="67"/>
  <c r="Y150" i="67" s="1"/>
  <c r="U150" i="67"/>
  <c r="T150" i="67"/>
  <c r="V150" i="67" s="1"/>
  <c r="S150" i="67"/>
  <c r="X149" i="67"/>
  <c r="W149" i="67"/>
  <c r="U149" i="67"/>
  <c r="T149" i="67"/>
  <c r="S149" i="67"/>
  <c r="X148" i="67"/>
  <c r="W148" i="67"/>
  <c r="Y148" i="67" s="1"/>
  <c r="U148" i="67"/>
  <c r="T148" i="67"/>
  <c r="V148" i="67" s="1"/>
  <c r="S148" i="67"/>
  <c r="X147" i="67"/>
  <c r="W147" i="67"/>
  <c r="Y147" i="67" s="1"/>
  <c r="V147" i="67"/>
  <c r="U147" i="67"/>
  <c r="T147" i="67"/>
  <c r="S147" i="67"/>
  <c r="Y146" i="67"/>
  <c r="X146" i="67"/>
  <c r="W146" i="67"/>
  <c r="U146" i="67"/>
  <c r="T146" i="67"/>
  <c r="S146" i="67"/>
  <c r="X145" i="67"/>
  <c r="W145" i="67"/>
  <c r="Y145" i="67" s="1"/>
  <c r="U145" i="67"/>
  <c r="T145" i="67"/>
  <c r="S145" i="67"/>
  <c r="X144" i="67"/>
  <c r="W144" i="67"/>
  <c r="U144" i="67"/>
  <c r="T144" i="67"/>
  <c r="V144" i="67" s="1"/>
  <c r="S144" i="67"/>
  <c r="X143" i="67"/>
  <c r="W143" i="67"/>
  <c r="V143" i="67"/>
  <c r="U143" i="67"/>
  <c r="T143" i="67"/>
  <c r="S143" i="67"/>
  <c r="X142" i="67"/>
  <c r="W142" i="67"/>
  <c r="Y142" i="67" s="1"/>
  <c r="U142" i="67"/>
  <c r="T142" i="67"/>
  <c r="V142" i="67" s="1"/>
  <c r="S142" i="67"/>
  <c r="X141" i="67"/>
  <c r="W141" i="67"/>
  <c r="U141" i="67"/>
  <c r="T141" i="67"/>
  <c r="S141" i="67"/>
  <c r="X140" i="67"/>
  <c r="W140" i="67"/>
  <c r="Y140" i="67" s="1"/>
  <c r="U140" i="67"/>
  <c r="T140" i="67"/>
  <c r="V140" i="67" s="1"/>
  <c r="S140" i="67"/>
  <c r="X139" i="67"/>
  <c r="W139" i="67"/>
  <c r="V139" i="67"/>
  <c r="U139" i="67"/>
  <c r="T139" i="67"/>
  <c r="S139" i="67"/>
  <c r="Y138" i="67"/>
  <c r="X138" i="67"/>
  <c r="W138" i="67"/>
  <c r="U138" i="67"/>
  <c r="T138" i="67"/>
  <c r="S138" i="67"/>
  <c r="X137" i="67"/>
  <c r="W137" i="67"/>
  <c r="U137" i="67"/>
  <c r="T137" i="67"/>
  <c r="S137" i="67"/>
  <c r="X136" i="67"/>
  <c r="W136" i="67"/>
  <c r="U136" i="67"/>
  <c r="T136" i="67"/>
  <c r="V136" i="67" s="1"/>
  <c r="S136" i="67"/>
  <c r="X135" i="67"/>
  <c r="W135" i="67"/>
  <c r="V135" i="67"/>
  <c r="U135" i="67"/>
  <c r="T135" i="67"/>
  <c r="S135" i="67"/>
  <c r="X134" i="67"/>
  <c r="W134" i="67"/>
  <c r="Y134" i="67" s="1"/>
  <c r="U134" i="67"/>
  <c r="T134" i="67"/>
  <c r="V134" i="67" s="1"/>
  <c r="S134" i="67"/>
  <c r="X133" i="67"/>
  <c r="W133" i="67"/>
  <c r="U133" i="67"/>
  <c r="T133" i="67"/>
  <c r="S133" i="67"/>
  <c r="X132" i="67"/>
  <c r="W132" i="67"/>
  <c r="Y132" i="67" s="1"/>
  <c r="U132" i="67"/>
  <c r="T132" i="67"/>
  <c r="V132" i="67" s="1"/>
  <c r="S132" i="67"/>
  <c r="X131" i="67"/>
  <c r="W131" i="67"/>
  <c r="V131" i="67"/>
  <c r="U131" i="67"/>
  <c r="T131" i="67"/>
  <c r="S131" i="67"/>
  <c r="X130" i="67"/>
  <c r="W130" i="67"/>
  <c r="Y130" i="67" s="1"/>
  <c r="U130" i="67"/>
  <c r="T130" i="67"/>
  <c r="S130" i="67"/>
  <c r="X129" i="67"/>
  <c r="W129" i="67"/>
  <c r="U129" i="67"/>
  <c r="T129" i="67"/>
  <c r="S129" i="67"/>
  <c r="X128" i="67"/>
  <c r="W128" i="67"/>
  <c r="U128" i="67"/>
  <c r="T128" i="67"/>
  <c r="V128" i="67" s="1"/>
  <c r="S128" i="67"/>
  <c r="X127" i="67"/>
  <c r="W127" i="67"/>
  <c r="V127" i="67"/>
  <c r="U127" i="67"/>
  <c r="T127" i="67"/>
  <c r="S127" i="67"/>
  <c r="X126" i="67"/>
  <c r="W126" i="67"/>
  <c r="Y126" i="67" s="1"/>
  <c r="U126" i="67"/>
  <c r="T126" i="67"/>
  <c r="V126" i="67" s="1"/>
  <c r="S126" i="67"/>
  <c r="X125" i="67"/>
  <c r="W125" i="67"/>
  <c r="U125" i="67"/>
  <c r="T125" i="67"/>
  <c r="S125" i="67"/>
  <c r="X124" i="67"/>
  <c r="W124" i="67"/>
  <c r="Y124" i="67" s="1"/>
  <c r="U124" i="67"/>
  <c r="T124" i="67"/>
  <c r="V124" i="67" s="1"/>
  <c r="S124" i="67"/>
  <c r="X123" i="67"/>
  <c r="W123" i="67"/>
  <c r="V123" i="67"/>
  <c r="U123" i="67"/>
  <c r="T123" i="67"/>
  <c r="S123" i="67"/>
  <c r="X122" i="67"/>
  <c r="W122" i="67"/>
  <c r="Y122" i="67" s="1"/>
  <c r="U122" i="67"/>
  <c r="T122" i="67"/>
  <c r="S122" i="67"/>
  <c r="X121" i="67"/>
  <c r="W121" i="67"/>
  <c r="U121" i="67"/>
  <c r="T121" i="67"/>
  <c r="S121" i="67"/>
  <c r="X120" i="67"/>
  <c r="W120" i="67"/>
  <c r="U120" i="67"/>
  <c r="T120" i="67"/>
  <c r="V120" i="67" s="1"/>
  <c r="S120" i="67"/>
  <c r="X119" i="67"/>
  <c r="W119" i="67"/>
  <c r="V119" i="67"/>
  <c r="U119" i="67"/>
  <c r="T119" i="67"/>
  <c r="S119" i="67"/>
  <c r="X118" i="67"/>
  <c r="W118" i="67"/>
  <c r="Y118" i="67" s="1"/>
  <c r="U118" i="67"/>
  <c r="T118" i="67"/>
  <c r="V118" i="67" s="1"/>
  <c r="S118" i="67"/>
  <c r="X117" i="67"/>
  <c r="W117" i="67"/>
  <c r="U117" i="67"/>
  <c r="T117" i="67"/>
  <c r="S117" i="67"/>
  <c r="X116" i="67"/>
  <c r="W116" i="67"/>
  <c r="Y116" i="67" s="1"/>
  <c r="U116" i="67"/>
  <c r="V116" i="67" s="1"/>
  <c r="T116" i="67"/>
  <c r="S116" i="67"/>
  <c r="X115" i="67"/>
  <c r="Y115" i="67" s="1"/>
  <c r="W115" i="67"/>
  <c r="U115" i="67"/>
  <c r="T115" i="67"/>
  <c r="S115" i="67"/>
  <c r="X114" i="67"/>
  <c r="W114" i="67"/>
  <c r="U114" i="67"/>
  <c r="T114" i="67"/>
  <c r="S114" i="67"/>
  <c r="X113" i="67"/>
  <c r="W113" i="67"/>
  <c r="U113" i="67"/>
  <c r="T113" i="67"/>
  <c r="V113" i="67" s="1"/>
  <c r="S113" i="67"/>
  <c r="X112" i="67"/>
  <c r="W112" i="67"/>
  <c r="Y112" i="67" s="1"/>
  <c r="U112" i="67"/>
  <c r="V112" i="67" s="1"/>
  <c r="T112" i="67"/>
  <c r="S112" i="67"/>
  <c r="X111" i="67"/>
  <c r="W111" i="67"/>
  <c r="V111" i="67"/>
  <c r="U111" i="67"/>
  <c r="T111" i="67"/>
  <c r="S111" i="67"/>
  <c r="X110" i="67"/>
  <c r="W110" i="67"/>
  <c r="Y110" i="67" s="1"/>
  <c r="U110" i="67"/>
  <c r="T110" i="67"/>
  <c r="S110" i="67"/>
  <c r="X109" i="67"/>
  <c r="W109" i="67"/>
  <c r="U109" i="67"/>
  <c r="T109" i="67"/>
  <c r="S109" i="67"/>
  <c r="X108" i="67"/>
  <c r="W108" i="67"/>
  <c r="U108" i="67"/>
  <c r="T108" i="67"/>
  <c r="S108" i="67"/>
  <c r="X107" i="67"/>
  <c r="Y107" i="67" s="1"/>
  <c r="W107" i="67"/>
  <c r="U107" i="67"/>
  <c r="T107" i="67"/>
  <c r="V107" i="67" s="1"/>
  <c r="S107" i="67"/>
  <c r="X106" i="67"/>
  <c r="W106" i="67"/>
  <c r="Y106" i="67" s="1"/>
  <c r="U106" i="67"/>
  <c r="T106" i="67"/>
  <c r="S106" i="67"/>
  <c r="X105" i="67"/>
  <c r="W105" i="67"/>
  <c r="U105" i="67"/>
  <c r="T105" i="67"/>
  <c r="V105" i="67" s="1"/>
  <c r="S105" i="67"/>
  <c r="X104" i="67"/>
  <c r="W104" i="67"/>
  <c r="U104" i="67"/>
  <c r="T104" i="67"/>
  <c r="S104" i="67"/>
  <c r="X103" i="67"/>
  <c r="W103" i="67"/>
  <c r="V103" i="67"/>
  <c r="U103" i="67"/>
  <c r="T103" i="67"/>
  <c r="S103" i="67"/>
  <c r="X102" i="67"/>
  <c r="W102" i="67"/>
  <c r="Y102" i="67" s="1"/>
  <c r="U102" i="67"/>
  <c r="T102" i="67"/>
  <c r="V102" i="67" s="1"/>
  <c r="S102" i="67"/>
  <c r="X101" i="67"/>
  <c r="W101" i="67"/>
  <c r="V101" i="67"/>
  <c r="U101" i="67"/>
  <c r="T101" i="67"/>
  <c r="S101" i="67"/>
  <c r="X100" i="67"/>
  <c r="W100" i="67"/>
  <c r="Y100" i="67" s="1"/>
  <c r="U100" i="67"/>
  <c r="T100" i="67"/>
  <c r="S100" i="67"/>
  <c r="X99" i="67"/>
  <c r="W99" i="67"/>
  <c r="V99" i="67"/>
  <c r="U99" i="67"/>
  <c r="T99" i="67"/>
  <c r="S99" i="67"/>
  <c r="X98" i="67"/>
  <c r="W98" i="67"/>
  <c r="Y98" i="67" s="1"/>
  <c r="U98" i="67"/>
  <c r="T98" i="67"/>
  <c r="V98" i="67" s="1"/>
  <c r="S98" i="67"/>
  <c r="X97" i="67"/>
  <c r="W97" i="67"/>
  <c r="V97" i="67"/>
  <c r="U97" i="67"/>
  <c r="T97" i="67"/>
  <c r="S97" i="67"/>
  <c r="X96" i="67"/>
  <c r="W96" i="67"/>
  <c r="Y96" i="67" s="1"/>
  <c r="U96" i="67"/>
  <c r="T96" i="67"/>
  <c r="S96" i="67"/>
  <c r="X95" i="67"/>
  <c r="W95" i="67"/>
  <c r="V95" i="67"/>
  <c r="U95" i="67"/>
  <c r="T95" i="67"/>
  <c r="S95" i="67"/>
  <c r="X94" i="67"/>
  <c r="W94" i="67"/>
  <c r="Y94" i="67" s="1"/>
  <c r="U94" i="67"/>
  <c r="T94" i="67"/>
  <c r="V94" i="67" s="1"/>
  <c r="S94" i="67"/>
  <c r="X93" i="67"/>
  <c r="W93" i="67"/>
  <c r="V93" i="67"/>
  <c r="U93" i="67"/>
  <c r="T93" i="67"/>
  <c r="S93" i="67"/>
  <c r="X92" i="67"/>
  <c r="W92" i="67"/>
  <c r="Y92" i="67" s="1"/>
  <c r="U92" i="67"/>
  <c r="T92" i="67"/>
  <c r="S92" i="67"/>
  <c r="X91" i="67"/>
  <c r="W91" i="67"/>
  <c r="U91" i="67"/>
  <c r="T91" i="67"/>
  <c r="S91" i="67"/>
  <c r="X90" i="67"/>
  <c r="W90" i="67"/>
  <c r="Y90" i="67" s="1"/>
  <c r="U90" i="67"/>
  <c r="T90" i="67"/>
  <c r="V90" i="67" s="1"/>
  <c r="S90" i="67"/>
  <c r="X89" i="67"/>
  <c r="W89" i="67"/>
  <c r="U89" i="67"/>
  <c r="T89" i="67"/>
  <c r="V89" i="67" s="1"/>
  <c r="S89" i="67"/>
  <c r="X88" i="67"/>
  <c r="W88" i="67"/>
  <c r="Y88" i="67" s="1"/>
  <c r="U88" i="67"/>
  <c r="T88" i="67"/>
  <c r="V88" i="67" s="1"/>
  <c r="S88" i="67"/>
  <c r="X87" i="67"/>
  <c r="W87" i="67"/>
  <c r="U87" i="67"/>
  <c r="T87" i="67"/>
  <c r="S87" i="67"/>
  <c r="X86" i="67"/>
  <c r="W86" i="67"/>
  <c r="Y86" i="67" s="1"/>
  <c r="U86" i="67"/>
  <c r="T86" i="67"/>
  <c r="V86" i="67" s="1"/>
  <c r="S86" i="67"/>
  <c r="X85" i="67"/>
  <c r="W85" i="67"/>
  <c r="U85" i="67"/>
  <c r="T85" i="67"/>
  <c r="V85" i="67" s="1"/>
  <c r="S85" i="67"/>
  <c r="X84" i="67"/>
  <c r="W84" i="67"/>
  <c r="Y84" i="67" s="1"/>
  <c r="U84" i="67"/>
  <c r="T84" i="67"/>
  <c r="S84" i="67"/>
  <c r="X83" i="67"/>
  <c r="W83" i="67"/>
  <c r="U83" i="67"/>
  <c r="T83" i="67"/>
  <c r="S83" i="67"/>
  <c r="X82" i="67"/>
  <c r="W82" i="67"/>
  <c r="Y82" i="67" s="1"/>
  <c r="U82" i="67"/>
  <c r="T82" i="67"/>
  <c r="V82" i="67" s="1"/>
  <c r="S82" i="67"/>
  <c r="X81" i="67"/>
  <c r="W81" i="67"/>
  <c r="U81" i="67"/>
  <c r="T81" i="67"/>
  <c r="V81" i="67" s="1"/>
  <c r="S81" i="67"/>
  <c r="X80" i="67"/>
  <c r="W80" i="67"/>
  <c r="Y80" i="67" s="1"/>
  <c r="U80" i="67"/>
  <c r="T80" i="67"/>
  <c r="V80" i="67" s="1"/>
  <c r="S80" i="67"/>
  <c r="X79" i="67"/>
  <c r="W79" i="67"/>
  <c r="U79" i="67"/>
  <c r="T79" i="67"/>
  <c r="S79" i="67"/>
  <c r="X78" i="67"/>
  <c r="W78" i="67"/>
  <c r="Y78" i="67" s="1"/>
  <c r="U78" i="67"/>
  <c r="T78" i="67"/>
  <c r="V78" i="67" s="1"/>
  <c r="S78" i="67"/>
  <c r="X77" i="67"/>
  <c r="W77" i="67"/>
  <c r="U77" i="67"/>
  <c r="T77" i="67"/>
  <c r="V77" i="67" s="1"/>
  <c r="S77" i="67"/>
  <c r="X76" i="67"/>
  <c r="W76" i="67"/>
  <c r="Y76" i="67" s="1"/>
  <c r="U76" i="67"/>
  <c r="T76" i="67"/>
  <c r="V76" i="67" s="1"/>
  <c r="S76" i="67"/>
  <c r="X75" i="67"/>
  <c r="W75" i="67"/>
  <c r="U75" i="67"/>
  <c r="T75" i="67"/>
  <c r="S75" i="67"/>
  <c r="X74" i="67"/>
  <c r="W74" i="67"/>
  <c r="Y74" i="67" s="1"/>
  <c r="U74" i="67"/>
  <c r="T74" i="67"/>
  <c r="V74" i="67" s="1"/>
  <c r="S74" i="67"/>
  <c r="X73" i="67"/>
  <c r="Y73" i="67" s="1"/>
  <c r="W73" i="67"/>
  <c r="U73" i="67"/>
  <c r="T73" i="67"/>
  <c r="V73" i="67" s="1"/>
  <c r="S73" i="67"/>
  <c r="X72" i="67"/>
  <c r="W72" i="67"/>
  <c r="Y72" i="67" s="1"/>
  <c r="U72" i="67"/>
  <c r="T72" i="67"/>
  <c r="V72" i="67" s="1"/>
  <c r="S72" i="67"/>
  <c r="X71" i="67"/>
  <c r="W71" i="67"/>
  <c r="U71" i="67"/>
  <c r="T71" i="67"/>
  <c r="S71" i="67"/>
  <c r="X70" i="67"/>
  <c r="W70" i="67"/>
  <c r="Y70" i="67" s="1"/>
  <c r="U70" i="67"/>
  <c r="T70" i="67"/>
  <c r="V70" i="67" s="1"/>
  <c r="S70" i="67"/>
  <c r="X69" i="67"/>
  <c r="W69" i="67"/>
  <c r="U69" i="67"/>
  <c r="T69" i="67"/>
  <c r="V69" i="67" s="1"/>
  <c r="S69" i="67"/>
  <c r="X68" i="67"/>
  <c r="W68" i="67"/>
  <c r="Y68" i="67" s="1"/>
  <c r="U68" i="67"/>
  <c r="T68" i="67"/>
  <c r="V68" i="67" s="1"/>
  <c r="S68" i="67"/>
  <c r="X67" i="67"/>
  <c r="W67" i="67"/>
  <c r="U67" i="67"/>
  <c r="T67" i="67"/>
  <c r="S67" i="67"/>
  <c r="X66" i="67"/>
  <c r="W66" i="67"/>
  <c r="Y66" i="67" s="1"/>
  <c r="U66" i="67"/>
  <c r="T66" i="67"/>
  <c r="V66" i="67" s="1"/>
  <c r="S66" i="67"/>
  <c r="X65" i="67"/>
  <c r="W65" i="67"/>
  <c r="U65" i="67"/>
  <c r="T65" i="67"/>
  <c r="V65" i="67" s="1"/>
  <c r="S65" i="67"/>
  <c r="X64" i="67"/>
  <c r="W64" i="67"/>
  <c r="Y64" i="67" s="1"/>
  <c r="U64" i="67"/>
  <c r="T64" i="67"/>
  <c r="V64" i="67" s="1"/>
  <c r="S64" i="67"/>
  <c r="X63" i="67"/>
  <c r="W63" i="67"/>
  <c r="U63" i="67"/>
  <c r="T63" i="67"/>
  <c r="S63" i="67"/>
  <c r="X62" i="67"/>
  <c r="W62" i="67"/>
  <c r="U62" i="67"/>
  <c r="T62" i="67"/>
  <c r="S62" i="67"/>
  <c r="F62" i="67"/>
  <c r="X61" i="67"/>
  <c r="W61" i="67"/>
  <c r="U61" i="67"/>
  <c r="T61" i="67"/>
  <c r="V61" i="67" s="1"/>
  <c r="S61" i="67"/>
  <c r="F61" i="67"/>
  <c r="X60" i="67"/>
  <c r="W60" i="67"/>
  <c r="Y60" i="67" s="1"/>
  <c r="U60" i="67"/>
  <c r="T60" i="67"/>
  <c r="S60" i="67"/>
  <c r="F60" i="67"/>
  <c r="X59" i="67"/>
  <c r="W59" i="67"/>
  <c r="U59" i="67"/>
  <c r="T59" i="67"/>
  <c r="V59" i="67" s="1"/>
  <c r="S59" i="67"/>
  <c r="F59" i="67"/>
  <c r="X58" i="67"/>
  <c r="W58" i="67"/>
  <c r="Y58" i="67" s="1"/>
  <c r="V58" i="67"/>
  <c r="U58" i="67"/>
  <c r="T58" i="67"/>
  <c r="S58" i="67"/>
  <c r="E58" i="67"/>
  <c r="O6" i="67" s="1"/>
  <c r="P45" i="15" s="1"/>
  <c r="D58" i="67"/>
  <c r="X57" i="67"/>
  <c r="W57" i="67"/>
  <c r="U57" i="67"/>
  <c r="T57" i="67"/>
  <c r="S57" i="67"/>
  <c r="X56" i="67"/>
  <c r="W56" i="67"/>
  <c r="U56" i="67"/>
  <c r="T56" i="67"/>
  <c r="S56" i="67"/>
  <c r="F56" i="67"/>
  <c r="X55" i="67"/>
  <c r="W55" i="67"/>
  <c r="U55" i="67"/>
  <c r="V55" i="67" s="1"/>
  <c r="T55" i="67"/>
  <c r="S55" i="67"/>
  <c r="F55" i="67"/>
  <c r="X54" i="67"/>
  <c r="W54" i="67"/>
  <c r="Y54" i="67" s="1"/>
  <c r="U54" i="67"/>
  <c r="T54" i="67"/>
  <c r="S54" i="67"/>
  <c r="F54" i="67"/>
  <c r="X53" i="67"/>
  <c r="W53" i="67"/>
  <c r="Y53" i="67" s="1"/>
  <c r="U53" i="67"/>
  <c r="V53" i="67" s="1"/>
  <c r="T53" i="67"/>
  <c r="S53" i="67"/>
  <c r="F53" i="67"/>
  <c r="X52" i="67"/>
  <c r="W52" i="67"/>
  <c r="U52" i="67"/>
  <c r="T52" i="67"/>
  <c r="S52" i="67"/>
  <c r="E52" i="67"/>
  <c r="D52" i="67"/>
  <c r="X51" i="67"/>
  <c r="W51" i="67"/>
  <c r="Y51" i="67" s="1"/>
  <c r="U51" i="67"/>
  <c r="T51" i="67"/>
  <c r="V51" i="67" s="1"/>
  <c r="S51" i="67"/>
  <c r="X50" i="67"/>
  <c r="W50" i="67"/>
  <c r="U50" i="67"/>
  <c r="T50" i="67"/>
  <c r="S50" i="67"/>
  <c r="F50" i="67"/>
  <c r="X49" i="67"/>
  <c r="W49" i="67"/>
  <c r="U49" i="67"/>
  <c r="T49" i="67"/>
  <c r="V49" i="67" s="1"/>
  <c r="S49" i="67"/>
  <c r="F49" i="67"/>
  <c r="X48" i="67"/>
  <c r="W48" i="67"/>
  <c r="U48" i="67"/>
  <c r="T48" i="67"/>
  <c r="S48" i="67"/>
  <c r="F48" i="67"/>
  <c r="X47" i="67"/>
  <c r="W47" i="67"/>
  <c r="U47" i="67"/>
  <c r="T47" i="67"/>
  <c r="V47" i="67" s="1"/>
  <c r="S47" i="67"/>
  <c r="F47" i="67"/>
  <c r="X46" i="67"/>
  <c r="W46" i="67"/>
  <c r="U46" i="67"/>
  <c r="T46" i="67"/>
  <c r="S46" i="67"/>
  <c r="E46" i="67"/>
  <c r="D46" i="67"/>
  <c r="F46" i="67" s="1"/>
  <c r="X45" i="67"/>
  <c r="W45" i="67"/>
  <c r="U45" i="67"/>
  <c r="V45" i="67" s="1"/>
  <c r="T45" i="67"/>
  <c r="S45" i="67"/>
  <c r="X44" i="67"/>
  <c r="Y44" i="67" s="1"/>
  <c r="W44" i="67"/>
  <c r="U44" i="67"/>
  <c r="T44" i="67"/>
  <c r="S44" i="67"/>
  <c r="F44" i="67"/>
  <c r="X43" i="67"/>
  <c r="W43" i="67"/>
  <c r="U43" i="67"/>
  <c r="V43" i="67" s="1"/>
  <c r="T43" i="67"/>
  <c r="S43" i="67"/>
  <c r="F43" i="67"/>
  <c r="X42" i="67"/>
  <c r="W42" i="67"/>
  <c r="U42" i="67"/>
  <c r="T42" i="67"/>
  <c r="S42" i="67"/>
  <c r="F42" i="67"/>
  <c r="X41" i="67"/>
  <c r="W41" i="67"/>
  <c r="Y41" i="67" s="1"/>
  <c r="U41" i="67"/>
  <c r="T41" i="67"/>
  <c r="S41" i="67"/>
  <c r="F41" i="67"/>
  <c r="X40" i="67"/>
  <c r="W40" i="67"/>
  <c r="Y40" i="67" s="1"/>
  <c r="U40" i="67"/>
  <c r="T40" i="67"/>
  <c r="V40" i="67" s="1"/>
  <c r="S40" i="67"/>
  <c r="E40" i="67"/>
  <c r="D40" i="67"/>
  <c r="F40" i="67" s="1"/>
  <c r="X39" i="67"/>
  <c r="W39" i="67"/>
  <c r="U39" i="67"/>
  <c r="T39" i="67"/>
  <c r="V39" i="67" s="1"/>
  <c r="S39" i="67"/>
  <c r="X38" i="67"/>
  <c r="W38" i="67"/>
  <c r="U38" i="67"/>
  <c r="T38" i="67"/>
  <c r="V38" i="67" s="1"/>
  <c r="S38" i="67"/>
  <c r="F38" i="67"/>
  <c r="X37" i="67"/>
  <c r="W37" i="67"/>
  <c r="U37" i="67"/>
  <c r="T37" i="67"/>
  <c r="V37" i="67" s="1"/>
  <c r="S37" i="67"/>
  <c r="F37" i="67"/>
  <c r="X36" i="67"/>
  <c r="W36" i="67"/>
  <c r="V36" i="67"/>
  <c r="U36" i="67"/>
  <c r="T36" i="67"/>
  <c r="S36" i="67"/>
  <c r="F36" i="67"/>
  <c r="X35" i="67"/>
  <c r="W35" i="67"/>
  <c r="Y35" i="67" s="1"/>
  <c r="U35" i="67"/>
  <c r="V35" i="67" s="1"/>
  <c r="T35" i="67"/>
  <c r="S35" i="67"/>
  <c r="F35" i="67"/>
  <c r="X34" i="67"/>
  <c r="W34" i="67"/>
  <c r="U34" i="67"/>
  <c r="T34" i="67"/>
  <c r="V34" i="67" s="1"/>
  <c r="S34" i="67"/>
  <c r="E34" i="67"/>
  <c r="K6" i="67" s="1"/>
  <c r="L45" i="15" s="1"/>
  <c r="D34" i="67"/>
  <c r="X33" i="67"/>
  <c r="W33" i="67"/>
  <c r="U33" i="67"/>
  <c r="T33" i="67"/>
  <c r="S33" i="67"/>
  <c r="X32" i="67"/>
  <c r="W32" i="67"/>
  <c r="Y32" i="67" s="1"/>
  <c r="U32" i="67"/>
  <c r="T32" i="67"/>
  <c r="S32" i="67"/>
  <c r="X31" i="67"/>
  <c r="W31" i="67"/>
  <c r="U31" i="67"/>
  <c r="T31" i="67"/>
  <c r="V31" i="67" s="1"/>
  <c r="S31" i="67"/>
  <c r="X30" i="67"/>
  <c r="W30" i="67"/>
  <c r="Y30" i="67" s="1"/>
  <c r="U30" i="67"/>
  <c r="T30" i="67"/>
  <c r="S30" i="67"/>
  <c r="X29" i="67"/>
  <c r="W29" i="67"/>
  <c r="U29" i="67"/>
  <c r="T29" i="67"/>
  <c r="V29" i="67" s="1"/>
  <c r="S29" i="67"/>
  <c r="X28" i="67"/>
  <c r="W28" i="67"/>
  <c r="Y28" i="67" s="1"/>
  <c r="U28" i="67"/>
  <c r="T28" i="67"/>
  <c r="V28" i="67" s="1"/>
  <c r="S28" i="67"/>
  <c r="X27" i="67"/>
  <c r="W27" i="67"/>
  <c r="Y27" i="67" s="1"/>
  <c r="U27" i="67"/>
  <c r="T27" i="67"/>
  <c r="S27" i="67"/>
  <c r="X26" i="67"/>
  <c r="W26" i="67"/>
  <c r="U26" i="67"/>
  <c r="T26" i="67"/>
  <c r="V26" i="67" s="1"/>
  <c r="S26" i="67"/>
  <c r="X25" i="67"/>
  <c r="W25" i="67"/>
  <c r="Y25" i="67" s="1"/>
  <c r="U25" i="67"/>
  <c r="T25" i="67"/>
  <c r="S25" i="67"/>
  <c r="F25" i="67"/>
  <c r="X24" i="67"/>
  <c r="W24" i="67"/>
  <c r="Y24" i="67" s="1"/>
  <c r="U24" i="67"/>
  <c r="T24" i="67"/>
  <c r="S24" i="67"/>
  <c r="F24" i="67"/>
  <c r="X23" i="67"/>
  <c r="W23" i="67"/>
  <c r="Y23" i="67" s="1"/>
  <c r="U23" i="67"/>
  <c r="T23" i="67"/>
  <c r="V23" i="67" s="1"/>
  <c r="S23" i="67"/>
  <c r="F23" i="67"/>
  <c r="X22" i="67"/>
  <c r="Y22" i="67" s="1"/>
  <c r="W22" i="67"/>
  <c r="U22" i="67"/>
  <c r="T22" i="67"/>
  <c r="V22" i="67" s="1"/>
  <c r="S22" i="67"/>
  <c r="F22" i="67"/>
  <c r="X21" i="67"/>
  <c r="W21" i="67"/>
  <c r="U21" i="67"/>
  <c r="T21" i="67"/>
  <c r="S21" i="67"/>
  <c r="E21" i="67"/>
  <c r="E30" i="67" s="1"/>
  <c r="D21" i="67"/>
  <c r="X20" i="67"/>
  <c r="W20" i="67"/>
  <c r="Y20" i="67" s="1"/>
  <c r="U20" i="67"/>
  <c r="T20" i="67"/>
  <c r="S20" i="67"/>
  <c r="B20" i="67"/>
  <c r="X19" i="67"/>
  <c r="W19" i="67"/>
  <c r="U19" i="67"/>
  <c r="T19" i="67"/>
  <c r="S19" i="67"/>
  <c r="F19" i="67"/>
  <c r="X18" i="67"/>
  <c r="W18" i="67"/>
  <c r="Y18" i="67" s="1"/>
  <c r="U18" i="67"/>
  <c r="V18" i="67" s="1"/>
  <c r="T18" i="67"/>
  <c r="S18" i="67"/>
  <c r="F18" i="67"/>
  <c r="X17" i="67"/>
  <c r="W17" i="67"/>
  <c r="U17" i="67"/>
  <c r="T17" i="67"/>
  <c r="S17" i="67"/>
  <c r="F17" i="67"/>
  <c r="X16" i="67"/>
  <c r="W16" i="67"/>
  <c r="W15" i="67" s="1"/>
  <c r="D64" i="67" s="1"/>
  <c r="P5" i="67" s="1"/>
  <c r="Q45" i="14" s="1"/>
  <c r="U16" i="67"/>
  <c r="T16" i="67"/>
  <c r="S16" i="67"/>
  <c r="E15" i="67"/>
  <c r="F16" i="67"/>
  <c r="D15" i="67"/>
  <c r="D29" i="67" s="1"/>
  <c r="Q6" i="67"/>
  <c r="R45" i="15" s="1"/>
  <c r="N6" i="67"/>
  <c r="O45" i="15" s="1"/>
  <c r="M6" i="67"/>
  <c r="N45" i="15" s="1"/>
  <c r="L6" i="67"/>
  <c r="M45" i="15" s="1"/>
  <c r="Q5" i="67"/>
  <c r="Q7" i="67" s="1"/>
  <c r="O5" i="67"/>
  <c r="P45" i="14" s="1"/>
  <c r="N5" i="67"/>
  <c r="N7" i="67" s="1"/>
  <c r="L5" i="67"/>
  <c r="M45" i="14" s="1"/>
  <c r="K5" i="67"/>
  <c r="I5" i="67"/>
  <c r="J45" i="14" s="1"/>
  <c r="W4" i="67"/>
  <c r="V4" i="67"/>
  <c r="U4" i="67"/>
  <c r="T4" i="67"/>
  <c r="X179" i="66"/>
  <c r="W179" i="66"/>
  <c r="Y179" i="66" s="1"/>
  <c r="U179" i="66"/>
  <c r="T179" i="66"/>
  <c r="V179" i="66" s="1"/>
  <c r="S179" i="66"/>
  <c r="X178" i="66"/>
  <c r="W178" i="66"/>
  <c r="Y178" i="66" s="1"/>
  <c r="V178" i="66"/>
  <c r="U178" i="66"/>
  <c r="T178" i="66"/>
  <c r="S178" i="66"/>
  <c r="Y177" i="66"/>
  <c r="X177" i="66"/>
  <c r="W177" i="66"/>
  <c r="U177" i="66"/>
  <c r="V177" i="66" s="1"/>
  <c r="T177" i="66"/>
  <c r="S177" i="66"/>
  <c r="X176" i="66"/>
  <c r="W176" i="66"/>
  <c r="Y176" i="66" s="1"/>
  <c r="U176" i="66"/>
  <c r="T176" i="66"/>
  <c r="V176" i="66" s="1"/>
  <c r="S176" i="66"/>
  <c r="X175" i="66"/>
  <c r="W175" i="66"/>
  <c r="Y175" i="66" s="1"/>
  <c r="U175" i="66"/>
  <c r="T175" i="66"/>
  <c r="V175" i="66" s="1"/>
  <c r="S175" i="66"/>
  <c r="X174" i="66"/>
  <c r="W174" i="66"/>
  <c r="Y174" i="66" s="1"/>
  <c r="V174" i="66"/>
  <c r="U174" i="66"/>
  <c r="T174" i="66"/>
  <c r="S174" i="66"/>
  <c r="Y173" i="66"/>
  <c r="X173" i="66"/>
  <c r="W173" i="66"/>
  <c r="U173" i="66"/>
  <c r="T173" i="66"/>
  <c r="V173" i="66" s="1"/>
  <c r="S173" i="66"/>
  <c r="X172" i="66"/>
  <c r="Y172" i="66" s="1"/>
  <c r="W172" i="66"/>
  <c r="U172" i="66"/>
  <c r="T172" i="66"/>
  <c r="V172" i="66" s="1"/>
  <c r="S172" i="66"/>
  <c r="X171" i="66"/>
  <c r="W171" i="66"/>
  <c r="Y171" i="66" s="1"/>
  <c r="U171" i="66"/>
  <c r="T171" i="66"/>
  <c r="V171" i="66" s="1"/>
  <c r="S171" i="66"/>
  <c r="X170" i="66"/>
  <c r="W170" i="66"/>
  <c r="Y170" i="66" s="1"/>
  <c r="V170" i="66"/>
  <c r="U170" i="66"/>
  <c r="T170" i="66"/>
  <c r="S170" i="66"/>
  <c r="Y169" i="66"/>
  <c r="X169" i="66"/>
  <c r="W169" i="66"/>
  <c r="U169" i="66"/>
  <c r="T169" i="66"/>
  <c r="V169" i="66" s="1"/>
  <c r="S169" i="66"/>
  <c r="X168" i="66"/>
  <c r="W168" i="66"/>
  <c r="Y168" i="66" s="1"/>
  <c r="U168" i="66"/>
  <c r="T168" i="66"/>
  <c r="V168" i="66" s="1"/>
  <c r="S168" i="66"/>
  <c r="X167" i="66"/>
  <c r="W167" i="66"/>
  <c r="Y167" i="66" s="1"/>
  <c r="U167" i="66"/>
  <c r="T167" i="66"/>
  <c r="V167" i="66" s="1"/>
  <c r="S167" i="66"/>
  <c r="X166" i="66"/>
  <c r="W166" i="66"/>
  <c r="Y166" i="66" s="1"/>
  <c r="V166" i="66"/>
  <c r="U166" i="66"/>
  <c r="T166" i="66"/>
  <c r="S166" i="66"/>
  <c r="Y165" i="66"/>
  <c r="X165" i="66"/>
  <c r="W165" i="66"/>
  <c r="U165" i="66"/>
  <c r="T165" i="66"/>
  <c r="V165" i="66" s="1"/>
  <c r="S165" i="66"/>
  <c r="X164" i="66"/>
  <c r="W164" i="66"/>
  <c r="Y164" i="66" s="1"/>
  <c r="U164" i="66"/>
  <c r="T164" i="66"/>
  <c r="V164" i="66" s="1"/>
  <c r="S164" i="66"/>
  <c r="X163" i="66"/>
  <c r="W163" i="66"/>
  <c r="Y163" i="66" s="1"/>
  <c r="U163" i="66"/>
  <c r="V163" i="66" s="1"/>
  <c r="T163" i="66"/>
  <c r="S163" i="66"/>
  <c r="X162" i="66"/>
  <c r="Y162" i="66" s="1"/>
  <c r="W162" i="66"/>
  <c r="V162" i="66"/>
  <c r="U162" i="66"/>
  <c r="T162" i="66"/>
  <c r="S162" i="66"/>
  <c r="Y161" i="66"/>
  <c r="X161" i="66"/>
  <c r="W161" i="66"/>
  <c r="U161" i="66"/>
  <c r="T161" i="66"/>
  <c r="V161" i="66" s="1"/>
  <c r="S161" i="66"/>
  <c r="X160" i="66"/>
  <c r="W160" i="66"/>
  <c r="Y160" i="66" s="1"/>
  <c r="U160" i="66"/>
  <c r="T160" i="66"/>
  <c r="V160" i="66" s="1"/>
  <c r="S160" i="66"/>
  <c r="X159" i="66"/>
  <c r="W159" i="66"/>
  <c r="Y159" i="66" s="1"/>
  <c r="U159" i="66"/>
  <c r="T159" i="66"/>
  <c r="V159" i="66" s="1"/>
  <c r="S159" i="66"/>
  <c r="X158" i="66"/>
  <c r="W158" i="66"/>
  <c r="Y158" i="66" s="1"/>
  <c r="V158" i="66"/>
  <c r="U158" i="66"/>
  <c r="T158" i="66"/>
  <c r="S158" i="66"/>
  <c r="Y157" i="66"/>
  <c r="X157" i="66"/>
  <c r="W157" i="66"/>
  <c r="U157" i="66"/>
  <c r="T157" i="66"/>
  <c r="V157" i="66" s="1"/>
  <c r="S157" i="66"/>
  <c r="X156" i="66"/>
  <c r="W156" i="66"/>
  <c r="Y156" i="66" s="1"/>
  <c r="U156" i="66"/>
  <c r="T156" i="66"/>
  <c r="V156" i="66" s="1"/>
  <c r="S156" i="66"/>
  <c r="X155" i="66"/>
  <c r="W155" i="66"/>
  <c r="Y155" i="66" s="1"/>
  <c r="U155" i="66"/>
  <c r="T155" i="66"/>
  <c r="V155" i="66" s="1"/>
  <c r="S155" i="66"/>
  <c r="X154" i="66"/>
  <c r="W154" i="66"/>
  <c r="Y154" i="66" s="1"/>
  <c r="V154" i="66"/>
  <c r="U154" i="66"/>
  <c r="T154" i="66"/>
  <c r="S154" i="66"/>
  <c r="Y153" i="66"/>
  <c r="X153" i="66"/>
  <c r="W153" i="66"/>
  <c r="U153" i="66"/>
  <c r="T153" i="66"/>
  <c r="V153" i="66" s="1"/>
  <c r="S153" i="66"/>
  <c r="X152" i="66"/>
  <c r="W152" i="66"/>
  <c r="Y152" i="66" s="1"/>
  <c r="U152" i="66"/>
  <c r="T152" i="66"/>
  <c r="V152" i="66" s="1"/>
  <c r="S152" i="66"/>
  <c r="X151" i="66"/>
  <c r="W151" i="66"/>
  <c r="Y151" i="66" s="1"/>
  <c r="U151" i="66"/>
  <c r="T151" i="66"/>
  <c r="V151" i="66" s="1"/>
  <c r="S151" i="66"/>
  <c r="X150" i="66"/>
  <c r="W150" i="66"/>
  <c r="Y150" i="66" s="1"/>
  <c r="V150" i="66"/>
  <c r="U150" i="66"/>
  <c r="T150" i="66"/>
  <c r="S150" i="66"/>
  <c r="Y149" i="66"/>
  <c r="X149" i="66"/>
  <c r="W149" i="66"/>
  <c r="U149" i="66"/>
  <c r="T149" i="66"/>
  <c r="V149" i="66" s="1"/>
  <c r="S149" i="66"/>
  <c r="X148" i="66"/>
  <c r="W148" i="66"/>
  <c r="Y148" i="66" s="1"/>
  <c r="U148" i="66"/>
  <c r="T148" i="66"/>
  <c r="V148" i="66" s="1"/>
  <c r="S148" i="66"/>
  <c r="X147" i="66"/>
  <c r="W147" i="66"/>
  <c r="Y147" i="66" s="1"/>
  <c r="U147" i="66"/>
  <c r="T147" i="66"/>
  <c r="V147" i="66" s="1"/>
  <c r="S147" i="66"/>
  <c r="X146" i="66"/>
  <c r="W146" i="66"/>
  <c r="Y146" i="66" s="1"/>
  <c r="V146" i="66"/>
  <c r="U146" i="66"/>
  <c r="T146" i="66"/>
  <c r="S146" i="66"/>
  <c r="Y145" i="66"/>
  <c r="X145" i="66"/>
  <c r="W145" i="66"/>
  <c r="U145" i="66"/>
  <c r="V145" i="66" s="1"/>
  <c r="T145" i="66"/>
  <c r="S145" i="66"/>
  <c r="X144" i="66"/>
  <c r="W144" i="66"/>
  <c r="Y144" i="66" s="1"/>
  <c r="U144" i="66"/>
  <c r="T144" i="66"/>
  <c r="V144" i="66" s="1"/>
  <c r="S144" i="66"/>
  <c r="X143" i="66"/>
  <c r="W143" i="66"/>
  <c r="Y143" i="66" s="1"/>
  <c r="V143" i="66"/>
  <c r="U143" i="66"/>
  <c r="T143" i="66"/>
  <c r="S143" i="66"/>
  <c r="Y142" i="66"/>
  <c r="X142" i="66"/>
  <c r="W142" i="66"/>
  <c r="U142" i="66"/>
  <c r="T142" i="66"/>
  <c r="S142" i="66"/>
  <c r="X141" i="66"/>
  <c r="Y141" i="66" s="1"/>
  <c r="W141" i="66"/>
  <c r="U141" i="66"/>
  <c r="T141" i="66"/>
  <c r="V141" i="66" s="1"/>
  <c r="S141" i="66"/>
  <c r="X140" i="66"/>
  <c r="W140" i="66"/>
  <c r="Y140" i="66" s="1"/>
  <c r="U140" i="66"/>
  <c r="T140" i="66"/>
  <c r="V140" i="66" s="1"/>
  <c r="S140" i="66"/>
  <c r="X139" i="66"/>
  <c r="W139" i="66"/>
  <c r="Y139" i="66" s="1"/>
  <c r="V139" i="66"/>
  <c r="U139" i="66"/>
  <c r="T139" i="66"/>
  <c r="S139" i="66"/>
  <c r="Y138" i="66"/>
  <c r="X138" i="66"/>
  <c r="W138" i="66"/>
  <c r="U138" i="66"/>
  <c r="V138" i="66" s="1"/>
  <c r="T138" i="66"/>
  <c r="S138" i="66"/>
  <c r="X137" i="66"/>
  <c r="Y137" i="66" s="1"/>
  <c r="W137" i="66"/>
  <c r="U137" i="66"/>
  <c r="T137" i="66"/>
  <c r="V137" i="66" s="1"/>
  <c r="S137" i="66"/>
  <c r="X136" i="66"/>
  <c r="W136" i="66"/>
  <c r="Y136" i="66" s="1"/>
  <c r="U136" i="66"/>
  <c r="T136" i="66"/>
  <c r="V136" i="66" s="1"/>
  <c r="S136" i="66"/>
  <c r="X135" i="66"/>
  <c r="W135" i="66"/>
  <c r="U135" i="66"/>
  <c r="T135" i="66"/>
  <c r="V135" i="66" s="1"/>
  <c r="S135" i="66"/>
  <c r="X134" i="66"/>
  <c r="W134" i="66"/>
  <c r="Y134" i="66" s="1"/>
  <c r="U134" i="66"/>
  <c r="T134" i="66"/>
  <c r="S134" i="66"/>
  <c r="X133" i="66"/>
  <c r="W133" i="66"/>
  <c r="U133" i="66"/>
  <c r="T133" i="66"/>
  <c r="V133" i="66" s="1"/>
  <c r="S133" i="66"/>
  <c r="X132" i="66"/>
  <c r="W132" i="66"/>
  <c r="Y132" i="66" s="1"/>
  <c r="U132" i="66"/>
  <c r="T132" i="66"/>
  <c r="V132" i="66" s="1"/>
  <c r="S132" i="66"/>
  <c r="X131" i="66"/>
  <c r="W131" i="66"/>
  <c r="U131" i="66"/>
  <c r="T131" i="66"/>
  <c r="V131" i="66" s="1"/>
  <c r="S131" i="66"/>
  <c r="X130" i="66"/>
  <c r="W130" i="66"/>
  <c r="Y130" i="66" s="1"/>
  <c r="U130" i="66"/>
  <c r="T130" i="66"/>
  <c r="S130" i="66"/>
  <c r="X129" i="66"/>
  <c r="W129" i="66"/>
  <c r="U129" i="66"/>
  <c r="T129" i="66"/>
  <c r="V129" i="66" s="1"/>
  <c r="S129" i="66"/>
  <c r="X128" i="66"/>
  <c r="W128" i="66"/>
  <c r="Y128" i="66" s="1"/>
  <c r="U128" i="66"/>
  <c r="T128" i="66"/>
  <c r="S128" i="66"/>
  <c r="X127" i="66"/>
  <c r="W127" i="66"/>
  <c r="U127" i="66"/>
  <c r="T127" i="66"/>
  <c r="V127" i="66" s="1"/>
  <c r="S127" i="66"/>
  <c r="X126" i="66"/>
  <c r="W126" i="66"/>
  <c r="Y126" i="66" s="1"/>
  <c r="U126" i="66"/>
  <c r="T126" i="66"/>
  <c r="V126" i="66" s="1"/>
  <c r="S126" i="66"/>
  <c r="X125" i="66"/>
  <c r="W125" i="66"/>
  <c r="U125" i="66"/>
  <c r="T125" i="66"/>
  <c r="V125" i="66" s="1"/>
  <c r="S125" i="66"/>
  <c r="X124" i="66"/>
  <c r="W124" i="66"/>
  <c r="Y124" i="66" s="1"/>
  <c r="U124" i="66"/>
  <c r="T124" i="66"/>
  <c r="V124" i="66" s="1"/>
  <c r="S124" i="66"/>
  <c r="X123" i="66"/>
  <c r="W123" i="66"/>
  <c r="U123" i="66"/>
  <c r="T123" i="66"/>
  <c r="V123" i="66" s="1"/>
  <c r="S123" i="66"/>
  <c r="X122" i="66"/>
  <c r="W122" i="66"/>
  <c r="Y122" i="66" s="1"/>
  <c r="U122" i="66"/>
  <c r="T122" i="66"/>
  <c r="V122" i="66" s="1"/>
  <c r="S122" i="66"/>
  <c r="X121" i="66"/>
  <c r="W121" i="66"/>
  <c r="U121" i="66"/>
  <c r="T121" i="66"/>
  <c r="V121" i="66" s="1"/>
  <c r="S121" i="66"/>
  <c r="X120" i="66"/>
  <c r="W120" i="66"/>
  <c r="Y120" i="66" s="1"/>
  <c r="U120" i="66"/>
  <c r="T120" i="66"/>
  <c r="S120" i="66"/>
  <c r="X119" i="66"/>
  <c r="W119" i="66"/>
  <c r="U119" i="66"/>
  <c r="T119" i="66"/>
  <c r="V119" i="66" s="1"/>
  <c r="S119" i="66"/>
  <c r="X118" i="66"/>
  <c r="W118" i="66"/>
  <c r="Y118" i="66" s="1"/>
  <c r="U118" i="66"/>
  <c r="T118" i="66"/>
  <c r="S118" i="66"/>
  <c r="X117" i="66"/>
  <c r="W117" i="66"/>
  <c r="U117" i="66"/>
  <c r="T117" i="66"/>
  <c r="V117" i="66" s="1"/>
  <c r="S117" i="66"/>
  <c r="X116" i="66"/>
  <c r="W116" i="66"/>
  <c r="Y116" i="66" s="1"/>
  <c r="U116" i="66"/>
  <c r="T116" i="66"/>
  <c r="V116" i="66" s="1"/>
  <c r="S116" i="66"/>
  <c r="X115" i="66"/>
  <c r="W115" i="66"/>
  <c r="U115" i="66"/>
  <c r="T115" i="66"/>
  <c r="V115" i="66" s="1"/>
  <c r="S115" i="66"/>
  <c r="X114" i="66"/>
  <c r="W114" i="66"/>
  <c r="Y114" i="66" s="1"/>
  <c r="U114" i="66"/>
  <c r="V114" i="66" s="1"/>
  <c r="T114" i="66"/>
  <c r="S114" i="66"/>
  <c r="X113" i="66"/>
  <c r="Y113" i="66" s="1"/>
  <c r="W113" i="66"/>
  <c r="U113" i="66"/>
  <c r="T113" i="66"/>
  <c r="V113" i="66" s="1"/>
  <c r="S113" i="66"/>
  <c r="X112" i="66"/>
  <c r="W112" i="66"/>
  <c r="Y112" i="66" s="1"/>
  <c r="U112" i="66"/>
  <c r="T112" i="66"/>
  <c r="S112" i="66"/>
  <c r="X111" i="66"/>
  <c r="W111" i="66"/>
  <c r="U111" i="66"/>
  <c r="T111" i="66"/>
  <c r="V111" i="66" s="1"/>
  <c r="S111" i="66"/>
  <c r="X110" i="66"/>
  <c r="W110" i="66"/>
  <c r="Y110" i="66" s="1"/>
  <c r="U110" i="66"/>
  <c r="T110" i="66"/>
  <c r="V110" i="66" s="1"/>
  <c r="S110" i="66"/>
  <c r="X109" i="66"/>
  <c r="W109" i="66"/>
  <c r="U109" i="66"/>
  <c r="T109" i="66"/>
  <c r="V109" i="66" s="1"/>
  <c r="S109" i="66"/>
  <c r="X108" i="66"/>
  <c r="W108" i="66"/>
  <c r="Y108" i="66" s="1"/>
  <c r="U108" i="66"/>
  <c r="T108" i="66"/>
  <c r="S108" i="66"/>
  <c r="X107" i="66"/>
  <c r="W107" i="66"/>
  <c r="U107" i="66"/>
  <c r="T107" i="66"/>
  <c r="V107" i="66" s="1"/>
  <c r="S107" i="66"/>
  <c r="X106" i="66"/>
  <c r="W106" i="66"/>
  <c r="Y106" i="66" s="1"/>
  <c r="U106" i="66"/>
  <c r="T106" i="66"/>
  <c r="V106" i="66" s="1"/>
  <c r="S106" i="66"/>
  <c r="X105" i="66"/>
  <c r="W105" i="66"/>
  <c r="U105" i="66"/>
  <c r="T105" i="66"/>
  <c r="V105" i="66" s="1"/>
  <c r="S105" i="66"/>
  <c r="X104" i="66"/>
  <c r="W104" i="66"/>
  <c r="Y104" i="66" s="1"/>
  <c r="U104" i="66"/>
  <c r="V104" i="66" s="1"/>
  <c r="T104" i="66"/>
  <c r="S104" i="66"/>
  <c r="X103" i="66"/>
  <c r="W103" i="66"/>
  <c r="U103" i="66"/>
  <c r="T103" i="66"/>
  <c r="V103" i="66" s="1"/>
  <c r="S103" i="66"/>
  <c r="X102" i="66"/>
  <c r="W102" i="66"/>
  <c r="Y102" i="66" s="1"/>
  <c r="U102" i="66"/>
  <c r="T102" i="66"/>
  <c r="V102" i="66" s="1"/>
  <c r="S102" i="66"/>
  <c r="X101" i="66"/>
  <c r="W101" i="66"/>
  <c r="U101" i="66"/>
  <c r="T101" i="66"/>
  <c r="V101" i="66" s="1"/>
  <c r="S101" i="66"/>
  <c r="X100" i="66"/>
  <c r="W100" i="66"/>
  <c r="Y100" i="66" s="1"/>
  <c r="U100" i="66"/>
  <c r="T100" i="66"/>
  <c r="V100" i="66" s="1"/>
  <c r="S100" i="66"/>
  <c r="X99" i="66"/>
  <c r="W99" i="66"/>
  <c r="U99" i="66"/>
  <c r="T99" i="66"/>
  <c r="V99" i="66" s="1"/>
  <c r="S99" i="66"/>
  <c r="X98" i="66"/>
  <c r="W98" i="66"/>
  <c r="Y98" i="66" s="1"/>
  <c r="U98" i="66"/>
  <c r="T98" i="66"/>
  <c r="V98" i="66" s="1"/>
  <c r="S98" i="66"/>
  <c r="X97" i="66"/>
  <c r="W97" i="66"/>
  <c r="U97" i="66"/>
  <c r="T97" i="66"/>
  <c r="V97" i="66" s="1"/>
  <c r="S97" i="66"/>
  <c r="X96" i="66"/>
  <c r="W96" i="66"/>
  <c r="Y96" i="66" s="1"/>
  <c r="U96" i="66"/>
  <c r="T96" i="66"/>
  <c r="S96" i="66"/>
  <c r="X95" i="66"/>
  <c r="W95" i="66"/>
  <c r="U95" i="66"/>
  <c r="T95" i="66"/>
  <c r="V95" i="66" s="1"/>
  <c r="S95" i="66"/>
  <c r="X94" i="66"/>
  <c r="W94" i="66"/>
  <c r="Y94" i="66" s="1"/>
  <c r="U94" i="66"/>
  <c r="T94" i="66"/>
  <c r="S94" i="66"/>
  <c r="X93" i="66"/>
  <c r="W93" i="66"/>
  <c r="U93" i="66"/>
  <c r="T93" i="66"/>
  <c r="V93" i="66" s="1"/>
  <c r="S93" i="66"/>
  <c r="X92" i="66"/>
  <c r="W92" i="66"/>
  <c r="Y92" i="66" s="1"/>
  <c r="U92" i="66"/>
  <c r="T92" i="66"/>
  <c r="S92" i="66"/>
  <c r="X91" i="66"/>
  <c r="W91" i="66"/>
  <c r="U91" i="66"/>
  <c r="T91" i="66"/>
  <c r="V91" i="66" s="1"/>
  <c r="S91" i="66"/>
  <c r="X90" i="66"/>
  <c r="W90" i="66"/>
  <c r="Y90" i="66" s="1"/>
  <c r="U90" i="66"/>
  <c r="T90" i="66"/>
  <c r="S90" i="66"/>
  <c r="X89" i="66"/>
  <c r="Y89" i="66" s="1"/>
  <c r="W89" i="66"/>
  <c r="U89" i="66"/>
  <c r="T89" i="66"/>
  <c r="V89" i="66" s="1"/>
  <c r="S89" i="66"/>
  <c r="X88" i="66"/>
  <c r="W88" i="66"/>
  <c r="Y88" i="66" s="1"/>
  <c r="U88" i="66"/>
  <c r="T88" i="66"/>
  <c r="V88" i="66" s="1"/>
  <c r="S88" i="66"/>
  <c r="X87" i="66"/>
  <c r="W87" i="66"/>
  <c r="U87" i="66"/>
  <c r="T87" i="66"/>
  <c r="V87" i="66" s="1"/>
  <c r="S87" i="66"/>
  <c r="X86" i="66"/>
  <c r="W86" i="66"/>
  <c r="Y86" i="66" s="1"/>
  <c r="U86" i="66"/>
  <c r="T86" i="66"/>
  <c r="S86" i="66"/>
  <c r="X85" i="66"/>
  <c r="W85" i="66"/>
  <c r="U85" i="66"/>
  <c r="T85" i="66"/>
  <c r="V85" i="66" s="1"/>
  <c r="S85" i="66"/>
  <c r="X84" i="66"/>
  <c r="W84" i="66"/>
  <c r="Y84" i="66" s="1"/>
  <c r="U84" i="66"/>
  <c r="T84" i="66"/>
  <c r="V84" i="66" s="1"/>
  <c r="S84" i="66"/>
  <c r="X83" i="66"/>
  <c r="W83" i="66"/>
  <c r="U83" i="66"/>
  <c r="T83" i="66"/>
  <c r="V83" i="66" s="1"/>
  <c r="S83" i="66"/>
  <c r="X82" i="66"/>
  <c r="W82" i="66"/>
  <c r="Y82" i="66" s="1"/>
  <c r="U82" i="66"/>
  <c r="T82" i="66"/>
  <c r="V82" i="66" s="1"/>
  <c r="S82" i="66"/>
  <c r="X81" i="66"/>
  <c r="W81" i="66"/>
  <c r="U81" i="66"/>
  <c r="T81" i="66"/>
  <c r="V81" i="66" s="1"/>
  <c r="S81" i="66"/>
  <c r="X80" i="66"/>
  <c r="W80" i="66"/>
  <c r="Y80" i="66" s="1"/>
  <c r="U80" i="66"/>
  <c r="T80" i="66"/>
  <c r="V80" i="66" s="1"/>
  <c r="S80" i="66"/>
  <c r="X79" i="66"/>
  <c r="W79" i="66"/>
  <c r="U79" i="66"/>
  <c r="T79" i="66"/>
  <c r="V79" i="66" s="1"/>
  <c r="S79" i="66"/>
  <c r="X78" i="66"/>
  <c r="W78" i="66"/>
  <c r="Y78" i="66" s="1"/>
  <c r="U78" i="66"/>
  <c r="V78" i="66" s="1"/>
  <c r="T78" i="66"/>
  <c r="S78" i="66"/>
  <c r="X77" i="66"/>
  <c r="Y77" i="66" s="1"/>
  <c r="W77" i="66"/>
  <c r="U77" i="66"/>
  <c r="T77" i="66"/>
  <c r="V77" i="66" s="1"/>
  <c r="S77" i="66"/>
  <c r="X76" i="66"/>
  <c r="W76" i="66"/>
  <c r="Y76" i="66" s="1"/>
  <c r="U76" i="66"/>
  <c r="T76" i="66"/>
  <c r="V76" i="66" s="1"/>
  <c r="S76" i="66"/>
  <c r="X75" i="66"/>
  <c r="W75" i="66"/>
  <c r="U75" i="66"/>
  <c r="T75" i="66"/>
  <c r="V75" i="66" s="1"/>
  <c r="S75" i="66"/>
  <c r="X74" i="66"/>
  <c r="W74" i="66"/>
  <c r="Y74" i="66" s="1"/>
  <c r="U74" i="66"/>
  <c r="V74" i="66" s="1"/>
  <c r="T74" i="66"/>
  <c r="S74" i="66"/>
  <c r="X73" i="66"/>
  <c r="Y73" i="66" s="1"/>
  <c r="W73" i="66"/>
  <c r="U73" i="66"/>
  <c r="T73" i="66"/>
  <c r="V73" i="66" s="1"/>
  <c r="S73" i="66"/>
  <c r="X72" i="66"/>
  <c r="W72" i="66"/>
  <c r="Y72" i="66" s="1"/>
  <c r="U72" i="66"/>
  <c r="T72" i="66"/>
  <c r="V72" i="66" s="1"/>
  <c r="S72" i="66"/>
  <c r="X71" i="66"/>
  <c r="W71" i="66"/>
  <c r="U71" i="66"/>
  <c r="T71" i="66"/>
  <c r="V71" i="66" s="1"/>
  <c r="S71" i="66"/>
  <c r="X70" i="66"/>
  <c r="W70" i="66"/>
  <c r="Y70" i="66" s="1"/>
  <c r="U70" i="66"/>
  <c r="V70" i="66" s="1"/>
  <c r="T70" i="66"/>
  <c r="S70" i="66"/>
  <c r="X69" i="66"/>
  <c r="Y69" i="66" s="1"/>
  <c r="W69" i="66"/>
  <c r="U69" i="66"/>
  <c r="T69" i="66"/>
  <c r="V69" i="66" s="1"/>
  <c r="S69" i="66"/>
  <c r="X68" i="66"/>
  <c r="W68" i="66"/>
  <c r="Y68" i="66" s="1"/>
  <c r="U68" i="66"/>
  <c r="T68" i="66"/>
  <c r="S68" i="66"/>
  <c r="X67" i="66"/>
  <c r="W67" i="66"/>
  <c r="U67" i="66"/>
  <c r="T67" i="66"/>
  <c r="V67" i="66" s="1"/>
  <c r="S67" i="66"/>
  <c r="X66" i="66"/>
  <c r="W66" i="66"/>
  <c r="Y66" i="66" s="1"/>
  <c r="U66" i="66"/>
  <c r="V66" i="66" s="1"/>
  <c r="T66" i="66"/>
  <c r="S66" i="66"/>
  <c r="X65" i="66"/>
  <c r="Y65" i="66" s="1"/>
  <c r="W65" i="66"/>
  <c r="U65" i="66"/>
  <c r="T65" i="66"/>
  <c r="V65" i="66" s="1"/>
  <c r="S65" i="66"/>
  <c r="X64" i="66"/>
  <c r="W64" i="66"/>
  <c r="Y64" i="66" s="1"/>
  <c r="U64" i="66"/>
  <c r="T64" i="66"/>
  <c r="V64" i="66" s="1"/>
  <c r="S64" i="66"/>
  <c r="X63" i="66"/>
  <c r="W63" i="66"/>
  <c r="Y63" i="66" s="1"/>
  <c r="U63" i="66"/>
  <c r="V63" i="66" s="1"/>
  <c r="T63" i="66"/>
  <c r="S63" i="66"/>
  <c r="X62" i="66"/>
  <c r="Y62" i="66" s="1"/>
  <c r="W62" i="66"/>
  <c r="U62" i="66"/>
  <c r="T62" i="66"/>
  <c r="V62" i="66" s="1"/>
  <c r="S62" i="66"/>
  <c r="F62" i="66"/>
  <c r="X61" i="66"/>
  <c r="Y61" i="66" s="1"/>
  <c r="W61" i="66"/>
  <c r="V61" i="66"/>
  <c r="U61" i="66"/>
  <c r="T61" i="66"/>
  <c r="S61" i="66"/>
  <c r="F61" i="66"/>
  <c r="X60" i="66"/>
  <c r="W60" i="66"/>
  <c r="V60" i="66"/>
  <c r="U60" i="66"/>
  <c r="T60" i="66"/>
  <c r="S60" i="66"/>
  <c r="F60" i="66"/>
  <c r="X59" i="66"/>
  <c r="W59" i="66"/>
  <c r="U59" i="66"/>
  <c r="T59" i="66"/>
  <c r="V59" i="66" s="1"/>
  <c r="S59" i="66"/>
  <c r="F59" i="66"/>
  <c r="X58" i="66"/>
  <c r="W58" i="66"/>
  <c r="U58" i="66"/>
  <c r="T58" i="66"/>
  <c r="V58" i="66" s="1"/>
  <c r="S58" i="66"/>
  <c r="E58" i="66"/>
  <c r="D58" i="66"/>
  <c r="F58" i="66" s="1"/>
  <c r="X57" i="66"/>
  <c r="W57" i="66"/>
  <c r="U57" i="66"/>
  <c r="T57" i="66"/>
  <c r="V57" i="66" s="1"/>
  <c r="S57" i="66"/>
  <c r="X56" i="66"/>
  <c r="W56" i="66"/>
  <c r="Y56" i="66" s="1"/>
  <c r="U56" i="66"/>
  <c r="T56" i="66"/>
  <c r="S56" i="66"/>
  <c r="F56" i="66"/>
  <c r="X55" i="66"/>
  <c r="W55" i="66"/>
  <c r="Y55" i="66" s="1"/>
  <c r="U55" i="66"/>
  <c r="T55" i="66"/>
  <c r="S55" i="66"/>
  <c r="F55" i="66"/>
  <c r="Y54" i="66"/>
  <c r="X54" i="66"/>
  <c r="W54" i="66"/>
  <c r="U54" i="66"/>
  <c r="T54" i="66"/>
  <c r="S54" i="66"/>
  <c r="F54" i="66"/>
  <c r="Y53" i="66"/>
  <c r="X53" i="66"/>
  <c r="W53" i="66"/>
  <c r="U53" i="66"/>
  <c r="V53" i="66" s="1"/>
  <c r="T53" i="66"/>
  <c r="S53" i="66"/>
  <c r="F53" i="66"/>
  <c r="X52" i="66"/>
  <c r="W52" i="66"/>
  <c r="Y52" i="66" s="1"/>
  <c r="U52" i="66"/>
  <c r="V52" i="66" s="1"/>
  <c r="T52" i="66"/>
  <c r="S52" i="66"/>
  <c r="E52" i="66"/>
  <c r="D52" i="66"/>
  <c r="N5" i="66" s="1"/>
  <c r="O44" i="14" s="1"/>
  <c r="X51" i="66"/>
  <c r="W51" i="66"/>
  <c r="Y51" i="66" s="1"/>
  <c r="U51" i="66"/>
  <c r="T51" i="66"/>
  <c r="S51" i="66"/>
  <c r="X50" i="66"/>
  <c r="W50" i="66"/>
  <c r="U50" i="66"/>
  <c r="T50" i="66"/>
  <c r="V50" i="66" s="1"/>
  <c r="S50" i="66"/>
  <c r="F50" i="66"/>
  <c r="X49" i="66"/>
  <c r="W49" i="66"/>
  <c r="U49" i="66"/>
  <c r="T49" i="66"/>
  <c r="V49" i="66" s="1"/>
  <c r="S49" i="66"/>
  <c r="F49" i="66"/>
  <c r="X48" i="66"/>
  <c r="W48" i="66"/>
  <c r="Y48" i="66" s="1"/>
  <c r="V48" i="66"/>
  <c r="U48" i="66"/>
  <c r="T48" i="66"/>
  <c r="S48" i="66"/>
  <c r="F48" i="66"/>
  <c r="X47" i="66"/>
  <c r="W47" i="66"/>
  <c r="V47" i="66"/>
  <c r="U47" i="66"/>
  <c r="T47" i="66"/>
  <c r="S47" i="66"/>
  <c r="F47" i="66"/>
  <c r="X46" i="66"/>
  <c r="W46" i="66"/>
  <c r="U46" i="66"/>
  <c r="T46" i="66"/>
  <c r="V46" i="66" s="1"/>
  <c r="S46" i="66"/>
  <c r="E46" i="66"/>
  <c r="D46" i="66"/>
  <c r="F46" i="66" s="1"/>
  <c r="X45" i="66"/>
  <c r="W45" i="66"/>
  <c r="Y45" i="66" s="1"/>
  <c r="V45" i="66"/>
  <c r="U45" i="66"/>
  <c r="T45" i="66"/>
  <c r="S45" i="66"/>
  <c r="Y44" i="66"/>
  <c r="X44" i="66"/>
  <c r="W44" i="66"/>
  <c r="U44" i="66"/>
  <c r="T44" i="66"/>
  <c r="V44" i="66" s="1"/>
  <c r="S44" i="66"/>
  <c r="F44" i="66"/>
  <c r="X43" i="66"/>
  <c r="W43" i="66"/>
  <c r="Y43" i="66" s="1"/>
  <c r="U43" i="66"/>
  <c r="T43" i="66"/>
  <c r="V43" i="66" s="1"/>
  <c r="S43" i="66"/>
  <c r="F43" i="66"/>
  <c r="X42" i="66"/>
  <c r="W42" i="66"/>
  <c r="Y42" i="66" s="1"/>
  <c r="U42" i="66"/>
  <c r="T42" i="66"/>
  <c r="S42" i="66"/>
  <c r="F42" i="66"/>
  <c r="Y41" i="66"/>
  <c r="X41" i="66"/>
  <c r="W41" i="66"/>
  <c r="U41" i="66"/>
  <c r="T41" i="66"/>
  <c r="S41" i="66"/>
  <c r="F41" i="66"/>
  <c r="Y40" i="66"/>
  <c r="X40" i="66"/>
  <c r="W40" i="66"/>
  <c r="U40" i="66"/>
  <c r="T40" i="66"/>
  <c r="V40" i="66" s="1"/>
  <c r="S40" i="66"/>
  <c r="E40" i="66"/>
  <c r="L6" i="66" s="1"/>
  <c r="M44" i="15" s="1"/>
  <c r="D40" i="66"/>
  <c r="F40" i="66" s="1"/>
  <c r="Y39" i="66"/>
  <c r="X39" i="66"/>
  <c r="W39" i="66"/>
  <c r="U39" i="66"/>
  <c r="V39" i="66" s="1"/>
  <c r="T39" i="66"/>
  <c r="S39" i="66"/>
  <c r="X38" i="66"/>
  <c r="Y38" i="66" s="1"/>
  <c r="W38" i="66"/>
  <c r="V38" i="66"/>
  <c r="U38" i="66"/>
  <c r="T38" i="66"/>
  <c r="S38" i="66"/>
  <c r="F38" i="66"/>
  <c r="X37" i="66"/>
  <c r="Y37" i="66" s="1"/>
  <c r="W37" i="66"/>
  <c r="U37" i="66"/>
  <c r="T37" i="66"/>
  <c r="V37" i="66" s="1"/>
  <c r="S37" i="66"/>
  <c r="F37" i="66"/>
  <c r="X36" i="66"/>
  <c r="Y36" i="66" s="1"/>
  <c r="W36" i="66"/>
  <c r="U36" i="66"/>
  <c r="T36" i="66"/>
  <c r="V36" i="66" s="1"/>
  <c r="S36" i="66"/>
  <c r="F36" i="66"/>
  <c r="X35" i="66"/>
  <c r="Y35" i="66" s="1"/>
  <c r="W35" i="66"/>
  <c r="V35" i="66"/>
  <c r="U35" i="66"/>
  <c r="T35" i="66"/>
  <c r="S35" i="66"/>
  <c r="F35" i="66"/>
  <c r="X34" i="66"/>
  <c r="Y34" i="66" s="1"/>
  <c r="W34" i="66"/>
  <c r="V34" i="66"/>
  <c r="U34" i="66"/>
  <c r="T34" i="66"/>
  <c r="S34" i="66"/>
  <c r="F34" i="66"/>
  <c r="E34" i="66"/>
  <c r="D34" i="66"/>
  <c r="X33" i="66"/>
  <c r="W33" i="66"/>
  <c r="Y33" i="66" s="1"/>
  <c r="V33" i="66"/>
  <c r="U33" i="66"/>
  <c r="T33" i="66"/>
  <c r="S33" i="66"/>
  <c r="Y32" i="66"/>
  <c r="X32" i="66"/>
  <c r="W32" i="66"/>
  <c r="U32" i="66"/>
  <c r="T32" i="66"/>
  <c r="S32" i="66"/>
  <c r="X31" i="66"/>
  <c r="W31" i="66"/>
  <c r="Y31" i="66" s="1"/>
  <c r="V31" i="66"/>
  <c r="U31" i="66"/>
  <c r="T31" i="66"/>
  <c r="S31" i="66"/>
  <c r="Y30" i="66"/>
  <c r="X30" i="66"/>
  <c r="W30" i="66"/>
  <c r="U30" i="66"/>
  <c r="T30" i="66"/>
  <c r="S30" i="66"/>
  <c r="Y29" i="66"/>
  <c r="X29" i="66"/>
  <c r="W29" i="66"/>
  <c r="U29" i="66"/>
  <c r="V29" i="66" s="1"/>
  <c r="T29" i="66"/>
  <c r="S29" i="66"/>
  <c r="X28" i="66"/>
  <c r="W28" i="66"/>
  <c r="Y28" i="66" s="1"/>
  <c r="U28" i="66"/>
  <c r="T28" i="66"/>
  <c r="V28" i="66" s="1"/>
  <c r="S28" i="66"/>
  <c r="X27" i="66"/>
  <c r="W27" i="66"/>
  <c r="U27" i="66"/>
  <c r="T27" i="66"/>
  <c r="V27" i="66" s="1"/>
  <c r="S27" i="66"/>
  <c r="X26" i="66"/>
  <c r="W26" i="66"/>
  <c r="U26" i="66"/>
  <c r="T26" i="66"/>
  <c r="S26" i="66"/>
  <c r="X25" i="66"/>
  <c r="W25" i="66"/>
  <c r="Y25" i="66" s="1"/>
  <c r="U25" i="66"/>
  <c r="T25" i="66"/>
  <c r="V25" i="66" s="1"/>
  <c r="S25" i="66"/>
  <c r="F25" i="66"/>
  <c r="X24" i="66"/>
  <c r="W24" i="66"/>
  <c r="Y24" i="66" s="1"/>
  <c r="U24" i="66"/>
  <c r="T24" i="66"/>
  <c r="S24" i="66"/>
  <c r="F24" i="66"/>
  <c r="Y23" i="66"/>
  <c r="X23" i="66"/>
  <c r="W23" i="66"/>
  <c r="U23" i="66"/>
  <c r="T23" i="66"/>
  <c r="S23" i="66"/>
  <c r="F23" i="66"/>
  <c r="Y22" i="66"/>
  <c r="X22" i="66"/>
  <c r="W22" i="66"/>
  <c r="U22" i="66"/>
  <c r="T22" i="66"/>
  <c r="V22" i="66" s="1"/>
  <c r="S22" i="66"/>
  <c r="F22" i="66"/>
  <c r="X21" i="66"/>
  <c r="W21" i="66"/>
  <c r="Y21" i="66" s="1"/>
  <c r="U21" i="66"/>
  <c r="T21" i="66"/>
  <c r="V21" i="66" s="1"/>
  <c r="S21" i="66"/>
  <c r="E21" i="66"/>
  <c r="E30" i="66" s="1"/>
  <c r="D21" i="66"/>
  <c r="X20" i="66"/>
  <c r="W20" i="66"/>
  <c r="Y20" i="66" s="1"/>
  <c r="U20" i="66"/>
  <c r="V20" i="66" s="1"/>
  <c r="T20" i="66"/>
  <c r="S20" i="66"/>
  <c r="B20" i="66"/>
  <c r="X19" i="66"/>
  <c r="W19" i="66"/>
  <c r="Y19" i="66" s="1"/>
  <c r="U19" i="66"/>
  <c r="V19" i="66" s="1"/>
  <c r="T19" i="66"/>
  <c r="S19" i="66"/>
  <c r="F19" i="66"/>
  <c r="Y18" i="66"/>
  <c r="X18" i="66"/>
  <c r="W18" i="66"/>
  <c r="U18" i="66"/>
  <c r="V18" i="66" s="1"/>
  <c r="T18" i="66"/>
  <c r="S18" i="66"/>
  <c r="F18" i="66"/>
  <c r="Y17" i="66"/>
  <c r="X17" i="66"/>
  <c r="W17" i="66"/>
  <c r="U17" i="66"/>
  <c r="V17" i="66" s="1"/>
  <c r="T17" i="66"/>
  <c r="S17" i="66"/>
  <c r="F17" i="66"/>
  <c r="X16" i="66"/>
  <c r="W16" i="66"/>
  <c r="Y16" i="66" s="1"/>
  <c r="U16" i="66"/>
  <c r="V16" i="66" s="1"/>
  <c r="T16" i="66"/>
  <c r="S16" i="66"/>
  <c r="L15" i="66" s="1"/>
  <c r="F16" i="66"/>
  <c r="U15" i="66"/>
  <c r="S6" i="66" s="1"/>
  <c r="T44" i="15" s="1"/>
  <c r="E15" i="66"/>
  <c r="H6" i="66" s="1"/>
  <c r="I44" i="15" s="1"/>
  <c r="D15" i="66"/>
  <c r="Q6" i="66"/>
  <c r="R44" i="15" s="1"/>
  <c r="P44" i="15"/>
  <c r="M6" i="66"/>
  <c r="K6" i="66"/>
  <c r="L44" i="15" s="1"/>
  <c r="I6" i="66"/>
  <c r="J44" i="15" s="1"/>
  <c r="Q5" i="66"/>
  <c r="R44" i="14" s="1"/>
  <c r="M5" i="66"/>
  <c r="L5" i="66"/>
  <c r="K5" i="66"/>
  <c r="L44" i="14" s="1"/>
  <c r="I5" i="66"/>
  <c r="J44" i="14" s="1"/>
  <c r="W4" i="66"/>
  <c r="V4" i="66"/>
  <c r="U4" i="66"/>
  <c r="T4" i="66"/>
  <c r="S25" i="77"/>
  <c r="T25" i="77"/>
  <c r="U25" i="77"/>
  <c r="W25" i="77"/>
  <c r="X25" i="77"/>
  <c r="Y25" i="77" s="1"/>
  <c r="S26" i="77"/>
  <c r="T26" i="77"/>
  <c r="U26" i="77"/>
  <c r="V26" i="77"/>
  <c r="W26" i="77"/>
  <c r="X26" i="77"/>
  <c r="S27" i="77"/>
  <c r="T27" i="77"/>
  <c r="V27" i="77" s="1"/>
  <c r="U27" i="77"/>
  <c r="W27" i="77"/>
  <c r="X27" i="77"/>
  <c r="S28" i="77"/>
  <c r="T28" i="77"/>
  <c r="U28" i="77"/>
  <c r="W28" i="77"/>
  <c r="X28" i="77"/>
  <c r="S29" i="77"/>
  <c r="T29" i="77"/>
  <c r="U29" i="77"/>
  <c r="W29" i="77"/>
  <c r="X29" i="77"/>
  <c r="S30" i="77"/>
  <c r="T30" i="77"/>
  <c r="U30" i="77"/>
  <c r="V30" i="77" s="1"/>
  <c r="W30" i="77"/>
  <c r="Y30" i="77" s="1"/>
  <c r="X30" i="77"/>
  <c r="S31" i="77"/>
  <c r="T31" i="77"/>
  <c r="U31" i="77"/>
  <c r="W31" i="77"/>
  <c r="X31" i="77"/>
  <c r="S32" i="77"/>
  <c r="T32" i="77"/>
  <c r="U32" i="77"/>
  <c r="W32" i="77"/>
  <c r="X32" i="77"/>
  <c r="S33" i="77"/>
  <c r="T33" i="77"/>
  <c r="U33" i="77"/>
  <c r="W33" i="77"/>
  <c r="X33" i="77"/>
  <c r="Y33" i="77" s="1"/>
  <c r="S34" i="77"/>
  <c r="T34" i="77"/>
  <c r="U34" i="77"/>
  <c r="V34" i="77"/>
  <c r="W34" i="77"/>
  <c r="X34" i="77"/>
  <c r="S35" i="77"/>
  <c r="T35" i="77"/>
  <c r="U35" i="77"/>
  <c r="W35" i="77"/>
  <c r="X35" i="77"/>
  <c r="S36" i="77"/>
  <c r="T36" i="77"/>
  <c r="U36" i="77"/>
  <c r="W36" i="77"/>
  <c r="X36" i="77"/>
  <c r="S37" i="77"/>
  <c r="T37" i="77"/>
  <c r="U37" i="77"/>
  <c r="W37" i="77"/>
  <c r="X37" i="77"/>
  <c r="S38" i="77"/>
  <c r="T38" i="77"/>
  <c r="U38" i="77"/>
  <c r="V38" i="77" s="1"/>
  <c r="W38" i="77"/>
  <c r="Y38" i="77" s="1"/>
  <c r="X38" i="77"/>
  <c r="S39" i="77"/>
  <c r="T39" i="77"/>
  <c r="U39" i="77"/>
  <c r="W39" i="77"/>
  <c r="X39" i="77"/>
  <c r="S40" i="77"/>
  <c r="T40" i="77"/>
  <c r="U40" i="77"/>
  <c r="W40" i="77"/>
  <c r="X40" i="77"/>
  <c r="S41" i="77"/>
  <c r="T41" i="77"/>
  <c r="U41" i="77"/>
  <c r="W41" i="77"/>
  <c r="X41" i="77"/>
  <c r="Y41" i="77" s="1"/>
  <c r="S42" i="77"/>
  <c r="T42" i="77"/>
  <c r="U42" i="77"/>
  <c r="V42" i="77"/>
  <c r="W42" i="77"/>
  <c r="X42" i="77"/>
  <c r="S43" i="77"/>
  <c r="T43" i="77"/>
  <c r="U43" i="77"/>
  <c r="V43" i="77"/>
  <c r="W43" i="77"/>
  <c r="X43" i="77"/>
  <c r="S44" i="77"/>
  <c r="T44" i="77"/>
  <c r="V44" i="77" s="1"/>
  <c r="U44" i="77"/>
  <c r="W44" i="77"/>
  <c r="X44" i="77"/>
  <c r="S45" i="77"/>
  <c r="T45" i="77"/>
  <c r="U45" i="77"/>
  <c r="V45" i="77" s="1"/>
  <c r="W45" i="77"/>
  <c r="X45" i="77"/>
  <c r="Y45" i="77" s="1"/>
  <c r="S46" i="77"/>
  <c r="T46" i="77"/>
  <c r="U46" i="77"/>
  <c r="V46" i="77" s="1"/>
  <c r="W46" i="77"/>
  <c r="X46" i="77"/>
  <c r="S47" i="77"/>
  <c r="T47" i="77"/>
  <c r="U47" i="77"/>
  <c r="W47" i="77"/>
  <c r="X47" i="77"/>
  <c r="X24" i="77"/>
  <c r="W24" i="77"/>
  <c r="U24" i="77"/>
  <c r="T24" i="77"/>
  <c r="S24" i="77"/>
  <c r="X23" i="77"/>
  <c r="W23" i="77"/>
  <c r="Y23" i="77" s="1"/>
  <c r="U23" i="77"/>
  <c r="T23" i="77"/>
  <c r="S23" i="77"/>
  <c r="X22" i="77"/>
  <c r="Y22" i="77" s="1"/>
  <c r="W22" i="77"/>
  <c r="U22" i="77"/>
  <c r="T22" i="77"/>
  <c r="S22" i="77"/>
  <c r="X21" i="77"/>
  <c r="W21" i="77"/>
  <c r="Y21" i="77" s="1"/>
  <c r="U21" i="77"/>
  <c r="T21" i="77"/>
  <c r="S21" i="77"/>
  <c r="X20" i="77"/>
  <c r="W20" i="77"/>
  <c r="U20" i="77"/>
  <c r="T20" i="77"/>
  <c r="S20" i="77"/>
  <c r="X19" i="77"/>
  <c r="W19" i="77"/>
  <c r="Y19" i="77" s="1"/>
  <c r="U19" i="77"/>
  <c r="T19" i="77"/>
  <c r="S19" i="77"/>
  <c r="X18" i="77"/>
  <c r="W18" i="77"/>
  <c r="U18" i="77"/>
  <c r="T18" i="77"/>
  <c r="S18" i="77"/>
  <c r="X17" i="77"/>
  <c r="W17" i="77"/>
  <c r="U17" i="77"/>
  <c r="T17" i="77"/>
  <c r="S17" i="77"/>
  <c r="X16" i="77"/>
  <c r="W16" i="77"/>
  <c r="U16" i="77"/>
  <c r="T16" i="77"/>
  <c r="S16" i="77"/>
  <c r="L15" i="77" s="1"/>
  <c r="X17" i="27"/>
  <c r="Y17" i="27" s="1"/>
  <c r="W17" i="27"/>
  <c r="U17" i="27"/>
  <c r="U15" i="27" s="1"/>
  <c r="S6" i="27" s="1"/>
  <c r="T17" i="15" s="1"/>
  <c r="G14" i="12" s="1"/>
  <c r="T17" i="27"/>
  <c r="V17" i="27" s="1"/>
  <c r="S17" i="27"/>
  <c r="X16" i="27"/>
  <c r="X15" i="27" s="1"/>
  <c r="E64" i="27" s="1"/>
  <c r="P6" i="27" s="1"/>
  <c r="Q17" i="15" s="1"/>
  <c r="W16" i="27"/>
  <c r="Y16" i="27" s="1"/>
  <c r="Y15" i="27" s="1"/>
  <c r="U16" i="27"/>
  <c r="T16" i="27"/>
  <c r="T15" i="27" s="1"/>
  <c r="S5" i="27" s="1"/>
  <c r="T17" i="14" s="1"/>
  <c r="G14" i="11" s="1"/>
  <c r="S16" i="27"/>
  <c r="S17" i="79"/>
  <c r="T17" i="79"/>
  <c r="U17" i="79"/>
  <c r="V17" i="79" s="1"/>
  <c r="W17" i="79"/>
  <c r="Y17" i="79" s="1"/>
  <c r="X17" i="79"/>
  <c r="S18" i="79"/>
  <c r="T18" i="79"/>
  <c r="U18" i="79"/>
  <c r="W18" i="79"/>
  <c r="Y18" i="79" s="1"/>
  <c r="X18" i="79"/>
  <c r="S19" i="79"/>
  <c r="T19" i="79"/>
  <c r="V19" i="79" s="1"/>
  <c r="U19" i="79"/>
  <c r="W19" i="79"/>
  <c r="X19" i="79"/>
  <c r="Y19" i="79"/>
  <c r="S20" i="79"/>
  <c r="T20" i="79"/>
  <c r="U20" i="79"/>
  <c r="V20" i="79"/>
  <c r="W20" i="79"/>
  <c r="X20" i="79"/>
  <c r="Y20" i="79"/>
  <c r="S21" i="79"/>
  <c r="T21" i="79"/>
  <c r="U21" i="79"/>
  <c r="V21" i="79" s="1"/>
  <c r="W21" i="79"/>
  <c r="Y21" i="79" s="1"/>
  <c r="X21" i="79"/>
  <c r="S22" i="79"/>
  <c r="T22" i="79"/>
  <c r="V22" i="79" s="1"/>
  <c r="U22" i="79"/>
  <c r="W22" i="79"/>
  <c r="Y22" i="79" s="1"/>
  <c r="X22" i="79"/>
  <c r="S23" i="79"/>
  <c r="T23" i="79"/>
  <c r="V23" i="79" s="1"/>
  <c r="U23" i="79"/>
  <c r="W23" i="79"/>
  <c r="X23" i="79"/>
  <c r="Y23" i="79"/>
  <c r="S24" i="79"/>
  <c r="T24" i="79"/>
  <c r="U24" i="79"/>
  <c r="V24" i="79"/>
  <c r="W24" i="79"/>
  <c r="X24" i="79"/>
  <c r="Y24" i="79"/>
  <c r="S25" i="79"/>
  <c r="T25" i="79"/>
  <c r="U25" i="79"/>
  <c r="V25" i="79"/>
  <c r="W25" i="79"/>
  <c r="Y25" i="79" s="1"/>
  <c r="X25" i="79"/>
  <c r="S26" i="79"/>
  <c r="T26" i="79"/>
  <c r="V26" i="79" s="1"/>
  <c r="U26" i="79"/>
  <c r="W26" i="79"/>
  <c r="Y26" i="79" s="1"/>
  <c r="X26" i="79"/>
  <c r="S27" i="79"/>
  <c r="T27" i="79"/>
  <c r="V27" i="79" s="1"/>
  <c r="U27" i="79"/>
  <c r="W27" i="79"/>
  <c r="X27" i="79"/>
  <c r="Y27" i="79"/>
  <c r="S28" i="79"/>
  <c r="T28" i="79"/>
  <c r="U28" i="79"/>
  <c r="V28" i="79"/>
  <c r="W28" i="79"/>
  <c r="X28" i="79"/>
  <c r="Y28" i="79"/>
  <c r="S29" i="79"/>
  <c r="T29" i="79"/>
  <c r="U29" i="79"/>
  <c r="V29" i="79"/>
  <c r="W29" i="79"/>
  <c r="Y29" i="79" s="1"/>
  <c r="X29" i="79"/>
  <c r="S30" i="79"/>
  <c r="T30" i="79"/>
  <c r="V30" i="79" s="1"/>
  <c r="U30" i="79"/>
  <c r="W30" i="79"/>
  <c r="Y30" i="79" s="1"/>
  <c r="X30" i="79"/>
  <c r="X16" i="79"/>
  <c r="W16" i="79"/>
  <c r="Y16" i="79" s="1"/>
  <c r="U16" i="79"/>
  <c r="T16" i="79"/>
  <c r="S16" i="79"/>
  <c r="R17" i="15"/>
  <c r="M17" i="15"/>
  <c r="R17" i="14"/>
  <c r="O17" i="14"/>
  <c r="M17" i="14"/>
  <c r="F62" i="27"/>
  <c r="F61" i="27"/>
  <c r="F60" i="27"/>
  <c r="F59" i="27"/>
  <c r="F58" i="27"/>
  <c r="E58" i="27"/>
  <c r="D58" i="27"/>
  <c r="F56" i="27"/>
  <c r="F55" i="27"/>
  <c r="F54" i="27"/>
  <c r="F53" i="27"/>
  <c r="E52" i="27"/>
  <c r="N6" i="27" s="1"/>
  <c r="O17" i="15" s="1"/>
  <c r="D52" i="27"/>
  <c r="F50" i="27"/>
  <c r="F49" i="27"/>
  <c r="F48" i="27"/>
  <c r="F47" i="27"/>
  <c r="E46" i="27"/>
  <c r="M6" i="27" s="1"/>
  <c r="D46" i="27"/>
  <c r="F46" i="27" s="1"/>
  <c r="F44" i="27"/>
  <c r="F43" i="27"/>
  <c r="F42" i="27"/>
  <c r="F41" i="27"/>
  <c r="E40" i="27"/>
  <c r="D40" i="27"/>
  <c r="F40" i="27" s="1"/>
  <c r="F38" i="27"/>
  <c r="F37" i="27"/>
  <c r="F36" i="27"/>
  <c r="F35" i="27"/>
  <c r="E34" i="27"/>
  <c r="D34" i="27"/>
  <c r="F34" i="27" s="1"/>
  <c r="F32" i="27"/>
  <c r="F31" i="27"/>
  <c r="F25" i="27"/>
  <c r="F24" i="27"/>
  <c r="F23" i="27"/>
  <c r="F22" i="27"/>
  <c r="E21" i="27"/>
  <c r="E30" i="27" s="1"/>
  <c r="D21" i="27"/>
  <c r="D30" i="27" s="1"/>
  <c r="B20" i="27"/>
  <c r="F19" i="27"/>
  <c r="F18" i="27"/>
  <c r="F17" i="27"/>
  <c r="F16" i="27"/>
  <c r="E15" i="27"/>
  <c r="E29" i="27" s="1"/>
  <c r="D15" i="27"/>
  <c r="Q6" i="27"/>
  <c r="O6" i="27"/>
  <c r="P17" i="15" s="1"/>
  <c r="L6" i="27"/>
  <c r="K6" i="27"/>
  <c r="L17" i="15" s="1"/>
  <c r="Q5" i="27"/>
  <c r="Q7" i="27" s="1"/>
  <c r="O5" i="27"/>
  <c r="P17" i="14" s="1"/>
  <c r="N5" i="27"/>
  <c r="N7" i="27" s="1"/>
  <c r="L5" i="27"/>
  <c r="L7" i="27" s="1"/>
  <c r="K5" i="27"/>
  <c r="L17" i="14" s="1"/>
  <c r="W4" i="27"/>
  <c r="V4" i="27"/>
  <c r="U4" i="27"/>
  <c r="T4" i="27"/>
  <c r="Q6" i="101"/>
  <c r="Q5" i="101"/>
  <c r="E34" i="101"/>
  <c r="D34" i="101"/>
  <c r="E21" i="101"/>
  <c r="D21" i="101"/>
  <c r="E64" i="78"/>
  <c r="M15" i="80"/>
  <c r="X177" i="68"/>
  <c r="W177" i="68"/>
  <c r="U177" i="68"/>
  <c r="T177" i="68"/>
  <c r="X176" i="68"/>
  <c r="W176" i="68"/>
  <c r="U176" i="68"/>
  <c r="T176" i="68"/>
  <c r="X175" i="68"/>
  <c r="W175" i="68"/>
  <c r="U175" i="68"/>
  <c r="T175" i="68"/>
  <c r="X174" i="68"/>
  <c r="W174" i="68"/>
  <c r="U174" i="68"/>
  <c r="T174" i="68"/>
  <c r="X173" i="68"/>
  <c r="W173" i="68"/>
  <c r="U173" i="68"/>
  <c r="T173" i="68"/>
  <c r="X172" i="68"/>
  <c r="W172" i="68"/>
  <c r="U172" i="68"/>
  <c r="T172" i="68"/>
  <c r="X171" i="68"/>
  <c r="W171" i="68"/>
  <c r="U171" i="68"/>
  <c r="T171" i="68"/>
  <c r="X170" i="68"/>
  <c r="W170" i="68"/>
  <c r="U170" i="68"/>
  <c r="T170" i="68"/>
  <c r="X169" i="68"/>
  <c r="W169" i="68"/>
  <c r="U169" i="68"/>
  <c r="T169" i="68"/>
  <c r="X168" i="68"/>
  <c r="W168" i="68"/>
  <c r="U168" i="68"/>
  <c r="T168" i="68"/>
  <c r="X167" i="68"/>
  <c r="W167" i="68"/>
  <c r="U167" i="68"/>
  <c r="T167" i="68"/>
  <c r="X166" i="68"/>
  <c r="W166" i="68"/>
  <c r="U166" i="68"/>
  <c r="T166" i="68"/>
  <c r="X165" i="68"/>
  <c r="W165" i="68"/>
  <c r="U165" i="68"/>
  <c r="T165" i="68"/>
  <c r="X164" i="68"/>
  <c r="W164" i="68"/>
  <c r="U164" i="68"/>
  <c r="T164" i="68"/>
  <c r="X163" i="68"/>
  <c r="W163" i="68"/>
  <c r="U163" i="68"/>
  <c r="T163" i="68"/>
  <c r="S163" i="68"/>
  <c r="X162" i="68"/>
  <c r="W162" i="68"/>
  <c r="U162" i="68"/>
  <c r="T162" i="68"/>
  <c r="V162" i="68" s="1"/>
  <c r="S162" i="68"/>
  <c r="X161" i="68"/>
  <c r="W161" i="68"/>
  <c r="U161" i="68"/>
  <c r="T161" i="68"/>
  <c r="S161" i="68"/>
  <c r="X160" i="68"/>
  <c r="W160" i="68"/>
  <c r="Y160" i="68" s="1"/>
  <c r="U160" i="68"/>
  <c r="T160" i="68"/>
  <c r="V160" i="68" s="1"/>
  <c r="S160" i="68"/>
  <c r="X159" i="68"/>
  <c r="W159" i="68"/>
  <c r="U159" i="68"/>
  <c r="T159" i="68"/>
  <c r="S159" i="68"/>
  <c r="X158" i="68"/>
  <c r="W158" i="68"/>
  <c r="Y158" i="68" s="1"/>
  <c r="U158" i="68"/>
  <c r="T158" i="68"/>
  <c r="S158" i="68"/>
  <c r="X157" i="68"/>
  <c r="W157" i="68"/>
  <c r="U157" i="68"/>
  <c r="T157" i="68"/>
  <c r="S157" i="68"/>
  <c r="X156" i="68"/>
  <c r="W156" i="68"/>
  <c r="U156" i="68"/>
  <c r="T156" i="68"/>
  <c r="S156" i="68"/>
  <c r="X155" i="68"/>
  <c r="W155" i="68"/>
  <c r="U155" i="68"/>
  <c r="T155" i="68"/>
  <c r="S155" i="68"/>
  <c r="X154" i="68"/>
  <c r="W154" i="68"/>
  <c r="U154" i="68"/>
  <c r="T154" i="68"/>
  <c r="V154" i="68" s="1"/>
  <c r="S154" i="68"/>
  <c r="X153" i="68"/>
  <c r="W153" i="68"/>
  <c r="U153" i="68"/>
  <c r="T153" i="68"/>
  <c r="S153" i="68"/>
  <c r="X152" i="68"/>
  <c r="W152" i="68"/>
  <c r="U152" i="68"/>
  <c r="T152" i="68"/>
  <c r="S152" i="68"/>
  <c r="X151" i="68"/>
  <c r="W151" i="68"/>
  <c r="U151" i="68"/>
  <c r="T151" i="68"/>
  <c r="S151" i="68"/>
  <c r="X150" i="68"/>
  <c r="W150" i="68"/>
  <c r="U150" i="68"/>
  <c r="T150" i="68"/>
  <c r="V150" i="68" s="1"/>
  <c r="S150" i="68"/>
  <c r="X149" i="68"/>
  <c r="W149" i="68"/>
  <c r="U149" i="68"/>
  <c r="T149" i="68"/>
  <c r="S149" i="68"/>
  <c r="X148" i="68"/>
  <c r="W148" i="68"/>
  <c r="U148" i="68"/>
  <c r="T148" i="68"/>
  <c r="V148" i="68" s="1"/>
  <c r="S148" i="68"/>
  <c r="X147" i="68"/>
  <c r="W147" i="68"/>
  <c r="U147" i="68"/>
  <c r="V147" i="68" s="1"/>
  <c r="T147" i="68"/>
  <c r="S147" i="68"/>
  <c r="X146" i="68"/>
  <c r="W146" i="68"/>
  <c r="U146" i="68"/>
  <c r="T146" i="68"/>
  <c r="V146" i="68" s="1"/>
  <c r="S146" i="68"/>
  <c r="X145" i="68"/>
  <c r="W145" i="68"/>
  <c r="U145" i="68"/>
  <c r="T145" i="68"/>
  <c r="S145" i="68"/>
  <c r="X144" i="68"/>
  <c r="W144" i="68"/>
  <c r="U144" i="68"/>
  <c r="T144" i="68"/>
  <c r="V144" i="68" s="1"/>
  <c r="S144" i="68"/>
  <c r="X143" i="68"/>
  <c r="W143" i="68"/>
  <c r="U143" i="68"/>
  <c r="T143" i="68"/>
  <c r="S143" i="68"/>
  <c r="X142" i="68"/>
  <c r="W142" i="68"/>
  <c r="Y142" i="68" s="1"/>
  <c r="U142" i="68"/>
  <c r="T142" i="68"/>
  <c r="S142" i="68"/>
  <c r="X141" i="68"/>
  <c r="W141" i="68"/>
  <c r="U141" i="68"/>
  <c r="T141" i="68"/>
  <c r="S141" i="68"/>
  <c r="X140" i="68"/>
  <c r="W140" i="68"/>
  <c r="U140" i="68"/>
  <c r="T140" i="68"/>
  <c r="V140" i="68" s="1"/>
  <c r="S140" i="68"/>
  <c r="X139" i="68"/>
  <c r="W139" i="68"/>
  <c r="U139" i="68"/>
  <c r="V139" i="68" s="1"/>
  <c r="T139" i="68"/>
  <c r="S139" i="68"/>
  <c r="X138" i="68"/>
  <c r="W138" i="68"/>
  <c r="U138" i="68"/>
  <c r="T138" i="68"/>
  <c r="V138" i="68" s="1"/>
  <c r="S138" i="68"/>
  <c r="X137" i="68"/>
  <c r="W137" i="68"/>
  <c r="U137" i="68"/>
  <c r="T137" i="68"/>
  <c r="S137" i="68"/>
  <c r="X136" i="68"/>
  <c r="W136" i="68"/>
  <c r="Y136" i="68" s="1"/>
  <c r="U136" i="68"/>
  <c r="T136" i="68"/>
  <c r="V136" i="68" s="1"/>
  <c r="S136" i="68"/>
  <c r="X135" i="68"/>
  <c r="W135" i="68"/>
  <c r="U135" i="68"/>
  <c r="V135" i="68" s="1"/>
  <c r="T135" i="68"/>
  <c r="S135" i="68"/>
  <c r="X134" i="68"/>
  <c r="W134" i="68"/>
  <c r="U134" i="68"/>
  <c r="T134" i="68"/>
  <c r="V134" i="68" s="1"/>
  <c r="S134" i="68"/>
  <c r="X133" i="68"/>
  <c r="W133" i="68"/>
  <c r="U133" i="68"/>
  <c r="T133" i="68"/>
  <c r="S133" i="68"/>
  <c r="X132" i="68"/>
  <c r="W132" i="68"/>
  <c r="U132" i="68"/>
  <c r="T132" i="68"/>
  <c r="V132" i="68" s="1"/>
  <c r="S132" i="68"/>
  <c r="X131" i="68"/>
  <c r="W131" i="68"/>
  <c r="U131" i="68"/>
  <c r="V131" i="68" s="1"/>
  <c r="T131" i="68"/>
  <c r="S131" i="68"/>
  <c r="X130" i="68"/>
  <c r="W130" i="68"/>
  <c r="U130" i="68"/>
  <c r="T130" i="68"/>
  <c r="V130" i="68" s="1"/>
  <c r="S130" i="68"/>
  <c r="X129" i="68"/>
  <c r="W129" i="68"/>
  <c r="U129" i="68"/>
  <c r="T129" i="68"/>
  <c r="S129" i="68"/>
  <c r="X128" i="68"/>
  <c r="W128" i="68"/>
  <c r="Y128" i="68" s="1"/>
  <c r="U128" i="68"/>
  <c r="T128" i="68"/>
  <c r="V128" i="68" s="1"/>
  <c r="S128" i="68"/>
  <c r="X127" i="68"/>
  <c r="W127" i="68"/>
  <c r="U127" i="68"/>
  <c r="T127" i="68"/>
  <c r="S127" i="68"/>
  <c r="X126" i="68"/>
  <c r="W126" i="68"/>
  <c r="Y126" i="68" s="1"/>
  <c r="U126" i="68"/>
  <c r="T126" i="68"/>
  <c r="S126" i="68"/>
  <c r="X125" i="68"/>
  <c r="W125" i="68"/>
  <c r="U125" i="68"/>
  <c r="T125" i="68"/>
  <c r="S125" i="68"/>
  <c r="X124" i="68"/>
  <c r="W124" i="68"/>
  <c r="U124" i="68"/>
  <c r="T124" i="68"/>
  <c r="S124" i="68"/>
  <c r="X123" i="68"/>
  <c r="W123" i="68"/>
  <c r="U123" i="68"/>
  <c r="T123" i="68"/>
  <c r="S123" i="68"/>
  <c r="X122" i="68"/>
  <c r="W122" i="68"/>
  <c r="U122" i="68"/>
  <c r="T122" i="68"/>
  <c r="V122" i="68" s="1"/>
  <c r="S122" i="68"/>
  <c r="X121" i="68"/>
  <c r="W121" i="68"/>
  <c r="U121" i="68"/>
  <c r="T121" i="68"/>
  <c r="S121" i="68"/>
  <c r="X120" i="68"/>
  <c r="W120" i="68"/>
  <c r="U120" i="68"/>
  <c r="T120" i="68"/>
  <c r="S120" i="68"/>
  <c r="X119" i="68"/>
  <c r="W119" i="68"/>
  <c r="U119" i="68"/>
  <c r="T119" i="68"/>
  <c r="S119" i="68"/>
  <c r="X118" i="68"/>
  <c r="W118" i="68"/>
  <c r="U118" i="68"/>
  <c r="T118" i="68"/>
  <c r="S118" i="68"/>
  <c r="X117" i="68"/>
  <c r="W117" i="68"/>
  <c r="U117" i="68"/>
  <c r="T117" i="68"/>
  <c r="S117" i="68"/>
  <c r="X116" i="68"/>
  <c r="W116" i="68"/>
  <c r="U116" i="68"/>
  <c r="T116" i="68"/>
  <c r="S116" i="68"/>
  <c r="X115" i="68"/>
  <c r="W115" i="68"/>
  <c r="U115" i="68"/>
  <c r="V115" i="68" s="1"/>
  <c r="T115" i="68"/>
  <c r="S115" i="68"/>
  <c r="X114" i="68"/>
  <c r="W114" i="68"/>
  <c r="U114" i="68"/>
  <c r="T114" i="68"/>
  <c r="V114" i="68" s="1"/>
  <c r="S114" i="68"/>
  <c r="X113" i="68"/>
  <c r="W113" i="68"/>
  <c r="U113" i="68"/>
  <c r="T113" i="68"/>
  <c r="S113" i="68"/>
  <c r="X112" i="68"/>
  <c r="W112" i="68"/>
  <c r="U112" i="68"/>
  <c r="T112" i="68"/>
  <c r="V112" i="68" s="1"/>
  <c r="S112" i="68"/>
  <c r="X111" i="68"/>
  <c r="W111" i="68"/>
  <c r="U111" i="68"/>
  <c r="T111" i="68"/>
  <c r="S111" i="68"/>
  <c r="X110" i="68"/>
  <c r="W110" i="68"/>
  <c r="Y110" i="68" s="1"/>
  <c r="U110" i="68"/>
  <c r="T110" i="68"/>
  <c r="S110" i="68"/>
  <c r="X109" i="68"/>
  <c r="W109" i="68"/>
  <c r="U109" i="68"/>
  <c r="T109" i="68"/>
  <c r="S109" i="68"/>
  <c r="X108" i="68"/>
  <c r="W108" i="68"/>
  <c r="U108" i="68"/>
  <c r="T108" i="68"/>
  <c r="V108" i="68" s="1"/>
  <c r="S108" i="68"/>
  <c r="X107" i="68"/>
  <c r="W107" i="68"/>
  <c r="U107" i="68"/>
  <c r="V107" i="68" s="1"/>
  <c r="T107" i="68"/>
  <c r="S107" i="68"/>
  <c r="X106" i="68"/>
  <c r="W106" i="68"/>
  <c r="U106" i="68"/>
  <c r="T106" i="68"/>
  <c r="V106" i="68" s="1"/>
  <c r="S106" i="68"/>
  <c r="X105" i="68"/>
  <c r="W105" i="68"/>
  <c r="U105" i="68"/>
  <c r="T105" i="68"/>
  <c r="S105" i="68"/>
  <c r="X104" i="68"/>
  <c r="W104" i="68"/>
  <c r="Y104" i="68" s="1"/>
  <c r="U104" i="68"/>
  <c r="T104" i="68"/>
  <c r="S104" i="68"/>
  <c r="X103" i="68"/>
  <c r="W103" i="68"/>
  <c r="U103" i="68"/>
  <c r="T103" i="68"/>
  <c r="S103" i="68"/>
  <c r="X102" i="68"/>
  <c r="W102" i="68"/>
  <c r="U102" i="68"/>
  <c r="T102" i="68"/>
  <c r="S102" i="68"/>
  <c r="X101" i="68"/>
  <c r="W101" i="68"/>
  <c r="U101" i="68"/>
  <c r="T101" i="68"/>
  <c r="S101" i="68"/>
  <c r="X100" i="68"/>
  <c r="W100" i="68"/>
  <c r="U100" i="68"/>
  <c r="T100" i="68"/>
  <c r="V100" i="68" s="1"/>
  <c r="S100" i="68"/>
  <c r="X99" i="68"/>
  <c r="W99" i="68"/>
  <c r="U99" i="68"/>
  <c r="V99" i="68" s="1"/>
  <c r="T99" i="68"/>
  <c r="S99" i="68"/>
  <c r="X98" i="68"/>
  <c r="W98" i="68"/>
  <c r="U98" i="68"/>
  <c r="T98" i="68"/>
  <c r="V98" i="68" s="1"/>
  <c r="S98" i="68"/>
  <c r="X97" i="68"/>
  <c r="W97" i="68"/>
  <c r="U97" i="68"/>
  <c r="T97" i="68"/>
  <c r="S97" i="68"/>
  <c r="X96" i="68"/>
  <c r="W96" i="68"/>
  <c r="Y96" i="68" s="1"/>
  <c r="U96" i="68"/>
  <c r="T96" i="68"/>
  <c r="V96" i="68" s="1"/>
  <c r="S96" i="68"/>
  <c r="X95" i="68"/>
  <c r="W95" i="68"/>
  <c r="U95" i="68"/>
  <c r="T95" i="68"/>
  <c r="S95" i="68"/>
  <c r="X94" i="68"/>
  <c r="W94" i="68"/>
  <c r="Y94" i="68" s="1"/>
  <c r="U94" i="68"/>
  <c r="T94" i="68"/>
  <c r="S94" i="68"/>
  <c r="X93" i="68"/>
  <c r="W93" i="68"/>
  <c r="U93" i="68"/>
  <c r="T93" i="68"/>
  <c r="S93" i="68"/>
  <c r="X92" i="68"/>
  <c r="W92" i="68"/>
  <c r="U92" i="68"/>
  <c r="T92" i="68"/>
  <c r="V92" i="68" s="1"/>
  <c r="S92" i="68"/>
  <c r="X91" i="68"/>
  <c r="W91" i="68"/>
  <c r="U91" i="68"/>
  <c r="V91" i="68" s="1"/>
  <c r="T91" i="68"/>
  <c r="S91" i="68"/>
  <c r="X90" i="68"/>
  <c r="W90" i="68"/>
  <c r="U90" i="68"/>
  <c r="T90" i="68"/>
  <c r="V90" i="68" s="1"/>
  <c r="S90" i="68"/>
  <c r="X89" i="68"/>
  <c r="W89" i="68"/>
  <c r="U89" i="68"/>
  <c r="T89" i="68"/>
  <c r="S89" i="68"/>
  <c r="X88" i="68"/>
  <c r="W88" i="68"/>
  <c r="U88" i="68"/>
  <c r="T88" i="68"/>
  <c r="S88" i="68"/>
  <c r="X87" i="68"/>
  <c r="W87" i="68"/>
  <c r="U87" i="68"/>
  <c r="T87" i="68"/>
  <c r="S87" i="68"/>
  <c r="X86" i="68"/>
  <c r="W86" i="68"/>
  <c r="U86" i="68"/>
  <c r="T86" i="68"/>
  <c r="S86" i="68"/>
  <c r="X85" i="68"/>
  <c r="W85" i="68"/>
  <c r="U85" i="68"/>
  <c r="T85" i="68"/>
  <c r="S85" i="68"/>
  <c r="X84" i="68"/>
  <c r="W84" i="68"/>
  <c r="U84" i="68"/>
  <c r="T84" i="68"/>
  <c r="S84" i="68"/>
  <c r="X83" i="68"/>
  <c r="W83" i="68"/>
  <c r="U83" i="68"/>
  <c r="T83" i="68"/>
  <c r="S83" i="68"/>
  <c r="X82" i="68"/>
  <c r="W82" i="68"/>
  <c r="U82" i="68"/>
  <c r="T82" i="68"/>
  <c r="V82" i="68" s="1"/>
  <c r="S82" i="68"/>
  <c r="X81" i="68"/>
  <c r="W81" i="68"/>
  <c r="U81" i="68"/>
  <c r="T81" i="68"/>
  <c r="S81" i="68"/>
  <c r="X80" i="68"/>
  <c r="W80" i="68"/>
  <c r="U80" i="68"/>
  <c r="T80" i="68"/>
  <c r="V80" i="68" s="1"/>
  <c r="S80" i="68"/>
  <c r="X79" i="68"/>
  <c r="W79" i="68"/>
  <c r="U79" i="68"/>
  <c r="T79" i="68"/>
  <c r="S79" i="68"/>
  <c r="X78" i="68"/>
  <c r="W78" i="68"/>
  <c r="Y78" i="68" s="1"/>
  <c r="U78" i="68"/>
  <c r="T78" i="68"/>
  <c r="S78" i="68"/>
  <c r="X77" i="68"/>
  <c r="W77" i="68"/>
  <c r="U77" i="68"/>
  <c r="T77" i="68"/>
  <c r="S77" i="68"/>
  <c r="X76" i="68"/>
  <c r="W76" i="68"/>
  <c r="U76" i="68"/>
  <c r="T76" i="68"/>
  <c r="V76" i="68" s="1"/>
  <c r="S76" i="68"/>
  <c r="X75" i="68"/>
  <c r="W75" i="68"/>
  <c r="U75" i="68"/>
  <c r="V75" i="68" s="1"/>
  <c r="T75" i="68"/>
  <c r="S75" i="68"/>
  <c r="X74" i="68"/>
  <c r="W74" i="68"/>
  <c r="U74" i="68"/>
  <c r="T74" i="68"/>
  <c r="V74" i="68" s="1"/>
  <c r="S74" i="68"/>
  <c r="X73" i="68"/>
  <c r="W73" i="68"/>
  <c r="U73" i="68"/>
  <c r="T73" i="68"/>
  <c r="S73" i="68"/>
  <c r="X72" i="68"/>
  <c r="W72" i="68"/>
  <c r="Y72" i="68" s="1"/>
  <c r="U72" i="68"/>
  <c r="T72" i="68"/>
  <c r="S72" i="68"/>
  <c r="X71" i="68"/>
  <c r="W71" i="68"/>
  <c r="U71" i="68"/>
  <c r="T71" i="68"/>
  <c r="S71" i="68"/>
  <c r="X70" i="68"/>
  <c r="W70" i="68"/>
  <c r="U70" i="68"/>
  <c r="T70" i="68"/>
  <c r="S70" i="68"/>
  <c r="X69" i="68"/>
  <c r="W69" i="68"/>
  <c r="U69" i="68"/>
  <c r="T69" i="68"/>
  <c r="S69" i="68"/>
  <c r="X68" i="68"/>
  <c r="W68" i="68"/>
  <c r="U68" i="68"/>
  <c r="T68" i="68"/>
  <c r="S68" i="68"/>
  <c r="X67" i="68"/>
  <c r="W67" i="68"/>
  <c r="U67" i="68"/>
  <c r="T67" i="68"/>
  <c r="S67" i="68"/>
  <c r="X66" i="68"/>
  <c r="W66" i="68"/>
  <c r="U66" i="68"/>
  <c r="T66" i="68"/>
  <c r="V66" i="68" s="1"/>
  <c r="S66" i="68"/>
  <c r="X65" i="68"/>
  <c r="W65" i="68"/>
  <c r="U65" i="68"/>
  <c r="T65" i="68"/>
  <c r="S65" i="68"/>
  <c r="X64" i="68"/>
  <c r="W64" i="68"/>
  <c r="Y64" i="68" s="1"/>
  <c r="U64" i="68"/>
  <c r="T64" i="68"/>
  <c r="V64" i="68" s="1"/>
  <c r="S64" i="68"/>
  <c r="X63" i="68"/>
  <c r="W63" i="68"/>
  <c r="U63" i="68"/>
  <c r="T63" i="68"/>
  <c r="S63" i="68"/>
  <c r="X62" i="68"/>
  <c r="W62" i="68"/>
  <c r="Y62" i="68" s="1"/>
  <c r="U62" i="68"/>
  <c r="T62" i="68"/>
  <c r="S62" i="68"/>
  <c r="X61" i="68"/>
  <c r="W61" i="68"/>
  <c r="U61" i="68"/>
  <c r="T61" i="68"/>
  <c r="S61" i="68"/>
  <c r="X60" i="68"/>
  <c r="W60" i="68"/>
  <c r="U60" i="68"/>
  <c r="T60" i="68"/>
  <c r="V60" i="68" s="1"/>
  <c r="S60" i="68"/>
  <c r="X59" i="68"/>
  <c r="W59" i="68"/>
  <c r="U59" i="68"/>
  <c r="V59" i="68" s="1"/>
  <c r="T59" i="68"/>
  <c r="S59" i="68"/>
  <c r="X58" i="68"/>
  <c r="W58" i="68"/>
  <c r="U58" i="68"/>
  <c r="T58" i="68"/>
  <c r="V58" i="68" s="1"/>
  <c r="S58" i="68"/>
  <c r="X57" i="68"/>
  <c r="W57" i="68"/>
  <c r="U57" i="68"/>
  <c r="T57" i="68"/>
  <c r="S57" i="68"/>
  <c r="X56" i="68"/>
  <c r="W56" i="68"/>
  <c r="U56" i="68"/>
  <c r="T56" i="68"/>
  <c r="S56" i="68"/>
  <c r="X55" i="68"/>
  <c r="W55" i="68"/>
  <c r="U55" i="68"/>
  <c r="T55" i="68"/>
  <c r="S55" i="68"/>
  <c r="X54" i="68"/>
  <c r="W54" i="68"/>
  <c r="U54" i="68"/>
  <c r="T54" i="68"/>
  <c r="S54" i="68"/>
  <c r="X53" i="68"/>
  <c r="W53" i="68"/>
  <c r="U53" i="68"/>
  <c r="T53" i="68"/>
  <c r="S53" i="68"/>
  <c r="X52" i="68"/>
  <c r="W52" i="68"/>
  <c r="U52" i="68"/>
  <c r="T52" i="68"/>
  <c r="V52" i="68" s="1"/>
  <c r="S52" i="68"/>
  <c r="X51" i="68"/>
  <c r="W51" i="68"/>
  <c r="U51" i="68"/>
  <c r="V51" i="68" s="1"/>
  <c r="T51" i="68"/>
  <c r="S51" i="68"/>
  <c r="X50" i="68"/>
  <c r="W50" i="68"/>
  <c r="U50" i="68"/>
  <c r="T50" i="68"/>
  <c r="V50" i="68" s="1"/>
  <c r="S50" i="68"/>
  <c r="X49" i="68"/>
  <c r="W49" i="68"/>
  <c r="U49" i="68"/>
  <c r="T49" i="68"/>
  <c r="S49" i="68"/>
  <c r="X48" i="68"/>
  <c r="W48" i="68"/>
  <c r="U48" i="68"/>
  <c r="T48" i="68"/>
  <c r="V48" i="68" s="1"/>
  <c r="S48" i="68"/>
  <c r="X47" i="68"/>
  <c r="W47" i="68"/>
  <c r="U47" i="68"/>
  <c r="T47" i="68"/>
  <c r="S47" i="68"/>
  <c r="X46" i="68"/>
  <c r="W46" i="68"/>
  <c r="Y46" i="68" s="1"/>
  <c r="U46" i="68"/>
  <c r="T46" i="68"/>
  <c r="S46" i="68"/>
  <c r="X45" i="68"/>
  <c r="W45" i="68"/>
  <c r="U45" i="68"/>
  <c r="T45" i="68"/>
  <c r="S45" i="68"/>
  <c r="X44" i="68"/>
  <c r="W44" i="68"/>
  <c r="U44" i="68"/>
  <c r="T44" i="68"/>
  <c r="S44" i="68"/>
  <c r="X43" i="68"/>
  <c r="W43" i="68"/>
  <c r="U43" i="68"/>
  <c r="T43" i="68"/>
  <c r="S43" i="68"/>
  <c r="X42" i="68"/>
  <c r="W42" i="68"/>
  <c r="U42" i="68"/>
  <c r="T42" i="68"/>
  <c r="V42" i="68" s="1"/>
  <c r="S42" i="68"/>
  <c r="X41" i="68"/>
  <c r="W41" i="68"/>
  <c r="U41" i="68"/>
  <c r="T41" i="68"/>
  <c r="S41" i="68"/>
  <c r="X40" i="68"/>
  <c r="W40" i="68"/>
  <c r="Y40" i="68" s="1"/>
  <c r="U40" i="68"/>
  <c r="T40" i="68"/>
  <c r="S40" i="68"/>
  <c r="X39" i="68"/>
  <c r="W39" i="68"/>
  <c r="U39" i="68"/>
  <c r="V39" i="68" s="1"/>
  <c r="T39" i="68"/>
  <c r="S39" i="68"/>
  <c r="X38" i="68"/>
  <c r="W38" i="68"/>
  <c r="U38" i="68"/>
  <c r="T38" i="68"/>
  <c r="S38" i="68"/>
  <c r="X37" i="68"/>
  <c r="W37" i="68"/>
  <c r="U37" i="68"/>
  <c r="T37" i="68"/>
  <c r="S37" i="68"/>
  <c r="X36" i="68"/>
  <c r="W36" i="68"/>
  <c r="U36" i="68"/>
  <c r="T36" i="68"/>
  <c r="V36" i="68" s="1"/>
  <c r="S36" i="68"/>
  <c r="X35" i="68"/>
  <c r="W35" i="68"/>
  <c r="U35" i="68"/>
  <c r="V35" i="68" s="1"/>
  <c r="T35" i="68"/>
  <c r="S35" i="68"/>
  <c r="X34" i="68"/>
  <c r="W34" i="68"/>
  <c r="U34" i="68"/>
  <c r="T34" i="68"/>
  <c r="V34" i="68" s="1"/>
  <c r="S34" i="68"/>
  <c r="X33" i="68"/>
  <c r="W33" i="68"/>
  <c r="U33" i="68"/>
  <c r="T33" i="68"/>
  <c r="S33" i="68"/>
  <c r="X32" i="68"/>
  <c r="W32" i="68"/>
  <c r="Y32" i="68" s="1"/>
  <c r="U32" i="68"/>
  <c r="T32" i="68"/>
  <c r="V32" i="68" s="1"/>
  <c r="S32" i="68"/>
  <c r="X31" i="68"/>
  <c r="W31" i="68"/>
  <c r="U31" i="68"/>
  <c r="T31" i="68"/>
  <c r="S31" i="68"/>
  <c r="X30" i="68"/>
  <c r="W30" i="68"/>
  <c r="Y30" i="68" s="1"/>
  <c r="U30" i="68"/>
  <c r="T30" i="68"/>
  <c r="S30" i="68"/>
  <c r="X29" i="68"/>
  <c r="W29" i="68"/>
  <c r="U29" i="68"/>
  <c r="T29" i="68"/>
  <c r="S29" i="68"/>
  <c r="X28" i="68"/>
  <c r="W28" i="68"/>
  <c r="U28" i="68"/>
  <c r="T28" i="68"/>
  <c r="V28" i="68" s="1"/>
  <c r="S28" i="68"/>
  <c r="X27" i="68"/>
  <c r="W27" i="68"/>
  <c r="U27" i="68"/>
  <c r="V27" i="68" s="1"/>
  <c r="T27" i="68"/>
  <c r="S27" i="68"/>
  <c r="X26" i="68"/>
  <c r="W26" i="68"/>
  <c r="U26" i="68"/>
  <c r="T26" i="68"/>
  <c r="V26" i="68" s="1"/>
  <c r="S26" i="68"/>
  <c r="X25" i="68"/>
  <c r="W25" i="68"/>
  <c r="U25" i="68"/>
  <c r="T25" i="68"/>
  <c r="S25" i="68"/>
  <c r="X24" i="68"/>
  <c r="W24" i="68"/>
  <c r="U24" i="68"/>
  <c r="T24" i="68"/>
  <c r="V24" i="68" s="1"/>
  <c r="S24" i="68"/>
  <c r="X23" i="68"/>
  <c r="W23" i="68"/>
  <c r="U23" i="68"/>
  <c r="V23" i="68" s="1"/>
  <c r="T23" i="68"/>
  <c r="S23" i="68"/>
  <c r="X22" i="68"/>
  <c r="W22" i="68"/>
  <c r="U22" i="68"/>
  <c r="T22" i="68"/>
  <c r="S22" i="68"/>
  <c r="X21" i="68"/>
  <c r="W21" i="68"/>
  <c r="U21" i="68"/>
  <c r="T21" i="68"/>
  <c r="S21" i="68"/>
  <c r="X20" i="68"/>
  <c r="W20" i="68"/>
  <c r="U20" i="68"/>
  <c r="T20" i="68"/>
  <c r="V20" i="68" s="1"/>
  <c r="S20" i="68"/>
  <c r="X19" i="68"/>
  <c r="W19" i="68"/>
  <c r="U19" i="68"/>
  <c r="V19" i="68" s="1"/>
  <c r="T19" i="68"/>
  <c r="S19" i="68"/>
  <c r="X18" i="68"/>
  <c r="W18" i="68"/>
  <c r="U18" i="68"/>
  <c r="T18" i="68"/>
  <c r="V18" i="68" s="1"/>
  <c r="S18" i="68"/>
  <c r="X17" i="68"/>
  <c r="W17" i="68"/>
  <c r="U17" i="68"/>
  <c r="T17" i="68"/>
  <c r="S17" i="68"/>
  <c r="X16" i="68"/>
  <c r="W16" i="68"/>
  <c r="U16" i="68"/>
  <c r="T16" i="68"/>
  <c r="T15" i="68" s="1"/>
  <c r="S16" i="68"/>
  <c r="X52" i="62"/>
  <c r="W52" i="62"/>
  <c r="U52" i="62"/>
  <c r="T52" i="62"/>
  <c r="V52" i="62" s="1"/>
  <c r="S52" i="62"/>
  <c r="X51" i="62"/>
  <c r="W51" i="62"/>
  <c r="U51" i="62"/>
  <c r="T51" i="62"/>
  <c r="V51" i="62" s="1"/>
  <c r="S51" i="62"/>
  <c r="X50" i="62"/>
  <c r="W50" i="62"/>
  <c r="U50" i="62"/>
  <c r="T50" i="62"/>
  <c r="V50" i="62" s="1"/>
  <c r="S50" i="62"/>
  <c r="X49" i="62"/>
  <c r="W49" i="62"/>
  <c r="U49" i="62"/>
  <c r="T49" i="62"/>
  <c r="S49" i="62"/>
  <c r="X48" i="62"/>
  <c r="W48" i="62"/>
  <c r="U48" i="62"/>
  <c r="T48" i="62"/>
  <c r="S48" i="62"/>
  <c r="X47" i="62"/>
  <c r="W47" i="62"/>
  <c r="U47" i="62"/>
  <c r="T47" i="62"/>
  <c r="S47" i="62"/>
  <c r="X46" i="62"/>
  <c r="W46" i="62"/>
  <c r="U46" i="62"/>
  <c r="T46" i="62"/>
  <c r="V46" i="62" s="1"/>
  <c r="S46" i="62"/>
  <c r="X45" i="62"/>
  <c r="W45" i="62"/>
  <c r="Y45" i="62" s="1"/>
  <c r="U45" i="62"/>
  <c r="T45" i="62"/>
  <c r="V45" i="62" s="1"/>
  <c r="S45" i="62"/>
  <c r="X44" i="62"/>
  <c r="W44" i="62"/>
  <c r="Y44" i="62" s="1"/>
  <c r="U44" i="62"/>
  <c r="T44" i="62"/>
  <c r="S44" i="62"/>
  <c r="X43" i="62"/>
  <c r="W43" i="62"/>
  <c r="U43" i="62"/>
  <c r="T43" i="62"/>
  <c r="V43" i="62" s="1"/>
  <c r="S43" i="62"/>
  <c r="X42" i="62"/>
  <c r="W42" i="62"/>
  <c r="U42" i="62"/>
  <c r="T42" i="62"/>
  <c r="V42" i="62" s="1"/>
  <c r="S42" i="62"/>
  <c r="X41" i="62"/>
  <c r="W41" i="62"/>
  <c r="Y41" i="62" s="1"/>
  <c r="U41" i="62"/>
  <c r="T41" i="62"/>
  <c r="S41" i="62"/>
  <c r="X40" i="62"/>
  <c r="W40" i="62"/>
  <c r="U40" i="62"/>
  <c r="T40" i="62"/>
  <c r="S40" i="62"/>
  <c r="X39" i="62"/>
  <c r="W39" i="62"/>
  <c r="U39" i="62"/>
  <c r="T39" i="62"/>
  <c r="S39" i="62"/>
  <c r="X38" i="62"/>
  <c r="W38" i="62"/>
  <c r="Y38" i="62" s="1"/>
  <c r="U38" i="62"/>
  <c r="T38" i="62"/>
  <c r="V38" i="62" s="1"/>
  <c r="S38" i="62"/>
  <c r="X37" i="62"/>
  <c r="W37" i="62"/>
  <c r="U37" i="62"/>
  <c r="T37" i="62"/>
  <c r="S37" i="62"/>
  <c r="X36" i="62"/>
  <c r="W36" i="62"/>
  <c r="Y36" i="62" s="1"/>
  <c r="U36" i="62"/>
  <c r="T36" i="62"/>
  <c r="S36" i="62"/>
  <c r="X35" i="62"/>
  <c r="W35" i="62"/>
  <c r="U35" i="62"/>
  <c r="T35" i="62"/>
  <c r="S35" i="62"/>
  <c r="X34" i="62"/>
  <c r="W34" i="62"/>
  <c r="Y34" i="62" s="1"/>
  <c r="U34" i="62"/>
  <c r="T34" i="62"/>
  <c r="V34" i="62" s="1"/>
  <c r="S34" i="62"/>
  <c r="X33" i="62"/>
  <c r="W33" i="62"/>
  <c r="U33" i="62"/>
  <c r="T33" i="62"/>
  <c r="S33" i="62"/>
  <c r="X32" i="62"/>
  <c r="W32" i="62"/>
  <c r="Y32" i="62" s="1"/>
  <c r="U32" i="62"/>
  <c r="T32" i="62"/>
  <c r="S32" i="62"/>
  <c r="X31" i="62"/>
  <c r="W31" i="62"/>
  <c r="U31" i="62"/>
  <c r="T31" i="62"/>
  <c r="S31" i="62"/>
  <c r="X30" i="62"/>
  <c r="W30" i="62"/>
  <c r="Y30" i="62" s="1"/>
  <c r="U30" i="62"/>
  <c r="T30" i="62"/>
  <c r="V30" i="62" s="1"/>
  <c r="S30" i="62"/>
  <c r="X29" i="62"/>
  <c r="W29" i="62"/>
  <c r="U29" i="62"/>
  <c r="T29" i="62"/>
  <c r="S29" i="62"/>
  <c r="X28" i="62"/>
  <c r="W28" i="62"/>
  <c r="Y28" i="62" s="1"/>
  <c r="U28" i="62"/>
  <c r="T28" i="62"/>
  <c r="S28" i="62"/>
  <c r="X27" i="62"/>
  <c r="W27" i="62"/>
  <c r="U27" i="62"/>
  <c r="T27" i="62"/>
  <c r="S27" i="62"/>
  <c r="X26" i="62"/>
  <c r="W26" i="62"/>
  <c r="Y26" i="62" s="1"/>
  <c r="U26" i="62"/>
  <c r="T26" i="62"/>
  <c r="V26" i="62" s="1"/>
  <c r="S26" i="62"/>
  <c r="X25" i="62"/>
  <c r="W25" i="62"/>
  <c r="U25" i="62"/>
  <c r="T25" i="62"/>
  <c r="S25" i="62"/>
  <c r="X24" i="62"/>
  <c r="W24" i="62"/>
  <c r="Y24" i="62" s="1"/>
  <c r="U24" i="62"/>
  <c r="T24" i="62"/>
  <c r="S24" i="62"/>
  <c r="X23" i="62"/>
  <c r="W23" i="62"/>
  <c r="U23" i="62"/>
  <c r="T23" i="62"/>
  <c r="S23" i="62"/>
  <c r="X22" i="62"/>
  <c r="W22" i="62"/>
  <c r="Y22" i="62" s="1"/>
  <c r="U22" i="62"/>
  <c r="T22" i="62"/>
  <c r="V22" i="62" s="1"/>
  <c r="S22" i="62"/>
  <c r="X21" i="62"/>
  <c r="W21" i="62"/>
  <c r="U21" i="62"/>
  <c r="T21" i="62"/>
  <c r="S21" i="62"/>
  <c r="X20" i="62"/>
  <c r="W20" i="62"/>
  <c r="Y20" i="62" s="1"/>
  <c r="U20" i="62"/>
  <c r="T20" i="62"/>
  <c r="S20" i="62"/>
  <c r="X19" i="62"/>
  <c r="Y19" i="62" s="1"/>
  <c r="W19" i="62"/>
  <c r="U19" i="62"/>
  <c r="T19" i="62"/>
  <c r="S19" i="62"/>
  <c r="X18" i="62"/>
  <c r="W18" i="62"/>
  <c r="Y18" i="62" s="1"/>
  <c r="U18" i="62"/>
  <c r="T18" i="62"/>
  <c r="V18" i="62" s="1"/>
  <c r="S18" i="62"/>
  <c r="X17" i="62"/>
  <c r="W17" i="62"/>
  <c r="U17" i="62"/>
  <c r="T17" i="62"/>
  <c r="S17" i="62"/>
  <c r="X16" i="62"/>
  <c r="W16" i="62"/>
  <c r="Y16" i="62" s="1"/>
  <c r="U16" i="62"/>
  <c r="T16" i="62"/>
  <c r="S16" i="62"/>
  <c r="L15" i="62" s="1"/>
  <c r="X22" i="64"/>
  <c r="W22" i="64"/>
  <c r="Y22" i="64" s="1"/>
  <c r="X21" i="64"/>
  <c r="W21" i="64"/>
  <c r="Y21" i="64" s="1"/>
  <c r="Y20" i="64"/>
  <c r="X20" i="64"/>
  <c r="W20" i="64"/>
  <c r="Y19" i="64"/>
  <c r="X19" i="64"/>
  <c r="W19" i="64"/>
  <c r="X18" i="64"/>
  <c r="W18" i="64"/>
  <c r="Y18" i="64" s="1"/>
  <c r="X17" i="64"/>
  <c r="W17" i="64"/>
  <c r="Y17" i="64" s="1"/>
  <c r="Y16" i="64"/>
  <c r="X16" i="64"/>
  <c r="X15" i="64" s="1"/>
  <c r="E64" i="64" s="1"/>
  <c r="W16" i="64"/>
  <c r="W15" i="64" s="1"/>
  <c r="U22" i="64"/>
  <c r="U21" i="64"/>
  <c r="U20" i="64"/>
  <c r="V20" i="64" s="1"/>
  <c r="U19" i="64"/>
  <c r="U18" i="64"/>
  <c r="U17" i="64"/>
  <c r="U16" i="64"/>
  <c r="U15" i="64" s="1"/>
  <c r="T22" i="64"/>
  <c r="V22" i="64" s="1"/>
  <c r="T21" i="64"/>
  <c r="V21" i="64" s="1"/>
  <c r="T20" i="64"/>
  <c r="T19" i="64"/>
  <c r="V19" i="64" s="1"/>
  <c r="T18" i="64"/>
  <c r="V18" i="64" s="1"/>
  <c r="T17" i="64"/>
  <c r="V17" i="64" s="1"/>
  <c r="T16" i="64"/>
  <c r="T15" i="64" s="1"/>
  <c r="S22" i="64"/>
  <c r="S21" i="64"/>
  <c r="S20" i="64"/>
  <c r="S19" i="64"/>
  <c r="S18" i="64"/>
  <c r="S17" i="64"/>
  <c r="S16" i="64"/>
  <c r="X18" i="36"/>
  <c r="W18" i="36"/>
  <c r="Y18" i="36" s="1"/>
  <c r="U18" i="36"/>
  <c r="V18" i="36" s="1"/>
  <c r="T18" i="36"/>
  <c r="S18" i="36"/>
  <c r="X23" i="61"/>
  <c r="X22" i="61"/>
  <c r="X21" i="61"/>
  <c r="X20" i="61"/>
  <c r="X19" i="61"/>
  <c r="X18" i="61"/>
  <c r="X17" i="61"/>
  <c r="X16" i="61"/>
  <c r="X15" i="61" s="1"/>
  <c r="E64" i="61" s="1"/>
  <c r="W23" i="61"/>
  <c r="Y23" i="61" s="1"/>
  <c r="W22" i="61"/>
  <c r="Y22" i="61" s="1"/>
  <c r="W21" i="61"/>
  <c r="Y21" i="61" s="1"/>
  <c r="W20" i="61"/>
  <c r="Y20" i="61" s="1"/>
  <c r="W19" i="61"/>
  <c r="Y19" i="61" s="1"/>
  <c r="W18" i="61"/>
  <c r="Y18" i="61" s="1"/>
  <c r="W17" i="61"/>
  <c r="Y17" i="61" s="1"/>
  <c r="W16" i="61"/>
  <c r="W15" i="61" s="1"/>
  <c r="U23" i="61"/>
  <c r="U22" i="61"/>
  <c r="U21" i="61"/>
  <c r="U20" i="61"/>
  <c r="U19" i="61"/>
  <c r="U18" i="61"/>
  <c r="U17" i="61"/>
  <c r="U16" i="61"/>
  <c r="U15" i="61" s="1"/>
  <c r="T23" i="61"/>
  <c r="V23" i="61" s="1"/>
  <c r="T22" i="61"/>
  <c r="V22" i="61" s="1"/>
  <c r="T21" i="61"/>
  <c r="V21" i="61" s="1"/>
  <c r="T20" i="61"/>
  <c r="V20" i="61" s="1"/>
  <c r="T19" i="61"/>
  <c r="V19" i="61" s="1"/>
  <c r="T18" i="61"/>
  <c r="V18" i="61" s="1"/>
  <c r="T17" i="61"/>
  <c r="V17" i="61" s="1"/>
  <c r="T16" i="61"/>
  <c r="T15" i="61" s="1"/>
  <c r="S23" i="61"/>
  <c r="S22" i="61"/>
  <c r="S21" i="61"/>
  <c r="S20" i="61"/>
  <c r="S19" i="61"/>
  <c r="S18" i="61"/>
  <c r="S17" i="61"/>
  <c r="S16" i="61"/>
  <c r="S17" i="76"/>
  <c r="T17" i="76"/>
  <c r="U17" i="76"/>
  <c r="W17" i="76"/>
  <c r="X17" i="76"/>
  <c r="Y17" i="76"/>
  <c r="S18" i="76"/>
  <c r="T18" i="76"/>
  <c r="U18" i="76"/>
  <c r="W18" i="76"/>
  <c r="Y18" i="76" s="1"/>
  <c r="X18" i="76"/>
  <c r="S19" i="76"/>
  <c r="T19" i="76"/>
  <c r="U19" i="76"/>
  <c r="W19" i="76"/>
  <c r="X19" i="76"/>
  <c r="S20" i="76"/>
  <c r="T20" i="76"/>
  <c r="V20" i="76" s="1"/>
  <c r="U20" i="76"/>
  <c r="W20" i="76"/>
  <c r="X20" i="76"/>
  <c r="Y20" i="76"/>
  <c r="S21" i="76"/>
  <c r="T21" i="76"/>
  <c r="U21" i="76"/>
  <c r="V21" i="76"/>
  <c r="W21" i="76"/>
  <c r="X21" i="76"/>
  <c r="Y21" i="76" s="1"/>
  <c r="S22" i="76"/>
  <c r="T22" i="76"/>
  <c r="U22" i="76"/>
  <c r="W22" i="76"/>
  <c r="X22" i="76"/>
  <c r="S23" i="76"/>
  <c r="T23" i="76"/>
  <c r="U23" i="76"/>
  <c r="W23" i="76"/>
  <c r="X23" i="76"/>
  <c r="S24" i="76"/>
  <c r="T24" i="76"/>
  <c r="V24" i="76" s="1"/>
  <c r="U24" i="76"/>
  <c r="W24" i="76"/>
  <c r="X24" i="76"/>
  <c r="S25" i="76"/>
  <c r="T25" i="76"/>
  <c r="U25" i="76"/>
  <c r="V25" i="76"/>
  <c r="W25" i="76"/>
  <c r="X25" i="76"/>
  <c r="Y25" i="76"/>
  <c r="S26" i="76"/>
  <c r="T26" i="76"/>
  <c r="U26" i="76"/>
  <c r="V26" i="76"/>
  <c r="W26" i="76"/>
  <c r="Y26" i="76" s="1"/>
  <c r="X26" i="76"/>
  <c r="S27" i="76"/>
  <c r="T27" i="76"/>
  <c r="V27" i="76" s="1"/>
  <c r="U27" i="76"/>
  <c r="W27" i="76"/>
  <c r="Y27" i="76" s="1"/>
  <c r="X27" i="76"/>
  <c r="S28" i="76"/>
  <c r="T28" i="76"/>
  <c r="V28" i="76" s="1"/>
  <c r="U28" i="76"/>
  <c r="W28" i="76"/>
  <c r="X28" i="76"/>
  <c r="Y28" i="76"/>
  <c r="S29" i="76"/>
  <c r="T29" i="76"/>
  <c r="U29" i="76"/>
  <c r="V29" i="76"/>
  <c r="W29" i="76"/>
  <c r="X29" i="76"/>
  <c r="Y29" i="76"/>
  <c r="S30" i="76"/>
  <c r="T30" i="76"/>
  <c r="U30" i="76"/>
  <c r="V30" i="76"/>
  <c r="W30" i="76"/>
  <c r="Y30" i="76" s="1"/>
  <c r="X30" i="76"/>
  <c r="S31" i="76"/>
  <c r="T31" i="76"/>
  <c r="V31" i="76" s="1"/>
  <c r="U31" i="76"/>
  <c r="W31" i="76"/>
  <c r="Y31" i="76" s="1"/>
  <c r="X31" i="76"/>
  <c r="S32" i="76"/>
  <c r="T32" i="76"/>
  <c r="V32" i="76" s="1"/>
  <c r="U32" i="76"/>
  <c r="W32" i="76"/>
  <c r="X32" i="76"/>
  <c r="Y32" i="76"/>
  <c r="S33" i="76"/>
  <c r="T33" i="76"/>
  <c r="U33" i="76"/>
  <c r="V33" i="76"/>
  <c r="W33" i="76"/>
  <c r="X33" i="76"/>
  <c r="Y33" i="76"/>
  <c r="S34" i="76"/>
  <c r="T34" i="76"/>
  <c r="U34" i="76"/>
  <c r="V34" i="76"/>
  <c r="W34" i="76"/>
  <c r="Y34" i="76" s="1"/>
  <c r="X34" i="76"/>
  <c r="S35" i="76"/>
  <c r="T35" i="76"/>
  <c r="V35" i="76" s="1"/>
  <c r="U35" i="76"/>
  <c r="W35" i="76"/>
  <c r="Y35" i="76" s="1"/>
  <c r="X35" i="76"/>
  <c r="S36" i="76"/>
  <c r="T36" i="76"/>
  <c r="V36" i="76" s="1"/>
  <c r="U36" i="76"/>
  <c r="W36" i="76"/>
  <c r="X36" i="76"/>
  <c r="Y36" i="76"/>
  <c r="S37" i="76"/>
  <c r="T37" i="76"/>
  <c r="U37" i="76"/>
  <c r="V37" i="76"/>
  <c r="W37" i="76"/>
  <c r="X37" i="76"/>
  <c r="Y37" i="76"/>
  <c r="S38" i="76"/>
  <c r="T38" i="76"/>
  <c r="U38" i="76"/>
  <c r="V38" i="76"/>
  <c r="W38" i="76"/>
  <c r="Y38" i="76" s="1"/>
  <c r="X38" i="76"/>
  <c r="S39" i="76"/>
  <c r="T39" i="76"/>
  <c r="V39" i="76" s="1"/>
  <c r="U39" i="76"/>
  <c r="W39" i="76"/>
  <c r="Y39" i="76" s="1"/>
  <c r="X39" i="76"/>
  <c r="S40" i="76"/>
  <c r="T40" i="76"/>
  <c r="V40" i="76" s="1"/>
  <c r="U40" i="76"/>
  <c r="W40" i="76"/>
  <c r="X40" i="76"/>
  <c r="Y40" i="76"/>
  <c r="S41" i="76"/>
  <c r="T41" i="76"/>
  <c r="U41" i="76"/>
  <c r="V41" i="76"/>
  <c r="W41" i="76"/>
  <c r="X41" i="76"/>
  <c r="Y41" i="76"/>
  <c r="S42" i="76"/>
  <c r="T42" i="76"/>
  <c r="U42" i="76"/>
  <c r="V42" i="76"/>
  <c r="W42" i="76"/>
  <c r="Y42" i="76" s="1"/>
  <c r="X42" i="76"/>
  <c r="S43" i="76"/>
  <c r="T43" i="76"/>
  <c r="V43" i="76" s="1"/>
  <c r="U43" i="76"/>
  <c r="W43" i="76"/>
  <c r="Y43" i="76" s="1"/>
  <c r="X43" i="76"/>
  <c r="S44" i="76"/>
  <c r="T44" i="76"/>
  <c r="V44" i="76" s="1"/>
  <c r="U44" i="76"/>
  <c r="W44" i="76"/>
  <c r="X44" i="76"/>
  <c r="Y44" i="76"/>
  <c r="S45" i="76"/>
  <c r="T45" i="76"/>
  <c r="U45" i="76"/>
  <c r="V45" i="76"/>
  <c r="W45" i="76"/>
  <c r="X45" i="76"/>
  <c r="Y45" i="76"/>
  <c r="S46" i="76"/>
  <c r="T46" i="76"/>
  <c r="U46" i="76"/>
  <c r="V46" i="76"/>
  <c r="W46" i="76"/>
  <c r="Y46" i="76" s="1"/>
  <c r="X46" i="76"/>
  <c r="S47" i="76"/>
  <c r="T47" i="76"/>
  <c r="V47" i="76" s="1"/>
  <c r="U47" i="76"/>
  <c r="W47" i="76"/>
  <c r="Y47" i="76" s="1"/>
  <c r="X47" i="76"/>
  <c r="S48" i="76"/>
  <c r="T48" i="76"/>
  <c r="V48" i="76" s="1"/>
  <c r="U48" i="76"/>
  <c r="W48" i="76"/>
  <c r="X48" i="76"/>
  <c r="Y48" i="76"/>
  <c r="S49" i="76"/>
  <c r="T49" i="76"/>
  <c r="U49" i="76"/>
  <c r="V49" i="76"/>
  <c r="W49" i="76"/>
  <c r="X49" i="76"/>
  <c r="Y49" i="76"/>
  <c r="S50" i="76"/>
  <c r="T50" i="76"/>
  <c r="U50" i="76"/>
  <c r="V50" i="76"/>
  <c r="W50" i="76"/>
  <c r="Y50" i="76" s="1"/>
  <c r="X50" i="76"/>
  <c r="S51" i="76"/>
  <c r="T51" i="76"/>
  <c r="V51" i="76" s="1"/>
  <c r="U51" i="76"/>
  <c r="W51" i="76"/>
  <c r="Y51" i="76" s="1"/>
  <c r="X51" i="76"/>
  <c r="S52" i="76"/>
  <c r="T52" i="76"/>
  <c r="V52" i="76" s="1"/>
  <c r="U52" i="76"/>
  <c r="W52" i="76"/>
  <c r="X52" i="76"/>
  <c r="Y52" i="76"/>
  <c r="S53" i="76"/>
  <c r="T53" i="76"/>
  <c r="U53" i="76"/>
  <c r="V53" i="76"/>
  <c r="W53" i="76"/>
  <c r="X53" i="76"/>
  <c r="Y53" i="76"/>
  <c r="S54" i="76"/>
  <c r="T54" i="76"/>
  <c r="U54" i="76"/>
  <c r="V54" i="76"/>
  <c r="W54" i="76"/>
  <c r="Y54" i="76" s="1"/>
  <c r="X54" i="76"/>
  <c r="S55" i="76"/>
  <c r="T55" i="76"/>
  <c r="V55" i="76" s="1"/>
  <c r="U55" i="76"/>
  <c r="W55" i="76"/>
  <c r="Y55" i="76" s="1"/>
  <c r="X55" i="76"/>
  <c r="S56" i="76"/>
  <c r="T56" i="76"/>
  <c r="V56" i="76" s="1"/>
  <c r="U56" i="76"/>
  <c r="W56" i="76"/>
  <c r="X56" i="76"/>
  <c r="Y56" i="76"/>
  <c r="S57" i="76"/>
  <c r="T57" i="76"/>
  <c r="U57" i="76"/>
  <c r="V57" i="76"/>
  <c r="W57" i="76"/>
  <c r="X57" i="76"/>
  <c r="Y57" i="76"/>
  <c r="S58" i="76"/>
  <c r="T58" i="76"/>
  <c r="U58" i="76"/>
  <c r="V58" i="76"/>
  <c r="W58" i="76"/>
  <c r="Y58" i="76" s="1"/>
  <c r="X58" i="76"/>
  <c r="S59" i="76"/>
  <c r="T59" i="76"/>
  <c r="V59" i="76" s="1"/>
  <c r="U59" i="76"/>
  <c r="W59" i="76"/>
  <c r="Y59" i="76" s="1"/>
  <c r="X59" i="76"/>
  <c r="S60" i="76"/>
  <c r="T60" i="76"/>
  <c r="V60" i="76" s="1"/>
  <c r="U60" i="76"/>
  <c r="W60" i="76"/>
  <c r="X60" i="76"/>
  <c r="Y60" i="76"/>
  <c r="S61" i="76"/>
  <c r="T61" i="76"/>
  <c r="U61" i="76"/>
  <c r="V61" i="76"/>
  <c r="W61" i="76"/>
  <c r="X61" i="76"/>
  <c r="Y61" i="76"/>
  <c r="S62" i="76"/>
  <c r="T62" i="76"/>
  <c r="U62" i="76"/>
  <c r="V62" i="76"/>
  <c r="W62" i="76"/>
  <c r="Y62" i="76" s="1"/>
  <c r="X62" i="76"/>
  <c r="S63" i="76"/>
  <c r="T63" i="76"/>
  <c r="V63" i="76" s="1"/>
  <c r="U63" i="76"/>
  <c r="W63" i="76"/>
  <c r="Y63" i="76" s="1"/>
  <c r="X63" i="76"/>
  <c r="S64" i="76"/>
  <c r="T64" i="76"/>
  <c r="V64" i="76" s="1"/>
  <c r="U64" i="76"/>
  <c r="W64" i="76"/>
  <c r="X64" i="76"/>
  <c r="Y64" i="76"/>
  <c r="S65" i="76"/>
  <c r="T65" i="76"/>
  <c r="U65" i="76"/>
  <c r="V65" i="76"/>
  <c r="W65" i="76"/>
  <c r="X65" i="76"/>
  <c r="Y65" i="76"/>
  <c r="X16" i="76"/>
  <c r="W16" i="76"/>
  <c r="Y16" i="76" s="1"/>
  <c r="U16" i="76"/>
  <c r="T16" i="76"/>
  <c r="T15" i="76" s="1"/>
  <c r="S16" i="76"/>
  <c r="F16" i="76"/>
  <c r="F17" i="76"/>
  <c r="F16" i="79"/>
  <c r="F17" i="79"/>
  <c r="F16" i="78"/>
  <c r="F17" i="78"/>
  <c r="F16" i="77"/>
  <c r="F17" i="77"/>
  <c r="B20" i="50"/>
  <c r="S31" i="50"/>
  <c r="T31" i="50"/>
  <c r="U31" i="50"/>
  <c r="V31" i="50"/>
  <c r="W31" i="50"/>
  <c r="X31" i="50"/>
  <c r="Y31" i="50"/>
  <c r="S32" i="50"/>
  <c r="T32" i="50"/>
  <c r="U32" i="50"/>
  <c r="V32" i="50"/>
  <c r="W32" i="50"/>
  <c r="Y32" i="50" s="1"/>
  <c r="X32" i="50"/>
  <c r="S33" i="50"/>
  <c r="T33" i="50"/>
  <c r="V33" i="50" s="1"/>
  <c r="U33" i="50"/>
  <c r="W33" i="50"/>
  <c r="Y33" i="50" s="1"/>
  <c r="X33" i="50"/>
  <c r="S34" i="50"/>
  <c r="T34" i="50"/>
  <c r="V34" i="50" s="1"/>
  <c r="U34" i="50"/>
  <c r="W34" i="50"/>
  <c r="X34" i="50"/>
  <c r="Y34" i="50"/>
  <c r="S35" i="50"/>
  <c r="T35" i="50"/>
  <c r="U35" i="50"/>
  <c r="V35" i="50"/>
  <c r="W35" i="50"/>
  <c r="X35" i="50"/>
  <c r="Y35" i="50"/>
  <c r="S36" i="50"/>
  <c r="T36" i="50"/>
  <c r="U36" i="50"/>
  <c r="V36" i="50"/>
  <c r="W36" i="50"/>
  <c r="Y36" i="50" s="1"/>
  <c r="X36" i="50"/>
  <c r="S37" i="50"/>
  <c r="T37" i="50"/>
  <c r="V37" i="50" s="1"/>
  <c r="U37" i="50"/>
  <c r="W37" i="50"/>
  <c r="Y37" i="50" s="1"/>
  <c r="X37" i="50"/>
  <c r="S38" i="50"/>
  <c r="T38" i="50"/>
  <c r="V38" i="50" s="1"/>
  <c r="U38" i="50"/>
  <c r="W38" i="50"/>
  <c r="X38" i="50"/>
  <c r="Y38" i="50"/>
  <c r="B20" i="48"/>
  <c r="M15" i="36"/>
  <c r="B21" i="36"/>
  <c r="M15" i="35"/>
  <c r="X72" i="35"/>
  <c r="Y72" i="35" s="1"/>
  <c r="W72" i="35"/>
  <c r="U72" i="35"/>
  <c r="T72" i="35"/>
  <c r="V72" i="35" s="1"/>
  <c r="S72" i="35"/>
  <c r="X71" i="35"/>
  <c r="W71" i="35"/>
  <c r="U71" i="35"/>
  <c r="T71" i="35"/>
  <c r="V71" i="35" s="1"/>
  <c r="S71" i="35"/>
  <c r="X70" i="35"/>
  <c r="W70" i="35"/>
  <c r="Y70" i="35" s="1"/>
  <c r="U70" i="35"/>
  <c r="V70" i="35" s="1"/>
  <c r="T70" i="35"/>
  <c r="S70" i="35"/>
  <c r="X69" i="35"/>
  <c r="Y69" i="35" s="1"/>
  <c r="W69" i="35"/>
  <c r="U69" i="35"/>
  <c r="T69" i="35"/>
  <c r="S69" i="35"/>
  <c r="X68" i="35"/>
  <c r="Y68" i="35" s="1"/>
  <c r="W68" i="35"/>
  <c r="U68" i="35"/>
  <c r="T68" i="35"/>
  <c r="V68" i="35" s="1"/>
  <c r="S68" i="35"/>
  <c r="X67" i="35"/>
  <c r="W67" i="35"/>
  <c r="Y67" i="35" s="1"/>
  <c r="U67" i="35"/>
  <c r="T67" i="35"/>
  <c r="V67" i="35" s="1"/>
  <c r="S67" i="35"/>
  <c r="X66" i="35"/>
  <c r="W66" i="35"/>
  <c r="Y66" i="35" s="1"/>
  <c r="U66" i="35"/>
  <c r="T66" i="35"/>
  <c r="V66" i="35" s="1"/>
  <c r="S66" i="35"/>
  <c r="X65" i="35"/>
  <c r="W65" i="35"/>
  <c r="Y65" i="35" s="1"/>
  <c r="U65" i="35"/>
  <c r="V65" i="35" s="1"/>
  <c r="T65" i="35"/>
  <c r="S65" i="35"/>
  <c r="X64" i="35"/>
  <c r="Y64" i="35" s="1"/>
  <c r="W64" i="35"/>
  <c r="U64" i="35"/>
  <c r="T64" i="35"/>
  <c r="V64" i="35" s="1"/>
  <c r="S64" i="35"/>
  <c r="X63" i="35"/>
  <c r="W63" i="35"/>
  <c r="Y63" i="35" s="1"/>
  <c r="U63" i="35"/>
  <c r="T63" i="35"/>
  <c r="V63" i="35" s="1"/>
  <c r="S63" i="35"/>
  <c r="X62" i="35"/>
  <c r="W62" i="35"/>
  <c r="Y62" i="35" s="1"/>
  <c r="V62" i="35"/>
  <c r="U62" i="35"/>
  <c r="T62" i="35"/>
  <c r="S62" i="35"/>
  <c r="X61" i="35"/>
  <c r="Y61" i="35" s="1"/>
  <c r="W61" i="35"/>
  <c r="U61" i="35"/>
  <c r="T61" i="35"/>
  <c r="S61" i="35"/>
  <c r="X60" i="35"/>
  <c r="Y60" i="35" s="1"/>
  <c r="W60" i="35"/>
  <c r="U60" i="35"/>
  <c r="T60" i="35"/>
  <c r="V60" i="35" s="1"/>
  <c r="S60" i="35"/>
  <c r="X59" i="35"/>
  <c r="W59" i="35"/>
  <c r="Y59" i="35" s="1"/>
  <c r="U59" i="35"/>
  <c r="T59" i="35"/>
  <c r="V59" i="35" s="1"/>
  <c r="S59" i="35"/>
  <c r="X58" i="35"/>
  <c r="W58" i="35"/>
  <c r="Y58" i="35" s="1"/>
  <c r="V58" i="35"/>
  <c r="U58" i="35"/>
  <c r="T58" i="35"/>
  <c r="S58" i="35"/>
  <c r="X57" i="35"/>
  <c r="W57" i="35"/>
  <c r="Y57" i="35" s="1"/>
  <c r="U57" i="35"/>
  <c r="V57" i="35" s="1"/>
  <c r="T57" i="35"/>
  <c r="S57" i="35"/>
  <c r="X56" i="35"/>
  <c r="Y56" i="35" s="1"/>
  <c r="W56" i="35"/>
  <c r="U56" i="35"/>
  <c r="T56" i="35"/>
  <c r="V56" i="35" s="1"/>
  <c r="S56" i="35"/>
  <c r="X55" i="35"/>
  <c r="W55" i="35"/>
  <c r="Y55" i="35" s="1"/>
  <c r="U55" i="35"/>
  <c r="T55" i="35"/>
  <c r="V55" i="35" s="1"/>
  <c r="S55" i="35"/>
  <c r="X54" i="35"/>
  <c r="W54" i="35"/>
  <c r="Y54" i="35" s="1"/>
  <c r="V54" i="35"/>
  <c r="U54" i="35"/>
  <c r="T54" i="35"/>
  <c r="S54" i="35"/>
  <c r="B20" i="35"/>
  <c r="M15" i="34"/>
  <c r="X23" i="34"/>
  <c r="Y23" i="34" s="1"/>
  <c r="W23" i="34"/>
  <c r="U23" i="34"/>
  <c r="T23" i="34"/>
  <c r="S23" i="34"/>
  <c r="X22" i="34"/>
  <c r="W22" i="34"/>
  <c r="Y22" i="34" s="1"/>
  <c r="U22" i="34"/>
  <c r="T22" i="34"/>
  <c r="V22" i="34" s="1"/>
  <c r="S22" i="34"/>
  <c r="B20" i="32"/>
  <c r="X24" i="23"/>
  <c r="Y24" i="23" s="1"/>
  <c r="W24" i="23"/>
  <c r="U24" i="23"/>
  <c r="T24" i="23"/>
  <c r="V24" i="23" s="1"/>
  <c r="X23" i="23"/>
  <c r="W23" i="23"/>
  <c r="U23" i="23"/>
  <c r="T23" i="23"/>
  <c r="V23" i="23" s="1"/>
  <c r="X22" i="23"/>
  <c r="W22" i="23"/>
  <c r="U22" i="23"/>
  <c r="T22" i="23"/>
  <c r="V22" i="23" s="1"/>
  <c r="S24" i="23"/>
  <c r="S23" i="23"/>
  <c r="S22" i="23"/>
  <c r="X46" i="23"/>
  <c r="W46" i="23"/>
  <c r="U46" i="23"/>
  <c r="T46" i="23"/>
  <c r="V46" i="23" s="1"/>
  <c r="S46" i="23"/>
  <c r="X45" i="23"/>
  <c r="W45" i="23"/>
  <c r="Y45" i="23" s="1"/>
  <c r="U45" i="23"/>
  <c r="T45" i="23"/>
  <c r="S45" i="23"/>
  <c r="X44" i="23"/>
  <c r="W44" i="23"/>
  <c r="U44" i="23"/>
  <c r="T44" i="23"/>
  <c r="S44" i="23"/>
  <c r="X43" i="23"/>
  <c r="W43" i="23"/>
  <c r="U43" i="23"/>
  <c r="T43" i="23"/>
  <c r="V43" i="23" s="1"/>
  <c r="S43" i="23"/>
  <c r="X42" i="23"/>
  <c r="W42" i="23"/>
  <c r="U42" i="23"/>
  <c r="V42" i="23" s="1"/>
  <c r="T42" i="23"/>
  <c r="S42" i="23"/>
  <c r="X41" i="23"/>
  <c r="W41" i="23"/>
  <c r="Y41" i="23" s="1"/>
  <c r="U41" i="23"/>
  <c r="T41" i="23"/>
  <c r="S41" i="23"/>
  <c r="X40" i="23"/>
  <c r="Y40" i="23" s="1"/>
  <c r="W40" i="23"/>
  <c r="U40" i="23"/>
  <c r="T40" i="23"/>
  <c r="S40" i="23"/>
  <c r="X39" i="23"/>
  <c r="W39" i="23"/>
  <c r="U39" i="23"/>
  <c r="T39" i="23"/>
  <c r="V39" i="23" s="1"/>
  <c r="S39" i="23"/>
  <c r="X38" i="23"/>
  <c r="W38" i="23"/>
  <c r="Y38" i="23" s="1"/>
  <c r="U38" i="23"/>
  <c r="T38" i="23"/>
  <c r="S38" i="23"/>
  <c r="B20" i="23"/>
  <c r="M15" i="22"/>
  <c r="X22" i="22"/>
  <c r="Y22" i="22" s="1"/>
  <c r="W22" i="22"/>
  <c r="U22" i="22"/>
  <c r="T22" i="22"/>
  <c r="V22" i="22" s="1"/>
  <c r="S22" i="22"/>
  <c r="X21" i="22"/>
  <c r="W21" i="22"/>
  <c r="Y21" i="22" s="1"/>
  <c r="U21" i="22"/>
  <c r="T21" i="22"/>
  <c r="V21" i="22" s="1"/>
  <c r="S21" i="22"/>
  <c r="B20" i="22"/>
  <c r="M15" i="24"/>
  <c r="B20" i="24"/>
  <c r="D34" i="46"/>
  <c r="B20" i="46"/>
  <c r="X43" i="46"/>
  <c r="W43" i="46"/>
  <c r="Y43" i="46" s="1"/>
  <c r="V43" i="46"/>
  <c r="U43" i="46"/>
  <c r="T43" i="46"/>
  <c r="S43" i="46"/>
  <c r="Y42" i="46"/>
  <c r="X42" i="46"/>
  <c r="W42" i="46"/>
  <c r="U42" i="46"/>
  <c r="V42" i="46" s="1"/>
  <c r="T42" i="46"/>
  <c r="S42" i="46"/>
  <c r="X41" i="46"/>
  <c r="Y41" i="46" s="1"/>
  <c r="W41" i="46"/>
  <c r="U41" i="46"/>
  <c r="T41" i="46"/>
  <c r="V41" i="46" s="1"/>
  <c r="S41" i="46"/>
  <c r="X40" i="46"/>
  <c r="W40" i="46"/>
  <c r="Y40" i="46" s="1"/>
  <c r="U40" i="46"/>
  <c r="T40" i="46"/>
  <c r="V40" i="46" s="1"/>
  <c r="S40" i="46"/>
  <c r="X39" i="46"/>
  <c r="W39" i="46"/>
  <c r="Y39" i="46" s="1"/>
  <c r="V39" i="46"/>
  <c r="U39" i="46"/>
  <c r="T39" i="46"/>
  <c r="S39" i="46"/>
  <c r="Y38" i="46"/>
  <c r="X38" i="46"/>
  <c r="W38" i="46"/>
  <c r="U38" i="46"/>
  <c r="V38" i="46" s="1"/>
  <c r="T38" i="46"/>
  <c r="S38" i="46"/>
  <c r="X37" i="46"/>
  <c r="Y37" i="46" s="1"/>
  <c r="W37" i="46"/>
  <c r="U37" i="46"/>
  <c r="T37" i="46"/>
  <c r="V37" i="46" s="1"/>
  <c r="S37" i="46"/>
  <c r="X36" i="46"/>
  <c r="W36" i="46"/>
  <c r="Y36" i="46" s="1"/>
  <c r="U36" i="46"/>
  <c r="T36" i="46"/>
  <c r="V36" i="46" s="1"/>
  <c r="S36" i="46"/>
  <c r="X35" i="46"/>
  <c r="W35" i="46"/>
  <c r="Y35" i="46" s="1"/>
  <c r="V35" i="46"/>
  <c r="U35" i="46"/>
  <c r="T35" i="46"/>
  <c r="S35" i="46"/>
  <c r="Y34" i="46"/>
  <c r="X34" i="46"/>
  <c r="W34" i="46"/>
  <c r="U34" i="46"/>
  <c r="V34" i="46" s="1"/>
  <c r="T34" i="46"/>
  <c r="S34" i="46"/>
  <c r="X33" i="46"/>
  <c r="Y33" i="46" s="1"/>
  <c r="W33" i="46"/>
  <c r="U33" i="46"/>
  <c r="T33" i="46"/>
  <c r="V33" i="46" s="1"/>
  <c r="S33" i="46"/>
  <c r="X32" i="46"/>
  <c r="W32" i="46"/>
  <c r="Y32" i="46" s="1"/>
  <c r="U32" i="46"/>
  <c r="T32" i="46"/>
  <c r="V32" i="46" s="1"/>
  <c r="S32" i="46"/>
  <c r="X31" i="46"/>
  <c r="W31" i="46"/>
  <c r="Y31" i="46" s="1"/>
  <c r="V31" i="46"/>
  <c r="U31" i="46"/>
  <c r="T31" i="46"/>
  <c r="S31" i="46"/>
  <c r="Y30" i="46"/>
  <c r="X30" i="46"/>
  <c r="W30" i="46"/>
  <c r="U30" i="46"/>
  <c r="V30" i="46" s="1"/>
  <c r="T30" i="46"/>
  <c r="S30" i="46"/>
  <c r="X29" i="46"/>
  <c r="Y29" i="46" s="1"/>
  <c r="W29" i="46"/>
  <c r="U29" i="46"/>
  <c r="T29" i="46"/>
  <c r="V29" i="46" s="1"/>
  <c r="S29" i="46"/>
  <c r="X28" i="46"/>
  <c r="W28" i="46"/>
  <c r="Y28" i="46" s="1"/>
  <c r="U28" i="46"/>
  <c r="T28" i="46"/>
  <c r="V28" i="46" s="1"/>
  <c r="S28" i="46"/>
  <c r="X27" i="46"/>
  <c r="W27" i="46"/>
  <c r="Y27" i="46" s="1"/>
  <c r="V27" i="46"/>
  <c r="U27" i="46"/>
  <c r="T27" i="46"/>
  <c r="S27" i="46"/>
  <c r="Y26" i="46"/>
  <c r="X26" i="46"/>
  <c r="W26" i="46"/>
  <c r="U26" i="46"/>
  <c r="V26" i="46" s="1"/>
  <c r="T26" i="46"/>
  <c r="S26" i="46"/>
  <c r="X25" i="46"/>
  <c r="Y25" i="46" s="1"/>
  <c r="W25" i="46"/>
  <c r="U25" i="46"/>
  <c r="T25" i="46"/>
  <c r="V25" i="46" s="1"/>
  <c r="S25" i="46"/>
  <c r="X24" i="46"/>
  <c r="W24" i="46"/>
  <c r="Y24" i="46" s="1"/>
  <c r="U24" i="46"/>
  <c r="T24" i="46"/>
  <c r="V24" i="46" s="1"/>
  <c r="S24" i="46"/>
  <c r="X23" i="46"/>
  <c r="W23" i="46"/>
  <c r="Y23" i="46" s="1"/>
  <c r="V23" i="46"/>
  <c r="U23" i="46"/>
  <c r="T23" i="46"/>
  <c r="S23" i="46"/>
  <c r="Y22" i="46"/>
  <c r="X22" i="46"/>
  <c r="W22" i="46"/>
  <c r="U22" i="46"/>
  <c r="V22" i="46" s="1"/>
  <c r="T22" i="46"/>
  <c r="S22" i="46"/>
  <c r="X21" i="46"/>
  <c r="Y21" i="46" s="1"/>
  <c r="W21" i="46"/>
  <c r="U21" i="46"/>
  <c r="T21" i="46"/>
  <c r="V21" i="46" s="1"/>
  <c r="S21" i="46"/>
  <c r="X20" i="46"/>
  <c r="W20" i="46"/>
  <c r="Y20" i="46" s="1"/>
  <c r="U20" i="46"/>
  <c r="T20" i="46"/>
  <c r="V20" i="46" s="1"/>
  <c r="S20" i="46"/>
  <c r="X19" i="46"/>
  <c r="W19" i="46"/>
  <c r="Y19" i="46" s="1"/>
  <c r="V19" i="46"/>
  <c r="U19" i="46"/>
  <c r="T19" i="46"/>
  <c r="S19" i="46"/>
  <c r="Y18" i="46"/>
  <c r="X18" i="46"/>
  <c r="W18" i="46"/>
  <c r="U18" i="46"/>
  <c r="V18" i="46" s="1"/>
  <c r="T18" i="46"/>
  <c r="S18" i="46"/>
  <c r="X17" i="46"/>
  <c r="Y17" i="46" s="1"/>
  <c r="W17" i="46"/>
  <c r="U17" i="46"/>
  <c r="T17" i="46"/>
  <c r="V17" i="46" s="1"/>
  <c r="S17" i="46"/>
  <c r="M15" i="29"/>
  <c r="X27" i="29"/>
  <c r="W27" i="29"/>
  <c r="Y27" i="29" s="1"/>
  <c r="U27" i="29"/>
  <c r="V27" i="29" s="1"/>
  <c r="T27" i="29"/>
  <c r="S27" i="29"/>
  <c r="B20" i="28"/>
  <c r="B20" i="29"/>
  <c r="X28" i="28"/>
  <c r="W28" i="28"/>
  <c r="Y28" i="28" s="1"/>
  <c r="X27" i="28"/>
  <c r="W27" i="28"/>
  <c r="U28" i="28"/>
  <c r="T28" i="28"/>
  <c r="V28" i="28" s="1"/>
  <c r="U27" i="28"/>
  <c r="T27" i="28"/>
  <c r="V27" i="28" s="1"/>
  <c r="S28" i="28"/>
  <c r="S27" i="28"/>
  <c r="B20" i="21"/>
  <c r="M15" i="21"/>
  <c r="X26" i="21"/>
  <c r="W26" i="21"/>
  <c r="X25" i="21"/>
  <c r="W25" i="21"/>
  <c r="Y25" i="21" s="1"/>
  <c r="Y24" i="21"/>
  <c r="X24" i="21"/>
  <c r="W24" i="21"/>
  <c r="X23" i="21"/>
  <c r="W23" i="21"/>
  <c r="X22" i="21"/>
  <c r="W22" i="21"/>
  <c r="X21" i="21"/>
  <c r="W21" i="21"/>
  <c r="Y21" i="21" s="1"/>
  <c r="X20" i="21"/>
  <c r="W20" i="21"/>
  <c r="Y20" i="21" s="1"/>
  <c r="X16" i="21"/>
  <c r="W16" i="21"/>
  <c r="U26" i="21"/>
  <c r="T26" i="21"/>
  <c r="V26" i="21" s="1"/>
  <c r="U25" i="21"/>
  <c r="T25" i="21"/>
  <c r="U24" i="21"/>
  <c r="T24" i="21"/>
  <c r="V24" i="21" s="1"/>
  <c r="U23" i="21"/>
  <c r="V23" i="21" s="1"/>
  <c r="T23" i="21"/>
  <c r="U22" i="21"/>
  <c r="T22" i="21"/>
  <c r="V22" i="21" s="1"/>
  <c r="U21" i="21"/>
  <c r="T21" i="21"/>
  <c r="U20" i="21"/>
  <c r="T20" i="21"/>
  <c r="V20" i="21" s="1"/>
  <c r="U19" i="21"/>
  <c r="V19" i="21" s="1"/>
  <c r="T19" i="21"/>
  <c r="U18" i="21"/>
  <c r="T18" i="21"/>
  <c r="V18" i="21" s="1"/>
  <c r="U16" i="21"/>
  <c r="T16" i="21"/>
  <c r="S26" i="21"/>
  <c r="S25" i="21"/>
  <c r="S24" i="21"/>
  <c r="S23" i="21"/>
  <c r="S22" i="21"/>
  <c r="S21" i="21"/>
  <c r="S20" i="21"/>
  <c r="S16" i="21"/>
  <c r="B20" i="42"/>
  <c r="AC114" i="19"/>
  <c r="AC113" i="19"/>
  <c r="AC112" i="19"/>
  <c r="AC111" i="19"/>
  <c r="AC110" i="19"/>
  <c r="AC109" i="19"/>
  <c r="AC108" i="19"/>
  <c r="AC107" i="19"/>
  <c r="AC106" i="19"/>
  <c r="AC105" i="19"/>
  <c r="AC104" i="19"/>
  <c r="AC103" i="19"/>
  <c r="AC102" i="19"/>
  <c r="AC101" i="19"/>
  <c r="AC100" i="19"/>
  <c r="AC99" i="19"/>
  <c r="AC98" i="19"/>
  <c r="AC97" i="19"/>
  <c r="AC96" i="19"/>
  <c r="AC95" i="19"/>
  <c r="AC94" i="19"/>
  <c r="AC93" i="19"/>
  <c r="AC92" i="19"/>
  <c r="AC91" i="19"/>
  <c r="AC90" i="19"/>
  <c r="AC89" i="19"/>
  <c r="AA15" i="19"/>
  <c r="X114" i="19"/>
  <c r="W114" i="19"/>
  <c r="Y114" i="19" s="1"/>
  <c r="U114" i="19"/>
  <c r="T114" i="19"/>
  <c r="X113" i="19"/>
  <c r="W113" i="19"/>
  <c r="Y113" i="19" s="1"/>
  <c r="U113" i="19"/>
  <c r="T113" i="19"/>
  <c r="X112" i="19"/>
  <c r="W112" i="19"/>
  <c r="Y112" i="19" s="1"/>
  <c r="U112" i="19"/>
  <c r="T112" i="19"/>
  <c r="X111" i="19"/>
  <c r="W111" i="19"/>
  <c r="Y111" i="19" s="1"/>
  <c r="U111" i="19"/>
  <c r="V111" i="19" s="1"/>
  <c r="T111" i="19"/>
  <c r="X110" i="19"/>
  <c r="W110" i="19"/>
  <c r="U110" i="19"/>
  <c r="T110" i="19"/>
  <c r="X109" i="19"/>
  <c r="W109" i="19"/>
  <c r="Y109" i="19" s="1"/>
  <c r="U109" i="19"/>
  <c r="T109" i="19"/>
  <c r="X108" i="19"/>
  <c r="W108" i="19"/>
  <c r="Y108" i="19" s="1"/>
  <c r="U108" i="19"/>
  <c r="T108" i="19"/>
  <c r="X107" i="19"/>
  <c r="W107" i="19"/>
  <c r="Y107" i="19" s="1"/>
  <c r="U107" i="19"/>
  <c r="V107" i="19" s="1"/>
  <c r="T107" i="19"/>
  <c r="X106" i="19"/>
  <c r="W106" i="19"/>
  <c r="U106" i="19"/>
  <c r="T106" i="19"/>
  <c r="X105" i="19"/>
  <c r="W105" i="19"/>
  <c r="Y105" i="19" s="1"/>
  <c r="U105" i="19"/>
  <c r="T105" i="19"/>
  <c r="X104" i="19"/>
  <c r="W104" i="19"/>
  <c r="Y104" i="19" s="1"/>
  <c r="U104" i="19"/>
  <c r="T104" i="19"/>
  <c r="X103" i="19"/>
  <c r="W103" i="19"/>
  <c r="Y103" i="19" s="1"/>
  <c r="U103" i="19"/>
  <c r="V103" i="19" s="1"/>
  <c r="T103" i="19"/>
  <c r="X102" i="19"/>
  <c r="W102" i="19"/>
  <c r="U102" i="19"/>
  <c r="T102" i="19"/>
  <c r="X101" i="19"/>
  <c r="W101" i="19"/>
  <c r="Y101" i="19" s="1"/>
  <c r="U101" i="19"/>
  <c r="T101" i="19"/>
  <c r="X100" i="19"/>
  <c r="W100" i="19"/>
  <c r="Y100" i="19" s="1"/>
  <c r="U100" i="19"/>
  <c r="T100" i="19"/>
  <c r="X99" i="19"/>
  <c r="W99" i="19"/>
  <c r="Y99" i="19" s="1"/>
  <c r="U99" i="19"/>
  <c r="V99" i="19" s="1"/>
  <c r="T99" i="19"/>
  <c r="X98" i="19"/>
  <c r="W98" i="19"/>
  <c r="U98" i="19"/>
  <c r="T98" i="19"/>
  <c r="X97" i="19"/>
  <c r="W97" i="19"/>
  <c r="Y97" i="19" s="1"/>
  <c r="U97" i="19"/>
  <c r="T97" i="19"/>
  <c r="X96" i="19"/>
  <c r="W96" i="19"/>
  <c r="Y96" i="19" s="1"/>
  <c r="U96" i="19"/>
  <c r="T96" i="19"/>
  <c r="X95" i="19"/>
  <c r="W95" i="19"/>
  <c r="Y95" i="19" s="1"/>
  <c r="U95" i="19"/>
  <c r="V95" i="19" s="1"/>
  <c r="T95" i="19"/>
  <c r="X94" i="19"/>
  <c r="W94" i="19"/>
  <c r="U94" i="19"/>
  <c r="T94" i="19"/>
  <c r="X93" i="19"/>
  <c r="W93" i="19"/>
  <c r="Y93" i="19" s="1"/>
  <c r="U93" i="19"/>
  <c r="T93" i="19"/>
  <c r="X92" i="19"/>
  <c r="W92" i="19"/>
  <c r="Y92" i="19" s="1"/>
  <c r="U92" i="19"/>
  <c r="T92" i="19"/>
  <c r="X91" i="19"/>
  <c r="W91" i="19"/>
  <c r="Y91" i="19" s="1"/>
  <c r="U91" i="19"/>
  <c r="V91" i="19" s="1"/>
  <c r="T91" i="19"/>
  <c r="X90" i="19"/>
  <c r="W90" i="19"/>
  <c r="U90" i="19"/>
  <c r="T90" i="19"/>
  <c r="X89" i="19"/>
  <c r="W89" i="19"/>
  <c r="Y89" i="19" s="1"/>
  <c r="U89" i="19"/>
  <c r="T89"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M15" i="19"/>
  <c r="F19" i="19"/>
  <c r="F18" i="19"/>
  <c r="F17" i="19"/>
  <c r="F16" i="19"/>
  <c r="E34" i="47"/>
  <c r="D34" i="47"/>
  <c r="X15" i="44"/>
  <c r="Y15" i="44"/>
  <c r="W15" i="44"/>
  <c r="L15" i="76" l="1"/>
  <c r="U15" i="76"/>
  <c r="X15" i="76"/>
  <c r="E64" i="76" s="1"/>
  <c r="P6" i="76" s="1"/>
  <c r="V17" i="76"/>
  <c r="V163" i="68"/>
  <c r="V171" i="68"/>
  <c r="V164" i="68"/>
  <c r="Y168" i="68"/>
  <c r="V170" i="68"/>
  <c r="V172" i="68"/>
  <c r="Y174" i="68"/>
  <c r="V176" i="68"/>
  <c r="V67" i="68"/>
  <c r="V116" i="68"/>
  <c r="Y27" i="28"/>
  <c r="V15" i="75"/>
  <c r="K7" i="75"/>
  <c r="L36" i="17"/>
  <c r="Y15" i="75"/>
  <c r="Y21" i="67"/>
  <c r="Y26" i="67"/>
  <c r="Y29" i="67"/>
  <c r="Y33" i="67"/>
  <c r="Y36" i="67"/>
  <c r="Y37" i="67"/>
  <c r="Y42" i="67"/>
  <c r="Y43" i="67"/>
  <c r="Y46" i="67"/>
  <c r="Y50" i="67"/>
  <c r="Y55" i="67"/>
  <c r="Y56" i="67"/>
  <c r="Y61" i="67"/>
  <c r="Y97" i="67"/>
  <c r="Y101" i="67"/>
  <c r="Y109" i="67"/>
  <c r="Y117" i="67"/>
  <c r="Y119" i="67"/>
  <c r="Y121" i="67"/>
  <c r="Y123" i="67"/>
  <c r="Y125" i="67"/>
  <c r="Y127" i="67"/>
  <c r="Y129" i="67"/>
  <c r="Y131" i="67"/>
  <c r="Y133" i="67"/>
  <c r="Y135" i="67"/>
  <c r="Y137" i="67"/>
  <c r="Y139" i="67"/>
  <c r="Y141" i="67"/>
  <c r="Y143" i="67"/>
  <c r="Y149" i="67"/>
  <c r="L15" i="68"/>
  <c r="X15" i="68"/>
  <c r="E64" i="68" s="1"/>
  <c r="Y17" i="68"/>
  <c r="Y23" i="68"/>
  <c r="V25" i="68"/>
  <c r="Y25" i="68"/>
  <c r="V29" i="68"/>
  <c r="V31" i="68"/>
  <c r="Y31" i="68"/>
  <c r="Y33" i="68"/>
  <c r="Y34" i="68"/>
  <c r="Y35" i="68"/>
  <c r="V37" i="68"/>
  <c r="Y38" i="68"/>
  <c r="Y39" i="68"/>
  <c r="V41" i="68"/>
  <c r="Y41" i="68"/>
  <c r="Y42" i="68"/>
  <c r="Y43" i="68"/>
  <c r="V45" i="68"/>
  <c r="Y45" i="68"/>
  <c r="V47" i="68"/>
  <c r="Y47" i="68"/>
  <c r="Y49" i="68"/>
  <c r="V53" i="68"/>
  <c r="Y55" i="68"/>
  <c r="V57" i="68"/>
  <c r="Y57" i="68"/>
  <c r="V63" i="68"/>
  <c r="Y63" i="68"/>
  <c r="Y65" i="68"/>
  <c r="Y66" i="68"/>
  <c r="Y67" i="68"/>
  <c r="V69" i="68"/>
  <c r="Y70" i="68"/>
  <c r="Y71" i="68"/>
  <c r="V73" i="68"/>
  <c r="Y73" i="68"/>
  <c r="Y74" i="68"/>
  <c r="Y75" i="68"/>
  <c r="V77" i="68"/>
  <c r="Y77" i="68"/>
  <c r="V79" i="68"/>
  <c r="Y79" i="68"/>
  <c r="Y81" i="68"/>
  <c r="V85" i="68"/>
  <c r="Y87" i="68"/>
  <c r="V89" i="68"/>
  <c r="Y89" i="68"/>
  <c r="V93" i="68"/>
  <c r="V95" i="68"/>
  <c r="Y95" i="68"/>
  <c r="Y97" i="68"/>
  <c r="Y98" i="68"/>
  <c r="Y99" i="68"/>
  <c r="V101" i="68"/>
  <c r="Y102" i="68"/>
  <c r="Y103" i="68"/>
  <c r="V105" i="68"/>
  <c r="Y105" i="68"/>
  <c r="Y106" i="68"/>
  <c r="Y107" i="68"/>
  <c r="V109" i="68"/>
  <c r="Y109" i="68"/>
  <c r="V111" i="68"/>
  <c r="Y111" i="68"/>
  <c r="Y113" i="68"/>
  <c r="V117" i="68"/>
  <c r="Y119" i="68"/>
  <c r="V121" i="68"/>
  <c r="Y121" i="68"/>
  <c r="V125" i="68"/>
  <c r="V127" i="68"/>
  <c r="Y127" i="68"/>
  <c r="Y129" i="68"/>
  <c r="Y130" i="68"/>
  <c r="Y131" i="68"/>
  <c r="Y134" i="68"/>
  <c r="Y135" i="68"/>
  <c r="Y137" i="68"/>
  <c r="Y138" i="68"/>
  <c r="Y139" i="68"/>
  <c r="Y141" i="68"/>
  <c r="V143" i="68"/>
  <c r="Y143" i="68"/>
  <c r="Y145" i="68"/>
  <c r="V149" i="68"/>
  <c r="Y151" i="68"/>
  <c r="V153" i="68"/>
  <c r="Y153" i="68"/>
  <c r="V157" i="68"/>
  <c r="V159" i="68"/>
  <c r="Y159" i="68"/>
  <c r="Y161" i="68"/>
  <c r="Y162" i="68"/>
  <c r="Y163" i="68"/>
  <c r="Y166" i="68"/>
  <c r="Y167" i="68"/>
  <c r="V169" i="68"/>
  <c r="Y169" i="68"/>
  <c r="Y170" i="68"/>
  <c r="Y171" i="68"/>
  <c r="V173" i="68"/>
  <c r="V175" i="68"/>
  <c r="Y175" i="68"/>
  <c r="Y177" i="68"/>
  <c r="Y173" i="68"/>
  <c r="Y16" i="68"/>
  <c r="Y18" i="68"/>
  <c r="Y19" i="68"/>
  <c r="Y22" i="68"/>
  <c r="Y24" i="68"/>
  <c r="Y26" i="68"/>
  <c r="Y27" i="68"/>
  <c r="Y29" i="68"/>
  <c r="Y48" i="68"/>
  <c r="Y50" i="68"/>
  <c r="Y51" i="68"/>
  <c r="Y54" i="68"/>
  <c r="Y56" i="68"/>
  <c r="Y58" i="68"/>
  <c r="Y59" i="68"/>
  <c r="Y61" i="68"/>
  <c r="Y80" i="68"/>
  <c r="Y82" i="68"/>
  <c r="Y83" i="68"/>
  <c r="Y86" i="68"/>
  <c r="Y88" i="68"/>
  <c r="Y90" i="68"/>
  <c r="Y91" i="68"/>
  <c r="Y93" i="68"/>
  <c r="Y112" i="68"/>
  <c r="Y114" i="68"/>
  <c r="Y115" i="68"/>
  <c r="Y118" i="68"/>
  <c r="Y120" i="68"/>
  <c r="Y122" i="68"/>
  <c r="Y123" i="68"/>
  <c r="Y125" i="68"/>
  <c r="Y144" i="68"/>
  <c r="Y146" i="68"/>
  <c r="Y147" i="68"/>
  <c r="Y150" i="68"/>
  <c r="Y152" i="68"/>
  <c r="Y154" i="68"/>
  <c r="Y155" i="68"/>
  <c r="Y157" i="68"/>
  <c r="Y176" i="68"/>
  <c r="V40" i="68"/>
  <c r="V72" i="68"/>
  <c r="V83" i="68"/>
  <c r="V104" i="68"/>
  <c r="V123" i="68"/>
  <c r="V155" i="68"/>
  <c r="V168" i="68"/>
  <c r="V43" i="68"/>
  <c r="V56" i="68"/>
  <c r="V68" i="68"/>
  <c r="V88" i="68"/>
  <c r="V120" i="68"/>
  <c r="V152" i="68"/>
  <c r="V166" i="68"/>
  <c r="U15" i="68"/>
  <c r="V44" i="68"/>
  <c r="V55" i="68"/>
  <c r="V71" i="68"/>
  <c r="V84" i="68"/>
  <c r="V87" i="68"/>
  <c r="V103" i="68"/>
  <c r="V119" i="68"/>
  <c r="V124" i="68"/>
  <c r="V151" i="68"/>
  <c r="V156" i="68"/>
  <c r="V167" i="68"/>
  <c r="V16" i="68"/>
  <c r="V21" i="68"/>
  <c r="V61" i="68"/>
  <c r="V133" i="68"/>
  <c r="V137" i="68"/>
  <c r="V141" i="68"/>
  <c r="V165" i="68"/>
  <c r="Y24" i="76"/>
  <c r="Y23" i="76"/>
  <c r="V22" i="76"/>
  <c r="V18" i="76"/>
  <c r="Y22" i="76"/>
  <c r="Y19" i="76"/>
  <c r="W15" i="76"/>
  <c r="V16" i="76"/>
  <c r="V23" i="76"/>
  <c r="V19" i="76"/>
  <c r="U15" i="79"/>
  <c r="V18" i="79"/>
  <c r="V16" i="77"/>
  <c r="Y16" i="77"/>
  <c r="V18" i="77"/>
  <c r="V19" i="77"/>
  <c r="V20" i="77"/>
  <c r="V22" i="77"/>
  <c r="V23" i="77"/>
  <c r="V24" i="77"/>
  <c r="Y24" i="77"/>
  <c r="Y46" i="77"/>
  <c r="Y44" i="77"/>
  <c r="Y43" i="77"/>
  <c r="Y42" i="77"/>
  <c r="V39" i="77"/>
  <c r="Y37" i="77"/>
  <c r="V31" i="77"/>
  <c r="Y29" i="77"/>
  <c r="Y26" i="77"/>
  <c r="V25" i="77"/>
  <c r="Y17" i="77"/>
  <c r="Y18" i="77"/>
  <c r="Y20" i="77"/>
  <c r="Y47" i="77"/>
  <c r="Y40" i="77"/>
  <c r="Y39" i="77"/>
  <c r="Y36" i="77"/>
  <c r="Y35" i="77"/>
  <c r="Y34" i="77"/>
  <c r="Y32" i="77"/>
  <c r="Y31" i="77"/>
  <c r="Y28" i="77"/>
  <c r="Y27" i="77"/>
  <c r="V17" i="77"/>
  <c r="V21" i="77"/>
  <c r="V47" i="77"/>
  <c r="V41" i="77"/>
  <c r="V40" i="77"/>
  <c r="V37" i="77"/>
  <c r="V36" i="77"/>
  <c r="V35" i="77"/>
  <c r="V33" i="77"/>
  <c r="V32" i="77"/>
  <c r="V29" i="77"/>
  <c r="V28" i="77"/>
  <c r="U15" i="77"/>
  <c r="V23" i="34"/>
  <c r="Y40" i="62"/>
  <c r="Y42" i="62"/>
  <c r="Y50" i="62"/>
  <c r="V17" i="62"/>
  <c r="Y17" i="62"/>
  <c r="V21" i="62"/>
  <c r="Y21" i="62"/>
  <c r="Y25" i="62"/>
  <c r="V27" i="62"/>
  <c r="V29" i="62"/>
  <c r="Y29" i="62"/>
  <c r="Y33" i="62"/>
  <c r="V35" i="62"/>
  <c r="V37" i="62"/>
  <c r="Y37" i="62"/>
  <c r="Y49" i="62"/>
  <c r="Y46" i="62"/>
  <c r="Y48" i="62"/>
  <c r="Y52" i="62"/>
  <c r="X15" i="62"/>
  <c r="E64" i="62" s="1"/>
  <c r="Y27" i="62"/>
  <c r="Y35" i="62"/>
  <c r="Y43" i="62"/>
  <c r="Y51" i="62"/>
  <c r="U15" i="62"/>
  <c r="V19" i="62"/>
  <c r="V23" i="62"/>
  <c r="V25" i="62"/>
  <c r="V31" i="62"/>
  <c r="V33" i="62"/>
  <c r="V39" i="62"/>
  <c r="V41" i="62"/>
  <c r="V47" i="62"/>
  <c r="V26" i="41"/>
  <c r="Y19" i="41"/>
  <c r="Y27" i="41"/>
  <c r="Y20" i="41"/>
  <c r="V33" i="41"/>
  <c r="V25" i="41"/>
  <c r="V31" i="41"/>
  <c r="V23" i="41"/>
  <c r="V61" i="35"/>
  <c r="V69" i="35"/>
  <c r="Y25" i="51"/>
  <c r="Y23" i="51"/>
  <c r="Y71" i="35"/>
  <c r="V38" i="23"/>
  <c r="V44" i="23"/>
  <c r="Y43" i="23"/>
  <c r="Y46" i="23"/>
  <c r="Y22" i="23"/>
  <c r="Y39" i="23"/>
  <c r="Y44" i="23"/>
  <c r="Y42" i="23"/>
  <c r="Y23" i="23"/>
  <c r="V41" i="23"/>
  <c r="V40" i="23"/>
  <c r="V45" i="23"/>
  <c r="Y16" i="21"/>
  <c r="Y23" i="21"/>
  <c r="V25" i="21"/>
  <c r="Y26" i="21"/>
  <c r="Y22" i="21"/>
  <c r="V16" i="21"/>
  <c r="V21" i="21"/>
  <c r="V92" i="19"/>
  <c r="V96" i="19"/>
  <c r="V100" i="19"/>
  <c r="V104" i="19"/>
  <c r="V108" i="19"/>
  <c r="V112" i="19"/>
  <c r="V114" i="19"/>
  <c r="R6" i="74"/>
  <c r="S35" i="18" s="1"/>
  <c r="K35" i="18"/>
  <c r="E12" i="74"/>
  <c r="E29" i="66"/>
  <c r="E27" i="66" s="1"/>
  <c r="F15" i="66"/>
  <c r="V32" i="41"/>
  <c r="Y30" i="41"/>
  <c r="V28" i="41"/>
  <c r="Y26" i="41"/>
  <c r="V24" i="41"/>
  <c r="Y22" i="41"/>
  <c r="V20" i="41"/>
  <c r="H6" i="27"/>
  <c r="I17" i="15" s="1"/>
  <c r="V89" i="19"/>
  <c r="V90" i="19"/>
  <c r="Y90" i="19"/>
  <c r="V93" i="19"/>
  <c r="V94" i="19"/>
  <c r="Y94" i="19"/>
  <c r="V97" i="19"/>
  <c r="V98" i="19"/>
  <c r="Y98" i="19"/>
  <c r="V101" i="19"/>
  <c r="V102" i="19"/>
  <c r="Y102" i="19"/>
  <c r="V105" i="19"/>
  <c r="V106" i="19"/>
  <c r="Y106" i="19"/>
  <c r="V109" i="19"/>
  <c r="V110" i="19"/>
  <c r="Y110" i="19"/>
  <c r="V113" i="19"/>
  <c r="S7" i="75"/>
  <c r="F27" i="75"/>
  <c r="J5" i="75"/>
  <c r="K36" i="17" s="1"/>
  <c r="J6" i="75"/>
  <c r="H7" i="75"/>
  <c r="P5" i="75"/>
  <c r="Q36" i="17" s="1"/>
  <c r="F64" i="75"/>
  <c r="F29" i="74"/>
  <c r="V15" i="74"/>
  <c r="O15" i="74" s="1"/>
  <c r="S7" i="74"/>
  <c r="D27" i="74"/>
  <c r="H7" i="74"/>
  <c r="F64" i="74"/>
  <c r="V17" i="51"/>
  <c r="V17" i="41"/>
  <c r="V18" i="41"/>
  <c r="H5" i="67"/>
  <c r="I45" i="14" s="1"/>
  <c r="M5" i="67"/>
  <c r="N45" i="14" s="1"/>
  <c r="I6" i="67"/>
  <c r="J45" i="15" s="1"/>
  <c r="V16" i="67"/>
  <c r="T15" i="67"/>
  <c r="Y16" i="67"/>
  <c r="V17" i="67"/>
  <c r="V19" i="67"/>
  <c r="V21" i="67"/>
  <c r="V52" i="67"/>
  <c r="V54" i="67"/>
  <c r="Y63" i="67"/>
  <c r="V84" i="67"/>
  <c r="V92" i="67"/>
  <c r="V96" i="67"/>
  <c r="V100" i="67"/>
  <c r="V104" i="67"/>
  <c r="V115" i="67"/>
  <c r="K7" i="67"/>
  <c r="O7" i="67"/>
  <c r="L7" i="67"/>
  <c r="X15" i="67"/>
  <c r="E64" i="67" s="1"/>
  <c r="U15" i="67"/>
  <c r="S6" i="67" s="1"/>
  <c r="T45" i="15" s="1"/>
  <c r="Y17" i="67"/>
  <c r="Y19" i="67"/>
  <c r="V20" i="67"/>
  <c r="F21" i="67"/>
  <c r="V24" i="67"/>
  <c r="Y31" i="67"/>
  <c r="V33" i="67"/>
  <c r="F34" i="67"/>
  <c r="Y39" i="67"/>
  <c r="V41" i="67"/>
  <c r="V62" i="67"/>
  <c r="Y108" i="67"/>
  <c r="V110" i="67"/>
  <c r="Y114" i="67"/>
  <c r="Y120" i="67"/>
  <c r="V122" i="67"/>
  <c r="Y128" i="67"/>
  <c r="V130" i="67"/>
  <c r="Y136" i="67"/>
  <c r="V138" i="67"/>
  <c r="Y144" i="67"/>
  <c r="V146" i="67"/>
  <c r="V44" i="67"/>
  <c r="Y45" i="67"/>
  <c r="Y48" i="67"/>
  <c r="F52" i="67"/>
  <c r="Y52" i="67"/>
  <c r="V56" i="67"/>
  <c r="Y91" i="67"/>
  <c r="Y95" i="67"/>
  <c r="Y99" i="67"/>
  <c r="Y103" i="67"/>
  <c r="Y104" i="67"/>
  <c r="Y111" i="67"/>
  <c r="V25" i="67"/>
  <c r="V27" i="67"/>
  <c r="V30" i="67"/>
  <c r="V32" i="67"/>
  <c r="Y34" i="67"/>
  <c r="Y38" i="67"/>
  <c r="V42" i="67"/>
  <c r="V46" i="67"/>
  <c r="Y47" i="67"/>
  <c r="V48" i="67"/>
  <c r="Y49" i="67"/>
  <c r="V50" i="67"/>
  <c r="V57" i="67"/>
  <c r="F58" i="67"/>
  <c r="V60" i="67"/>
  <c r="Y62" i="67"/>
  <c r="V67" i="67"/>
  <c r="V71" i="67"/>
  <c r="V75" i="67"/>
  <c r="V79" i="67"/>
  <c r="V83" i="67"/>
  <c r="V87" i="67"/>
  <c r="V91" i="67"/>
  <c r="V108" i="67"/>
  <c r="V109" i="67"/>
  <c r="V117" i="67"/>
  <c r="V121" i="67"/>
  <c r="V125" i="67"/>
  <c r="V129" i="67"/>
  <c r="V133" i="67"/>
  <c r="V137" i="67"/>
  <c r="V141" i="67"/>
  <c r="V145" i="67"/>
  <c r="V149" i="67"/>
  <c r="G14" i="10"/>
  <c r="I7" i="66"/>
  <c r="Q7" i="66"/>
  <c r="N44" i="14"/>
  <c r="V23" i="66"/>
  <c r="T15" i="66"/>
  <c r="S5" i="66" s="1"/>
  <c r="X15" i="66"/>
  <c r="E64" i="66" s="1"/>
  <c r="Y26" i="66"/>
  <c r="Y15" i="66" s="1"/>
  <c r="V30" i="66"/>
  <c r="V32" i="66"/>
  <c r="V41" i="66"/>
  <c r="Y49" i="66"/>
  <c r="N6" i="66"/>
  <c r="O44" i="15" s="1"/>
  <c r="F52" i="66"/>
  <c r="V54" i="66"/>
  <c r="Y58" i="66"/>
  <c r="V142" i="66"/>
  <c r="K7" i="66"/>
  <c r="D29" i="66"/>
  <c r="W15" i="66"/>
  <c r="D64" i="66" s="1"/>
  <c r="V26" i="66"/>
  <c r="Y47" i="66"/>
  <c r="V51" i="66"/>
  <c r="V56" i="66"/>
  <c r="Y60" i="66"/>
  <c r="H5" i="66"/>
  <c r="M44" i="14"/>
  <c r="L7" i="66"/>
  <c r="N44" i="15"/>
  <c r="M7" i="66"/>
  <c r="F21" i="66"/>
  <c r="V24" i="66"/>
  <c r="V15" i="66" s="1"/>
  <c r="Y27" i="66"/>
  <c r="V42" i="66"/>
  <c r="Y46" i="66"/>
  <c r="Y50" i="66"/>
  <c r="V55" i="66"/>
  <c r="Y57" i="66"/>
  <c r="Y59" i="66"/>
  <c r="V68" i="66"/>
  <c r="V86" i="66"/>
  <c r="V90" i="66"/>
  <c r="V92" i="66"/>
  <c r="V94" i="66"/>
  <c r="V96" i="66"/>
  <c r="V108" i="66"/>
  <c r="V112" i="66"/>
  <c r="V118" i="66"/>
  <c r="V120" i="66"/>
  <c r="V128" i="66"/>
  <c r="V130" i="66"/>
  <c r="V134" i="66"/>
  <c r="Y67" i="66"/>
  <c r="Y71" i="66"/>
  <c r="Y75" i="66"/>
  <c r="Y79" i="66"/>
  <c r="Y81" i="66"/>
  <c r="Y83" i="66"/>
  <c r="Y85" i="66"/>
  <c r="Y87" i="66"/>
  <c r="Y91" i="66"/>
  <c r="Y93" i="66"/>
  <c r="Y95" i="66"/>
  <c r="Y97" i="66"/>
  <c r="Y99" i="66"/>
  <c r="Y101" i="66"/>
  <c r="Y103" i="66"/>
  <c r="Y105" i="66"/>
  <c r="Y107" i="66"/>
  <c r="Y109" i="66"/>
  <c r="Y111" i="66"/>
  <c r="Y115" i="66"/>
  <c r="Y117" i="66"/>
  <c r="Y119" i="66"/>
  <c r="Y121" i="66"/>
  <c r="Y123" i="66"/>
  <c r="Y125" i="66"/>
  <c r="Y127" i="66"/>
  <c r="Y129" i="66"/>
  <c r="Y131" i="66"/>
  <c r="Y133" i="66"/>
  <c r="Y135" i="66"/>
  <c r="D30" i="66"/>
  <c r="F30" i="66" s="1"/>
  <c r="N7" i="66"/>
  <c r="E29" i="67"/>
  <c r="E27" i="67" s="1"/>
  <c r="J6" i="67" s="1"/>
  <c r="K45" i="15" s="1"/>
  <c r="F15" i="67"/>
  <c r="H6" i="67"/>
  <c r="H7" i="67" s="1"/>
  <c r="D30" i="67"/>
  <c r="F30" i="67" s="1"/>
  <c r="Y57" i="67"/>
  <c r="Y59" i="67"/>
  <c r="V63" i="67"/>
  <c r="Y65" i="67"/>
  <c r="Y67" i="67"/>
  <c r="Y69" i="67"/>
  <c r="Y71" i="67"/>
  <c r="Y75" i="67"/>
  <c r="Y77" i="67"/>
  <c r="Y79" i="67"/>
  <c r="Y81" i="67"/>
  <c r="Y83" i="67"/>
  <c r="Y85" i="67"/>
  <c r="Y87" i="67"/>
  <c r="Y89" i="67"/>
  <c r="Y93" i="67"/>
  <c r="M7" i="67"/>
  <c r="V106" i="67"/>
  <c r="V114" i="67"/>
  <c r="S5" i="67"/>
  <c r="T45" i="14" s="1"/>
  <c r="Y105" i="67"/>
  <c r="Y113" i="67"/>
  <c r="X15" i="77"/>
  <c r="E64" i="77" s="1"/>
  <c r="E12" i="77" s="1"/>
  <c r="V15" i="77"/>
  <c r="Y15" i="77"/>
  <c r="W15" i="77"/>
  <c r="W15" i="27"/>
  <c r="D64" i="27" s="1"/>
  <c r="V16" i="27"/>
  <c r="V15" i="27" s="1"/>
  <c r="Y15" i="79"/>
  <c r="X15" i="79"/>
  <c r="E64" i="79" s="1"/>
  <c r="T15" i="79"/>
  <c r="W15" i="79"/>
  <c r="V16" i="79"/>
  <c r="V15" i="79" s="1"/>
  <c r="E27" i="27"/>
  <c r="J6" i="27" s="1"/>
  <c r="K17" i="15" s="1"/>
  <c r="N17" i="15"/>
  <c r="F30" i="27"/>
  <c r="I5" i="27"/>
  <c r="M5" i="27"/>
  <c r="I6" i="27"/>
  <c r="J17" i="15" s="1"/>
  <c r="F15" i="27"/>
  <c r="F21" i="27"/>
  <c r="D29" i="27"/>
  <c r="K7" i="27"/>
  <c r="O7" i="27"/>
  <c r="S7" i="27"/>
  <c r="H5" i="27"/>
  <c r="F52" i="27"/>
  <c r="Y15" i="64"/>
  <c r="V16" i="64"/>
  <c r="V15" i="64" s="1"/>
  <c r="V20" i="62"/>
  <c r="V28" i="62"/>
  <c r="V36" i="62"/>
  <c r="V44" i="62"/>
  <c r="V49" i="62"/>
  <c r="V30" i="68"/>
  <c r="V46" i="68"/>
  <c r="V62" i="68"/>
  <c r="V78" i="68"/>
  <c r="V94" i="68"/>
  <c r="V110" i="68"/>
  <c r="V126" i="68"/>
  <c r="V142" i="68"/>
  <c r="V158" i="68"/>
  <c r="V174" i="68"/>
  <c r="W15" i="68"/>
  <c r="V16" i="61"/>
  <c r="V15" i="61" s="1"/>
  <c r="V16" i="62"/>
  <c r="V24" i="62"/>
  <c r="V32" i="62"/>
  <c r="V40" i="62"/>
  <c r="V48" i="62"/>
  <c r="V22" i="68"/>
  <c r="V38" i="68"/>
  <c r="V54" i="68"/>
  <c r="V70" i="68"/>
  <c r="V86" i="68"/>
  <c r="V102" i="68"/>
  <c r="V118" i="68"/>
  <c r="Y16" i="61"/>
  <c r="Y15" i="61" s="1"/>
  <c r="Y23" i="62"/>
  <c r="Y31" i="62"/>
  <c r="Y39" i="62"/>
  <c r="Y47" i="62"/>
  <c r="V17" i="68"/>
  <c r="Y21" i="68"/>
  <c r="V33" i="68"/>
  <c r="Y37" i="68"/>
  <c r="V49" i="68"/>
  <c r="Y53" i="68"/>
  <c r="V65" i="68"/>
  <c r="Y69" i="68"/>
  <c r="V81" i="68"/>
  <c r="Y85" i="68"/>
  <c r="V97" i="68"/>
  <c r="Y101" i="68"/>
  <c r="V113" i="68"/>
  <c r="Y117" i="68"/>
  <c r="V129" i="68"/>
  <c r="Y133" i="68"/>
  <c r="V145" i="68"/>
  <c r="Y149" i="68"/>
  <c r="V161" i="68"/>
  <c r="Y165" i="68"/>
  <c r="V177" i="68"/>
  <c r="Y20" i="68"/>
  <c r="Y28" i="68"/>
  <c r="Y36" i="68"/>
  <c r="Y44" i="68"/>
  <c r="Y52" i="68"/>
  <c r="Y60" i="68"/>
  <c r="Y68" i="68"/>
  <c r="Y76" i="68"/>
  <c r="Y84" i="68"/>
  <c r="Y92" i="68"/>
  <c r="Y100" i="68"/>
  <c r="Y108" i="68"/>
  <c r="Y116" i="68"/>
  <c r="Y124" i="68"/>
  <c r="Y132" i="68"/>
  <c r="Y140" i="68"/>
  <c r="Y148" i="68"/>
  <c r="Y156" i="68"/>
  <c r="Y164" i="68"/>
  <c r="Y172" i="68"/>
  <c r="V6" i="74" l="1"/>
  <c r="Y15" i="68"/>
  <c r="R5" i="75"/>
  <c r="S36" i="17" s="1"/>
  <c r="V15" i="68"/>
  <c r="Y15" i="76"/>
  <c r="V15" i="76"/>
  <c r="Y15" i="62"/>
  <c r="V15" i="62"/>
  <c r="R6" i="75"/>
  <c r="S36" i="18" s="1"/>
  <c r="K36" i="18"/>
  <c r="T6" i="74"/>
  <c r="U6" i="74"/>
  <c r="W6" i="74"/>
  <c r="F12" i="75"/>
  <c r="J7" i="75"/>
  <c r="W6" i="75"/>
  <c r="V6" i="75"/>
  <c r="U6" i="75"/>
  <c r="T6" i="75"/>
  <c r="W5" i="75"/>
  <c r="U5" i="75"/>
  <c r="P7" i="75"/>
  <c r="R7" i="75" s="1"/>
  <c r="T5" i="75"/>
  <c r="P7" i="74"/>
  <c r="J5" i="74"/>
  <c r="K35" i="17" s="1"/>
  <c r="F27" i="74"/>
  <c r="F12" i="74"/>
  <c r="P6" i="67"/>
  <c r="R6" i="67" s="1"/>
  <c r="F64" i="67"/>
  <c r="I7" i="67"/>
  <c r="V15" i="67"/>
  <c r="S7" i="67"/>
  <c r="Y15" i="67"/>
  <c r="E12" i="27"/>
  <c r="F64" i="66"/>
  <c r="I44" i="14"/>
  <c r="H7" i="66"/>
  <c r="P44" i="14"/>
  <c r="O7" i="66"/>
  <c r="F29" i="67"/>
  <c r="Q44" i="15"/>
  <c r="I45" i="15"/>
  <c r="J6" i="66"/>
  <c r="E12" i="66"/>
  <c r="F29" i="66"/>
  <c r="D27" i="66"/>
  <c r="D27" i="67"/>
  <c r="T44" i="14"/>
  <c r="S7" i="66"/>
  <c r="E12" i="67"/>
  <c r="F64" i="27"/>
  <c r="P5" i="27"/>
  <c r="N17" i="14"/>
  <c r="M7" i="27"/>
  <c r="R6" i="27"/>
  <c r="U6" i="27" s="1"/>
  <c r="H7" i="27"/>
  <c r="I17" i="14"/>
  <c r="D27" i="27"/>
  <c r="D12" i="27" s="1"/>
  <c r="F29" i="27"/>
  <c r="J17" i="14"/>
  <c r="I7" i="27"/>
  <c r="V5" i="75" l="1"/>
  <c r="W7" i="75"/>
  <c r="U7" i="75"/>
  <c r="V7" i="75"/>
  <c r="T7" i="75"/>
  <c r="J7" i="74"/>
  <c r="R7" i="74" s="1"/>
  <c r="S35" i="17"/>
  <c r="S36" i="16" s="1"/>
  <c r="V36" i="16" s="1"/>
  <c r="P7" i="67"/>
  <c r="Q45" i="15"/>
  <c r="F27" i="67"/>
  <c r="J5" i="67"/>
  <c r="K45" i="14" s="1"/>
  <c r="D12" i="67"/>
  <c r="F12" i="67" s="1"/>
  <c r="K44" i="15"/>
  <c r="R6" i="66"/>
  <c r="F27" i="66"/>
  <c r="J5" i="66"/>
  <c r="D12" i="66"/>
  <c r="F12" i="66" s="1"/>
  <c r="S45" i="15"/>
  <c r="W6" i="67"/>
  <c r="T6" i="67"/>
  <c r="U6" i="67"/>
  <c r="V6" i="67"/>
  <c r="Q44" i="14"/>
  <c r="P7" i="66"/>
  <c r="P7" i="27"/>
  <c r="Q17" i="14"/>
  <c r="J5" i="27"/>
  <c r="F27" i="27"/>
  <c r="F12" i="27"/>
  <c r="W6" i="27"/>
  <c r="S17" i="15"/>
  <c r="H14" i="12" s="1"/>
  <c r="V6" i="27"/>
  <c r="T6" i="27"/>
  <c r="W7" i="74" l="1"/>
  <c r="V7" i="74"/>
  <c r="U7" i="74"/>
  <c r="T7" i="74"/>
  <c r="V5" i="74"/>
  <c r="W5" i="74"/>
  <c r="U5" i="74"/>
  <c r="T5" i="74"/>
  <c r="K44" i="14"/>
  <c r="J7" i="66"/>
  <c r="R7" i="66" s="1"/>
  <c r="T7" i="66" s="1"/>
  <c r="R5" i="66"/>
  <c r="J7" i="67"/>
  <c r="R7" i="67" s="1"/>
  <c r="R5" i="67"/>
  <c r="S45" i="14" s="1"/>
  <c r="S44" i="15"/>
  <c r="W6" i="66"/>
  <c r="V6" i="66"/>
  <c r="U6" i="66"/>
  <c r="T6" i="66"/>
  <c r="J7" i="27"/>
  <c r="R7" i="27" s="1"/>
  <c r="K17" i="14"/>
  <c r="R5" i="27"/>
  <c r="W7" i="67" l="1"/>
  <c r="U7" i="67"/>
  <c r="T7" i="67"/>
  <c r="V7" i="67"/>
  <c r="S44" i="14"/>
  <c r="W5" i="66"/>
  <c r="V5" i="66"/>
  <c r="U5" i="66"/>
  <c r="T5" i="66"/>
  <c r="W7" i="66"/>
  <c r="V7" i="66"/>
  <c r="U7" i="66"/>
  <c r="W5" i="67"/>
  <c r="U5" i="67"/>
  <c r="V5" i="67"/>
  <c r="T5" i="67"/>
  <c r="W7" i="27"/>
  <c r="T7" i="27"/>
  <c r="U7" i="27"/>
  <c r="V7" i="27"/>
  <c r="W5" i="27"/>
  <c r="S17" i="14"/>
  <c r="T5" i="27"/>
  <c r="U5" i="27"/>
  <c r="V5" i="27"/>
  <c r="H14" i="11" l="1"/>
  <c r="H14" i="10" s="1"/>
  <c r="E21" i="95" l="1"/>
  <c r="D21" i="95"/>
  <c r="U22" i="25" l="1"/>
  <c r="V22" i="25" s="1"/>
  <c r="W22" i="25"/>
  <c r="X22" i="25"/>
  <c r="Y22" i="25"/>
  <c r="U23" i="25"/>
  <c r="V23" i="25"/>
  <c r="W23" i="25"/>
  <c r="Y23" i="25" s="1"/>
  <c r="X23" i="25"/>
  <c r="U24" i="25"/>
  <c r="V24" i="25"/>
  <c r="W24" i="25"/>
  <c r="Y24" i="25" s="1"/>
  <c r="X24" i="25"/>
  <c r="U25" i="25"/>
  <c r="V25" i="25"/>
  <c r="W25" i="25"/>
  <c r="X25" i="25"/>
  <c r="Y25" i="25"/>
  <c r="U26" i="25"/>
  <c r="V26" i="25" s="1"/>
  <c r="W26" i="25"/>
  <c r="Y26" i="25" s="1"/>
  <c r="X26" i="25"/>
  <c r="U27" i="25"/>
  <c r="V27" i="25"/>
  <c r="W27" i="25"/>
  <c r="Y27" i="25" s="1"/>
  <c r="X27" i="25"/>
  <c r="U28" i="25"/>
  <c r="V28" i="25"/>
  <c r="W28" i="25"/>
  <c r="Y28" i="25" s="1"/>
  <c r="X28" i="25"/>
  <c r="U29" i="25"/>
  <c r="V29" i="25"/>
  <c r="W29" i="25"/>
  <c r="X29" i="25"/>
  <c r="Y29" i="25"/>
  <c r="U30" i="25"/>
  <c r="V30" i="25" s="1"/>
  <c r="W30" i="25"/>
  <c r="X30" i="25"/>
  <c r="Y30" i="25"/>
  <c r="U31" i="25"/>
  <c r="V31" i="25"/>
  <c r="W31" i="25"/>
  <c r="Y31" i="25" s="1"/>
  <c r="X31" i="25"/>
  <c r="U32" i="25"/>
  <c r="V32" i="25"/>
  <c r="W32" i="25"/>
  <c r="Y32" i="25" s="1"/>
  <c r="X32" i="25"/>
  <c r="U33" i="25"/>
  <c r="V33" i="25"/>
  <c r="W33" i="25"/>
  <c r="X33" i="25"/>
  <c r="Y33" i="25"/>
  <c r="U34" i="25"/>
  <c r="W34" i="25"/>
  <c r="X34" i="25"/>
  <c r="Y34" i="25"/>
  <c r="U35" i="25"/>
  <c r="W35" i="25"/>
  <c r="Y35" i="25" s="1"/>
  <c r="X35" i="25"/>
  <c r="T22" i="25"/>
  <c r="T23" i="25"/>
  <c r="T24" i="25"/>
  <c r="T25" i="25"/>
  <c r="T26" i="25"/>
  <c r="T27" i="25"/>
  <c r="T28" i="25"/>
  <c r="T29" i="25"/>
  <c r="T30" i="25"/>
  <c r="T31" i="25"/>
  <c r="T32" i="25"/>
  <c r="T33" i="25"/>
  <c r="T34" i="25"/>
  <c r="T35" i="25"/>
  <c r="V35" i="25" s="1"/>
  <c r="S22" i="25"/>
  <c r="S23" i="25"/>
  <c r="S24" i="25"/>
  <c r="S25" i="25"/>
  <c r="S26" i="25"/>
  <c r="S27" i="25"/>
  <c r="S28" i="25"/>
  <c r="S29" i="25"/>
  <c r="S30" i="25"/>
  <c r="S31" i="25"/>
  <c r="S32" i="25"/>
  <c r="S33" i="25"/>
  <c r="S34" i="25"/>
  <c r="S35" i="25"/>
  <c r="S16" i="25"/>
  <c r="T16" i="25"/>
  <c r="V16" i="25" s="1"/>
  <c r="U16" i="25"/>
  <c r="W16" i="25"/>
  <c r="Y16" i="25" s="1"/>
  <c r="X16" i="25"/>
  <c r="S17" i="25"/>
  <c r="T17" i="25"/>
  <c r="V17" i="25" s="1"/>
  <c r="U17" i="25"/>
  <c r="W17" i="25"/>
  <c r="Y17" i="25" s="1"/>
  <c r="X17" i="25"/>
  <c r="S18" i="25"/>
  <c r="T18" i="25"/>
  <c r="U18" i="25"/>
  <c r="V18" i="25" s="1"/>
  <c r="W18" i="25"/>
  <c r="X18" i="25"/>
  <c r="Y18" i="25"/>
  <c r="S19" i="25"/>
  <c r="T19" i="25"/>
  <c r="U19" i="25"/>
  <c r="V19" i="25"/>
  <c r="W19" i="25"/>
  <c r="X19" i="25"/>
  <c r="S20" i="25"/>
  <c r="T20" i="25"/>
  <c r="V20" i="25" s="1"/>
  <c r="U20" i="25"/>
  <c r="W20" i="25"/>
  <c r="X20" i="25"/>
  <c r="S21" i="25"/>
  <c r="T21" i="25"/>
  <c r="V21" i="25" s="1"/>
  <c r="U21" i="25"/>
  <c r="W21" i="25"/>
  <c r="Y21" i="25" s="1"/>
  <c r="X21" i="25"/>
  <c r="B20" i="25"/>
  <c r="F17" i="113"/>
  <c r="F18" i="113"/>
  <c r="F19" i="113"/>
  <c r="F20" i="113"/>
  <c r="Y20" i="25" l="1"/>
  <c r="Y19" i="25"/>
  <c r="L15" i="25"/>
  <c r="V34" i="25"/>
  <c r="S23" i="43"/>
  <c r="T23" i="43"/>
  <c r="U23" i="43"/>
  <c r="V23" i="43" s="1"/>
  <c r="W23" i="43"/>
  <c r="X23" i="43"/>
  <c r="Y23" i="43"/>
  <c r="S24" i="43"/>
  <c r="T24" i="43"/>
  <c r="U24" i="43"/>
  <c r="V24" i="43"/>
  <c r="W24" i="43"/>
  <c r="X24" i="43"/>
  <c r="S25" i="43"/>
  <c r="T25" i="43"/>
  <c r="U25" i="43"/>
  <c r="W25" i="43"/>
  <c r="Y25" i="43" s="1"/>
  <c r="X25" i="43"/>
  <c r="S26" i="43"/>
  <c r="T26" i="43"/>
  <c r="U26" i="43"/>
  <c r="W26" i="43"/>
  <c r="X26" i="43"/>
  <c r="Y26" i="43" s="1"/>
  <c r="S27" i="43"/>
  <c r="T27" i="43"/>
  <c r="U27" i="43"/>
  <c r="V27" i="43" s="1"/>
  <c r="W27" i="43"/>
  <c r="X27" i="43"/>
  <c r="Y27" i="43"/>
  <c r="S28" i="43"/>
  <c r="T28" i="43"/>
  <c r="U28" i="43"/>
  <c r="V28" i="43"/>
  <c r="W28" i="43"/>
  <c r="X28" i="43"/>
  <c r="S29" i="43"/>
  <c r="T29" i="43"/>
  <c r="U29" i="43"/>
  <c r="W29" i="43"/>
  <c r="Y29" i="43" s="1"/>
  <c r="X29" i="43"/>
  <c r="S30" i="43"/>
  <c r="T30" i="43"/>
  <c r="U30" i="43"/>
  <c r="W30" i="43"/>
  <c r="X30" i="43"/>
  <c r="Y30" i="43" s="1"/>
  <c r="S31" i="43"/>
  <c r="T31" i="43"/>
  <c r="U31" i="43"/>
  <c r="V31" i="43" s="1"/>
  <c r="W31" i="43"/>
  <c r="X31" i="43"/>
  <c r="Y31" i="43"/>
  <c r="S32" i="43"/>
  <c r="T32" i="43"/>
  <c r="U32" i="43"/>
  <c r="V32" i="43"/>
  <c r="W32" i="43"/>
  <c r="X32" i="43"/>
  <c r="S33" i="43"/>
  <c r="T33" i="43"/>
  <c r="U33" i="43"/>
  <c r="W33" i="43"/>
  <c r="Y33" i="43" s="1"/>
  <c r="X33" i="43"/>
  <c r="S34" i="43"/>
  <c r="T34" i="43"/>
  <c r="U34" i="43"/>
  <c r="W34" i="43"/>
  <c r="X34" i="43"/>
  <c r="Y34" i="43" s="1"/>
  <c r="S35" i="43"/>
  <c r="T35" i="43"/>
  <c r="U35" i="43"/>
  <c r="V35" i="43" s="1"/>
  <c r="W35" i="43"/>
  <c r="X35" i="43"/>
  <c r="Y35" i="43"/>
  <c r="S36" i="43"/>
  <c r="T36" i="43"/>
  <c r="U36" i="43"/>
  <c r="V36" i="43"/>
  <c r="W36" i="43"/>
  <c r="X36" i="43"/>
  <c r="S37" i="43"/>
  <c r="T37" i="43"/>
  <c r="V37" i="43" s="1"/>
  <c r="U37" i="43"/>
  <c r="W37" i="43"/>
  <c r="Y37" i="43" s="1"/>
  <c r="X37" i="43"/>
  <c r="S16" i="43"/>
  <c r="T16" i="43"/>
  <c r="U16" i="43"/>
  <c r="W16" i="43"/>
  <c r="X16" i="43"/>
  <c r="S17" i="43"/>
  <c r="T17" i="43"/>
  <c r="U17" i="43"/>
  <c r="W17" i="43"/>
  <c r="X17" i="43"/>
  <c r="B20" i="43"/>
  <c r="S25" i="26"/>
  <c r="T25" i="26"/>
  <c r="U25" i="26"/>
  <c r="W25" i="26"/>
  <c r="X25" i="26"/>
  <c r="Y25" i="26"/>
  <c r="S26" i="26"/>
  <c r="T26" i="26"/>
  <c r="U26" i="26"/>
  <c r="V26" i="26"/>
  <c r="W26" i="26"/>
  <c r="Y26" i="26" s="1"/>
  <c r="X26" i="26"/>
  <c r="S27" i="26"/>
  <c r="T27" i="26"/>
  <c r="V27" i="26" s="1"/>
  <c r="U27" i="26"/>
  <c r="W27" i="26"/>
  <c r="X27" i="26"/>
  <c r="S28" i="26"/>
  <c r="T28" i="26"/>
  <c r="V28" i="26" s="1"/>
  <c r="U28" i="26"/>
  <c r="W28" i="26"/>
  <c r="Y28" i="26" s="1"/>
  <c r="X28" i="26"/>
  <c r="S29" i="26"/>
  <c r="T29" i="26"/>
  <c r="U29" i="26"/>
  <c r="W29" i="26"/>
  <c r="X29" i="26"/>
  <c r="Y29" i="26"/>
  <c r="S30" i="26"/>
  <c r="T30" i="26"/>
  <c r="U30" i="26"/>
  <c r="V30" i="26"/>
  <c r="W30" i="26"/>
  <c r="Y30" i="26" s="1"/>
  <c r="X30" i="26"/>
  <c r="S31" i="26"/>
  <c r="T31" i="26"/>
  <c r="V31" i="26" s="1"/>
  <c r="U31" i="26"/>
  <c r="W31" i="26"/>
  <c r="X31" i="26"/>
  <c r="S32" i="26"/>
  <c r="T32" i="26"/>
  <c r="V32" i="26" s="1"/>
  <c r="U32" i="26"/>
  <c r="W32" i="26"/>
  <c r="Y32" i="26" s="1"/>
  <c r="X32" i="26"/>
  <c r="S33" i="26"/>
  <c r="T33" i="26"/>
  <c r="V33" i="26" s="1"/>
  <c r="U33" i="26"/>
  <c r="W33" i="26"/>
  <c r="X33" i="26"/>
  <c r="Y33" i="26"/>
  <c r="S34" i="26"/>
  <c r="T34" i="26"/>
  <c r="U34" i="26"/>
  <c r="V34" i="26"/>
  <c r="W34" i="26"/>
  <c r="X34" i="26"/>
  <c r="Y34" i="26"/>
  <c r="S35" i="26"/>
  <c r="T35" i="26"/>
  <c r="U35" i="26"/>
  <c r="V35" i="26"/>
  <c r="W35" i="26"/>
  <c r="Y35" i="26" s="1"/>
  <c r="X35" i="26"/>
  <c r="B20" i="26"/>
  <c r="V16" i="43" l="1"/>
  <c r="Y36" i="43"/>
  <c r="V34" i="43"/>
  <c r="Y32" i="43"/>
  <c r="V30" i="43"/>
  <c r="Y28" i="43"/>
  <c r="V26" i="43"/>
  <c r="Y24" i="43"/>
  <c r="V33" i="43"/>
  <c r="V29" i="43"/>
  <c r="V25" i="43"/>
  <c r="Y17" i="43"/>
  <c r="Y31" i="26"/>
  <c r="V29" i="26"/>
  <c r="Y27" i="26"/>
  <c r="V25" i="26"/>
  <c r="V17" i="43"/>
  <c r="Y16" i="43"/>
  <c r="E34" i="106" l="1"/>
  <c r="D34" i="106"/>
  <c r="E34" i="91"/>
  <c r="D34" i="91"/>
  <c r="E21" i="91"/>
  <c r="E30" i="91" s="1"/>
  <c r="D21" i="91"/>
  <c r="D30" i="91" s="1"/>
  <c r="E20" i="104"/>
  <c r="E19" i="104"/>
  <c r="E18" i="104"/>
  <c r="E17" i="104"/>
  <c r="E16" i="104"/>
  <c r="E22" i="99"/>
  <c r="D22" i="99"/>
  <c r="I5" i="91" l="1"/>
  <c r="I6" i="91"/>
  <c r="P5" i="129"/>
  <c r="D40" i="103" l="1"/>
  <c r="E55" i="125" l="1"/>
  <c r="D55" i="125"/>
  <c r="E52" i="125"/>
  <c r="D52" i="125"/>
  <c r="E50" i="125"/>
  <c r="D50" i="125"/>
  <c r="E48" i="125"/>
  <c r="D48" i="125"/>
  <c r="E45" i="125"/>
  <c r="D45" i="125"/>
  <c r="E44" i="125"/>
  <c r="D44" i="125"/>
  <c r="E43" i="125"/>
  <c r="D43" i="125"/>
  <c r="E42" i="125"/>
  <c r="D42" i="125"/>
  <c r="E41" i="125"/>
  <c r="D41" i="125"/>
  <c r="E60" i="119"/>
  <c r="D60" i="119"/>
  <c r="E55" i="119"/>
  <c r="E54" i="119" s="1"/>
  <c r="D55" i="119"/>
  <c r="D54" i="119" s="1"/>
  <c r="E52" i="119"/>
  <c r="D52" i="119"/>
  <c r="E50" i="119"/>
  <c r="D50" i="119"/>
  <c r="F49" i="119"/>
  <c r="E48" i="119"/>
  <c r="D48" i="119"/>
  <c r="D47" i="119" s="1"/>
  <c r="E45" i="119"/>
  <c r="D45" i="119"/>
  <c r="E44" i="119"/>
  <c r="D44" i="119"/>
  <c r="E43" i="119"/>
  <c r="D43" i="119"/>
  <c r="E42" i="119"/>
  <c r="D42" i="119"/>
  <c r="E41" i="119"/>
  <c r="E40" i="119" s="1"/>
  <c r="D41" i="119"/>
  <c r="D40" i="119" s="1"/>
  <c r="E47" i="119" l="1"/>
  <c r="F50" i="119"/>
  <c r="F40" i="119"/>
  <c r="F43" i="119"/>
  <c r="F58" i="128" l="1"/>
  <c r="F60" i="128"/>
  <c r="D15" i="128"/>
  <c r="N82" i="14" l="1"/>
  <c r="E30" i="117" l="1"/>
  <c r="E30" i="118"/>
  <c r="E30" i="119"/>
  <c r="E30" i="120"/>
  <c r="E30" i="121"/>
  <c r="E30" i="122"/>
  <c r="E30" i="123"/>
  <c r="E30" i="124"/>
  <c r="E30" i="126"/>
  <c r="E30" i="127"/>
  <c r="E30" i="128"/>
  <c r="E30" i="129"/>
  <c r="E30" i="116"/>
  <c r="D30" i="117"/>
  <c r="D30" i="118"/>
  <c r="D30" i="119"/>
  <c r="D30" i="120"/>
  <c r="D30" i="121"/>
  <c r="D30" i="122"/>
  <c r="D30" i="123"/>
  <c r="D30" i="124"/>
  <c r="D30" i="126"/>
  <c r="D30" i="127"/>
  <c r="D30" i="128"/>
  <c r="D30" i="116"/>
  <c r="E29" i="121"/>
  <c r="E29" i="129"/>
  <c r="D29" i="121"/>
  <c r="E32" i="104"/>
  <c r="E30" i="108"/>
  <c r="E30" i="109"/>
  <c r="E30" i="111"/>
  <c r="E30" i="112"/>
  <c r="E30" i="115"/>
  <c r="E30" i="103"/>
  <c r="D32" i="104"/>
  <c r="D30" i="108"/>
  <c r="D30" i="109"/>
  <c r="D30" i="111"/>
  <c r="D30" i="112"/>
  <c r="D30" i="115"/>
  <c r="D30" i="103"/>
  <c r="E29" i="108"/>
  <c r="E29" i="115"/>
  <c r="D29" i="108"/>
  <c r="D29" i="115"/>
  <c r="E30" i="93"/>
  <c r="E30" i="94"/>
  <c r="E30" i="95"/>
  <c r="E30" i="96"/>
  <c r="E30" i="97"/>
  <c r="E30" i="100"/>
  <c r="E30" i="101"/>
  <c r="E30" i="88"/>
  <c r="D30" i="93"/>
  <c r="D30" i="94"/>
  <c r="D30" i="95"/>
  <c r="D30" i="96"/>
  <c r="D30" i="97"/>
  <c r="D30" i="100"/>
  <c r="D30" i="101"/>
  <c r="D30" i="88"/>
  <c r="E29" i="93"/>
  <c r="E29" i="100"/>
  <c r="D29" i="93"/>
  <c r="D29" i="100"/>
  <c r="D38" i="85"/>
  <c r="C38" i="85"/>
  <c r="E30" i="77"/>
  <c r="E30" i="78"/>
  <c r="E30" i="79"/>
  <c r="E30" i="81"/>
  <c r="E30" i="83"/>
  <c r="E30" i="76"/>
  <c r="E29" i="81"/>
  <c r="E29" i="83"/>
  <c r="D30" i="77"/>
  <c r="D30" i="78"/>
  <c r="D30" i="79"/>
  <c r="D30" i="81"/>
  <c r="D30" i="83"/>
  <c r="D30" i="76"/>
  <c r="D29" i="81"/>
  <c r="D29" i="83"/>
  <c r="D34" i="73"/>
  <c r="C34" i="73"/>
  <c r="D36" i="70"/>
  <c r="D47" i="70" s="1"/>
  <c r="C36" i="70"/>
  <c r="C47" i="70" s="1"/>
  <c r="D37" i="69"/>
  <c r="C37" i="69"/>
  <c r="E30" i="63"/>
  <c r="E30" i="65"/>
  <c r="E29" i="63"/>
  <c r="E29" i="65"/>
  <c r="D30" i="63"/>
  <c r="D30" i="65"/>
  <c r="D29" i="63"/>
  <c r="D29" i="65"/>
  <c r="D34" i="60"/>
  <c r="C34" i="60"/>
  <c r="E37" i="58"/>
  <c r="C37" i="58" s="1"/>
  <c r="C44" i="52" s="1"/>
  <c r="E44" i="53"/>
  <c r="C44" i="53"/>
  <c r="E44" i="52"/>
  <c r="D43" i="52"/>
  <c r="C43" i="52"/>
  <c r="E30" i="39"/>
  <c r="E30" i="40"/>
  <c r="E30" i="44"/>
  <c r="E30" i="45"/>
  <c r="E30" i="47"/>
  <c r="E30" i="49"/>
  <c r="D30" i="39"/>
  <c r="D30" i="40"/>
  <c r="D30" i="44"/>
  <c r="D30" i="45"/>
  <c r="D30" i="47"/>
  <c r="D30" i="49"/>
  <c r="E29" i="39"/>
  <c r="E29" i="40"/>
  <c r="E29" i="44"/>
  <c r="E29" i="45"/>
  <c r="E29" i="47"/>
  <c r="E29" i="49"/>
  <c r="D29" i="39"/>
  <c r="D29" i="40"/>
  <c r="D29" i="44"/>
  <c r="D29" i="45"/>
  <c r="D29" i="49"/>
  <c r="F27" i="30"/>
  <c r="F27" i="33"/>
  <c r="E30" i="30"/>
  <c r="E30" i="31"/>
  <c r="E30" i="33"/>
  <c r="D30" i="30"/>
  <c r="D30" i="31"/>
  <c r="D30" i="33"/>
  <c r="E29" i="30"/>
  <c r="E29" i="33"/>
  <c r="D29" i="30"/>
  <c r="D29" i="33"/>
  <c r="C45" i="52" l="1"/>
  <c r="F30" i="101"/>
  <c r="E47" i="70"/>
  <c r="J62" i="17" l="1"/>
  <c r="L62" i="17"/>
  <c r="M62" i="17"/>
  <c r="O62" i="17"/>
  <c r="P62" i="17"/>
  <c r="Q62" i="17"/>
  <c r="R62" i="17"/>
  <c r="K7" i="98"/>
  <c r="L7" i="98"/>
  <c r="N7" i="98"/>
  <c r="O7" i="98"/>
  <c r="P7" i="98"/>
  <c r="I7" i="98"/>
  <c r="P6" i="98"/>
  <c r="O6" i="98"/>
  <c r="N6" i="98"/>
  <c r="L6" i="98"/>
  <c r="K6" i="98"/>
  <c r="J6" i="98"/>
  <c r="I6" i="98"/>
  <c r="P5" i="98"/>
  <c r="O5" i="98"/>
  <c r="N5" i="98"/>
  <c r="L5" i="98"/>
  <c r="K5" i="98"/>
  <c r="K4" i="98"/>
  <c r="I5" i="98"/>
  <c r="F17" i="98" l="1"/>
  <c r="F18" i="98"/>
  <c r="S6" i="81" l="1"/>
  <c r="E48" i="113" l="1"/>
  <c r="D48" i="113"/>
  <c r="D54" i="113"/>
  <c r="E54" i="113"/>
  <c r="F56" i="113"/>
  <c r="F60" i="113"/>
  <c r="E60" i="113"/>
  <c r="D60" i="113"/>
  <c r="F61" i="98"/>
  <c r="E60" i="98"/>
  <c r="D60" i="98"/>
  <c r="F62" i="93"/>
  <c r="F63" i="93"/>
  <c r="F64" i="93"/>
  <c r="F65" i="93"/>
  <c r="F61" i="93"/>
  <c r="F60" i="93"/>
  <c r="E59" i="93"/>
  <c r="D59" i="93"/>
  <c r="E59" i="108"/>
  <c r="D59" i="108"/>
  <c r="F61" i="108"/>
  <c r="F62" i="108"/>
  <c r="F63" i="108"/>
  <c r="F64" i="108"/>
  <c r="S20" i="69" l="1"/>
  <c r="S21" i="70"/>
  <c r="S20" i="71"/>
  <c r="S20" i="73"/>
  <c r="S19" i="69"/>
  <c r="S20" i="70"/>
  <c r="S19" i="71"/>
  <c r="S19" i="73"/>
  <c r="E12" i="69" l="1"/>
  <c r="E13" i="69"/>
  <c r="D15" i="119" l="1"/>
  <c r="D29" i="119" s="1"/>
  <c r="E15" i="119"/>
  <c r="E29" i="119" s="1"/>
  <c r="F16" i="119"/>
  <c r="F17" i="119"/>
  <c r="F18" i="119"/>
  <c r="F19" i="119"/>
  <c r="B20" i="119"/>
  <c r="F21" i="119"/>
  <c r="D27" i="119"/>
  <c r="E27" i="119"/>
  <c r="F29" i="119"/>
  <c r="F30" i="119"/>
  <c r="F31" i="119"/>
  <c r="F32" i="119"/>
  <c r="F34" i="119"/>
  <c r="F41" i="119"/>
  <c r="F42" i="119"/>
  <c r="F44" i="119"/>
  <c r="F45" i="119"/>
  <c r="F47" i="119"/>
  <c r="F48" i="119"/>
  <c r="F51" i="119"/>
  <c r="F52" i="119"/>
  <c r="F54" i="119"/>
  <c r="F55" i="119"/>
  <c r="F56" i="119"/>
  <c r="F60" i="119"/>
  <c r="F61" i="119"/>
  <c r="F31" i="100"/>
  <c r="F32" i="100"/>
  <c r="F31" i="103"/>
  <c r="F32" i="103"/>
  <c r="F33" i="104"/>
  <c r="F34" i="104"/>
  <c r="F31" i="105"/>
  <c r="F32" i="105"/>
  <c r="F31" i="106"/>
  <c r="F32" i="106"/>
  <c r="F31" i="108"/>
  <c r="F32" i="108"/>
  <c r="F31" i="109"/>
  <c r="F32" i="109"/>
  <c r="F31" i="110"/>
  <c r="F32" i="110"/>
  <c r="F31" i="111"/>
  <c r="F32" i="111"/>
  <c r="F31" i="112"/>
  <c r="F32" i="112"/>
  <c r="F33" i="113"/>
  <c r="F34" i="113"/>
  <c r="F32" i="114"/>
  <c r="F33" i="114"/>
  <c r="F31" i="115"/>
  <c r="F32" i="115"/>
  <c r="F31" i="116"/>
  <c r="F32" i="116"/>
  <c r="F31" i="117"/>
  <c r="F32" i="117"/>
  <c r="F31" i="118"/>
  <c r="F32" i="118"/>
  <c r="F31" i="120"/>
  <c r="F32" i="120"/>
  <c r="F31" i="121"/>
  <c r="F32" i="121"/>
  <c r="F31" i="122"/>
  <c r="F32" i="122"/>
  <c r="F31" i="123"/>
  <c r="F32" i="123"/>
  <c r="F31" i="124"/>
  <c r="F32" i="124"/>
  <c r="F31" i="125"/>
  <c r="F32" i="125"/>
  <c r="F31" i="126"/>
  <c r="F32" i="126"/>
  <c r="F32" i="99"/>
  <c r="F33" i="99"/>
  <c r="F30" i="100"/>
  <c r="F30" i="103"/>
  <c r="F32" i="104"/>
  <c r="F30" i="108"/>
  <c r="F30" i="109"/>
  <c r="F30" i="111"/>
  <c r="F30" i="112"/>
  <c r="F32" i="113"/>
  <c r="F30" i="115"/>
  <c r="F30" i="116"/>
  <c r="F30" i="117"/>
  <c r="F30" i="118"/>
  <c r="F30" i="120"/>
  <c r="F30" i="121"/>
  <c r="F30" i="122"/>
  <c r="F30" i="123"/>
  <c r="F30" i="124"/>
  <c r="F30" i="126"/>
  <c r="F31" i="99"/>
  <c r="D58" i="128"/>
  <c r="E58" i="128"/>
  <c r="D58" i="127"/>
  <c r="E58" i="127"/>
  <c r="D60" i="125"/>
  <c r="E60" i="125"/>
  <c r="D58" i="122"/>
  <c r="E58" i="122"/>
  <c r="D52" i="128"/>
  <c r="E52" i="128"/>
  <c r="D52" i="127"/>
  <c r="E52" i="127"/>
  <c r="D54" i="125"/>
  <c r="E54" i="125"/>
  <c r="D52" i="122"/>
  <c r="E52" i="122"/>
  <c r="D45" i="54"/>
  <c r="F52" i="30"/>
  <c r="F40" i="30"/>
  <c r="F21" i="30"/>
  <c r="F60" i="30"/>
  <c r="F61" i="30"/>
  <c r="F62" i="30"/>
  <c r="F59" i="30"/>
  <c r="F54" i="30"/>
  <c r="F55" i="30"/>
  <c r="F56" i="30"/>
  <c r="F53" i="30"/>
  <c r="F48" i="30"/>
  <c r="F49" i="30"/>
  <c r="F50" i="30"/>
  <c r="F47" i="30"/>
  <c r="F42" i="30"/>
  <c r="F43" i="30"/>
  <c r="F44" i="30"/>
  <c r="F41" i="30"/>
  <c r="F36" i="30"/>
  <c r="F37" i="30"/>
  <c r="F38" i="30"/>
  <c r="F35" i="30"/>
  <c r="F30" i="30"/>
  <c r="F31" i="30"/>
  <c r="F32" i="30"/>
  <c r="F29" i="30"/>
  <c r="F23" i="30"/>
  <c r="F24" i="30"/>
  <c r="F25" i="30"/>
  <c r="F22" i="30"/>
  <c r="F17" i="30"/>
  <c r="F18" i="30"/>
  <c r="F19" i="30"/>
  <c r="F16" i="30"/>
  <c r="D12" i="119" l="1"/>
  <c r="F27" i="119"/>
  <c r="E12" i="119"/>
  <c r="F12" i="119" s="1"/>
  <c r="F15" i="119"/>
  <c r="F63" i="36"/>
  <c r="F62" i="36"/>
  <c r="F61" i="36"/>
  <c r="F60" i="36"/>
  <c r="E59" i="36"/>
  <c r="D59" i="36"/>
  <c r="F57" i="36"/>
  <c r="F56" i="36"/>
  <c r="F55" i="36"/>
  <c r="F54" i="36"/>
  <c r="E53" i="36"/>
  <c r="D53" i="36"/>
  <c r="F51" i="36"/>
  <c r="F50" i="36"/>
  <c r="F49" i="36"/>
  <c r="F48" i="36"/>
  <c r="E47" i="36"/>
  <c r="D47" i="36"/>
  <c r="F45" i="36"/>
  <c r="F44" i="36"/>
  <c r="F43" i="36"/>
  <c r="F42" i="36"/>
  <c r="E41" i="36"/>
  <c r="D41" i="36"/>
  <c r="F41" i="36" s="1"/>
  <c r="F39" i="36"/>
  <c r="F38" i="36"/>
  <c r="F37" i="36"/>
  <c r="F36" i="36"/>
  <c r="E35" i="36"/>
  <c r="F35" i="36" s="1"/>
  <c r="D35" i="36"/>
  <c r="F33" i="36"/>
  <c r="F32" i="36"/>
  <c r="F26" i="36"/>
  <c r="F25" i="36"/>
  <c r="F24" i="36"/>
  <c r="F23" i="36"/>
  <c r="E22" i="36"/>
  <c r="E31" i="36" s="1"/>
  <c r="F31" i="36" s="1"/>
  <c r="D22" i="36"/>
  <c r="D31" i="36" s="1"/>
  <c r="F20" i="36"/>
  <c r="F19" i="36"/>
  <c r="F17" i="36"/>
  <c r="F16" i="36"/>
  <c r="E15" i="36"/>
  <c r="E30" i="36" s="1"/>
  <c r="E28" i="36" s="1"/>
  <c r="D15" i="36"/>
  <c r="F62" i="35"/>
  <c r="F61" i="35"/>
  <c r="F60" i="35"/>
  <c r="F59" i="35"/>
  <c r="E58" i="35"/>
  <c r="D58" i="35"/>
  <c r="F56" i="35"/>
  <c r="F55" i="35"/>
  <c r="F54" i="35"/>
  <c r="F53" i="35"/>
  <c r="E52" i="35"/>
  <c r="D52" i="35"/>
  <c r="F52" i="35" s="1"/>
  <c r="F50" i="35"/>
  <c r="F49" i="35"/>
  <c r="F48" i="35"/>
  <c r="F47" i="35"/>
  <c r="E46" i="35"/>
  <c r="D46" i="35"/>
  <c r="F44" i="35"/>
  <c r="F43" i="35"/>
  <c r="F42" i="35"/>
  <c r="F41" i="35"/>
  <c r="E40" i="35"/>
  <c r="D40" i="35"/>
  <c r="F38" i="35"/>
  <c r="F37" i="35"/>
  <c r="F36" i="35"/>
  <c r="F35" i="35"/>
  <c r="E34" i="35"/>
  <c r="D34" i="35"/>
  <c r="F34" i="35" s="1"/>
  <c r="F32" i="35"/>
  <c r="F31" i="35"/>
  <c r="F25" i="35"/>
  <c r="F24" i="35"/>
  <c r="F23" i="35"/>
  <c r="F22" i="35"/>
  <c r="E21" i="35"/>
  <c r="E30" i="35" s="1"/>
  <c r="D21" i="35"/>
  <c r="D30" i="35" s="1"/>
  <c r="F19" i="35"/>
  <c r="F18" i="35"/>
  <c r="F17" i="35"/>
  <c r="F16" i="35"/>
  <c r="E15" i="35"/>
  <c r="E29" i="35" s="1"/>
  <c r="E27" i="35" s="1"/>
  <c r="D15" i="35"/>
  <c r="D29" i="35" s="1"/>
  <c r="D27" i="35" s="1"/>
  <c r="F63" i="51"/>
  <c r="F62" i="51"/>
  <c r="F61" i="51"/>
  <c r="F60" i="51"/>
  <c r="E59" i="51"/>
  <c r="D59" i="51"/>
  <c r="F59" i="51" s="1"/>
  <c r="F57" i="51"/>
  <c r="F56" i="51"/>
  <c r="F55" i="51"/>
  <c r="F54" i="51"/>
  <c r="E53" i="51"/>
  <c r="D53" i="51"/>
  <c r="F51" i="51"/>
  <c r="F50" i="51"/>
  <c r="F49" i="51"/>
  <c r="F48" i="51"/>
  <c r="E47" i="51"/>
  <c r="D47" i="51"/>
  <c r="F45" i="51"/>
  <c r="F44" i="51"/>
  <c r="F43" i="51"/>
  <c r="F42" i="51"/>
  <c r="E41" i="51"/>
  <c r="D41" i="51"/>
  <c r="F39" i="51"/>
  <c r="F38" i="51"/>
  <c r="F37" i="51"/>
  <c r="F36" i="51"/>
  <c r="E35" i="51"/>
  <c r="D35" i="51"/>
  <c r="F33" i="51"/>
  <c r="F32" i="51"/>
  <c r="F26" i="51"/>
  <c r="F25" i="51"/>
  <c r="F24" i="51"/>
  <c r="F23" i="51"/>
  <c r="E22" i="51"/>
  <c r="E31" i="51" s="1"/>
  <c r="D22" i="51"/>
  <c r="F20" i="51"/>
  <c r="F19" i="51"/>
  <c r="F18" i="51"/>
  <c r="F16" i="51"/>
  <c r="E15" i="51"/>
  <c r="E30" i="51" s="1"/>
  <c r="D15" i="51"/>
  <c r="D30" i="51" s="1"/>
  <c r="S19" i="35"/>
  <c r="T19" i="35"/>
  <c r="U19" i="35"/>
  <c r="W19" i="35"/>
  <c r="Y19" i="35" s="1"/>
  <c r="X19" i="35"/>
  <c r="E40" i="21"/>
  <c r="E40" i="22"/>
  <c r="E40" i="23"/>
  <c r="E40" i="24"/>
  <c r="E40" i="25"/>
  <c r="E40" i="26"/>
  <c r="E40" i="28"/>
  <c r="E40" i="31"/>
  <c r="E40" i="32"/>
  <c r="E40" i="33"/>
  <c r="E40" i="34"/>
  <c r="E40" i="39"/>
  <c r="E40" i="40"/>
  <c r="E39" i="41"/>
  <c r="E40" i="42"/>
  <c r="E40" i="43"/>
  <c r="E40" i="44"/>
  <c r="E40" i="45"/>
  <c r="E40" i="46"/>
  <c r="E40" i="48"/>
  <c r="E40" i="49"/>
  <c r="E40" i="50"/>
  <c r="E40" i="29"/>
  <c r="F60" i="21"/>
  <c r="F61" i="21"/>
  <c r="F62" i="21"/>
  <c r="F60" i="22"/>
  <c r="F61" i="22"/>
  <c r="F62" i="22"/>
  <c r="F60" i="23"/>
  <c r="F61" i="23"/>
  <c r="F62" i="23"/>
  <c r="F60" i="24"/>
  <c r="F61" i="24"/>
  <c r="F62" i="24"/>
  <c r="F60" i="25"/>
  <c r="F61" i="25"/>
  <c r="F62" i="25"/>
  <c r="F60" i="26"/>
  <c r="F61" i="26"/>
  <c r="F62" i="26"/>
  <c r="F60" i="28"/>
  <c r="F61" i="28"/>
  <c r="F62" i="28"/>
  <c r="F60" i="31"/>
  <c r="F61" i="31"/>
  <c r="F62" i="31"/>
  <c r="F60" i="32"/>
  <c r="F61" i="32"/>
  <c r="F62" i="32"/>
  <c r="F60" i="33"/>
  <c r="F61" i="33"/>
  <c r="F62" i="33"/>
  <c r="F60" i="34"/>
  <c r="F61" i="34"/>
  <c r="F62" i="34"/>
  <c r="F60" i="39"/>
  <c r="F61" i="39"/>
  <c r="F62" i="39"/>
  <c r="F60" i="40"/>
  <c r="F61" i="40"/>
  <c r="F62" i="40"/>
  <c r="F59" i="41"/>
  <c r="F60" i="41"/>
  <c r="F61" i="41"/>
  <c r="F60" i="42"/>
  <c r="F61" i="42"/>
  <c r="F62" i="42"/>
  <c r="F60" i="43"/>
  <c r="F61" i="43"/>
  <c r="F62" i="43"/>
  <c r="F60" i="44"/>
  <c r="F61" i="44"/>
  <c r="F62" i="44"/>
  <c r="F60" i="45"/>
  <c r="F61" i="45"/>
  <c r="F62" i="45"/>
  <c r="F60" i="46"/>
  <c r="F61" i="46"/>
  <c r="F62" i="46"/>
  <c r="F60" i="47"/>
  <c r="F61" i="47"/>
  <c r="F62" i="47"/>
  <c r="F60" i="48"/>
  <c r="F61" i="48"/>
  <c r="F62" i="48"/>
  <c r="F60" i="49"/>
  <c r="F61" i="49"/>
  <c r="F62" i="49"/>
  <c r="F60" i="50"/>
  <c r="F61" i="50"/>
  <c r="F62" i="50"/>
  <c r="F60" i="29"/>
  <c r="F61" i="29"/>
  <c r="F62" i="29"/>
  <c r="F59" i="21"/>
  <c r="F59" i="22"/>
  <c r="F59" i="23"/>
  <c r="F59" i="24"/>
  <c r="F59" i="25"/>
  <c r="F59" i="26"/>
  <c r="F59" i="28"/>
  <c r="F59" i="31"/>
  <c r="F59" i="32"/>
  <c r="F59" i="33"/>
  <c r="F59" i="34"/>
  <c r="F59" i="39"/>
  <c r="F59" i="40"/>
  <c r="F58" i="41"/>
  <c r="F59" i="42"/>
  <c r="F59" i="43"/>
  <c r="F59" i="44"/>
  <c r="F59" i="45"/>
  <c r="F59" i="46"/>
  <c r="F59" i="47"/>
  <c r="F59" i="48"/>
  <c r="F59" i="49"/>
  <c r="F59" i="50"/>
  <c r="F59" i="29"/>
  <c r="F54" i="21"/>
  <c r="F55" i="21"/>
  <c r="F56" i="21"/>
  <c r="F54" i="22"/>
  <c r="F55" i="22"/>
  <c r="F56" i="22"/>
  <c r="F54" i="23"/>
  <c r="F55" i="23"/>
  <c r="F56" i="23"/>
  <c r="F54" i="24"/>
  <c r="F55" i="24"/>
  <c r="F56" i="24"/>
  <c r="F54" i="25"/>
  <c r="F55" i="25"/>
  <c r="F56" i="25"/>
  <c r="F54" i="26"/>
  <c r="F55" i="26"/>
  <c r="F56" i="26"/>
  <c r="F54" i="28"/>
  <c r="F55" i="28"/>
  <c r="F56" i="28"/>
  <c r="F54" i="31"/>
  <c r="F55" i="31"/>
  <c r="F56" i="31"/>
  <c r="F54" i="32"/>
  <c r="F55" i="32"/>
  <c r="F56" i="32"/>
  <c r="F54" i="33"/>
  <c r="F55" i="33"/>
  <c r="F56" i="33"/>
  <c r="F54" i="34"/>
  <c r="F55" i="34"/>
  <c r="F56" i="34"/>
  <c r="F54" i="39"/>
  <c r="F55" i="39"/>
  <c r="F56" i="39"/>
  <c r="F54" i="40"/>
  <c r="F55" i="40"/>
  <c r="F56" i="40"/>
  <c r="F53" i="41"/>
  <c r="F54" i="41"/>
  <c r="F55" i="41"/>
  <c r="F54" i="42"/>
  <c r="F55" i="42"/>
  <c r="F56" i="42"/>
  <c r="F54" i="43"/>
  <c r="F55" i="43"/>
  <c r="F56" i="43"/>
  <c r="F54" i="44"/>
  <c r="F55" i="44"/>
  <c r="F56" i="44"/>
  <c r="F54" i="45"/>
  <c r="F55" i="45"/>
  <c r="F56" i="45"/>
  <c r="F54" i="46"/>
  <c r="F55" i="46"/>
  <c r="F56" i="46"/>
  <c r="F54" i="47"/>
  <c r="F55" i="47"/>
  <c r="F56" i="47"/>
  <c r="F54" i="48"/>
  <c r="F55" i="48"/>
  <c r="F56" i="48"/>
  <c r="F54" i="49"/>
  <c r="F55" i="49"/>
  <c r="F56" i="49"/>
  <c r="F54" i="50"/>
  <c r="F55" i="50"/>
  <c r="F56" i="50"/>
  <c r="F54" i="29"/>
  <c r="F55" i="29"/>
  <c r="F56" i="29"/>
  <c r="F53" i="21"/>
  <c r="F53" i="22"/>
  <c r="F53" i="23"/>
  <c r="F53" i="24"/>
  <c r="F53" i="25"/>
  <c r="F53" i="26"/>
  <c r="F53" i="28"/>
  <c r="F53" i="31"/>
  <c r="F53" i="32"/>
  <c r="F53" i="33"/>
  <c r="F53" i="34"/>
  <c r="F53" i="39"/>
  <c r="F53" i="40"/>
  <c r="F52" i="41"/>
  <c r="F53" i="42"/>
  <c r="F53" i="43"/>
  <c r="F53" i="44"/>
  <c r="F53" i="45"/>
  <c r="F53" i="46"/>
  <c r="F53" i="47"/>
  <c r="F53" i="48"/>
  <c r="F53" i="49"/>
  <c r="F53" i="50"/>
  <c r="F53" i="29"/>
  <c r="F48" i="21"/>
  <c r="F49" i="21"/>
  <c r="F50" i="21"/>
  <c r="F48" i="22"/>
  <c r="F49" i="22"/>
  <c r="F50" i="22"/>
  <c r="F48" i="23"/>
  <c r="F49" i="23"/>
  <c r="F50" i="23"/>
  <c r="F48" i="24"/>
  <c r="F49" i="24"/>
  <c r="F50" i="24"/>
  <c r="F48" i="25"/>
  <c r="F49" i="25"/>
  <c r="F50" i="25"/>
  <c r="F48" i="26"/>
  <c r="F49" i="26"/>
  <c r="F50" i="26"/>
  <c r="F48" i="28"/>
  <c r="F49" i="28"/>
  <c r="F50" i="28"/>
  <c r="F48" i="31"/>
  <c r="F49" i="31"/>
  <c r="F50" i="31"/>
  <c r="F48" i="32"/>
  <c r="F49" i="32"/>
  <c r="F50" i="32"/>
  <c r="F48" i="33"/>
  <c r="F49" i="33"/>
  <c r="F50" i="33"/>
  <c r="F48" i="34"/>
  <c r="F49" i="34"/>
  <c r="F50" i="34"/>
  <c r="F48" i="39"/>
  <c r="F49" i="39"/>
  <c r="F50" i="39"/>
  <c r="F48" i="40"/>
  <c r="F49" i="40"/>
  <c r="F50" i="40"/>
  <c r="F47" i="41"/>
  <c r="F48" i="41"/>
  <c r="F49" i="41"/>
  <c r="F48" i="42"/>
  <c r="F49" i="42"/>
  <c r="F50" i="42"/>
  <c r="F48" i="43"/>
  <c r="F49" i="43"/>
  <c r="F50" i="43"/>
  <c r="F48" i="44"/>
  <c r="F49" i="44"/>
  <c r="F50" i="44"/>
  <c r="F48" i="45"/>
  <c r="F49" i="45"/>
  <c r="F50" i="45"/>
  <c r="F48" i="46"/>
  <c r="F49" i="46"/>
  <c r="F50" i="46"/>
  <c r="F48" i="47"/>
  <c r="F49" i="47"/>
  <c r="F50" i="47"/>
  <c r="F48" i="48"/>
  <c r="F49" i="48"/>
  <c r="F50" i="48"/>
  <c r="F48" i="49"/>
  <c r="F49" i="49"/>
  <c r="F50" i="49"/>
  <c r="F48" i="50"/>
  <c r="F49" i="50"/>
  <c r="F50" i="50"/>
  <c r="F48" i="29"/>
  <c r="F49" i="29"/>
  <c r="F50" i="29"/>
  <c r="F47" i="21"/>
  <c r="F47" i="22"/>
  <c r="F47" i="23"/>
  <c r="F47" i="24"/>
  <c r="F47" i="25"/>
  <c r="F47" i="26"/>
  <c r="F47" i="28"/>
  <c r="F47" i="31"/>
  <c r="F47" i="32"/>
  <c r="F47" i="33"/>
  <c r="F47" i="34"/>
  <c r="F47" i="39"/>
  <c r="F47" i="40"/>
  <c r="F46" i="41"/>
  <c r="F47" i="42"/>
  <c r="F47" i="43"/>
  <c r="F47" i="44"/>
  <c r="F47" i="45"/>
  <c r="F47" i="46"/>
  <c r="F47" i="47"/>
  <c r="F47" i="48"/>
  <c r="F47" i="49"/>
  <c r="F47" i="50"/>
  <c r="F47" i="29"/>
  <c r="F58" i="30"/>
  <c r="F46" i="30"/>
  <c r="F34" i="30"/>
  <c r="F34" i="47"/>
  <c r="F15" i="30"/>
  <c r="F42" i="21"/>
  <c r="F43" i="21"/>
  <c r="F44" i="21"/>
  <c r="F42" i="22"/>
  <c r="F43" i="22"/>
  <c r="F44" i="22"/>
  <c r="F42" i="23"/>
  <c r="F43" i="23"/>
  <c r="F44" i="23"/>
  <c r="F42" i="24"/>
  <c r="F43" i="24"/>
  <c r="F44" i="24"/>
  <c r="F42" i="25"/>
  <c r="F43" i="25"/>
  <c r="F44" i="25"/>
  <c r="F42" i="26"/>
  <c r="F43" i="26"/>
  <c r="F44" i="26"/>
  <c r="F42" i="28"/>
  <c r="F43" i="28"/>
  <c r="F44" i="28"/>
  <c r="F42" i="31"/>
  <c r="F43" i="31"/>
  <c r="F44" i="31"/>
  <c r="F42" i="32"/>
  <c r="F43" i="32"/>
  <c r="F44" i="32"/>
  <c r="F42" i="33"/>
  <c r="F43" i="33"/>
  <c r="F44" i="33"/>
  <c r="F42" i="34"/>
  <c r="F43" i="34"/>
  <c r="F44" i="34"/>
  <c r="F42" i="39"/>
  <c r="F43" i="39"/>
  <c r="F44" i="39"/>
  <c r="F42" i="40"/>
  <c r="F43" i="40"/>
  <c r="F44" i="40"/>
  <c r="F41" i="41"/>
  <c r="F42" i="41"/>
  <c r="F43" i="41"/>
  <c r="F42" i="42"/>
  <c r="F43" i="42"/>
  <c r="F44" i="42"/>
  <c r="F42" i="43"/>
  <c r="F43" i="43"/>
  <c r="F44" i="43"/>
  <c r="F42" i="44"/>
  <c r="F43" i="44"/>
  <c r="F44" i="44"/>
  <c r="F42" i="45"/>
  <c r="F43" i="45"/>
  <c r="F44" i="45"/>
  <c r="F42" i="46"/>
  <c r="F43" i="46"/>
  <c r="F44" i="46"/>
  <c r="F42" i="47"/>
  <c r="F43" i="47"/>
  <c r="F44" i="47"/>
  <c r="F42" i="48"/>
  <c r="F43" i="48"/>
  <c r="F44" i="48"/>
  <c r="F42" i="49"/>
  <c r="F43" i="49"/>
  <c r="F44" i="49"/>
  <c r="F42" i="50"/>
  <c r="F43" i="50"/>
  <c r="F44" i="50"/>
  <c r="F42" i="29"/>
  <c r="F43" i="29"/>
  <c r="F44" i="29"/>
  <c r="F41" i="21"/>
  <c r="F41" i="22"/>
  <c r="F41" i="23"/>
  <c r="F41" i="24"/>
  <c r="F41" i="25"/>
  <c r="F41" i="26"/>
  <c r="F41" i="28"/>
  <c r="F41" i="31"/>
  <c r="F41" i="32"/>
  <c r="F41" i="33"/>
  <c r="F41" i="34"/>
  <c r="F41" i="39"/>
  <c r="F41" i="40"/>
  <c r="F40" i="41"/>
  <c r="F41" i="42"/>
  <c r="F41" i="43"/>
  <c r="F41" i="44"/>
  <c r="F41" i="45"/>
  <c r="F41" i="46"/>
  <c r="F41" i="47"/>
  <c r="F41" i="48"/>
  <c r="F41" i="49"/>
  <c r="F41" i="50"/>
  <c r="F41" i="29"/>
  <c r="F36" i="21"/>
  <c r="F37" i="21"/>
  <c r="F38" i="21"/>
  <c r="F36" i="22"/>
  <c r="F37" i="22"/>
  <c r="F38" i="22"/>
  <c r="F36" i="23"/>
  <c r="F37" i="23"/>
  <c r="F38" i="23"/>
  <c r="F36" i="24"/>
  <c r="F37" i="24"/>
  <c r="F38" i="24"/>
  <c r="F36" i="25"/>
  <c r="F37" i="25"/>
  <c r="F38" i="25"/>
  <c r="F36" i="26"/>
  <c r="F37" i="26"/>
  <c r="F38" i="26"/>
  <c r="F36" i="28"/>
  <c r="F37" i="28"/>
  <c r="F38" i="28"/>
  <c r="F36" i="31"/>
  <c r="F37" i="31"/>
  <c r="F38" i="31"/>
  <c r="F36" i="32"/>
  <c r="F37" i="32"/>
  <c r="F38" i="32"/>
  <c r="F36" i="33"/>
  <c r="F37" i="33"/>
  <c r="F38" i="33"/>
  <c r="F36" i="34"/>
  <c r="F37" i="34"/>
  <c r="F38" i="34"/>
  <c r="F36" i="39"/>
  <c r="F37" i="39"/>
  <c r="F38" i="39"/>
  <c r="F36" i="40"/>
  <c r="F37" i="40"/>
  <c r="F38" i="40"/>
  <c r="F35" i="41"/>
  <c r="F36" i="41"/>
  <c r="F37" i="41"/>
  <c r="F36" i="42"/>
  <c r="F37" i="42"/>
  <c r="F38" i="42"/>
  <c r="F36" i="43"/>
  <c r="F37" i="43"/>
  <c r="F38" i="43"/>
  <c r="F36" i="44"/>
  <c r="F37" i="44"/>
  <c r="F38" i="44"/>
  <c r="F36" i="45"/>
  <c r="F37" i="45"/>
  <c r="F38" i="45"/>
  <c r="F36" i="46"/>
  <c r="F37" i="46"/>
  <c r="F38" i="46"/>
  <c r="F36" i="47"/>
  <c r="F37" i="47"/>
  <c r="F38" i="47"/>
  <c r="F36" i="48"/>
  <c r="F37" i="48"/>
  <c r="F38" i="48"/>
  <c r="F36" i="49"/>
  <c r="F37" i="49"/>
  <c r="F38" i="49"/>
  <c r="F36" i="50"/>
  <c r="F37" i="50"/>
  <c r="F38" i="50"/>
  <c r="F36" i="29"/>
  <c r="F37" i="29"/>
  <c r="F38" i="29"/>
  <c r="F35" i="21"/>
  <c r="F35" i="22"/>
  <c r="F35" i="23"/>
  <c r="F35" i="24"/>
  <c r="F35" i="25"/>
  <c r="F35" i="26"/>
  <c r="F35" i="28"/>
  <c r="F35" i="31"/>
  <c r="F35" i="32"/>
  <c r="F35" i="33"/>
  <c r="F35" i="34"/>
  <c r="F35" i="39"/>
  <c r="F35" i="40"/>
  <c r="F34" i="41"/>
  <c r="F35" i="42"/>
  <c r="F35" i="43"/>
  <c r="F35" i="44"/>
  <c r="F35" i="45"/>
  <c r="F35" i="46"/>
  <c r="F35" i="47"/>
  <c r="F35" i="48"/>
  <c r="F35" i="49"/>
  <c r="F35" i="50"/>
  <c r="F35" i="29"/>
  <c r="F32" i="21"/>
  <c r="F32" i="22"/>
  <c r="F32" i="23"/>
  <c r="F32" i="24"/>
  <c r="F32" i="25"/>
  <c r="F32" i="26"/>
  <c r="F32" i="28"/>
  <c r="F32" i="31"/>
  <c r="F32" i="32"/>
  <c r="F32" i="33"/>
  <c r="F32" i="34"/>
  <c r="F32" i="39"/>
  <c r="F32" i="40"/>
  <c r="F31" i="41"/>
  <c r="F32" i="42"/>
  <c r="F32" i="43"/>
  <c r="F32" i="44"/>
  <c r="F32" i="45"/>
  <c r="F32" i="46"/>
  <c r="F32" i="47"/>
  <c r="F32" i="48"/>
  <c r="F32" i="49"/>
  <c r="F32" i="50"/>
  <c r="F32" i="29"/>
  <c r="F31" i="21"/>
  <c r="F31" i="22"/>
  <c r="F31" i="23"/>
  <c r="F31" i="24"/>
  <c r="F31" i="25"/>
  <c r="F31" i="26"/>
  <c r="F31" i="28"/>
  <c r="F30" i="31"/>
  <c r="F31" i="31"/>
  <c r="F31" i="32"/>
  <c r="F30" i="33"/>
  <c r="F31" i="33"/>
  <c r="F31" i="34"/>
  <c r="F30" i="39"/>
  <c r="F31" i="39"/>
  <c r="F30" i="40"/>
  <c r="F31" i="40"/>
  <c r="F30" i="41"/>
  <c r="F31" i="42"/>
  <c r="F31" i="43"/>
  <c r="F30" i="44"/>
  <c r="F31" i="44"/>
  <c r="F30" i="45"/>
  <c r="F31" i="45"/>
  <c r="F31" i="46"/>
  <c r="F30" i="47"/>
  <c r="F31" i="47"/>
  <c r="F31" i="48"/>
  <c r="F30" i="49"/>
  <c r="F31" i="49"/>
  <c r="F31" i="50"/>
  <c r="F31" i="29"/>
  <c r="F29" i="33"/>
  <c r="F29" i="39"/>
  <c r="F29" i="40"/>
  <c r="F29" i="44"/>
  <c r="F29" i="45"/>
  <c r="F29" i="49"/>
  <c r="F23" i="21"/>
  <c r="F24" i="21"/>
  <c r="F25" i="21"/>
  <c r="F23" i="22"/>
  <c r="F24" i="22"/>
  <c r="F25" i="22"/>
  <c r="F23" i="23"/>
  <c r="F24" i="23"/>
  <c r="F25" i="23"/>
  <c r="F23" i="24"/>
  <c r="F24" i="24"/>
  <c r="F25" i="24"/>
  <c r="F23" i="25"/>
  <c r="F24" i="25"/>
  <c r="F25" i="25"/>
  <c r="F23" i="26"/>
  <c r="F24" i="26"/>
  <c r="F25" i="26"/>
  <c r="F23" i="28"/>
  <c r="F24" i="28"/>
  <c r="F25" i="28"/>
  <c r="F23" i="31"/>
  <c r="F24" i="31"/>
  <c r="F25" i="31"/>
  <c r="F23" i="32"/>
  <c r="F24" i="32"/>
  <c r="F25" i="32"/>
  <c r="F23" i="33"/>
  <c r="F24" i="33"/>
  <c r="F25" i="33"/>
  <c r="F23" i="34"/>
  <c r="F24" i="34"/>
  <c r="F25" i="34"/>
  <c r="F23" i="39"/>
  <c r="F24" i="39"/>
  <c r="F25" i="39"/>
  <c r="F23" i="40"/>
  <c r="F24" i="40"/>
  <c r="F25" i="40"/>
  <c r="F22" i="41"/>
  <c r="F23" i="41"/>
  <c r="F24" i="41"/>
  <c r="F23" i="42"/>
  <c r="F24" i="42"/>
  <c r="F25" i="42"/>
  <c r="F23" i="43"/>
  <c r="F24" i="43"/>
  <c r="F25" i="43"/>
  <c r="F23" i="44"/>
  <c r="F24" i="44"/>
  <c r="F25" i="44"/>
  <c r="F23" i="45"/>
  <c r="F24" i="45"/>
  <c r="F25" i="45"/>
  <c r="F23" i="46"/>
  <c r="F24" i="46"/>
  <c r="F25" i="46"/>
  <c r="F23" i="47"/>
  <c r="F24" i="47"/>
  <c r="F25" i="47"/>
  <c r="F23" i="48"/>
  <c r="F24" i="48"/>
  <c r="F25" i="48"/>
  <c r="F23" i="49"/>
  <c r="F24" i="49"/>
  <c r="F25" i="49"/>
  <c r="F23" i="50"/>
  <c r="F24" i="50"/>
  <c r="F25" i="50"/>
  <c r="F23" i="29"/>
  <c r="F24" i="29"/>
  <c r="F25" i="29"/>
  <c r="F22" i="21"/>
  <c r="F22" i="22"/>
  <c r="F22" i="23"/>
  <c r="F22" i="24"/>
  <c r="F22" i="25"/>
  <c r="F22" i="26"/>
  <c r="F22" i="28"/>
  <c r="F22" i="31"/>
  <c r="F22" i="32"/>
  <c r="F22" i="33"/>
  <c r="F22" i="34"/>
  <c r="F22" i="39"/>
  <c r="F22" i="40"/>
  <c r="F21" i="41"/>
  <c r="F22" i="42"/>
  <c r="F22" i="43"/>
  <c r="F22" i="44"/>
  <c r="F22" i="45"/>
  <c r="F22" i="46"/>
  <c r="F22" i="47"/>
  <c r="F22" i="48"/>
  <c r="F22" i="49"/>
  <c r="F22" i="50"/>
  <c r="F22" i="29"/>
  <c r="F17" i="21"/>
  <c r="F18" i="21"/>
  <c r="F19" i="21"/>
  <c r="F17" i="22"/>
  <c r="F18" i="22"/>
  <c r="F19" i="22"/>
  <c r="F17" i="23"/>
  <c r="F18" i="23"/>
  <c r="F19" i="23"/>
  <c r="F17" i="24"/>
  <c r="F18" i="24"/>
  <c r="F19" i="24"/>
  <c r="F17" i="25"/>
  <c r="F18" i="25"/>
  <c r="F19" i="25"/>
  <c r="F17" i="26"/>
  <c r="F18" i="26"/>
  <c r="F19" i="26"/>
  <c r="F17" i="28"/>
  <c r="F18" i="28"/>
  <c r="F19" i="28"/>
  <c r="F17" i="31"/>
  <c r="F18" i="31"/>
  <c r="F19" i="31"/>
  <c r="F17" i="32"/>
  <c r="F18" i="32"/>
  <c r="F19" i="32"/>
  <c r="F17" i="33"/>
  <c r="F18" i="33"/>
  <c r="F19" i="33"/>
  <c r="F17" i="34"/>
  <c r="F18" i="34"/>
  <c r="F19" i="34"/>
  <c r="F17" i="39"/>
  <c r="F18" i="39"/>
  <c r="F19" i="39"/>
  <c r="F17" i="40"/>
  <c r="F18" i="40"/>
  <c r="F19" i="40"/>
  <c r="F17" i="42"/>
  <c r="F18" i="42"/>
  <c r="F19" i="42"/>
  <c r="F17" i="43"/>
  <c r="F18" i="43"/>
  <c r="F19" i="43"/>
  <c r="F17" i="44"/>
  <c r="F18" i="44"/>
  <c r="F19" i="44"/>
  <c r="F17" i="45"/>
  <c r="F18" i="45"/>
  <c r="F19" i="45"/>
  <c r="F17" i="46"/>
  <c r="F18" i="46"/>
  <c r="F19" i="46"/>
  <c r="F17" i="47"/>
  <c r="F18" i="47"/>
  <c r="F19" i="47"/>
  <c r="F17" i="48"/>
  <c r="F18" i="48"/>
  <c r="F19" i="48"/>
  <c r="F17" i="49"/>
  <c r="F18" i="49"/>
  <c r="F19" i="49"/>
  <c r="F17" i="50"/>
  <c r="F18" i="50"/>
  <c r="F19" i="50"/>
  <c r="F17" i="29"/>
  <c r="F18" i="29"/>
  <c r="F19" i="29"/>
  <c r="F16" i="29"/>
  <c r="F30" i="35" l="1"/>
  <c r="F27" i="35"/>
  <c r="F53" i="51"/>
  <c r="F47" i="51"/>
  <c r="F35" i="51"/>
  <c r="F22" i="51"/>
  <c r="D31" i="51"/>
  <c r="F31" i="51" s="1"/>
  <c r="E28" i="51"/>
  <c r="F30" i="51"/>
  <c r="V19" i="35"/>
  <c r="F29" i="35"/>
  <c r="F46" i="35"/>
  <c r="F47" i="36"/>
  <c r="F59" i="36"/>
  <c r="F15" i="36"/>
  <c r="D30" i="36"/>
  <c r="F40" i="35"/>
  <c r="F21" i="35"/>
  <c r="F58" i="35"/>
  <c r="F53" i="36"/>
  <c r="F41" i="51"/>
  <c r="F22" i="36"/>
  <c r="F15" i="51"/>
  <c r="F15" i="35"/>
  <c r="D28" i="51" l="1"/>
  <c r="F28" i="51" s="1"/>
  <c r="F30" i="36"/>
  <c r="D28" i="36"/>
  <c r="F28" i="36" s="1"/>
  <c r="I39" i="11"/>
  <c r="I41" i="11" s="1"/>
  <c r="Q65" i="18"/>
  <c r="R65" i="18"/>
  <c r="Q62" i="18"/>
  <c r="Q61" i="18"/>
  <c r="Q60" i="18"/>
  <c r="J47" i="18"/>
  <c r="L47" i="18"/>
  <c r="R37" i="18"/>
  <c r="R34" i="18"/>
  <c r="R33" i="18"/>
  <c r="T33" i="18"/>
  <c r="R32" i="18"/>
  <c r="Q65" i="17"/>
  <c r="R65" i="17"/>
  <c r="Q61" i="17"/>
  <c r="Q60" i="17"/>
  <c r="J47" i="17"/>
  <c r="L47" i="17"/>
  <c r="R37" i="17"/>
  <c r="R34" i="17"/>
  <c r="Q33" i="17"/>
  <c r="R33" i="17"/>
  <c r="T33" i="17"/>
  <c r="R32" i="17"/>
  <c r="H75" i="12"/>
  <c r="Q74" i="15"/>
  <c r="R74" i="15"/>
  <c r="J71" i="15"/>
  <c r="K71" i="15"/>
  <c r="L71" i="15"/>
  <c r="M71" i="15"/>
  <c r="O71" i="15"/>
  <c r="P71" i="15"/>
  <c r="Q71" i="15"/>
  <c r="J69" i="15"/>
  <c r="L69" i="15"/>
  <c r="Q69" i="15"/>
  <c r="Q43" i="15"/>
  <c r="R43" i="15"/>
  <c r="T43" i="15"/>
  <c r="Q41" i="15"/>
  <c r="R41" i="15"/>
  <c r="T41" i="15"/>
  <c r="Q88" i="14"/>
  <c r="Q74" i="14"/>
  <c r="R74" i="14"/>
  <c r="J71" i="14"/>
  <c r="L71" i="14"/>
  <c r="M71" i="14"/>
  <c r="O71" i="14"/>
  <c r="P71" i="14"/>
  <c r="Q71" i="14"/>
  <c r="Q70" i="14"/>
  <c r="J69" i="14"/>
  <c r="L69" i="14"/>
  <c r="Q69" i="14"/>
  <c r="Q43" i="14"/>
  <c r="R43" i="14"/>
  <c r="T43" i="14"/>
  <c r="Q41" i="14"/>
  <c r="R41" i="14"/>
  <c r="T41" i="14"/>
  <c r="R31" i="18" l="1"/>
  <c r="R38" i="18" s="1"/>
  <c r="R31" i="17"/>
  <c r="R38" i="17" s="1"/>
  <c r="F61" i="129"/>
  <c r="F60" i="129"/>
  <c r="F59" i="129"/>
  <c r="E58" i="129"/>
  <c r="O6" i="129" s="1"/>
  <c r="D58" i="129"/>
  <c r="O5" i="129" s="1"/>
  <c r="F56" i="129"/>
  <c r="F55" i="129"/>
  <c r="F54" i="129"/>
  <c r="F53" i="129"/>
  <c r="E52" i="129"/>
  <c r="N6" i="129" s="1"/>
  <c r="D52" i="129"/>
  <c r="F50" i="129"/>
  <c r="F49" i="129"/>
  <c r="F48" i="129"/>
  <c r="F47" i="129"/>
  <c r="E46" i="129"/>
  <c r="M6" i="129" s="1"/>
  <c r="D46" i="129"/>
  <c r="F44" i="129"/>
  <c r="F43" i="129"/>
  <c r="F42" i="129"/>
  <c r="F41" i="129"/>
  <c r="E40" i="129"/>
  <c r="L6" i="129" s="1"/>
  <c r="D40" i="129"/>
  <c r="L5" i="129" s="1"/>
  <c r="E27" i="129"/>
  <c r="J6" i="129" s="1"/>
  <c r="F25" i="129"/>
  <c r="F24" i="129"/>
  <c r="F23" i="129"/>
  <c r="F22" i="129"/>
  <c r="E21" i="129"/>
  <c r="I6" i="129" s="1"/>
  <c r="D21" i="129"/>
  <c r="B20" i="129"/>
  <c r="F19" i="129"/>
  <c r="F18" i="129"/>
  <c r="F17" i="129"/>
  <c r="F16" i="129"/>
  <c r="E15" i="129"/>
  <c r="H6" i="129" s="1"/>
  <c r="D15" i="129"/>
  <c r="P7" i="129"/>
  <c r="K6" i="129"/>
  <c r="N5" i="129"/>
  <c r="K5" i="129"/>
  <c r="F62" i="116"/>
  <c r="F61" i="116"/>
  <c r="F60" i="116"/>
  <c r="F59" i="116"/>
  <c r="E58" i="116"/>
  <c r="O6" i="116" s="1"/>
  <c r="P65" i="18" s="1"/>
  <c r="D58" i="116"/>
  <c r="O5" i="116" s="1"/>
  <c r="F54" i="116"/>
  <c r="F53" i="116"/>
  <c r="E52" i="116"/>
  <c r="N6" i="116" s="1"/>
  <c r="O65" i="18" s="1"/>
  <c r="D52" i="116"/>
  <c r="N5" i="116" s="1"/>
  <c r="O65" i="17" s="1"/>
  <c r="F48" i="116"/>
  <c r="F47" i="116"/>
  <c r="E46" i="116"/>
  <c r="M6" i="116" s="1"/>
  <c r="N65" i="18" s="1"/>
  <c r="D46" i="116"/>
  <c r="F41" i="116"/>
  <c r="E40" i="116"/>
  <c r="L6" i="116" s="1"/>
  <c r="M65" i="18" s="1"/>
  <c r="D40" i="116"/>
  <c r="L5" i="116" s="1"/>
  <c r="M65" i="17" s="1"/>
  <c r="F34" i="116"/>
  <c r="F21" i="116"/>
  <c r="B20" i="116"/>
  <c r="F19" i="116"/>
  <c r="F18" i="116"/>
  <c r="F17" i="116"/>
  <c r="F16" i="116"/>
  <c r="E15" i="116"/>
  <c r="D15" i="116"/>
  <c r="R7" i="116"/>
  <c r="K6" i="116"/>
  <c r="L65" i="18" s="1"/>
  <c r="I6" i="116"/>
  <c r="J65" i="18" s="1"/>
  <c r="M5" i="116"/>
  <c r="N65" i="17" s="1"/>
  <c r="K5" i="116"/>
  <c r="L65" i="17" s="1"/>
  <c r="I5" i="116"/>
  <c r="J65" i="17" s="1"/>
  <c r="F62" i="113"/>
  <c r="F61" i="113"/>
  <c r="F58" i="113"/>
  <c r="F57" i="113"/>
  <c r="F55" i="113"/>
  <c r="N6" i="113"/>
  <c r="O62" i="18" s="1"/>
  <c r="F52" i="113"/>
  <c r="F51" i="113"/>
  <c r="F50" i="113"/>
  <c r="F49" i="113"/>
  <c r="M6" i="113"/>
  <c r="N62" i="18" s="1"/>
  <c r="M5" i="113"/>
  <c r="N62" i="17" s="1"/>
  <c r="F46" i="113"/>
  <c r="F45" i="113"/>
  <c r="F44" i="113"/>
  <c r="F43" i="113"/>
  <c r="E42" i="113"/>
  <c r="L6" i="113" s="1"/>
  <c r="M62" i="18" s="1"/>
  <c r="D42" i="113"/>
  <c r="L5" i="113" s="1"/>
  <c r="F27" i="113"/>
  <c r="F26" i="113"/>
  <c r="F25" i="113"/>
  <c r="F24" i="113"/>
  <c r="E23" i="113"/>
  <c r="D23" i="113"/>
  <c r="B22" i="113"/>
  <c r="F21" i="113"/>
  <c r="F16" i="113"/>
  <c r="E15" i="113"/>
  <c r="E31" i="113" s="1"/>
  <c r="D15" i="113"/>
  <c r="P7" i="113"/>
  <c r="O6" i="113"/>
  <c r="P62" i="18" s="1"/>
  <c r="K6" i="113"/>
  <c r="L62" i="18" s="1"/>
  <c r="O5" i="113"/>
  <c r="N5" i="113"/>
  <c r="K5" i="113"/>
  <c r="F60" i="111"/>
  <c r="F59" i="111"/>
  <c r="E58" i="111"/>
  <c r="O6" i="111" s="1"/>
  <c r="P60" i="18" s="1"/>
  <c r="D58" i="111"/>
  <c r="O5" i="111" s="1"/>
  <c r="F56" i="111"/>
  <c r="F55" i="111"/>
  <c r="F54" i="111"/>
  <c r="F53" i="111"/>
  <c r="E52" i="111"/>
  <c r="N6" i="111" s="1"/>
  <c r="O60" i="18" s="1"/>
  <c r="D52" i="111"/>
  <c r="F50" i="111"/>
  <c r="F49" i="111"/>
  <c r="F48" i="111"/>
  <c r="F47" i="111"/>
  <c r="E46" i="111"/>
  <c r="M6" i="111" s="1"/>
  <c r="N60" i="18" s="1"/>
  <c r="D46" i="111"/>
  <c r="F44" i="111"/>
  <c r="F43" i="111"/>
  <c r="F42" i="111"/>
  <c r="F41" i="111"/>
  <c r="E40" i="111"/>
  <c r="L6" i="111" s="1"/>
  <c r="M60" i="18" s="1"/>
  <c r="D40" i="111"/>
  <c r="F25" i="111"/>
  <c r="F24" i="111"/>
  <c r="F23" i="111"/>
  <c r="F22" i="111"/>
  <c r="E21" i="111"/>
  <c r="I6" i="111" s="1"/>
  <c r="J60" i="18" s="1"/>
  <c r="D21" i="111"/>
  <c r="B20" i="111"/>
  <c r="F19" i="111"/>
  <c r="F18" i="111"/>
  <c r="F17" i="111"/>
  <c r="F16" i="111"/>
  <c r="E15" i="111"/>
  <c r="E29" i="111" s="1"/>
  <c r="D15" i="111"/>
  <c r="P7" i="111"/>
  <c r="K6" i="111"/>
  <c r="L60" i="18" s="1"/>
  <c r="K5" i="111"/>
  <c r="E58" i="101"/>
  <c r="O6" i="101" s="1"/>
  <c r="D58" i="101"/>
  <c r="F54" i="101"/>
  <c r="F53" i="101"/>
  <c r="E52" i="101"/>
  <c r="D52" i="101"/>
  <c r="F52" i="101" s="1"/>
  <c r="F48" i="101"/>
  <c r="F47" i="101"/>
  <c r="E46" i="101"/>
  <c r="D46" i="101"/>
  <c r="F46" i="101" s="1"/>
  <c r="F41" i="101"/>
  <c r="E40" i="101"/>
  <c r="D40" i="101"/>
  <c r="F34" i="101"/>
  <c r="F21" i="101"/>
  <c r="B20" i="101"/>
  <c r="F19" i="101"/>
  <c r="F18" i="101"/>
  <c r="F17" i="101"/>
  <c r="F16" i="101"/>
  <c r="E15" i="101"/>
  <c r="D15" i="101"/>
  <c r="R7" i="101"/>
  <c r="N6" i="101"/>
  <c r="M6" i="101"/>
  <c r="L6" i="101"/>
  <c r="K6" i="101"/>
  <c r="I6" i="101"/>
  <c r="H6" i="101"/>
  <c r="O5" i="101"/>
  <c r="M5" i="101"/>
  <c r="N74" i="14" s="1"/>
  <c r="L5" i="101"/>
  <c r="M74" i="14" s="1"/>
  <c r="K5" i="101"/>
  <c r="L74" i="14" s="1"/>
  <c r="I5" i="101"/>
  <c r="J74" i="14" s="1"/>
  <c r="H5" i="101"/>
  <c r="D29" i="116" l="1"/>
  <c r="D27" i="116" s="1"/>
  <c r="D12" i="116" s="1"/>
  <c r="H5" i="113"/>
  <c r="I62" i="17" s="1"/>
  <c r="D31" i="113"/>
  <c r="H5" i="111"/>
  <c r="D29" i="111"/>
  <c r="E29" i="116"/>
  <c r="E27" i="116" s="1"/>
  <c r="E12" i="116" s="1"/>
  <c r="I74" i="14"/>
  <c r="D29" i="101"/>
  <c r="E29" i="101"/>
  <c r="E27" i="101" s="1"/>
  <c r="I5" i="129"/>
  <c r="I7" i="129" s="1"/>
  <c r="D30" i="129"/>
  <c r="H5" i="129"/>
  <c r="H7" i="129" s="1"/>
  <c r="D29" i="129"/>
  <c r="D27" i="129" s="1"/>
  <c r="D12" i="129" s="1"/>
  <c r="F46" i="111"/>
  <c r="M74" i="15"/>
  <c r="I74" i="15"/>
  <c r="N74" i="15"/>
  <c r="F40" i="101"/>
  <c r="J74" i="15"/>
  <c r="O74" i="15"/>
  <c r="N5" i="101"/>
  <c r="O74" i="14" s="1"/>
  <c r="L74" i="15"/>
  <c r="P74" i="15"/>
  <c r="O7" i="101"/>
  <c r="P74" i="14"/>
  <c r="F58" i="101"/>
  <c r="F40" i="111"/>
  <c r="E27" i="111"/>
  <c r="J6" i="111" s="1"/>
  <c r="K60" i="18" s="1"/>
  <c r="F21" i="111"/>
  <c r="I5" i="113"/>
  <c r="F15" i="111"/>
  <c r="H6" i="113"/>
  <c r="I62" i="18" s="1"/>
  <c r="F15" i="129"/>
  <c r="F46" i="129"/>
  <c r="F21" i="129"/>
  <c r="F40" i="129"/>
  <c r="J88" i="14"/>
  <c r="K7" i="129"/>
  <c r="L88" i="14"/>
  <c r="M5" i="129"/>
  <c r="F58" i="129"/>
  <c r="I60" i="17"/>
  <c r="M5" i="111"/>
  <c r="K7" i="113"/>
  <c r="F15" i="113"/>
  <c r="M7" i="113"/>
  <c r="I5" i="111"/>
  <c r="H6" i="111"/>
  <c r="I60" i="18" s="1"/>
  <c r="L7" i="113"/>
  <c r="I6" i="113"/>
  <c r="J62" i="18" s="1"/>
  <c r="F42" i="113"/>
  <c r="H6" i="116"/>
  <c r="K7" i="111"/>
  <c r="L60" i="17"/>
  <c r="L5" i="111"/>
  <c r="E29" i="113"/>
  <c r="J6" i="113" s="1"/>
  <c r="K62" i="18" s="1"/>
  <c r="F23" i="113"/>
  <c r="F48" i="113"/>
  <c r="O7" i="113"/>
  <c r="F52" i="111"/>
  <c r="N7" i="113"/>
  <c r="F54" i="113"/>
  <c r="N5" i="111"/>
  <c r="F58" i="111"/>
  <c r="O7" i="111"/>
  <c r="P60" i="17"/>
  <c r="H5" i="116"/>
  <c r="F46" i="116"/>
  <c r="F52" i="116"/>
  <c r="F58" i="116"/>
  <c r="O7" i="116"/>
  <c r="P65" i="17"/>
  <c r="F40" i="116"/>
  <c r="O7" i="129"/>
  <c r="P88" i="14"/>
  <c r="N7" i="129"/>
  <c r="O88" i="14"/>
  <c r="F52" i="129"/>
  <c r="L7" i="129"/>
  <c r="M88" i="14"/>
  <c r="I88" i="14"/>
  <c r="E12" i="129"/>
  <c r="R6" i="129"/>
  <c r="F29" i="129"/>
  <c r="F30" i="129"/>
  <c r="F32" i="129"/>
  <c r="F31" i="129"/>
  <c r="F29" i="116"/>
  <c r="F27" i="116" s="1"/>
  <c r="F15" i="116"/>
  <c r="D29" i="113"/>
  <c r="F31" i="113"/>
  <c r="E12" i="111"/>
  <c r="F15" i="101"/>
  <c r="F60" i="98"/>
  <c r="F56" i="98"/>
  <c r="F55" i="98"/>
  <c r="E54" i="98"/>
  <c r="D54" i="98"/>
  <c r="F54" i="98" s="1"/>
  <c r="F50" i="98"/>
  <c r="F49" i="98"/>
  <c r="E48" i="98"/>
  <c r="M6" i="98" s="1"/>
  <c r="D48" i="98"/>
  <c r="F43" i="98"/>
  <c r="E42" i="98"/>
  <c r="D42" i="98"/>
  <c r="F42" i="98" s="1"/>
  <c r="F36" i="98"/>
  <c r="F23" i="98"/>
  <c r="B22" i="98"/>
  <c r="F21" i="98"/>
  <c r="F20" i="98"/>
  <c r="F19" i="98"/>
  <c r="F16" i="98"/>
  <c r="E15" i="98"/>
  <c r="F59" i="96"/>
  <c r="E58" i="96"/>
  <c r="D58" i="96"/>
  <c r="F58" i="96" s="1"/>
  <c r="F54" i="96"/>
  <c r="F53" i="96"/>
  <c r="E52" i="96"/>
  <c r="D52" i="96"/>
  <c r="F48" i="96"/>
  <c r="F47" i="96"/>
  <c r="E46" i="96"/>
  <c r="M6" i="96" s="1"/>
  <c r="N69" i="15" s="1"/>
  <c r="D46" i="96"/>
  <c r="F41" i="96"/>
  <c r="E40" i="96"/>
  <c r="L6" i="96" s="1"/>
  <c r="M69" i="15" s="1"/>
  <c r="D40" i="96"/>
  <c r="L5" i="96" s="1"/>
  <c r="M69" i="14" s="1"/>
  <c r="F34" i="96"/>
  <c r="F21" i="96"/>
  <c r="B20" i="96"/>
  <c r="F19" i="96"/>
  <c r="F18" i="96"/>
  <c r="F17" i="96"/>
  <c r="F16" i="96"/>
  <c r="E15" i="96"/>
  <c r="D15" i="96"/>
  <c r="D29" i="96" s="1"/>
  <c r="P7" i="96"/>
  <c r="O6" i="96"/>
  <c r="P69" i="15" s="1"/>
  <c r="N6" i="96"/>
  <c r="O69" i="15" s="1"/>
  <c r="K6" i="96"/>
  <c r="I6" i="96"/>
  <c r="O5" i="96"/>
  <c r="P69" i="14" s="1"/>
  <c r="N5" i="96"/>
  <c r="M5" i="96"/>
  <c r="N69" i="14" s="1"/>
  <c r="K5" i="96"/>
  <c r="I5" i="96"/>
  <c r="I7" i="96" s="1"/>
  <c r="F64" i="86"/>
  <c r="E58" i="86"/>
  <c r="F59" i="86"/>
  <c r="D58" i="86"/>
  <c r="F58" i="86" s="1"/>
  <c r="F56" i="86"/>
  <c r="F55" i="86"/>
  <c r="F54" i="86"/>
  <c r="F53" i="86"/>
  <c r="E52" i="86"/>
  <c r="D52" i="86"/>
  <c r="F50" i="86"/>
  <c r="F49" i="86"/>
  <c r="F48" i="86"/>
  <c r="F47" i="86"/>
  <c r="E46" i="86"/>
  <c r="D46" i="86"/>
  <c r="F44" i="86"/>
  <c r="F43" i="86"/>
  <c r="F42" i="86"/>
  <c r="F41" i="86"/>
  <c r="E40" i="86"/>
  <c r="L6" i="86" s="1"/>
  <c r="M47" i="18" s="1"/>
  <c r="D40" i="86"/>
  <c r="F30" i="86"/>
  <c r="F29" i="86"/>
  <c r="E27" i="86"/>
  <c r="D27" i="86"/>
  <c r="F27" i="86" s="1"/>
  <c r="B20" i="86"/>
  <c r="F19" i="86"/>
  <c r="F18" i="86"/>
  <c r="F17" i="86"/>
  <c r="F16" i="86"/>
  <c r="E15" i="86"/>
  <c r="D15" i="86"/>
  <c r="F15" i="86" s="1"/>
  <c r="S6" i="86"/>
  <c r="T47" i="18" s="1"/>
  <c r="P6" i="86"/>
  <c r="Q47" i="18" s="1"/>
  <c r="N6" i="86"/>
  <c r="O47" i="18" s="1"/>
  <c r="M6" i="86"/>
  <c r="N47" i="18" s="1"/>
  <c r="K6" i="86"/>
  <c r="J6" i="86"/>
  <c r="K47" i="18" s="1"/>
  <c r="I6" i="86"/>
  <c r="H6" i="86"/>
  <c r="I47" i="18" s="1"/>
  <c r="S5" i="86"/>
  <c r="P5" i="86"/>
  <c r="N5" i="86"/>
  <c r="L5" i="86"/>
  <c r="K5" i="86"/>
  <c r="K7" i="86" s="1"/>
  <c r="I5" i="86"/>
  <c r="I7" i="86" s="1"/>
  <c r="D64" i="79"/>
  <c r="F64" i="79" s="1"/>
  <c r="F62" i="79"/>
  <c r="F61" i="79"/>
  <c r="F60" i="79"/>
  <c r="F59" i="79"/>
  <c r="E58" i="79"/>
  <c r="D58" i="79"/>
  <c r="O5" i="79" s="1"/>
  <c r="F56" i="79"/>
  <c r="F55" i="79"/>
  <c r="F54" i="79"/>
  <c r="F53" i="79"/>
  <c r="E52" i="79"/>
  <c r="N6" i="79" s="1"/>
  <c r="O34" i="18" s="1"/>
  <c r="D52" i="79"/>
  <c r="F50" i="79"/>
  <c r="F49" i="79"/>
  <c r="F48" i="79"/>
  <c r="F47" i="79"/>
  <c r="E46" i="79"/>
  <c r="M6" i="79" s="1"/>
  <c r="N34" i="18" s="1"/>
  <c r="D46" i="79"/>
  <c r="M5" i="79" s="1"/>
  <c r="F44" i="79"/>
  <c r="F43" i="79"/>
  <c r="F42" i="79"/>
  <c r="F41" i="79"/>
  <c r="E40" i="79"/>
  <c r="L6" i="79" s="1"/>
  <c r="M34" i="18" s="1"/>
  <c r="D40" i="79"/>
  <c r="F38" i="79"/>
  <c r="F37" i="79"/>
  <c r="F36" i="79"/>
  <c r="F35" i="79"/>
  <c r="E34" i="79"/>
  <c r="K6" i="79" s="1"/>
  <c r="L34" i="18" s="1"/>
  <c r="D34" i="79"/>
  <c r="F25" i="79"/>
  <c r="F24" i="79"/>
  <c r="F23" i="79"/>
  <c r="F22" i="79"/>
  <c r="E21" i="79"/>
  <c r="I6" i="79" s="1"/>
  <c r="J34" i="18" s="1"/>
  <c r="D21" i="79"/>
  <c r="F30" i="79" s="1"/>
  <c r="B20" i="79"/>
  <c r="F19" i="79"/>
  <c r="F18" i="79"/>
  <c r="E15" i="79"/>
  <c r="D15" i="79"/>
  <c r="D29" i="79" s="1"/>
  <c r="S6" i="79"/>
  <c r="T34" i="18" s="1"/>
  <c r="Q6" i="79"/>
  <c r="P6" i="79"/>
  <c r="Q34" i="18" s="1"/>
  <c r="O6" i="79"/>
  <c r="P34" i="18" s="1"/>
  <c r="S5" i="79"/>
  <c r="Q5" i="79"/>
  <c r="Q7" i="79" s="1"/>
  <c r="P5" i="79"/>
  <c r="N5" i="79"/>
  <c r="L5" i="79"/>
  <c r="K5" i="79"/>
  <c r="I5" i="79"/>
  <c r="W4" i="79"/>
  <c r="V4" i="79"/>
  <c r="U4" i="79"/>
  <c r="T4" i="79"/>
  <c r="D64" i="78"/>
  <c r="F64" i="78" s="1"/>
  <c r="F62" i="78"/>
  <c r="F61" i="78"/>
  <c r="F60" i="78"/>
  <c r="F59" i="78"/>
  <c r="E58" i="78"/>
  <c r="D58" i="78"/>
  <c r="F56" i="78"/>
  <c r="F55" i="78"/>
  <c r="F54" i="78"/>
  <c r="F53" i="78"/>
  <c r="E52" i="78"/>
  <c r="D52" i="78"/>
  <c r="F52" i="78" s="1"/>
  <c r="F50" i="78"/>
  <c r="F49" i="78"/>
  <c r="F48" i="78"/>
  <c r="F47" i="78"/>
  <c r="E46" i="78"/>
  <c r="D46" i="78"/>
  <c r="F46" i="78" s="1"/>
  <c r="F44" i="78"/>
  <c r="F43" i="78"/>
  <c r="F42" i="78"/>
  <c r="F41" i="78"/>
  <c r="E40" i="78"/>
  <c r="D40" i="78"/>
  <c r="F40" i="78" s="1"/>
  <c r="F38" i="78"/>
  <c r="F37" i="78"/>
  <c r="F36" i="78"/>
  <c r="F35" i="78"/>
  <c r="E34" i="78"/>
  <c r="D34" i="78"/>
  <c r="F34" i="78" s="1"/>
  <c r="F25" i="78"/>
  <c r="F24" i="78"/>
  <c r="F23" i="78"/>
  <c r="F22" i="78"/>
  <c r="E21" i="78"/>
  <c r="D21" i="78"/>
  <c r="F30" i="78" s="1"/>
  <c r="B20" i="78"/>
  <c r="F19" i="78"/>
  <c r="F18" i="78"/>
  <c r="E15" i="78"/>
  <c r="D15" i="78"/>
  <c r="D29" i="78" s="1"/>
  <c r="S6" i="78"/>
  <c r="Q6" i="78"/>
  <c r="P6" i="78"/>
  <c r="Q33" i="18" s="1"/>
  <c r="O6" i="78"/>
  <c r="P33" i="18" s="1"/>
  <c r="N6" i="78"/>
  <c r="O33" i="18" s="1"/>
  <c r="M6" i="78"/>
  <c r="N33" i="18" s="1"/>
  <c r="L6" i="78"/>
  <c r="M33" i="18" s="1"/>
  <c r="K6" i="78"/>
  <c r="L33" i="18" s="1"/>
  <c r="I6" i="78"/>
  <c r="J33" i="18" s="1"/>
  <c r="S5" i="78"/>
  <c r="S7" i="78" s="1"/>
  <c r="Q5" i="78"/>
  <c r="Q7" i="78" s="1"/>
  <c r="P5" i="78"/>
  <c r="P7" i="78" s="1"/>
  <c r="N5" i="78"/>
  <c r="L5" i="78"/>
  <c r="I5" i="78"/>
  <c r="H5" i="78"/>
  <c r="W4" i="78"/>
  <c r="V4" i="78"/>
  <c r="U4" i="78"/>
  <c r="T4" i="78"/>
  <c r="D64" i="77"/>
  <c r="F62" i="77"/>
  <c r="F61" i="77"/>
  <c r="F60" i="77"/>
  <c r="F59" i="77"/>
  <c r="E58" i="77"/>
  <c r="D58" i="77"/>
  <c r="O5" i="77" s="1"/>
  <c r="F56" i="77"/>
  <c r="F55" i="77"/>
  <c r="F54" i="77"/>
  <c r="F53" i="77"/>
  <c r="E52" i="77"/>
  <c r="N6" i="77" s="1"/>
  <c r="O32" i="18" s="1"/>
  <c r="D52" i="77"/>
  <c r="F50" i="77"/>
  <c r="F49" i="77"/>
  <c r="F48" i="77"/>
  <c r="F47" i="77"/>
  <c r="E46" i="77"/>
  <c r="M6" i="77" s="1"/>
  <c r="N32" i="18" s="1"/>
  <c r="D46" i="77"/>
  <c r="M5" i="77" s="1"/>
  <c r="N32" i="17" s="1"/>
  <c r="F44" i="77"/>
  <c r="F43" i="77"/>
  <c r="F42" i="77"/>
  <c r="F41" i="77"/>
  <c r="E40" i="77"/>
  <c r="L6" i="77" s="1"/>
  <c r="M32" i="18" s="1"/>
  <c r="D40" i="77"/>
  <c r="F38" i="77"/>
  <c r="F37" i="77"/>
  <c r="F36" i="77"/>
  <c r="F35" i="77"/>
  <c r="E34" i="77"/>
  <c r="D34" i="77"/>
  <c r="K5" i="77" s="1"/>
  <c r="F25" i="77"/>
  <c r="F24" i="77"/>
  <c r="F23" i="77"/>
  <c r="F22" i="77"/>
  <c r="E21" i="77"/>
  <c r="I6" i="77" s="1"/>
  <c r="J32" i="18" s="1"/>
  <c r="D21" i="77"/>
  <c r="B20" i="77"/>
  <c r="F19" i="77"/>
  <c r="F18" i="77"/>
  <c r="E15" i="77"/>
  <c r="E29" i="77" s="1"/>
  <c r="D15" i="77"/>
  <c r="D29" i="77" s="1"/>
  <c r="S6" i="77"/>
  <c r="T32" i="18" s="1"/>
  <c r="Q6" i="77"/>
  <c r="P6" i="77"/>
  <c r="Q32" i="18" s="1"/>
  <c r="O6" i="77"/>
  <c r="P32" i="18" s="1"/>
  <c r="K6" i="77"/>
  <c r="L32" i="18" s="1"/>
  <c r="S5" i="77"/>
  <c r="Q5" i="77"/>
  <c r="Q7" i="77" s="1"/>
  <c r="N5" i="77"/>
  <c r="L5" i="77"/>
  <c r="I5" i="77"/>
  <c r="W4" i="77"/>
  <c r="V4" i="77"/>
  <c r="U4" i="77"/>
  <c r="T4" i="77"/>
  <c r="D64" i="76"/>
  <c r="F64" i="76" s="1"/>
  <c r="F62" i="76"/>
  <c r="F61" i="76"/>
  <c r="F60" i="76"/>
  <c r="F59" i="76"/>
  <c r="E58" i="76"/>
  <c r="D58" i="76"/>
  <c r="F56" i="76"/>
  <c r="F55" i="76"/>
  <c r="F54" i="76"/>
  <c r="F53" i="76"/>
  <c r="E52" i="76"/>
  <c r="D52" i="76"/>
  <c r="F52" i="76" s="1"/>
  <c r="F50" i="76"/>
  <c r="F49" i="76"/>
  <c r="F48" i="76"/>
  <c r="F47" i="76"/>
  <c r="E46" i="76"/>
  <c r="D46" i="76"/>
  <c r="D12" i="76" s="1"/>
  <c r="F44" i="76"/>
  <c r="F43" i="76"/>
  <c r="F42" i="76"/>
  <c r="F41" i="76"/>
  <c r="E40" i="76"/>
  <c r="D40" i="76"/>
  <c r="F40" i="76" s="1"/>
  <c r="F38" i="76"/>
  <c r="F37" i="76"/>
  <c r="F36" i="76"/>
  <c r="F35" i="76"/>
  <c r="E34" i="76"/>
  <c r="K6" i="76" s="1"/>
  <c r="L37" i="18" s="1"/>
  <c r="D34" i="76"/>
  <c r="F25" i="76"/>
  <c r="F24" i="76"/>
  <c r="F23" i="76"/>
  <c r="F22" i="76"/>
  <c r="E21" i="76"/>
  <c r="D21" i="76"/>
  <c r="F30" i="76" s="1"/>
  <c r="B20" i="76"/>
  <c r="F19" i="76"/>
  <c r="F18" i="76"/>
  <c r="E15" i="76"/>
  <c r="D15" i="76"/>
  <c r="D29" i="76" s="1"/>
  <c r="S6" i="76"/>
  <c r="T37" i="18" s="1"/>
  <c r="Q6" i="76"/>
  <c r="Q37" i="18"/>
  <c r="O6" i="76"/>
  <c r="P37" i="18" s="1"/>
  <c r="N6" i="76"/>
  <c r="O37" i="18" s="1"/>
  <c r="L6" i="76"/>
  <c r="M37" i="18" s="1"/>
  <c r="I6" i="76"/>
  <c r="J37" i="18" s="1"/>
  <c r="S5" i="76"/>
  <c r="Q5" i="76"/>
  <c r="Q7" i="76" s="1"/>
  <c r="N5" i="76"/>
  <c r="L5" i="76"/>
  <c r="I5" i="76"/>
  <c r="W4" i="76"/>
  <c r="V4" i="76"/>
  <c r="U4" i="76"/>
  <c r="T4" i="76"/>
  <c r="D64" i="68"/>
  <c r="F64" i="68" s="1"/>
  <c r="F62" i="68"/>
  <c r="F61" i="68"/>
  <c r="F60" i="68"/>
  <c r="F59" i="68"/>
  <c r="E58" i="68"/>
  <c r="D58" i="68"/>
  <c r="F56" i="68"/>
  <c r="F55" i="68"/>
  <c r="F54" i="68"/>
  <c r="F53" i="68"/>
  <c r="E52" i="68"/>
  <c r="D52" i="68"/>
  <c r="F52" i="68" s="1"/>
  <c r="F50" i="68"/>
  <c r="F49" i="68"/>
  <c r="F48" i="68"/>
  <c r="F47" i="68"/>
  <c r="E46" i="68"/>
  <c r="D46" i="68"/>
  <c r="F44" i="68"/>
  <c r="F43" i="68"/>
  <c r="F42" i="68"/>
  <c r="F41" i="68"/>
  <c r="E40" i="68"/>
  <c r="L6" i="68" s="1"/>
  <c r="M46" i="15" s="1"/>
  <c r="D40" i="68"/>
  <c r="F40" i="68" s="1"/>
  <c r="F38" i="68"/>
  <c r="F37" i="68"/>
  <c r="F36" i="68"/>
  <c r="F35" i="68"/>
  <c r="E34" i="68"/>
  <c r="D34" i="68"/>
  <c r="F25" i="68"/>
  <c r="F24" i="68"/>
  <c r="F23" i="68"/>
  <c r="F22" i="68"/>
  <c r="E21" i="68"/>
  <c r="E30" i="68" s="1"/>
  <c r="D21" i="68"/>
  <c r="B20" i="68"/>
  <c r="F19" i="68"/>
  <c r="F18" i="68"/>
  <c r="F17" i="68"/>
  <c r="F16" i="68"/>
  <c r="E15" i="68"/>
  <c r="D15" i="68"/>
  <c r="H5" i="68" s="1"/>
  <c r="S6" i="68"/>
  <c r="T46" i="15" s="1"/>
  <c r="Q6" i="68"/>
  <c r="R46" i="15" s="1"/>
  <c r="P6" i="68"/>
  <c r="Q46" i="15" s="1"/>
  <c r="O6" i="68"/>
  <c r="P46" i="15" s="1"/>
  <c r="N6" i="68"/>
  <c r="O46" i="15" s="1"/>
  <c r="M6" i="68"/>
  <c r="N46" i="15" s="1"/>
  <c r="K6" i="68"/>
  <c r="L46" i="15" s="1"/>
  <c r="I6" i="68"/>
  <c r="J46" i="15" s="1"/>
  <c r="H6" i="68"/>
  <c r="I46" i="15" s="1"/>
  <c r="S5" i="68"/>
  <c r="Q5" i="68"/>
  <c r="O5" i="68"/>
  <c r="M5" i="68"/>
  <c r="N46" i="14" s="1"/>
  <c r="K5" i="68"/>
  <c r="W4" i="68"/>
  <c r="V4" i="68"/>
  <c r="U4" i="68"/>
  <c r="T4" i="68"/>
  <c r="E64" i="65"/>
  <c r="D64" i="65"/>
  <c r="F64" i="65" s="1"/>
  <c r="F62" i="65"/>
  <c r="F61" i="65"/>
  <c r="F60" i="65"/>
  <c r="F59" i="65"/>
  <c r="E58" i="65"/>
  <c r="D58" i="65"/>
  <c r="F58" i="65" s="1"/>
  <c r="F56" i="65"/>
  <c r="F55" i="65"/>
  <c r="F54" i="65"/>
  <c r="F53" i="65"/>
  <c r="E52" i="65"/>
  <c r="N6" i="65" s="1"/>
  <c r="O43" i="15" s="1"/>
  <c r="D52" i="65"/>
  <c r="F50" i="65"/>
  <c r="F49" i="65"/>
  <c r="F48" i="65"/>
  <c r="F47" i="65"/>
  <c r="E46" i="65"/>
  <c r="D46" i="65"/>
  <c r="F46" i="65" s="1"/>
  <c r="F44" i="65"/>
  <c r="F43" i="65"/>
  <c r="F42" i="65"/>
  <c r="F41" i="65"/>
  <c r="E40" i="65"/>
  <c r="L6" i="65" s="1"/>
  <c r="M43" i="15" s="1"/>
  <c r="D40" i="65"/>
  <c r="F38" i="65"/>
  <c r="F37" i="65"/>
  <c r="F36" i="65"/>
  <c r="F35" i="65"/>
  <c r="E34" i="65"/>
  <c r="D34" i="65"/>
  <c r="F34" i="65" s="1"/>
  <c r="F25" i="65"/>
  <c r="F24" i="65"/>
  <c r="F23" i="65"/>
  <c r="F22" i="65"/>
  <c r="E21" i="65"/>
  <c r="I6" i="65" s="1"/>
  <c r="J43" i="15" s="1"/>
  <c r="D21" i="65"/>
  <c r="F30" i="65" s="1"/>
  <c r="B20" i="65"/>
  <c r="F19" i="65"/>
  <c r="F18" i="65"/>
  <c r="F17" i="65"/>
  <c r="F16" i="65"/>
  <c r="E15" i="65"/>
  <c r="E27" i="65" s="1"/>
  <c r="D15" i="65"/>
  <c r="S6" i="65"/>
  <c r="Q6" i="65"/>
  <c r="P6" i="65"/>
  <c r="O6" i="65"/>
  <c r="P43" i="15" s="1"/>
  <c r="M6" i="65"/>
  <c r="N43" i="15" s="1"/>
  <c r="K6" i="65"/>
  <c r="L43" i="15" s="1"/>
  <c r="S5" i="65"/>
  <c r="S7" i="65" s="1"/>
  <c r="Q5" i="65"/>
  <c r="Q7" i="65" s="1"/>
  <c r="P5" i="65"/>
  <c r="P7" i="65" s="1"/>
  <c r="N5" i="65"/>
  <c r="M5" i="65"/>
  <c r="N43" i="14" s="1"/>
  <c r="L5" i="65"/>
  <c r="I5" i="65"/>
  <c r="H5" i="65"/>
  <c r="W4" i="65"/>
  <c r="V4" i="65"/>
  <c r="U4" i="65"/>
  <c r="T4" i="65"/>
  <c r="D64" i="64"/>
  <c r="F64" i="64" s="1"/>
  <c r="F62" i="64"/>
  <c r="F61" i="64"/>
  <c r="F60" i="64"/>
  <c r="F59" i="64"/>
  <c r="E58" i="64"/>
  <c r="O6" i="64" s="1"/>
  <c r="P42" i="15" s="1"/>
  <c r="D58" i="64"/>
  <c r="F58" i="64" s="1"/>
  <c r="F56" i="64"/>
  <c r="F55" i="64"/>
  <c r="F54" i="64"/>
  <c r="F53" i="64"/>
  <c r="E52" i="64"/>
  <c r="N6" i="64" s="1"/>
  <c r="O42" i="15" s="1"/>
  <c r="D52" i="64"/>
  <c r="F50" i="64"/>
  <c r="F49" i="64"/>
  <c r="F48" i="64"/>
  <c r="F47" i="64"/>
  <c r="E46" i="64"/>
  <c r="D46" i="64"/>
  <c r="F44" i="64"/>
  <c r="F43" i="64"/>
  <c r="F42" i="64"/>
  <c r="F41" i="64"/>
  <c r="E40" i="64"/>
  <c r="D40" i="64"/>
  <c r="L5" i="64" s="1"/>
  <c r="M42" i="14" s="1"/>
  <c r="F38" i="64"/>
  <c r="F37" i="64"/>
  <c r="F36" i="64"/>
  <c r="F35" i="64"/>
  <c r="E34" i="64"/>
  <c r="K6" i="64" s="1"/>
  <c r="L42" i="15" s="1"/>
  <c r="D34" i="64"/>
  <c r="F25" i="64"/>
  <c r="F24" i="64"/>
  <c r="F23" i="64"/>
  <c r="F22" i="64"/>
  <c r="E21" i="64"/>
  <c r="D21" i="64"/>
  <c r="B20" i="64"/>
  <c r="F19" i="64"/>
  <c r="F18" i="64"/>
  <c r="F17" i="64"/>
  <c r="F16" i="64"/>
  <c r="E15" i="64"/>
  <c r="D15" i="64"/>
  <c r="S6" i="64"/>
  <c r="T42" i="15" s="1"/>
  <c r="Q6" i="64"/>
  <c r="R42" i="15" s="1"/>
  <c r="P6" i="64"/>
  <c r="Q42" i="15" s="1"/>
  <c r="M6" i="64"/>
  <c r="N42" i="15" s="1"/>
  <c r="L6" i="64"/>
  <c r="M42" i="15" s="1"/>
  <c r="S5" i="64"/>
  <c r="Q5" i="64"/>
  <c r="N5" i="64"/>
  <c r="O42" i="14" s="1"/>
  <c r="H5" i="64"/>
  <c r="I42" i="14" s="1"/>
  <c r="W4" i="64"/>
  <c r="V4" i="64"/>
  <c r="U4" i="64"/>
  <c r="T4" i="64"/>
  <c r="E64" i="63"/>
  <c r="D64" i="63"/>
  <c r="F64" i="63" s="1"/>
  <c r="F62" i="63"/>
  <c r="F61" i="63"/>
  <c r="F60" i="63"/>
  <c r="F59" i="63"/>
  <c r="E58" i="63"/>
  <c r="O6" i="63" s="1"/>
  <c r="P41" i="15" s="1"/>
  <c r="D58" i="63"/>
  <c r="F56" i="63"/>
  <c r="F55" i="63"/>
  <c r="F54" i="63"/>
  <c r="F53" i="63"/>
  <c r="E52" i="63"/>
  <c r="D52" i="63"/>
  <c r="F52" i="63" s="1"/>
  <c r="F50" i="63"/>
  <c r="F49" i="63"/>
  <c r="F48" i="63"/>
  <c r="F47" i="63"/>
  <c r="E46" i="63"/>
  <c r="D46" i="63"/>
  <c r="M5" i="63" s="1"/>
  <c r="N41" i="14" s="1"/>
  <c r="F44" i="63"/>
  <c r="F43" i="63"/>
  <c r="F42" i="63"/>
  <c r="F41" i="63"/>
  <c r="E40" i="63"/>
  <c r="D40" i="63"/>
  <c r="F40" i="63" s="1"/>
  <c r="F38" i="63"/>
  <c r="F37" i="63"/>
  <c r="F36" i="63"/>
  <c r="F35" i="63"/>
  <c r="E34" i="63"/>
  <c r="K6" i="63" s="1"/>
  <c r="L41" i="15" s="1"/>
  <c r="D34" i="63"/>
  <c r="F25" i="63"/>
  <c r="F24" i="63"/>
  <c r="F23" i="63"/>
  <c r="F22" i="63"/>
  <c r="E21" i="63"/>
  <c r="D21" i="63"/>
  <c r="F30" i="63" s="1"/>
  <c r="B20" i="63"/>
  <c r="F19" i="63"/>
  <c r="F18" i="63"/>
  <c r="F17" i="63"/>
  <c r="F16" i="63"/>
  <c r="E15" i="63"/>
  <c r="E27" i="63" s="1"/>
  <c r="J6" i="63" s="1"/>
  <c r="K41" i="15" s="1"/>
  <c r="D15" i="63"/>
  <c r="S6" i="63"/>
  <c r="Q6" i="63"/>
  <c r="P6" i="63"/>
  <c r="N6" i="63"/>
  <c r="O41" i="15" s="1"/>
  <c r="M6" i="63"/>
  <c r="N41" i="15" s="1"/>
  <c r="L6" i="63"/>
  <c r="M41" i="15" s="1"/>
  <c r="I6" i="63"/>
  <c r="J41" i="15" s="1"/>
  <c r="H6" i="63"/>
  <c r="I41" i="15" s="1"/>
  <c r="S5" i="63"/>
  <c r="S7" i="63" s="1"/>
  <c r="Q5" i="63"/>
  <c r="Q7" i="63" s="1"/>
  <c r="P5" i="63"/>
  <c r="P7" i="63" s="1"/>
  <c r="O5" i="63"/>
  <c r="L5" i="63"/>
  <c r="K5" i="63"/>
  <c r="H5" i="63"/>
  <c r="W4" i="63"/>
  <c r="V4" i="63"/>
  <c r="U4" i="63"/>
  <c r="T4" i="63"/>
  <c r="D64" i="62"/>
  <c r="F64" i="62" s="1"/>
  <c r="F62" i="62"/>
  <c r="F61" i="62"/>
  <c r="F60" i="62"/>
  <c r="F59" i="62"/>
  <c r="E58" i="62"/>
  <c r="D58" i="62"/>
  <c r="F56" i="62"/>
  <c r="F55" i="62"/>
  <c r="F54" i="62"/>
  <c r="F53" i="62"/>
  <c r="E52" i="62"/>
  <c r="D52" i="62"/>
  <c r="F52" i="62" s="1"/>
  <c r="F50" i="62"/>
  <c r="F49" i="62"/>
  <c r="F48" i="62"/>
  <c r="F47" i="62"/>
  <c r="E46" i="62"/>
  <c r="D46" i="62"/>
  <c r="F44" i="62"/>
  <c r="F43" i="62"/>
  <c r="F42" i="62"/>
  <c r="F41" i="62"/>
  <c r="E40" i="62"/>
  <c r="L6" i="62" s="1"/>
  <c r="M40" i="15" s="1"/>
  <c r="D40" i="62"/>
  <c r="F40" i="62" s="1"/>
  <c r="F38" i="62"/>
  <c r="F37" i="62"/>
  <c r="F36" i="62"/>
  <c r="F35" i="62"/>
  <c r="E34" i="62"/>
  <c r="D34" i="62"/>
  <c r="F25" i="62"/>
  <c r="F24" i="62"/>
  <c r="F23" i="62"/>
  <c r="F22" i="62"/>
  <c r="E21" i="62"/>
  <c r="E30" i="62" s="1"/>
  <c r="D21" i="62"/>
  <c r="B20" i="62"/>
  <c r="F19" i="62"/>
  <c r="F18" i="62"/>
  <c r="F17" i="62"/>
  <c r="F16" i="62"/>
  <c r="E15" i="62"/>
  <c r="D15" i="62"/>
  <c r="H5" i="62" s="1"/>
  <c r="S6" i="62"/>
  <c r="T40" i="15" s="1"/>
  <c r="Q6" i="62"/>
  <c r="R40" i="15" s="1"/>
  <c r="P6" i="62"/>
  <c r="Q40" i="15" s="1"/>
  <c r="O6" i="62"/>
  <c r="P40" i="15" s="1"/>
  <c r="N6" i="62"/>
  <c r="O40" i="15" s="1"/>
  <c r="M6" i="62"/>
  <c r="N40" i="15" s="1"/>
  <c r="K6" i="62"/>
  <c r="L40" i="15" s="1"/>
  <c r="I6" i="62"/>
  <c r="J40" i="15" s="1"/>
  <c r="H6" i="62"/>
  <c r="I40" i="15" s="1"/>
  <c r="S5" i="62"/>
  <c r="Q5" i="62"/>
  <c r="O5" i="62"/>
  <c r="M5" i="62"/>
  <c r="N40" i="14" s="1"/>
  <c r="K5" i="62"/>
  <c r="W4" i="62"/>
  <c r="V4" i="62"/>
  <c r="U4" i="62"/>
  <c r="T4" i="62"/>
  <c r="D64" i="61"/>
  <c r="F64" i="61" s="1"/>
  <c r="F62" i="61"/>
  <c r="F61" i="61"/>
  <c r="F60" i="61"/>
  <c r="F59" i="61"/>
  <c r="E58" i="61"/>
  <c r="D58" i="61"/>
  <c r="F58" i="61" s="1"/>
  <c r="F56" i="61"/>
  <c r="F55" i="61"/>
  <c r="F54" i="61"/>
  <c r="F53" i="61"/>
  <c r="E52" i="61"/>
  <c r="N6" i="61" s="1"/>
  <c r="O39" i="15" s="1"/>
  <c r="D52" i="61"/>
  <c r="F50" i="61"/>
  <c r="F49" i="61"/>
  <c r="F48" i="61"/>
  <c r="F47" i="61"/>
  <c r="E46" i="61"/>
  <c r="D46" i="61"/>
  <c r="F46" i="61" s="1"/>
  <c r="F44" i="61"/>
  <c r="F43" i="61"/>
  <c r="F42" i="61"/>
  <c r="F41" i="61"/>
  <c r="E40" i="61"/>
  <c r="L6" i="61" s="1"/>
  <c r="M39" i="15" s="1"/>
  <c r="D40" i="61"/>
  <c r="F38" i="61"/>
  <c r="F37" i="61"/>
  <c r="F36" i="61"/>
  <c r="F35" i="61"/>
  <c r="E34" i="61"/>
  <c r="D34" i="61"/>
  <c r="F34" i="61" s="1"/>
  <c r="F25" i="61"/>
  <c r="F24" i="61"/>
  <c r="F23" i="61"/>
  <c r="F22" i="61"/>
  <c r="E21" i="61"/>
  <c r="D21" i="61"/>
  <c r="B20" i="61"/>
  <c r="F19" i="61"/>
  <c r="F18" i="61"/>
  <c r="F17" i="61"/>
  <c r="F16" i="61"/>
  <c r="E15" i="61"/>
  <c r="D15" i="61"/>
  <c r="S6" i="61"/>
  <c r="T39" i="15" s="1"/>
  <c r="Q6" i="61"/>
  <c r="R39" i="15" s="1"/>
  <c r="P6" i="61"/>
  <c r="Q39" i="15" s="1"/>
  <c r="O6" i="61"/>
  <c r="P39" i="15" s="1"/>
  <c r="M6" i="61"/>
  <c r="N39" i="15" s="1"/>
  <c r="K6" i="61"/>
  <c r="L39" i="15" s="1"/>
  <c r="S5" i="61"/>
  <c r="Q5" i="61"/>
  <c r="P5" i="61"/>
  <c r="N5" i="61"/>
  <c r="M5" i="61"/>
  <c r="N39" i="14" s="1"/>
  <c r="L5" i="61"/>
  <c r="I5" i="61"/>
  <c r="W4" i="61"/>
  <c r="V4" i="61"/>
  <c r="U4" i="61"/>
  <c r="T4" i="61"/>
  <c r="I81" i="13" l="1"/>
  <c r="M6" i="76"/>
  <c r="N37" i="18" s="1"/>
  <c r="E12" i="76"/>
  <c r="P5" i="76"/>
  <c r="T31" i="18"/>
  <c r="F64" i="77"/>
  <c r="D12" i="77"/>
  <c r="D29" i="61"/>
  <c r="F29" i="61" s="1"/>
  <c r="I65" i="18"/>
  <c r="I65" i="17"/>
  <c r="I71" i="16" s="1"/>
  <c r="H6" i="98"/>
  <c r="I71" i="15" s="1"/>
  <c r="E31" i="98"/>
  <c r="D29" i="98"/>
  <c r="H5" i="98"/>
  <c r="D31" i="98"/>
  <c r="N71" i="15"/>
  <c r="F48" i="98"/>
  <c r="M5" i="98"/>
  <c r="O38" i="15"/>
  <c r="J31" i="18"/>
  <c r="E29" i="96"/>
  <c r="E27" i="96" s="1"/>
  <c r="H6" i="96"/>
  <c r="I69" i="15" s="1"/>
  <c r="F52" i="96"/>
  <c r="J6" i="116"/>
  <c r="K65" i="18" s="1"/>
  <c r="P5" i="77"/>
  <c r="Q32" i="17" s="1"/>
  <c r="S7" i="77"/>
  <c r="T32" i="17"/>
  <c r="O31" i="18"/>
  <c r="M31" i="18"/>
  <c r="S7" i="79"/>
  <c r="T34" i="17"/>
  <c r="P7" i="79"/>
  <c r="Q34" i="17"/>
  <c r="E12" i="101"/>
  <c r="J6" i="101"/>
  <c r="Q38" i="15"/>
  <c r="F29" i="101"/>
  <c r="F27" i="101" s="1"/>
  <c r="D27" i="101"/>
  <c r="D12" i="101" s="1"/>
  <c r="P38" i="15"/>
  <c r="M38" i="15"/>
  <c r="L38" i="15"/>
  <c r="R38" i="15"/>
  <c r="R47" i="15" s="1"/>
  <c r="Q31" i="18"/>
  <c r="P7" i="77"/>
  <c r="Q7" i="61"/>
  <c r="R39" i="14"/>
  <c r="I6" i="61"/>
  <c r="J39" i="15" s="1"/>
  <c r="E30" i="61"/>
  <c r="S7" i="61"/>
  <c r="T39" i="14"/>
  <c r="E29" i="61"/>
  <c r="P5" i="62"/>
  <c r="D29" i="62"/>
  <c r="P5" i="64"/>
  <c r="D29" i="68"/>
  <c r="P7" i="61"/>
  <c r="Q39" i="14"/>
  <c r="N38" i="15"/>
  <c r="T38" i="15"/>
  <c r="D30" i="61"/>
  <c r="F30" i="61" s="1"/>
  <c r="S7" i="62"/>
  <c r="T40" i="14"/>
  <c r="S7" i="64"/>
  <c r="T42" i="14"/>
  <c r="S7" i="68"/>
  <c r="T46" i="14"/>
  <c r="D30" i="62"/>
  <c r="F30" i="62" s="1"/>
  <c r="D30" i="64"/>
  <c r="D30" i="68"/>
  <c r="F30" i="68" s="1"/>
  <c r="D29" i="64"/>
  <c r="I6" i="64"/>
  <c r="J42" i="15" s="1"/>
  <c r="E30" i="64"/>
  <c r="P5" i="68"/>
  <c r="H5" i="61"/>
  <c r="L5" i="62"/>
  <c r="L7" i="62" s="1"/>
  <c r="Q7" i="62"/>
  <c r="R40" i="14"/>
  <c r="E29" i="62"/>
  <c r="E27" i="62" s="1"/>
  <c r="I5" i="64"/>
  <c r="J42" i="14" s="1"/>
  <c r="Q7" i="64"/>
  <c r="R42" i="14"/>
  <c r="E29" i="64"/>
  <c r="E27" i="64" s="1"/>
  <c r="E12" i="64" s="1"/>
  <c r="F34" i="64"/>
  <c r="F46" i="64"/>
  <c r="L5" i="68"/>
  <c r="Q7" i="68"/>
  <c r="R46" i="14"/>
  <c r="E29" i="68"/>
  <c r="E27" i="68" s="1"/>
  <c r="E12" i="68" s="1"/>
  <c r="S7" i="76"/>
  <c r="T37" i="17"/>
  <c r="P7" i="76"/>
  <c r="Q37" i="17"/>
  <c r="F34" i="76"/>
  <c r="H6" i="77"/>
  <c r="I32" i="18" s="1"/>
  <c r="F46" i="76"/>
  <c r="F58" i="76"/>
  <c r="F58" i="78"/>
  <c r="N31" i="18"/>
  <c r="L31" i="18"/>
  <c r="H5" i="77"/>
  <c r="H5" i="76"/>
  <c r="I37" i="17" s="1"/>
  <c r="E29" i="79"/>
  <c r="E27" i="79" s="1"/>
  <c r="J6" i="79" s="1"/>
  <c r="K34" i="18" s="1"/>
  <c r="E29" i="76"/>
  <c r="E27" i="76" s="1"/>
  <c r="E29" i="78"/>
  <c r="E27" i="78" s="1"/>
  <c r="H6" i="79"/>
  <c r="I34" i="18" s="1"/>
  <c r="H5" i="79"/>
  <c r="F46" i="86"/>
  <c r="P31" i="18"/>
  <c r="I39" i="12"/>
  <c r="R6" i="113"/>
  <c r="S62" i="18" s="1"/>
  <c r="J56" i="12" s="1"/>
  <c r="I7" i="113"/>
  <c r="O7" i="63"/>
  <c r="P41" i="14"/>
  <c r="N7" i="64"/>
  <c r="J39" i="14"/>
  <c r="L7" i="63"/>
  <c r="M41" i="14"/>
  <c r="K5" i="64"/>
  <c r="K5" i="61"/>
  <c r="O5" i="61"/>
  <c r="H6" i="61"/>
  <c r="I39" i="15" s="1"/>
  <c r="I5" i="62"/>
  <c r="N5" i="62"/>
  <c r="F34" i="62"/>
  <c r="F46" i="62"/>
  <c r="F58" i="62"/>
  <c r="H7" i="63"/>
  <c r="I41" i="14"/>
  <c r="L7" i="64"/>
  <c r="F40" i="64"/>
  <c r="F52" i="64"/>
  <c r="K5" i="65"/>
  <c r="O5" i="65"/>
  <c r="H6" i="65"/>
  <c r="I43" i="15" s="1"/>
  <c r="I5" i="68"/>
  <c r="N5" i="68"/>
  <c r="F34" i="68"/>
  <c r="F46" i="68"/>
  <c r="F58" i="68"/>
  <c r="I39" i="14"/>
  <c r="K7" i="63"/>
  <c r="L41" i="14"/>
  <c r="H7" i="65"/>
  <c r="I43" i="14"/>
  <c r="L7" i="68"/>
  <c r="M46" i="14"/>
  <c r="N7" i="61"/>
  <c r="O39" i="14"/>
  <c r="H7" i="62"/>
  <c r="I40" i="14"/>
  <c r="O5" i="64"/>
  <c r="H6" i="64"/>
  <c r="I42" i="15" s="1"/>
  <c r="I7" i="65"/>
  <c r="J43" i="14"/>
  <c r="N7" i="65"/>
  <c r="O43" i="14"/>
  <c r="H7" i="68"/>
  <c r="I46" i="14"/>
  <c r="L7" i="61"/>
  <c r="M39" i="14"/>
  <c r="F40" i="61"/>
  <c r="F52" i="61"/>
  <c r="K7" i="62"/>
  <c r="L40" i="14"/>
  <c r="O7" i="62"/>
  <c r="P40" i="14"/>
  <c r="I5" i="63"/>
  <c r="N5" i="63"/>
  <c r="F34" i="63"/>
  <c r="F46" i="63"/>
  <c r="F58" i="63"/>
  <c r="H7" i="64"/>
  <c r="M5" i="64"/>
  <c r="N42" i="14" s="1"/>
  <c r="L7" i="65"/>
  <c r="M43" i="14"/>
  <c r="F40" i="65"/>
  <c r="F52" i="65"/>
  <c r="K7" i="68"/>
  <c r="L46" i="14"/>
  <c r="O7" i="68"/>
  <c r="P46" i="14"/>
  <c r="L7" i="76"/>
  <c r="M37" i="17"/>
  <c r="K7" i="77"/>
  <c r="L32" i="17"/>
  <c r="O7" i="77"/>
  <c r="P32" i="17"/>
  <c r="I7" i="78"/>
  <c r="J33" i="17"/>
  <c r="N7" i="78"/>
  <c r="O33" i="17"/>
  <c r="N34" i="17"/>
  <c r="M5" i="76"/>
  <c r="N37" i="17" s="1"/>
  <c r="L7" i="77"/>
  <c r="M32" i="17"/>
  <c r="F40" i="77"/>
  <c r="F52" i="77"/>
  <c r="K5" i="78"/>
  <c r="O5" i="78"/>
  <c r="H6" i="78"/>
  <c r="I33" i="18" s="1"/>
  <c r="I7" i="79"/>
  <c r="J34" i="17"/>
  <c r="N7" i="79"/>
  <c r="O34" i="17"/>
  <c r="F34" i="79"/>
  <c r="F46" i="79"/>
  <c r="F58" i="79"/>
  <c r="I7" i="76"/>
  <c r="J37" i="17"/>
  <c r="N7" i="76"/>
  <c r="O37" i="17"/>
  <c r="L7" i="78"/>
  <c r="M33" i="17"/>
  <c r="K7" i="79"/>
  <c r="L34" i="17"/>
  <c r="O7" i="79"/>
  <c r="P34" i="17"/>
  <c r="K5" i="76"/>
  <c r="O5" i="76"/>
  <c r="H6" i="76"/>
  <c r="I37" i="18" s="1"/>
  <c r="I7" i="77"/>
  <c r="J32" i="17"/>
  <c r="N7" i="77"/>
  <c r="O32" i="17"/>
  <c r="F34" i="77"/>
  <c r="F46" i="77"/>
  <c r="F58" i="77"/>
  <c r="I33" i="17"/>
  <c r="M5" i="78"/>
  <c r="N33" i="17" s="1"/>
  <c r="L7" i="79"/>
  <c r="M34" i="17"/>
  <c r="F40" i="79"/>
  <c r="F52" i="79"/>
  <c r="K74" i="15"/>
  <c r="P7" i="86"/>
  <c r="Q47" i="17"/>
  <c r="H5" i="86"/>
  <c r="J5" i="86"/>
  <c r="L7" i="86"/>
  <c r="M47" i="17"/>
  <c r="F40" i="86"/>
  <c r="F46" i="96"/>
  <c r="M5" i="86"/>
  <c r="N7" i="96"/>
  <c r="O69" i="14"/>
  <c r="F52" i="86"/>
  <c r="N7" i="86"/>
  <c r="O47" i="17"/>
  <c r="O5" i="86"/>
  <c r="P47" i="17" s="1"/>
  <c r="D12" i="86"/>
  <c r="R6" i="111"/>
  <c r="S60" i="18" s="1"/>
  <c r="J54" i="12" s="1"/>
  <c r="E12" i="113"/>
  <c r="H7" i="113"/>
  <c r="M7" i="129"/>
  <c r="N88" i="14"/>
  <c r="L7" i="111"/>
  <c r="M60" i="17"/>
  <c r="I7" i="111"/>
  <c r="J60" i="17"/>
  <c r="M7" i="111"/>
  <c r="N60" i="17"/>
  <c r="F29" i="113"/>
  <c r="H7" i="111"/>
  <c r="N7" i="111"/>
  <c r="O60" i="17"/>
  <c r="J5" i="129"/>
  <c r="F12" i="129"/>
  <c r="F27" i="129"/>
  <c r="J5" i="116"/>
  <c r="R5" i="116" s="1"/>
  <c r="D12" i="113"/>
  <c r="J5" i="113"/>
  <c r="K62" i="17" s="1"/>
  <c r="D27" i="111"/>
  <c r="F29" i="111"/>
  <c r="F27" i="111" s="1"/>
  <c r="J5" i="101"/>
  <c r="R5" i="101" s="1"/>
  <c r="E12" i="98"/>
  <c r="J5" i="98"/>
  <c r="F31" i="98"/>
  <c r="F29" i="98" s="1"/>
  <c r="F15" i="98"/>
  <c r="H5" i="96"/>
  <c r="K7" i="96"/>
  <c r="M7" i="96"/>
  <c r="O7" i="96"/>
  <c r="F40" i="96"/>
  <c r="L7" i="96"/>
  <c r="D27" i="96"/>
  <c r="F29" i="96"/>
  <c r="F27" i="96" s="1"/>
  <c r="F15" i="96"/>
  <c r="S7" i="86"/>
  <c r="E12" i="86"/>
  <c r="F12" i="86" s="1"/>
  <c r="O6" i="86"/>
  <c r="D27" i="79"/>
  <c r="M7" i="79"/>
  <c r="F15" i="79"/>
  <c r="F21" i="79"/>
  <c r="D27" i="78"/>
  <c r="F15" i="78"/>
  <c r="F21" i="78"/>
  <c r="E27" i="77"/>
  <c r="J6" i="77" s="1"/>
  <c r="F30" i="77"/>
  <c r="D27" i="77"/>
  <c r="F29" i="77"/>
  <c r="M7" i="77"/>
  <c r="F15" i="77"/>
  <c r="F21" i="77"/>
  <c r="D27" i="76"/>
  <c r="F15" i="76"/>
  <c r="F21" i="76"/>
  <c r="D27" i="68"/>
  <c r="D12" i="68" s="1"/>
  <c r="F29" i="68"/>
  <c r="M7" i="68"/>
  <c r="F15" i="68"/>
  <c r="F21" i="68"/>
  <c r="J6" i="65"/>
  <c r="K43" i="15" s="1"/>
  <c r="E12" i="65"/>
  <c r="R6" i="65"/>
  <c r="V6" i="65" s="1"/>
  <c r="D27" i="65"/>
  <c r="F29" i="65"/>
  <c r="M7" i="65"/>
  <c r="F15" i="65"/>
  <c r="F21" i="65"/>
  <c r="D27" i="64"/>
  <c r="D12" i="64" s="1"/>
  <c r="F29" i="64"/>
  <c r="F15" i="64"/>
  <c r="F21" i="64"/>
  <c r="R6" i="63"/>
  <c r="U6" i="63" s="1"/>
  <c r="D27" i="63"/>
  <c r="F29" i="63"/>
  <c r="M7" i="63"/>
  <c r="E12" i="63"/>
  <c r="F15" i="63"/>
  <c r="F21" i="63"/>
  <c r="M7" i="62"/>
  <c r="F15" i="62"/>
  <c r="F21" i="62"/>
  <c r="M7" i="61"/>
  <c r="F15" i="61"/>
  <c r="F21" i="61"/>
  <c r="D63" i="53"/>
  <c r="S6" i="53" s="1"/>
  <c r="T28" i="15" s="1"/>
  <c r="C63" i="53"/>
  <c r="S5" i="53" s="1"/>
  <c r="T28" i="14" s="1"/>
  <c r="E56" i="53"/>
  <c r="D50" i="53"/>
  <c r="M6" i="53" s="1"/>
  <c r="N28" i="15" s="1"/>
  <c r="C50" i="53"/>
  <c r="M5" i="53" s="1"/>
  <c r="E49" i="53"/>
  <c r="D44" i="53"/>
  <c r="E41" i="53"/>
  <c r="N6" i="53"/>
  <c r="O28" i="15" s="1"/>
  <c r="E38" i="53"/>
  <c r="E37" i="53"/>
  <c r="E33" i="53"/>
  <c r="L6" i="53"/>
  <c r="M28" i="15" s="1"/>
  <c r="L5" i="53"/>
  <c r="E30" i="53"/>
  <c r="E29" i="53"/>
  <c r="E28" i="53"/>
  <c r="E27" i="53"/>
  <c r="E26" i="53"/>
  <c r="E23" i="53"/>
  <c r="H6" i="53"/>
  <c r="I28" i="15" s="1"/>
  <c r="H5" i="53"/>
  <c r="I28" i="14" s="1"/>
  <c r="E18" i="53"/>
  <c r="E17" i="53"/>
  <c r="E13" i="53"/>
  <c r="E12" i="53"/>
  <c r="P6" i="53"/>
  <c r="Q28" i="15" s="1"/>
  <c r="O6" i="53"/>
  <c r="P28" i="15" s="1"/>
  <c r="K6" i="53"/>
  <c r="L28" i="15" s="1"/>
  <c r="I6" i="53"/>
  <c r="J28" i="15" s="1"/>
  <c r="P5" i="53"/>
  <c r="O5" i="53"/>
  <c r="K5" i="53"/>
  <c r="I5" i="53"/>
  <c r="F12" i="101" l="1"/>
  <c r="Q31" i="17"/>
  <c r="Q38" i="17" s="1"/>
  <c r="I38" i="14"/>
  <c r="E27" i="61"/>
  <c r="E12" i="61" s="1"/>
  <c r="F30" i="64"/>
  <c r="D27" i="62"/>
  <c r="D12" i="62" s="1"/>
  <c r="R6" i="116"/>
  <c r="S65" i="18" s="1"/>
  <c r="J59" i="12" s="1"/>
  <c r="Q6" i="98"/>
  <c r="S71" i="15" s="1"/>
  <c r="H56" i="12" s="1"/>
  <c r="H7" i="98"/>
  <c r="I71" i="14"/>
  <c r="F29" i="62"/>
  <c r="M7" i="98"/>
  <c r="N71" i="14"/>
  <c r="I31" i="18"/>
  <c r="J6" i="96"/>
  <c r="K69" i="15" s="1"/>
  <c r="E12" i="96"/>
  <c r="R6" i="96"/>
  <c r="S69" i="15" s="1"/>
  <c r="H54" i="12" s="1"/>
  <c r="F12" i="116"/>
  <c r="H7" i="77"/>
  <c r="I38" i="15"/>
  <c r="R6" i="101"/>
  <c r="S74" i="15" s="1"/>
  <c r="H59" i="12" s="1"/>
  <c r="J6" i="62"/>
  <c r="E12" i="62"/>
  <c r="J6" i="61"/>
  <c r="K39" i="15" s="1"/>
  <c r="D27" i="61"/>
  <c r="D12" i="61" s="1"/>
  <c r="O7" i="64"/>
  <c r="P42" i="14"/>
  <c r="M40" i="14"/>
  <c r="G29" i="12"/>
  <c r="T38" i="14"/>
  <c r="R38" i="14"/>
  <c r="R47" i="14" s="1"/>
  <c r="P7" i="64"/>
  <c r="Q42" i="14"/>
  <c r="J6" i="68"/>
  <c r="K46" i="15" s="1"/>
  <c r="H7" i="61"/>
  <c r="J38" i="15"/>
  <c r="M7" i="64"/>
  <c r="J6" i="64"/>
  <c r="K42" i="15" s="1"/>
  <c r="I7" i="64"/>
  <c r="K7" i="64"/>
  <c r="L42" i="14"/>
  <c r="I7" i="61"/>
  <c r="P7" i="68"/>
  <c r="Q46" i="14"/>
  <c r="P7" i="62"/>
  <c r="Q40" i="14"/>
  <c r="T31" i="17"/>
  <c r="F29" i="78"/>
  <c r="I32" i="17"/>
  <c r="F29" i="76"/>
  <c r="F29" i="79"/>
  <c r="M7" i="76"/>
  <c r="H7" i="79"/>
  <c r="E12" i="78"/>
  <c r="J6" i="78"/>
  <c r="K33" i="18" s="1"/>
  <c r="J6" i="76"/>
  <c r="K37" i="18" s="1"/>
  <c r="R6" i="79"/>
  <c r="V6" i="79" s="1"/>
  <c r="I34" i="17"/>
  <c r="H7" i="78"/>
  <c r="J7" i="98"/>
  <c r="Q5" i="98"/>
  <c r="K71" i="14"/>
  <c r="M31" i="17"/>
  <c r="M38" i="17" s="1"/>
  <c r="N31" i="17"/>
  <c r="O31" i="17"/>
  <c r="O38" i="17" s="1"/>
  <c r="J31" i="17"/>
  <c r="N38" i="14"/>
  <c r="M38" i="14"/>
  <c r="I41" i="12"/>
  <c r="I39" i="10"/>
  <c r="G19" i="9" s="1"/>
  <c r="E39" i="53"/>
  <c r="M7" i="53"/>
  <c r="N28" i="14"/>
  <c r="K7" i="53"/>
  <c r="L28" i="14"/>
  <c r="O7" i="53"/>
  <c r="P28" i="14"/>
  <c r="N5" i="53"/>
  <c r="L7" i="53"/>
  <c r="M28" i="14"/>
  <c r="I7" i="53"/>
  <c r="J28" i="14"/>
  <c r="P7" i="53"/>
  <c r="Q28" i="14"/>
  <c r="O7" i="65"/>
  <c r="P43" i="14"/>
  <c r="W6" i="63"/>
  <c r="S41" i="15"/>
  <c r="W6" i="65"/>
  <c r="S43" i="15"/>
  <c r="I7" i="63"/>
  <c r="J41" i="14"/>
  <c r="N7" i="68"/>
  <c r="O46" i="14"/>
  <c r="K7" i="65"/>
  <c r="L43" i="14"/>
  <c r="I7" i="68"/>
  <c r="J46" i="14"/>
  <c r="N7" i="62"/>
  <c r="O40" i="14"/>
  <c r="O7" i="61"/>
  <c r="P39" i="14"/>
  <c r="N7" i="63"/>
  <c r="O41" i="14"/>
  <c r="V6" i="63"/>
  <c r="I7" i="62"/>
  <c r="J40" i="14"/>
  <c r="K7" i="61"/>
  <c r="L39" i="14"/>
  <c r="O7" i="78"/>
  <c r="P33" i="17"/>
  <c r="H7" i="76"/>
  <c r="M7" i="78"/>
  <c r="O7" i="76"/>
  <c r="P37" i="17"/>
  <c r="K7" i="78"/>
  <c r="L33" i="17"/>
  <c r="R6" i="77"/>
  <c r="S32" i="18" s="1"/>
  <c r="K32" i="18"/>
  <c r="K7" i="76"/>
  <c r="L37" i="17"/>
  <c r="S74" i="14"/>
  <c r="K74" i="14"/>
  <c r="K81" i="13" s="1"/>
  <c r="H7" i="96"/>
  <c r="I69" i="14"/>
  <c r="H7" i="86"/>
  <c r="I47" i="17"/>
  <c r="J7" i="86"/>
  <c r="K47" i="17"/>
  <c r="M7" i="86"/>
  <c r="N47" i="17"/>
  <c r="R5" i="86"/>
  <c r="S47" i="17" s="1"/>
  <c r="J39" i="11" s="1"/>
  <c r="O7" i="86"/>
  <c r="P47" i="18"/>
  <c r="P48" i="18" s="1"/>
  <c r="F12" i="113"/>
  <c r="S65" i="17"/>
  <c r="S71" i="16" s="1"/>
  <c r="K65" i="17"/>
  <c r="K71" i="16" s="1"/>
  <c r="J7" i="129"/>
  <c r="K88" i="14"/>
  <c r="R5" i="129"/>
  <c r="J7" i="113"/>
  <c r="R5" i="113"/>
  <c r="J5" i="111"/>
  <c r="K60" i="17" s="1"/>
  <c r="D12" i="111"/>
  <c r="F12" i="111" s="1"/>
  <c r="D12" i="98"/>
  <c r="F12" i="98" s="1"/>
  <c r="D12" i="96"/>
  <c r="F12" i="96" s="1"/>
  <c r="J5" i="96"/>
  <c r="K69" i="14" s="1"/>
  <c r="R6" i="86"/>
  <c r="S47" i="18" s="1"/>
  <c r="J39" i="12" s="1"/>
  <c r="F27" i="79"/>
  <c r="J5" i="79"/>
  <c r="F27" i="78"/>
  <c r="D12" i="78"/>
  <c r="J5" i="78"/>
  <c r="K33" i="17" s="1"/>
  <c r="F27" i="77"/>
  <c r="J5" i="77"/>
  <c r="K32" i="17" s="1"/>
  <c r="F27" i="76"/>
  <c r="J5" i="76"/>
  <c r="K37" i="17" s="1"/>
  <c r="F27" i="68"/>
  <c r="F12" i="68"/>
  <c r="J5" i="68"/>
  <c r="K46" i="14" s="1"/>
  <c r="T6" i="65"/>
  <c r="F27" i="65"/>
  <c r="D12" i="65"/>
  <c r="F12" i="65" s="1"/>
  <c r="J5" i="65"/>
  <c r="K43" i="14" s="1"/>
  <c r="U6" i="65"/>
  <c r="F27" i="64"/>
  <c r="F12" i="64"/>
  <c r="J5" i="64"/>
  <c r="K42" i="14" s="1"/>
  <c r="T6" i="63"/>
  <c r="F27" i="63"/>
  <c r="D12" i="63"/>
  <c r="F12" i="63" s="1"/>
  <c r="J5" i="63"/>
  <c r="K41" i="14" s="1"/>
  <c r="F27" i="61"/>
  <c r="D45" i="53"/>
  <c r="J6" i="53" s="1"/>
  <c r="K28" i="15" s="1"/>
  <c r="E31" i="53"/>
  <c r="E50" i="53"/>
  <c r="S7" i="53"/>
  <c r="C45" i="53"/>
  <c r="J5" i="53" s="1"/>
  <c r="E63" i="53"/>
  <c r="D65" i="53" s="1"/>
  <c r="R6" i="53"/>
  <c r="S28" i="15" s="1"/>
  <c r="H7" i="53"/>
  <c r="E43" i="53"/>
  <c r="E45" i="53" s="1"/>
  <c r="E14" i="53"/>
  <c r="I29" i="12"/>
  <c r="T48" i="18"/>
  <c r="Q48" i="18"/>
  <c r="O48" i="18"/>
  <c r="N48" i="18"/>
  <c r="M48" i="18"/>
  <c r="L48" i="18"/>
  <c r="K48" i="18"/>
  <c r="J48" i="18"/>
  <c r="I48" i="18"/>
  <c r="T48" i="17"/>
  <c r="Q48" i="17"/>
  <c r="P48" i="17"/>
  <c r="O48" i="17"/>
  <c r="N48" i="17"/>
  <c r="M48" i="17"/>
  <c r="L48" i="17"/>
  <c r="J48" i="17"/>
  <c r="R52" i="16"/>
  <c r="T52" i="16"/>
  <c r="Q52" i="16"/>
  <c r="O52" i="16"/>
  <c r="M52" i="16"/>
  <c r="L52" i="16"/>
  <c r="J52" i="16"/>
  <c r="R60" i="14"/>
  <c r="J51" i="15"/>
  <c r="L51" i="15"/>
  <c r="M51" i="15"/>
  <c r="O51" i="15"/>
  <c r="P51" i="15"/>
  <c r="Q51" i="15"/>
  <c r="R51" i="15"/>
  <c r="T51" i="15"/>
  <c r="G34" i="12" s="1"/>
  <c r="S81" i="13" l="1"/>
  <c r="R6" i="61"/>
  <c r="S39" i="15" s="1"/>
  <c r="I41" i="10"/>
  <c r="K52" i="16"/>
  <c r="N52" i="16"/>
  <c r="I52" i="16"/>
  <c r="R6" i="64"/>
  <c r="J5" i="62"/>
  <c r="K40" i="14" s="1"/>
  <c r="F27" i="62"/>
  <c r="F12" i="62"/>
  <c r="T6" i="61"/>
  <c r="F12" i="61"/>
  <c r="J5" i="61"/>
  <c r="K39" i="14" s="1"/>
  <c r="I31" i="17"/>
  <c r="I38" i="17" s="1"/>
  <c r="Q38" i="14"/>
  <c r="J38" i="14"/>
  <c r="I29" i="11"/>
  <c r="I29" i="10" s="1"/>
  <c r="G29" i="11"/>
  <c r="G29" i="10" s="1"/>
  <c r="T6" i="64"/>
  <c r="V6" i="61"/>
  <c r="R6" i="68"/>
  <c r="V6" i="68" s="1"/>
  <c r="W6" i="61"/>
  <c r="K40" i="15"/>
  <c r="K38" i="15" s="1"/>
  <c r="R6" i="62"/>
  <c r="K31" i="18"/>
  <c r="R6" i="76"/>
  <c r="V6" i="76" s="1"/>
  <c r="R6" i="78"/>
  <c r="T6" i="78" s="1"/>
  <c r="F12" i="79"/>
  <c r="F12" i="77"/>
  <c r="W6" i="79"/>
  <c r="F12" i="78"/>
  <c r="P31" i="17"/>
  <c r="P32" i="16" s="1"/>
  <c r="F12" i="76"/>
  <c r="L31" i="17"/>
  <c r="L38" i="17" s="1"/>
  <c r="W6" i="77"/>
  <c r="U6" i="79"/>
  <c r="T6" i="79"/>
  <c r="V6" i="77"/>
  <c r="S34" i="18"/>
  <c r="S71" i="14"/>
  <c r="Q7" i="98"/>
  <c r="R7" i="113"/>
  <c r="S62" i="17"/>
  <c r="L38" i="14"/>
  <c r="P38" i="14"/>
  <c r="O38" i="14"/>
  <c r="N7" i="53"/>
  <c r="O28" i="14"/>
  <c r="D52" i="53"/>
  <c r="J7" i="53"/>
  <c r="K28" i="14"/>
  <c r="U6" i="61"/>
  <c r="U6" i="77"/>
  <c r="T6" i="77"/>
  <c r="K34" i="17"/>
  <c r="S33" i="18"/>
  <c r="H59" i="11"/>
  <c r="H58" i="10" s="1"/>
  <c r="I48" i="17"/>
  <c r="S48" i="17"/>
  <c r="K48" i="17"/>
  <c r="S48" i="18"/>
  <c r="R7" i="86"/>
  <c r="J39" i="10"/>
  <c r="J41" i="11"/>
  <c r="J41" i="12"/>
  <c r="J59" i="11"/>
  <c r="R7" i="129"/>
  <c r="S88" i="14"/>
  <c r="J7" i="111"/>
  <c r="R5" i="111"/>
  <c r="J7" i="96"/>
  <c r="R5" i="96"/>
  <c r="J7" i="79"/>
  <c r="R7" i="79" s="1"/>
  <c r="R5" i="79"/>
  <c r="J7" i="78"/>
  <c r="R7" i="78" s="1"/>
  <c r="R5" i="78"/>
  <c r="S33" i="17" s="1"/>
  <c r="J7" i="77"/>
  <c r="R7" i="77" s="1"/>
  <c r="R5" i="77"/>
  <c r="S32" i="17" s="1"/>
  <c r="J7" i="76"/>
  <c r="R7" i="76" s="1"/>
  <c r="R5" i="76"/>
  <c r="S37" i="17" s="1"/>
  <c r="J7" i="68"/>
  <c r="R7" i="68" s="1"/>
  <c r="R5" i="68"/>
  <c r="S46" i="14" s="1"/>
  <c r="J7" i="65"/>
  <c r="R7" i="65" s="1"/>
  <c r="R5" i="65"/>
  <c r="S43" i="14" s="1"/>
  <c r="J7" i="64"/>
  <c r="R7" i="64" s="1"/>
  <c r="R5" i="64"/>
  <c r="S42" i="14" s="1"/>
  <c r="J7" i="63"/>
  <c r="R7" i="63" s="1"/>
  <c r="R5" i="63"/>
  <c r="S41" i="14" s="1"/>
  <c r="J7" i="62"/>
  <c r="R7" i="62" s="1"/>
  <c r="E52" i="53"/>
  <c r="C65" i="53"/>
  <c r="R5" i="53"/>
  <c r="C52" i="53"/>
  <c r="W6" i="68" l="1"/>
  <c r="P52" i="16"/>
  <c r="J41" i="10"/>
  <c r="S52" i="16"/>
  <c r="U6" i="64"/>
  <c r="S42" i="15"/>
  <c r="W6" i="64"/>
  <c r="V6" i="64"/>
  <c r="R5" i="62"/>
  <c r="S40" i="14" s="1"/>
  <c r="R5" i="61"/>
  <c r="S39" i="14" s="1"/>
  <c r="K38" i="14"/>
  <c r="J7" i="61"/>
  <c r="R7" i="61" s="1"/>
  <c r="T7" i="61" s="1"/>
  <c r="W6" i="78"/>
  <c r="U6" i="68"/>
  <c r="S46" i="15"/>
  <c r="V6" i="62"/>
  <c r="U6" i="62"/>
  <c r="W6" i="62"/>
  <c r="S40" i="15"/>
  <c r="T6" i="62"/>
  <c r="T6" i="68"/>
  <c r="T6" i="76"/>
  <c r="U6" i="76"/>
  <c r="S37" i="18"/>
  <c r="W6" i="76"/>
  <c r="U6" i="78"/>
  <c r="V6" i="78"/>
  <c r="H56" i="11"/>
  <c r="H55" i="10" s="1"/>
  <c r="J56" i="11"/>
  <c r="J55" i="10" s="1"/>
  <c r="K31" i="17"/>
  <c r="R7" i="53"/>
  <c r="S28" i="14"/>
  <c r="S34" i="17"/>
  <c r="R7" i="96"/>
  <c r="S69" i="14"/>
  <c r="R7" i="111"/>
  <c r="S60" i="17"/>
  <c r="J58" i="10"/>
  <c r="H75" i="11"/>
  <c r="W7" i="79"/>
  <c r="T7" i="79"/>
  <c r="U7" i="79"/>
  <c r="V7" i="79"/>
  <c r="W5" i="79"/>
  <c r="V5" i="79"/>
  <c r="U5" i="79"/>
  <c r="T5" i="79"/>
  <c r="W5" i="78"/>
  <c r="V5" i="78"/>
  <c r="U5" i="78"/>
  <c r="T5" i="78"/>
  <c r="W7" i="78"/>
  <c r="T7" i="78"/>
  <c r="U7" i="78"/>
  <c r="V7" i="78"/>
  <c r="W7" i="77"/>
  <c r="U7" i="77"/>
  <c r="T7" i="77"/>
  <c r="V7" i="77"/>
  <c r="W5" i="77"/>
  <c r="V5" i="77"/>
  <c r="U5" i="77"/>
  <c r="T5" i="77"/>
  <c r="W7" i="76"/>
  <c r="T7" i="76"/>
  <c r="U7" i="76"/>
  <c r="V7" i="76"/>
  <c r="W5" i="76"/>
  <c r="V5" i="76"/>
  <c r="U5" i="76"/>
  <c r="T5" i="76"/>
  <c r="W7" i="68"/>
  <c r="T7" i="68"/>
  <c r="U7" i="68"/>
  <c r="V7" i="68"/>
  <c r="W5" i="68"/>
  <c r="V5" i="68"/>
  <c r="U5" i="68"/>
  <c r="T5" i="68"/>
  <c r="W5" i="65"/>
  <c r="V5" i="65"/>
  <c r="U5" i="65"/>
  <c r="T5" i="65"/>
  <c r="W7" i="65"/>
  <c r="T7" i="65"/>
  <c r="U7" i="65"/>
  <c r="V7" i="65"/>
  <c r="W7" i="64"/>
  <c r="T7" i="64"/>
  <c r="U7" i="64"/>
  <c r="V7" i="64"/>
  <c r="W5" i="64"/>
  <c r="V5" i="64"/>
  <c r="U5" i="64"/>
  <c r="T5" i="64"/>
  <c r="W7" i="63"/>
  <c r="T7" i="63"/>
  <c r="U7" i="63"/>
  <c r="V7" i="63"/>
  <c r="W5" i="63"/>
  <c r="V5" i="63"/>
  <c r="U5" i="63"/>
  <c r="T5" i="63"/>
  <c r="W5" i="62"/>
  <c r="U5" i="62"/>
  <c r="W7" i="62"/>
  <c r="T7" i="62"/>
  <c r="U7" i="62"/>
  <c r="V7" i="62"/>
  <c r="W5" i="61"/>
  <c r="S31" i="17" l="1"/>
  <c r="U5" i="61"/>
  <c r="T5" i="62"/>
  <c r="V5" i="62"/>
  <c r="S38" i="14"/>
  <c r="H29" i="11" s="1"/>
  <c r="W7" i="61"/>
  <c r="T5" i="61"/>
  <c r="V5" i="61"/>
  <c r="U7" i="61"/>
  <c r="V7" i="61"/>
  <c r="S38" i="15"/>
  <c r="S31" i="18"/>
  <c r="J29" i="11"/>
  <c r="H54" i="11"/>
  <c r="H53" i="10" s="1"/>
  <c r="J54" i="11"/>
  <c r="H74" i="10"/>
  <c r="Q6" i="50"/>
  <c r="Q5" i="50"/>
  <c r="Q6" i="51"/>
  <c r="Q5" i="51"/>
  <c r="Q6" i="43"/>
  <c r="Q5" i="43"/>
  <c r="Q6" i="42"/>
  <c r="Q5" i="42"/>
  <c r="Q6" i="41"/>
  <c r="Q5" i="41"/>
  <c r="Q6" i="37"/>
  <c r="Q5" i="37"/>
  <c r="Q6" i="36"/>
  <c r="Q5" i="36"/>
  <c r="Q6" i="35"/>
  <c r="Q5" i="35"/>
  <c r="Q6" i="34"/>
  <c r="Q5" i="34"/>
  <c r="Q6" i="28"/>
  <c r="Q5" i="28"/>
  <c r="Q6" i="26"/>
  <c r="Q5" i="26"/>
  <c r="Q6" i="25"/>
  <c r="Q5" i="25"/>
  <c r="Q6" i="24"/>
  <c r="Q5" i="24"/>
  <c r="Q6" i="23"/>
  <c r="Q5" i="23"/>
  <c r="Q6" i="22"/>
  <c r="Q5" i="22"/>
  <c r="F64" i="84"/>
  <c r="C12" i="55"/>
  <c r="X17" i="82"/>
  <c r="X18" i="82"/>
  <c r="X19" i="82"/>
  <c r="X16" i="82"/>
  <c r="W17" i="82"/>
  <c r="Y17" i="82" s="1"/>
  <c r="W18" i="82"/>
  <c r="Y18" i="82" s="1"/>
  <c r="W19" i="82"/>
  <c r="Y19" i="82" s="1"/>
  <c r="W16" i="82"/>
  <c r="U16" i="82"/>
  <c r="U17" i="82"/>
  <c r="U18" i="82"/>
  <c r="U19" i="82"/>
  <c r="T17" i="82"/>
  <c r="T18" i="82"/>
  <c r="V18" i="82" s="1"/>
  <c r="T19" i="82"/>
  <c r="T16" i="82"/>
  <c r="S17" i="82"/>
  <c r="S18" i="82"/>
  <c r="S19" i="82"/>
  <c r="S16" i="82"/>
  <c r="X17" i="80"/>
  <c r="X18" i="80"/>
  <c r="X19" i="80"/>
  <c r="X16" i="80"/>
  <c r="W17" i="80"/>
  <c r="W18" i="80"/>
  <c r="W19" i="80"/>
  <c r="Y19" i="80" s="1"/>
  <c r="W16" i="80"/>
  <c r="U17" i="80"/>
  <c r="U18" i="80"/>
  <c r="U19" i="80"/>
  <c r="U16" i="80"/>
  <c r="T17" i="80"/>
  <c r="T18" i="80"/>
  <c r="T19" i="80"/>
  <c r="V19" i="80" s="1"/>
  <c r="T16" i="80"/>
  <c r="S17" i="80"/>
  <c r="S18" i="80"/>
  <c r="S19" i="80"/>
  <c r="S16" i="80"/>
  <c r="X17" i="47"/>
  <c r="W17" i="47"/>
  <c r="U17" i="47"/>
  <c r="T17" i="47"/>
  <c r="S17" i="47"/>
  <c r="X16" i="47"/>
  <c r="X15" i="47" s="1"/>
  <c r="E64" i="47" s="1"/>
  <c r="W16" i="47"/>
  <c r="U16" i="47"/>
  <c r="T16" i="47"/>
  <c r="S16" i="47"/>
  <c r="L15" i="47" s="1"/>
  <c r="X17" i="31"/>
  <c r="W17" i="31"/>
  <c r="U17" i="31"/>
  <c r="T17" i="31"/>
  <c r="S17" i="31"/>
  <c r="X16" i="31"/>
  <c r="W16" i="31"/>
  <c r="U16" i="31"/>
  <c r="T16" i="31"/>
  <c r="S16" i="31"/>
  <c r="L15" i="31" s="1"/>
  <c r="F62" i="82"/>
  <c r="F61" i="82"/>
  <c r="F60" i="82"/>
  <c r="F59" i="82"/>
  <c r="E58" i="82"/>
  <c r="O6" i="82" s="1"/>
  <c r="P42" i="18" s="1"/>
  <c r="D58" i="82"/>
  <c r="F56" i="82"/>
  <c r="F55" i="82"/>
  <c r="F54" i="82"/>
  <c r="F53" i="82"/>
  <c r="E52" i="82"/>
  <c r="D52" i="82"/>
  <c r="F52" i="82" s="1"/>
  <c r="F50" i="82"/>
  <c r="F49" i="82"/>
  <c r="F48" i="82"/>
  <c r="F47" i="82"/>
  <c r="E46" i="82"/>
  <c r="M6" i="82" s="1"/>
  <c r="N42" i="18" s="1"/>
  <c r="D46" i="82"/>
  <c r="F46" i="82" s="1"/>
  <c r="F44" i="82"/>
  <c r="F43" i="82"/>
  <c r="F42" i="82"/>
  <c r="F41" i="82"/>
  <c r="E40" i="82"/>
  <c r="D40" i="82"/>
  <c r="F40" i="82" s="1"/>
  <c r="F38" i="82"/>
  <c r="F37" i="82"/>
  <c r="F36" i="82"/>
  <c r="F35" i="82"/>
  <c r="E34" i="82"/>
  <c r="D34" i="82"/>
  <c r="F34" i="82" s="1"/>
  <c r="F25" i="82"/>
  <c r="F24" i="82"/>
  <c r="F23" i="82"/>
  <c r="F22" i="82"/>
  <c r="E21" i="82"/>
  <c r="E30" i="82" s="1"/>
  <c r="D21" i="82"/>
  <c r="B20" i="82"/>
  <c r="F19" i="82"/>
  <c r="F18" i="82"/>
  <c r="F17" i="82"/>
  <c r="F16" i="82"/>
  <c r="E15" i="82"/>
  <c r="D15" i="82"/>
  <c r="D29" i="82" s="1"/>
  <c r="Q6" i="82"/>
  <c r="R42" i="18" s="1"/>
  <c r="N6" i="82"/>
  <c r="O42" i="18" s="1"/>
  <c r="L6" i="82"/>
  <c r="M42" i="18" s="1"/>
  <c r="K6" i="82"/>
  <c r="L42" i="18" s="1"/>
  <c r="Q5" i="82"/>
  <c r="Q7" i="82" s="1"/>
  <c r="K5" i="82"/>
  <c r="K7" i="82" s="1"/>
  <c r="W4" i="82"/>
  <c r="V4" i="82"/>
  <c r="U4" i="82"/>
  <c r="T4" i="82"/>
  <c r="F62" i="80"/>
  <c r="F61" i="80"/>
  <c r="F60" i="80"/>
  <c r="F59" i="80"/>
  <c r="E58" i="80"/>
  <c r="O6" i="80" s="1"/>
  <c r="P50" i="15" s="1"/>
  <c r="P52" i="15" s="1"/>
  <c r="D58" i="80"/>
  <c r="F56" i="80"/>
  <c r="F55" i="80"/>
  <c r="F54" i="80"/>
  <c r="F53" i="80"/>
  <c r="E52" i="80"/>
  <c r="N6" i="80" s="1"/>
  <c r="O50" i="15" s="1"/>
  <c r="O52" i="15" s="1"/>
  <c r="D52" i="80"/>
  <c r="F50" i="80"/>
  <c r="F49" i="80"/>
  <c r="F48" i="80"/>
  <c r="F47" i="80"/>
  <c r="E46" i="80"/>
  <c r="M6" i="80" s="1"/>
  <c r="N50" i="15" s="1"/>
  <c r="D46" i="80"/>
  <c r="M5" i="80" s="1"/>
  <c r="F44" i="80"/>
  <c r="F43" i="80"/>
  <c r="F42" i="80"/>
  <c r="F41" i="80"/>
  <c r="E40" i="80"/>
  <c r="L6" i="80" s="1"/>
  <c r="M50" i="15" s="1"/>
  <c r="M52" i="15" s="1"/>
  <c r="D40" i="80"/>
  <c r="F38" i="80"/>
  <c r="F37" i="80"/>
  <c r="F36" i="80"/>
  <c r="F35" i="80"/>
  <c r="E34" i="80"/>
  <c r="D34" i="80"/>
  <c r="K5" i="80" s="1"/>
  <c r="L50" i="14" s="1"/>
  <c r="F25" i="80"/>
  <c r="F24" i="80"/>
  <c r="F23" i="80"/>
  <c r="F22" i="80"/>
  <c r="E21" i="80"/>
  <c r="E30" i="80" s="1"/>
  <c r="D21" i="80"/>
  <c r="D30" i="80" s="1"/>
  <c r="B20" i="80"/>
  <c r="F19" i="80"/>
  <c r="F18" i="80"/>
  <c r="F17" i="80"/>
  <c r="F16" i="80"/>
  <c r="E15" i="80"/>
  <c r="E29" i="80" s="1"/>
  <c r="D15" i="80"/>
  <c r="D29" i="80" s="1"/>
  <c r="Q6" i="80"/>
  <c r="R50" i="15" s="1"/>
  <c r="R52" i="15" s="1"/>
  <c r="K6" i="80"/>
  <c r="L50" i="15" s="1"/>
  <c r="L52" i="15" s="1"/>
  <c r="Q5" i="80"/>
  <c r="Q7" i="80" s="1"/>
  <c r="N5" i="80"/>
  <c r="L5" i="80"/>
  <c r="W4" i="80"/>
  <c r="V4" i="80"/>
  <c r="U4" i="80"/>
  <c r="T4" i="80"/>
  <c r="D58" i="50"/>
  <c r="J23" i="85"/>
  <c r="K7" i="85"/>
  <c r="L7" i="85"/>
  <c r="M7" i="85"/>
  <c r="N7" i="85"/>
  <c r="O7" i="85"/>
  <c r="P7" i="85"/>
  <c r="I7" i="85"/>
  <c r="N15" i="25"/>
  <c r="N15" i="24"/>
  <c r="R15" i="14"/>
  <c r="R15" i="15"/>
  <c r="X18" i="51"/>
  <c r="X19" i="51"/>
  <c r="X20" i="51"/>
  <c r="X21" i="51"/>
  <c r="X16" i="51"/>
  <c r="W18" i="51"/>
  <c r="W19" i="51"/>
  <c r="W20" i="51"/>
  <c r="Y20" i="51" s="1"/>
  <c r="W21" i="51"/>
  <c r="Y21" i="51" s="1"/>
  <c r="W16" i="51"/>
  <c r="U18" i="51"/>
  <c r="U19" i="51"/>
  <c r="U20" i="51"/>
  <c r="U21" i="51"/>
  <c r="U22" i="51"/>
  <c r="U16" i="51"/>
  <c r="T18" i="51"/>
  <c r="T19" i="51"/>
  <c r="T20" i="51"/>
  <c r="T21" i="51"/>
  <c r="V21" i="51" s="1"/>
  <c r="T22" i="51"/>
  <c r="T16" i="51"/>
  <c r="S18" i="51"/>
  <c r="S19" i="51"/>
  <c r="S20" i="51"/>
  <c r="S21" i="51"/>
  <c r="S22" i="51"/>
  <c r="S16" i="51"/>
  <c r="X17" i="50"/>
  <c r="X18" i="50"/>
  <c r="X19" i="50"/>
  <c r="X20" i="50"/>
  <c r="X21" i="50"/>
  <c r="X22" i="50"/>
  <c r="X23" i="50"/>
  <c r="X24" i="50"/>
  <c r="X25" i="50"/>
  <c r="X26" i="50"/>
  <c r="X27" i="50"/>
  <c r="X28" i="50"/>
  <c r="X29" i="50"/>
  <c r="X30" i="50"/>
  <c r="X16" i="50"/>
  <c r="W17" i="50"/>
  <c r="W18" i="50"/>
  <c r="W19" i="50"/>
  <c r="W20" i="50"/>
  <c r="W21" i="50"/>
  <c r="W22" i="50"/>
  <c r="W23" i="50"/>
  <c r="W24" i="50"/>
  <c r="W25" i="50"/>
  <c r="W26" i="50"/>
  <c r="W27" i="50"/>
  <c r="W28" i="50"/>
  <c r="W29" i="50"/>
  <c r="W30" i="50"/>
  <c r="W16" i="50"/>
  <c r="U17" i="50"/>
  <c r="U18" i="50"/>
  <c r="U19" i="50"/>
  <c r="U20" i="50"/>
  <c r="U21" i="50"/>
  <c r="U22" i="50"/>
  <c r="U23" i="50"/>
  <c r="U24" i="50"/>
  <c r="U25" i="50"/>
  <c r="U26" i="50"/>
  <c r="U27" i="50"/>
  <c r="U28" i="50"/>
  <c r="U29" i="50"/>
  <c r="U30" i="50"/>
  <c r="U16" i="50"/>
  <c r="T17" i="50"/>
  <c r="T18" i="50"/>
  <c r="T19" i="50"/>
  <c r="T20" i="50"/>
  <c r="T21" i="50"/>
  <c r="T22" i="50"/>
  <c r="T23" i="50"/>
  <c r="T24" i="50"/>
  <c r="T25" i="50"/>
  <c r="T26" i="50"/>
  <c r="T27" i="50"/>
  <c r="T28" i="50"/>
  <c r="T29" i="50"/>
  <c r="T30" i="50"/>
  <c r="T16" i="50"/>
  <c r="S17" i="50"/>
  <c r="S18" i="50"/>
  <c r="S19" i="50"/>
  <c r="S20" i="50"/>
  <c r="S21" i="50"/>
  <c r="S22" i="50"/>
  <c r="S23" i="50"/>
  <c r="S24" i="50"/>
  <c r="S25" i="50"/>
  <c r="S26" i="50"/>
  <c r="S27" i="50"/>
  <c r="S28" i="50"/>
  <c r="S29" i="50"/>
  <c r="S30" i="50"/>
  <c r="S16" i="50"/>
  <c r="X17" i="44"/>
  <c r="X18" i="44"/>
  <c r="X19" i="44"/>
  <c r="X20" i="44"/>
  <c r="X21" i="44"/>
  <c r="X16" i="44"/>
  <c r="W17" i="44"/>
  <c r="W18" i="44"/>
  <c r="W19" i="44"/>
  <c r="W20" i="44"/>
  <c r="W21" i="44"/>
  <c r="W16" i="44"/>
  <c r="U17" i="44"/>
  <c r="U18" i="44"/>
  <c r="U19" i="44"/>
  <c r="U20" i="44"/>
  <c r="U21" i="44"/>
  <c r="U16" i="44"/>
  <c r="T17" i="44"/>
  <c r="T18" i="44"/>
  <c r="T19" i="44"/>
  <c r="T20" i="44"/>
  <c r="T21" i="44"/>
  <c r="T16" i="44"/>
  <c r="S17" i="44"/>
  <c r="S18" i="44"/>
  <c r="S19" i="44"/>
  <c r="S20" i="44"/>
  <c r="S21" i="44"/>
  <c r="S16" i="44"/>
  <c r="N15" i="44"/>
  <c r="K6" i="47"/>
  <c r="K5" i="47"/>
  <c r="K7" i="47" s="1"/>
  <c r="Q7" i="47"/>
  <c r="N15" i="47"/>
  <c r="E58" i="47"/>
  <c r="O6" i="47" s="1"/>
  <c r="D58" i="47"/>
  <c r="E52" i="47"/>
  <c r="N6" i="47" s="1"/>
  <c r="D52" i="47"/>
  <c r="E46" i="47"/>
  <c r="M6" i="47" s="1"/>
  <c r="D46" i="47"/>
  <c r="L6" i="47"/>
  <c r="D40" i="47"/>
  <c r="E21" i="47"/>
  <c r="I6" i="47" s="1"/>
  <c r="D21" i="47"/>
  <c r="F16" i="47"/>
  <c r="E15" i="47"/>
  <c r="H6" i="47" s="1"/>
  <c r="D15" i="47"/>
  <c r="X18" i="43"/>
  <c r="X19" i="43"/>
  <c r="X20" i="43"/>
  <c r="X21" i="43"/>
  <c r="X22" i="43"/>
  <c r="W18" i="43"/>
  <c r="W19" i="43"/>
  <c r="W20" i="43"/>
  <c r="W21" i="43"/>
  <c r="W22" i="43"/>
  <c r="U18" i="43"/>
  <c r="U19" i="43"/>
  <c r="U20" i="43"/>
  <c r="U21" i="43"/>
  <c r="U22" i="43"/>
  <c r="T18" i="43"/>
  <c r="T19" i="43"/>
  <c r="T20" i="43"/>
  <c r="T21" i="43"/>
  <c r="T22" i="43"/>
  <c r="S18" i="43"/>
  <c r="S19" i="43"/>
  <c r="S20" i="43"/>
  <c r="S21" i="43"/>
  <c r="S22" i="43"/>
  <c r="Q7" i="46"/>
  <c r="K5" i="46"/>
  <c r="X16" i="46"/>
  <c r="X15" i="46" s="1"/>
  <c r="E64" i="46" s="1"/>
  <c r="P6" i="46" s="1"/>
  <c r="W16" i="46"/>
  <c r="U16" i="46"/>
  <c r="U15" i="46" s="1"/>
  <c r="T16" i="46"/>
  <c r="S16" i="46"/>
  <c r="E58" i="46"/>
  <c r="O6" i="46" s="1"/>
  <c r="D58" i="46"/>
  <c r="E52" i="46"/>
  <c r="N6" i="46" s="1"/>
  <c r="D52" i="46"/>
  <c r="E46" i="46"/>
  <c r="M6" i="46" s="1"/>
  <c r="D46" i="46"/>
  <c r="L6" i="46"/>
  <c r="D40" i="46"/>
  <c r="F40" i="46" s="1"/>
  <c r="E34" i="46"/>
  <c r="F34" i="46" s="1"/>
  <c r="D21" i="46"/>
  <c r="D30" i="46" s="1"/>
  <c r="F16" i="46"/>
  <c r="E15" i="46"/>
  <c r="E29" i="46" s="1"/>
  <c r="D15" i="46"/>
  <c r="D29" i="46" s="1"/>
  <c r="X17" i="42"/>
  <c r="X18" i="42"/>
  <c r="X19" i="42"/>
  <c r="X16" i="42"/>
  <c r="W17" i="42"/>
  <c r="W18" i="42"/>
  <c r="Y18" i="42" s="1"/>
  <c r="W19" i="42"/>
  <c r="Y19" i="42" s="1"/>
  <c r="W16" i="42"/>
  <c r="U17" i="42"/>
  <c r="U18" i="42"/>
  <c r="U19" i="42"/>
  <c r="U16" i="42"/>
  <c r="T17" i="42"/>
  <c r="V17" i="42" s="1"/>
  <c r="T18" i="42"/>
  <c r="V18" i="42" s="1"/>
  <c r="T19" i="42"/>
  <c r="V19" i="42" s="1"/>
  <c r="T16" i="42"/>
  <c r="S19" i="42"/>
  <c r="S17" i="42"/>
  <c r="S18" i="42"/>
  <c r="S16" i="42"/>
  <c r="X16" i="41"/>
  <c r="W16" i="41"/>
  <c r="Y16" i="41" s="1"/>
  <c r="U16" i="41"/>
  <c r="T16" i="41"/>
  <c r="S16" i="41"/>
  <c r="L15" i="41" s="1"/>
  <c r="W17" i="36"/>
  <c r="X17" i="36"/>
  <c r="W19" i="36"/>
  <c r="X19" i="36"/>
  <c r="W20" i="36"/>
  <c r="X20" i="36"/>
  <c r="W21" i="36"/>
  <c r="X21" i="36"/>
  <c r="W22" i="36"/>
  <c r="X22" i="36"/>
  <c r="W23" i="36"/>
  <c r="X23" i="36"/>
  <c r="W24" i="36"/>
  <c r="X24" i="36"/>
  <c r="W25" i="36"/>
  <c r="X25" i="36"/>
  <c r="W26" i="36"/>
  <c r="X26" i="36"/>
  <c r="W27" i="36"/>
  <c r="X27" i="36"/>
  <c r="W28" i="36"/>
  <c r="X28" i="36"/>
  <c r="W29" i="36"/>
  <c r="X29" i="36"/>
  <c r="W30" i="36"/>
  <c r="X30" i="36"/>
  <c r="W31" i="36"/>
  <c r="X31" i="36"/>
  <c r="W32" i="36"/>
  <c r="X32" i="36"/>
  <c r="W33" i="36"/>
  <c r="X33" i="36"/>
  <c r="W34" i="36"/>
  <c r="X34" i="36"/>
  <c r="X16" i="36"/>
  <c r="W16" i="36"/>
  <c r="U17" i="36"/>
  <c r="U19" i="36"/>
  <c r="U20" i="36"/>
  <c r="U21" i="36"/>
  <c r="U22" i="36"/>
  <c r="U23" i="36"/>
  <c r="U24" i="36"/>
  <c r="U25" i="36"/>
  <c r="U26" i="36"/>
  <c r="U27" i="36"/>
  <c r="U28" i="36"/>
  <c r="U29" i="36"/>
  <c r="U30" i="36"/>
  <c r="U31" i="36"/>
  <c r="U32" i="36"/>
  <c r="U33" i="36"/>
  <c r="U34" i="36"/>
  <c r="U16" i="36"/>
  <c r="T17" i="36"/>
  <c r="T19" i="36"/>
  <c r="T20" i="36"/>
  <c r="T21" i="36"/>
  <c r="T22" i="36"/>
  <c r="T23" i="36"/>
  <c r="T24" i="36"/>
  <c r="T25" i="36"/>
  <c r="T26" i="36"/>
  <c r="T27" i="36"/>
  <c r="T28" i="36"/>
  <c r="T29" i="36"/>
  <c r="T30" i="36"/>
  <c r="T31" i="36"/>
  <c r="T32" i="36"/>
  <c r="T33" i="36"/>
  <c r="T34" i="36"/>
  <c r="T16" i="36"/>
  <c r="S17" i="36"/>
  <c r="S19" i="36"/>
  <c r="S20" i="36"/>
  <c r="S21" i="36"/>
  <c r="S22" i="36"/>
  <c r="S23" i="36"/>
  <c r="S24" i="36"/>
  <c r="S25" i="36"/>
  <c r="S26" i="36"/>
  <c r="S27" i="36"/>
  <c r="S28" i="36"/>
  <c r="S29" i="36"/>
  <c r="S30" i="36"/>
  <c r="S31" i="36"/>
  <c r="S32" i="36"/>
  <c r="S33" i="36"/>
  <c r="S34" i="36"/>
  <c r="S16" i="36"/>
  <c r="X17" i="35"/>
  <c r="X18"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51" i="35"/>
  <c r="X52" i="35"/>
  <c r="X53" i="35"/>
  <c r="X16" i="35"/>
  <c r="W17" i="35"/>
  <c r="W18" i="35"/>
  <c r="W20" i="35"/>
  <c r="W21"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W49" i="35"/>
  <c r="W50" i="35"/>
  <c r="W51" i="35"/>
  <c r="W52" i="35"/>
  <c r="W53" i="35"/>
  <c r="W16" i="35"/>
  <c r="U17" i="35"/>
  <c r="U18"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16" i="35"/>
  <c r="T17" i="35"/>
  <c r="T18"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16" i="35"/>
  <c r="S17" i="35"/>
  <c r="S18"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16" i="35"/>
  <c r="X17" i="34"/>
  <c r="X18" i="34"/>
  <c r="X19" i="34"/>
  <c r="X20" i="34"/>
  <c r="X21" i="34"/>
  <c r="X16" i="34"/>
  <c r="W17" i="34"/>
  <c r="W18" i="34"/>
  <c r="W19" i="34"/>
  <c r="W20" i="34"/>
  <c r="W21" i="34"/>
  <c r="W16" i="34"/>
  <c r="U17" i="34"/>
  <c r="U18" i="34"/>
  <c r="U19" i="34"/>
  <c r="U20" i="34"/>
  <c r="U21" i="34"/>
  <c r="U16" i="34"/>
  <c r="T17" i="34"/>
  <c r="T18" i="34"/>
  <c r="T19" i="34"/>
  <c r="T20" i="34"/>
  <c r="T21" i="34"/>
  <c r="T16" i="34"/>
  <c r="S17" i="34"/>
  <c r="S18" i="34"/>
  <c r="S19" i="34"/>
  <c r="S20" i="34"/>
  <c r="S21" i="34"/>
  <c r="S16" i="34"/>
  <c r="D64" i="33"/>
  <c r="D34" i="33"/>
  <c r="E34" i="33"/>
  <c r="Q7" i="31"/>
  <c r="E58" i="31"/>
  <c r="O6" i="31" s="1"/>
  <c r="D58" i="31"/>
  <c r="E52" i="31"/>
  <c r="N6" i="31" s="1"/>
  <c r="D52" i="31"/>
  <c r="E46" i="31"/>
  <c r="M6" i="31" s="1"/>
  <c r="L6" i="31"/>
  <c r="D40" i="31"/>
  <c r="F40" i="31" s="1"/>
  <c r="E34" i="31"/>
  <c r="D34" i="31"/>
  <c r="E21" i="31"/>
  <c r="I6" i="31" s="1"/>
  <c r="D21" i="31"/>
  <c r="F21" i="31" s="1"/>
  <c r="F16" i="31"/>
  <c r="E15" i="31"/>
  <c r="D15" i="31"/>
  <c r="D29" i="31" s="1"/>
  <c r="L6" i="29"/>
  <c r="M15" i="15" s="1"/>
  <c r="Q7" i="29"/>
  <c r="X17" i="29"/>
  <c r="X18" i="29"/>
  <c r="X19" i="29"/>
  <c r="X20" i="29"/>
  <c r="X21" i="29"/>
  <c r="X22" i="29"/>
  <c r="X23" i="29"/>
  <c r="X24" i="29"/>
  <c r="X25" i="29"/>
  <c r="X26" i="29"/>
  <c r="X28" i="29"/>
  <c r="X16" i="29"/>
  <c r="W17" i="29"/>
  <c r="Y17" i="29" s="1"/>
  <c r="W18" i="29"/>
  <c r="Y18" i="29" s="1"/>
  <c r="W19" i="29"/>
  <c r="Y19" i="29" s="1"/>
  <c r="W20" i="29"/>
  <c r="Y20" i="29" s="1"/>
  <c r="W21" i="29"/>
  <c r="Y21" i="29" s="1"/>
  <c r="W22" i="29"/>
  <c r="Y22" i="29" s="1"/>
  <c r="W23" i="29"/>
  <c r="Y23" i="29" s="1"/>
  <c r="W24" i="29"/>
  <c r="Y24" i="29" s="1"/>
  <c r="W25" i="29"/>
  <c r="Y25" i="29" s="1"/>
  <c r="W26" i="29"/>
  <c r="Y26" i="29" s="1"/>
  <c r="W28" i="29"/>
  <c r="Y28" i="29" s="1"/>
  <c r="W16" i="29"/>
  <c r="U28" i="29"/>
  <c r="U17" i="29"/>
  <c r="U18" i="29"/>
  <c r="U19" i="29"/>
  <c r="U20" i="29"/>
  <c r="U21" i="29"/>
  <c r="U22" i="29"/>
  <c r="U23" i="29"/>
  <c r="U24" i="29"/>
  <c r="U25" i="29"/>
  <c r="U26" i="29"/>
  <c r="U16" i="29"/>
  <c r="T17" i="29"/>
  <c r="T18" i="29"/>
  <c r="T19" i="29"/>
  <c r="T20" i="29"/>
  <c r="T21" i="29"/>
  <c r="T22" i="29"/>
  <c r="T23" i="29"/>
  <c r="T24" i="29"/>
  <c r="T25" i="29"/>
  <c r="T26" i="29"/>
  <c r="T28" i="29"/>
  <c r="T16" i="29"/>
  <c r="S17" i="29"/>
  <c r="S18" i="29"/>
  <c r="S19" i="29"/>
  <c r="S20" i="29"/>
  <c r="S21" i="29"/>
  <c r="S22" i="29"/>
  <c r="S23" i="29"/>
  <c r="S24" i="29"/>
  <c r="S25" i="29"/>
  <c r="S26" i="29"/>
  <c r="S28" i="29"/>
  <c r="S16" i="29"/>
  <c r="N15" i="29"/>
  <c r="E58" i="29"/>
  <c r="O6" i="29" s="1"/>
  <c r="P15" i="15" s="1"/>
  <c r="D58" i="29"/>
  <c r="E52" i="29"/>
  <c r="N6" i="29" s="1"/>
  <c r="O15" i="15" s="1"/>
  <c r="D52" i="29"/>
  <c r="E46" i="29"/>
  <c r="M6" i="29" s="1"/>
  <c r="N15" i="15" s="1"/>
  <c r="D46" i="29"/>
  <c r="D40" i="29"/>
  <c r="E34" i="29"/>
  <c r="K6" i="29" s="1"/>
  <c r="L15" i="15" s="1"/>
  <c r="D34" i="29"/>
  <c r="E15" i="29"/>
  <c r="E29" i="29" s="1"/>
  <c r="D15" i="29"/>
  <c r="D29" i="29" s="1"/>
  <c r="E21" i="29"/>
  <c r="E30" i="29" s="1"/>
  <c r="D21" i="29"/>
  <c r="D30" i="29" s="1"/>
  <c r="F57" i="114"/>
  <c r="F56" i="99"/>
  <c r="X17" i="28"/>
  <c r="X18" i="28"/>
  <c r="X19" i="28"/>
  <c r="X20" i="28"/>
  <c r="X21" i="28"/>
  <c r="X22" i="28"/>
  <c r="X23" i="28"/>
  <c r="X24" i="28"/>
  <c r="X25" i="28"/>
  <c r="X26" i="28"/>
  <c r="X16" i="28"/>
  <c r="W17" i="28"/>
  <c r="W18" i="28"/>
  <c r="W19" i="28"/>
  <c r="W20" i="28"/>
  <c r="W21" i="28"/>
  <c r="W22" i="28"/>
  <c r="W23" i="28"/>
  <c r="W24" i="28"/>
  <c r="W25" i="28"/>
  <c r="W26" i="28"/>
  <c r="W16" i="28"/>
  <c r="U17" i="28"/>
  <c r="U18" i="28"/>
  <c r="U19" i="28"/>
  <c r="U20" i="28"/>
  <c r="U21" i="28"/>
  <c r="U22" i="28"/>
  <c r="U23" i="28"/>
  <c r="U24" i="28"/>
  <c r="U25" i="28"/>
  <c r="U26" i="28"/>
  <c r="U16" i="28"/>
  <c r="T17" i="28"/>
  <c r="T18" i="28"/>
  <c r="T19" i="28"/>
  <c r="T20" i="28"/>
  <c r="T21" i="28"/>
  <c r="T22" i="28"/>
  <c r="T23" i="28"/>
  <c r="T24" i="28"/>
  <c r="T25" i="28"/>
  <c r="T26" i="28"/>
  <c r="T16" i="28"/>
  <c r="T15" i="28" s="1"/>
  <c r="S17" i="28"/>
  <c r="S18" i="28"/>
  <c r="S19" i="28"/>
  <c r="S20" i="28"/>
  <c r="S21" i="28"/>
  <c r="S22" i="28"/>
  <c r="S23" i="28"/>
  <c r="S24" i="28"/>
  <c r="S25" i="28"/>
  <c r="S26" i="28"/>
  <c r="S16" i="28"/>
  <c r="L15" i="28" s="1"/>
  <c r="X17" i="26"/>
  <c r="X18" i="26"/>
  <c r="X19" i="26"/>
  <c r="X20" i="26"/>
  <c r="X21" i="26"/>
  <c r="X22" i="26"/>
  <c r="X23" i="26"/>
  <c r="X24" i="26"/>
  <c r="X16" i="26"/>
  <c r="W17" i="26"/>
  <c r="W18" i="26"/>
  <c r="W19" i="26"/>
  <c r="W20" i="26"/>
  <c r="W21" i="26"/>
  <c r="W22" i="26"/>
  <c r="W23" i="26"/>
  <c r="W24" i="26"/>
  <c r="W16" i="26"/>
  <c r="U17" i="26"/>
  <c r="U18" i="26"/>
  <c r="U19" i="26"/>
  <c r="U20" i="26"/>
  <c r="U21" i="26"/>
  <c r="U22" i="26"/>
  <c r="U23" i="26"/>
  <c r="U24" i="26"/>
  <c r="U16" i="26"/>
  <c r="T18" i="26"/>
  <c r="V18" i="26" s="1"/>
  <c r="T19" i="26"/>
  <c r="V19" i="26" s="1"/>
  <c r="T20" i="26"/>
  <c r="V20" i="26" s="1"/>
  <c r="T21" i="26"/>
  <c r="V21" i="26" s="1"/>
  <c r="T22" i="26"/>
  <c r="V22" i="26" s="1"/>
  <c r="T23" i="26"/>
  <c r="V23" i="26" s="1"/>
  <c r="T24" i="26"/>
  <c r="V24" i="26" s="1"/>
  <c r="T17" i="26"/>
  <c r="V17" i="26" s="1"/>
  <c r="T16" i="26"/>
  <c r="S18" i="26"/>
  <c r="S19" i="26"/>
  <c r="S20" i="26"/>
  <c r="S21" i="26"/>
  <c r="S22" i="26"/>
  <c r="S23" i="26"/>
  <c r="S24" i="26"/>
  <c r="S17" i="26"/>
  <c r="S16" i="26"/>
  <c r="N15" i="26"/>
  <c r="Z15" i="25"/>
  <c r="X36" i="25"/>
  <c r="X38" i="25"/>
  <c r="X39" i="25"/>
  <c r="X40" i="25"/>
  <c r="W38" i="25"/>
  <c r="Y38" i="25" s="1"/>
  <c r="W39" i="25"/>
  <c r="Y39" i="25" s="1"/>
  <c r="W40" i="25"/>
  <c r="Y40" i="25" s="1"/>
  <c r="W36" i="25"/>
  <c r="U36" i="25"/>
  <c r="U38" i="25"/>
  <c r="U39" i="25"/>
  <c r="U40" i="25"/>
  <c r="T36" i="25"/>
  <c r="V36" i="25" s="1"/>
  <c r="T38" i="25"/>
  <c r="V38" i="25" s="1"/>
  <c r="T39" i="25"/>
  <c r="V39" i="25" s="1"/>
  <c r="T40" i="25"/>
  <c r="V40" i="25" s="1"/>
  <c r="S36" i="25"/>
  <c r="S38" i="25"/>
  <c r="S39" i="25"/>
  <c r="S40" i="25"/>
  <c r="X18" i="24"/>
  <c r="X19" i="24"/>
  <c r="X20" i="24"/>
  <c r="X21" i="24"/>
  <c r="X22" i="24"/>
  <c r="X17" i="24"/>
  <c r="X16" i="24"/>
  <c r="W18" i="24"/>
  <c r="W19" i="24"/>
  <c r="Y19" i="24" s="1"/>
  <c r="W20" i="24"/>
  <c r="Y20" i="24" s="1"/>
  <c r="W21" i="24"/>
  <c r="Y21" i="24" s="1"/>
  <c r="W22" i="24"/>
  <c r="W17" i="24"/>
  <c r="Y17" i="24" s="1"/>
  <c r="W16" i="24"/>
  <c r="U18" i="24"/>
  <c r="U19" i="24"/>
  <c r="U20" i="24"/>
  <c r="U21" i="24"/>
  <c r="U22" i="24"/>
  <c r="U17" i="24"/>
  <c r="U16" i="24"/>
  <c r="T18" i="24"/>
  <c r="V18" i="24" s="1"/>
  <c r="T19" i="24"/>
  <c r="T20" i="24"/>
  <c r="T21" i="24"/>
  <c r="V21" i="24" s="1"/>
  <c r="T22" i="24"/>
  <c r="V22" i="24" s="1"/>
  <c r="T17" i="24"/>
  <c r="V17" i="24" s="1"/>
  <c r="T16" i="24"/>
  <c r="S18" i="24"/>
  <c r="S19" i="24"/>
  <c r="S20" i="24"/>
  <c r="S21" i="24"/>
  <c r="S22" i="24"/>
  <c r="S17" i="24"/>
  <c r="S16" i="24"/>
  <c r="X16" i="23"/>
  <c r="X18" i="23"/>
  <c r="X19" i="23"/>
  <c r="X20" i="23"/>
  <c r="X21" i="23"/>
  <c r="X25" i="23"/>
  <c r="X26" i="23"/>
  <c r="X27" i="23"/>
  <c r="X28" i="23"/>
  <c r="X29" i="23"/>
  <c r="X30" i="23"/>
  <c r="X31" i="23"/>
  <c r="X32" i="23"/>
  <c r="X33" i="23"/>
  <c r="X34" i="23"/>
  <c r="X35" i="23"/>
  <c r="X36" i="23"/>
  <c r="X37" i="23"/>
  <c r="X17" i="23"/>
  <c r="W16" i="23"/>
  <c r="W18" i="23"/>
  <c r="W19" i="23"/>
  <c r="W20" i="23"/>
  <c r="W21" i="23"/>
  <c r="W25" i="23"/>
  <c r="W26" i="23"/>
  <c r="W27" i="23"/>
  <c r="W28" i="23"/>
  <c r="W29" i="23"/>
  <c r="W30" i="23"/>
  <c r="W31" i="23"/>
  <c r="W32" i="23"/>
  <c r="W33" i="23"/>
  <c r="W34" i="23"/>
  <c r="W35" i="23"/>
  <c r="W36" i="23"/>
  <c r="W37" i="23"/>
  <c r="W17" i="23"/>
  <c r="T19" i="19"/>
  <c r="U19" i="19"/>
  <c r="T20" i="19"/>
  <c r="U20" i="19"/>
  <c r="T21" i="19"/>
  <c r="U21" i="19"/>
  <c r="T22" i="19"/>
  <c r="U22" i="19"/>
  <c r="T23" i="19"/>
  <c r="U23" i="19"/>
  <c r="T24" i="19"/>
  <c r="U24" i="19"/>
  <c r="T25" i="19"/>
  <c r="U25" i="19"/>
  <c r="T26" i="19"/>
  <c r="U26" i="19"/>
  <c r="T27" i="19"/>
  <c r="U27" i="19"/>
  <c r="T28" i="19"/>
  <c r="U28" i="19"/>
  <c r="T29" i="19"/>
  <c r="U29" i="19"/>
  <c r="T30" i="19"/>
  <c r="U30" i="19"/>
  <c r="T31" i="19"/>
  <c r="U31" i="19"/>
  <c r="T32" i="19"/>
  <c r="U32" i="19"/>
  <c r="T33" i="19"/>
  <c r="U33" i="19"/>
  <c r="T34" i="19"/>
  <c r="U34" i="19"/>
  <c r="T35" i="19"/>
  <c r="U35" i="19"/>
  <c r="T36" i="19"/>
  <c r="U36" i="19"/>
  <c r="T37" i="19"/>
  <c r="U37" i="19"/>
  <c r="T38" i="19"/>
  <c r="U38" i="19"/>
  <c r="T39" i="19"/>
  <c r="V39" i="19" s="1"/>
  <c r="U39" i="19"/>
  <c r="T40" i="19"/>
  <c r="U40" i="19"/>
  <c r="T41" i="19"/>
  <c r="U41" i="19"/>
  <c r="T42" i="19"/>
  <c r="U42" i="19"/>
  <c r="T43" i="19"/>
  <c r="U43" i="19"/>
  <c r="T44" i="19"/>
  <c r="U44" i="19"/>
  <c r="T45" i="19"/>
  <c r="U45" i="19"/>
  <c r="T46" i="19"/>
  <c r="U46" i="19"/>
  <c r="T47" i="19"/>
  <c r="U47" i="19"/>
  <c r="T48" i="19"/>
  <c r="U48" i="19"/>
  <c r="T49" i="19"/>
  <c r="U49" i="19"/>
  <c r="T50" i="19"/>
  <c r="U50" i="19"/>
  <c r="T51" i="19"/>
  <c r="U51" i="19"/>
  <c r="T52" i="19"/>
  <c r="U52" i="19"/>
  <c r="T53" i="19"/>
  <c r="U53" i="19"/>
  <c r="T54" i="19"/>
  <c r="U54" i="19"/>
  <c r="T55" i="19"/>
  <c r="U55" i="19"/>
  <c r="T56" i="19"/>
  <c r="U56" i="19"/>
  <c r="T57" i="19"/>
  <c r="U57" i="19"/>
  <c r="T58" i="19"/>
  <c r="U58" i="19"/>
  <c r="T59" i="19"/>
  <c r="U59" i="19"/>
  <c r="T60" i="19"/>
  <c r="U60" i="19"/>
  <c r="T61" i="19"/>
  <c r="U61" i="19"/>
  <c r="T62" i="19"/>
  <c r="U62" i="19"/>
  <c r="T63" i="19"/>
  <c r="U63" i="19"/>
  <c r="T64" i="19"/>
  <c r="U64" i="19"/>
  <c r="T65" i="19"/>
  <c r="U65" i="19"/>
  <c r="T66" i="19"/>
  <c r="U66" i="19"/>
  <c r="V66" i="19" s="1"/>
  <c r="T67" i="19"/>
  <c r="U67" i="19"/>
  <c r="V67" i="19" s="1"/>
  <c r="T68" i="19"/>
  <c r="U68" i="19"/>
  <c r="V68" i="19" s="1"/>
  <c r="T69" i="19"/>
  <c r="U69" i="19"/>
  <c r="V69" i="19" s="1"/>
  <c r="T70" i="19"/>
  <c r="U70" i="19"/>
  <c r="V70" i="19" s="1"/>
  <c r="T71" i="19"/>
  <c r="U71" i="19"/>
  <c r="T72" i="19"/>
  <c r="U72" i="19"/>
  <c r="V72" i="19" s="1"/>
  <c r="T73" i="19"/>
  <c r="U73" i="19"/>
  <c r="V73" i="19" s="1"/>
  <c r="T74" i="19"/>
  <c r="U74" i="19"/>
  <c r="V74" i="19" s="1"/>
  <c r="T75" i="19"/>
  <c r="U75" i="19"/>
  <c r="T76" i="19"/>
  <c r="U76" i="19"/>
  <c r="V76" i="19" s="1"/>
  <c r="T77" i="19"/>
  <c r="U77" i="19"/>
  <c r="V77" i="19" s="1"/>
  <c r="T78" i="19"/>
  <c r="U78" i="19"/>
  <c r="V78" i="19" s="1"/>
  <c r="T79" i="19"/>
  <c r="U79" i="19"/>
  <c r="T80" i="19"/>
  <c r="U80" i="19"/>
  <c r="V80" i="19" s="1"/>
  <c r="T81" i="19"/>
  <c r="U81" i="19"/>
  <c r="V81" i="19" s="1"/>
  <c r="T82" i="19"/>
  <c r="U82" i="19"/>
  <c r="V82" i="19" s="1"/>
  <c r="T83" i="19"/>
  <c r="U83" i="19"/>
  <c r="V83" i="19" s="1"/>
  <c r="T84" i="19"/>
  <c r="U84" i="19"/>
  <c r="V84" i="19" s="1"/>
  <c r="T85" i="19"/>
  <c r="U85" i="19"/>
  <c r="V85" i="19" s="1"/>
  <c r="T86" i="19"/>
  <c r="U86" i="19"/>
  <c r="V86" i="19" s="1"/>
  <c r="T87" i="19"/>
  <c r="U87" i="19"/>
  <c r="T88" i="19"/>
  <c r="U88" i="19"/>
  <c r="V88" i="19" s="1"/>
  <c r="U18" i="19"/>
  <c r="T18" i="19"/>
  <c r="U17" i="21"/>
  <c r="U15" i="21" s="1"/>
  <c r="T17" i="21"/>
  <c r="U18" i="22"/>
  <c r="U19" i="22"/>
  <c r="U20" i="22"/>
  <c r="U17" i="22"/>
  <c r="U16" i="22"/>
  <c r="T18" i="22"/>
  <c r="T19" i="22"/>
  <c r="T20" i="22"/>
  <c r="T17" i="22"/>
  <c r="T16" i="22"/>
  <c r="U18" i="23"/>
  <c r="U19" i="23"/>
  <c r="U20" i="23"/>
  <c r="U21" i="23"/>
  <c r="U25" i="23"/>
  <c r="U26" i="23"/>
  <c r="U27" i="23"/>
  <c r="U28" i="23"/>
  <c r="U29" i="23"/>
  <c r="U30" i="23"/>
  <c r="U31" i="23"/>
  <c r="U32" i="23"/>
  <c r="U33" i="23"/>
  <c r="U34" i="23"/>
  <c r="U35" i="23"/>
  <c r="U36" i="23"/>
  <c r="U37" i="23"/>
  <c r="U17" i="23"/>
  <c r="U16" i="23"/>
  <c r="T18" i="23"/>
  <c r="T19" i="23"/>
  <c r="T20" i="23"/>
  <c r="T21" i="23"/>
  <c r="T25" i="23"/>
  <c r="T26" i="23"/>
  <c r="T27" i="23"/>
  <c r="T28" i="23"/>
  <c r="T29" i="23"/>
  <c r="T30" i="23"/>
  <c r="T31" i="23"/>
  <c r="T32" i="23"/>
  <c r="T33" i="23"/>
  <c r="T34" i="23"/>
  <c r="T35" i="23"/>
  <c r="T36" i="23"/>
  <c r="T37" i="23"/>
  <c r="T17" i="23"/>
  <c r="T16" i="23"/>
  <c r="S18" i="23"/>
  <c r="S19" i="23"/>
  <c r="S20" i="23"/>
  <c r="S21" i="23"/>
  <c r="S25" i="23"/>
  <c r="S26" i="23"/>
  <c r="S27" i="23"/>
  <c r="S28" i="23"/>
  <c r="S29" i="23"/>
  <c r="S30" i="23"/>
  <c r="S31" i="23"/>
  <c r="S32" i="23"/>
  <c r="S33" i="23"/>
  <c r="S34" i="23"/>
  <c r="S35" i="23"/>
  <c r="S36" i="23"/>
  <c r="S37" i="23"/>
  <c r="S17" i="23"/>
  <c r="S16" i="23"/>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18" i="19"/>
  <c r="X15" i="19" s="1"/>
  <c r="E70" i="19" s="1"/>
  <c r="P6" i="19" s="1"/>
  <c r="W19" i="19"/>
  <c r="W20" i="19"/>
  <c r="W21" i="19"/>
  <c r="W22" i="19"/>
  <c r="W23" i="19"/>
  <c r="W24" i="19"/>
  <c r="W25" i="19"/>
  <c r="W26" i="19"/>
  <c r="Y26" i="19" s="1"/>
  <c r="W27" i="19"/>
  <c r="W28" i="19"/>
  <c r="W29" i="19"/>
  <c r="W30" i="19"/>
  <c r="Y30" i="19" s="1"/>
  <c r="W31" i="19"/>
  <c r="W32" i="19"/>
  <c r="W33" i="19"/>
  <c r="W34" i="19"/>
  <c r="W35" i="19"/>
  <c r="W36" i="19"/>
  <c r="W37" i="19"/>
  <c r="W38" i="19"/>
  <c r="Y38" i="19" s="1"/>
  <c r="W39" i="19"/>
  <c r="W40" i="19"/>
  <c r="W41" i="19"/>
  <c r="W42" i="19"/>
  <c r="Y42" i="19" s="1"/>
  <c r="W43" i="19"/>
  <c r="W44" i="19"/>
  <c r="W45" i="19"/>
  <c r="W46" i="19"/>
  <c r="Y46" i="19" s="1"/>
  <c r="W47" i="19"/>
  <c r="W48" i="19"/>
  <c r="W49" i="19"/>
  <c r="W50" i="19"/>
  <c r="W51" i="19"/>
  <c r="W52" i="19"/>
  <c r="W53" i="19"/>
  <c r="W54" i="19"/>
  <c r="Y54" i="19" s="1"/>
  <c r="W55" i="19"/>
  <c r="W56" i="19"/>
  <c r="W57" i="19"/>
  <c r="W58" i="19"/>
  <c r="Y58" i="19" s="1"/>
  <c r="W59" i="19"/>
  <c r="W60" i="19"/>
  <c r="W61" i="19"/>
  <c r="W62" i="19"/>
  <c r="Y62" i="19" s="1"/>
  <c r="W63" i="19"/>
  <c r="W64" i="19"/>
  <c r="W65" i="19"/>
  <c r="W66" i="19"/>
  <c r="Y66" i="19" s="1"/>
  <c r="W67" i="19"/>
  <c r="W68" i="19"/>
  <c r="W69" i="19"/>
  <c r="W70" i="19"/>
  <c r="Y70" i="19" s="1"/>
  <c r="W71" i="19"/>
  <c r="W72" i="19"/>
  <c r="W73" i="19"/>
  <c r="W74" i="19"/>
  <c r="Y74" i="19" s="1"/>
  <c r="W75" i="19"/>
  <c r="W76" i="19"/>
  <c r="W77" i="19"/>
  <c r="W78" i="19"/>
  <c r="Y78" i="19" s="1"/>
  <c r="W79" i="19"/>
  <c r="W80" i="19"/>
  <c r="W81" i="19"/>
  <c r="W82" i="19"/>
  <c r="Y82" i="19" s="1"/>
  <c r="W83" i="19"/>
  <c r="W84" i="19"/>
  <c r="W85" i="19"/>
  <c r="W86" i="19"/>
  <c r="Y86" i="19" s="1"/>
  <c r="W87" i="19"/>
  <c r="W88" i="19"/>
  <c r="W18" i="19"/>
  <c r="X18" i="21"/>
  <c r="X19" i="21"/>
  <c r="X17" i="21"/>
  <c r="W18" i="21"/>
  <c r="W19" i="21"/>
  <c r="W17" i="21"/>
  <c r="X18" i="22"/>
  <c r="X19" i="22"/>
  <c r="X20" i="22"/>
  <c r="X17" i="22"/>
  <c r="X16" i="22"/>
  <c r="W18" i="22"/>
  <c r="W19" i="22"/>
  <c r="W20" i="22"/>
  <c r="W17" i="22"/>
  <c r="W16" i="22"/>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18" i="19"/>
  <c r="AC17" i="19"/>
  <c r="Y22" i="19"/>
  <c r="Y17" i="19"/>
  <c r="V71" i="19"/>
  <c r="V87" i="19"/>
  <c r="V17"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18" i="19"/>
  <c r="S17" i="19"/>
  <c r="S19" i="21"/>
  <c r="S18" i="21"/>
  <c r="S17" i="21"/>
  <c r="S18" i="22"/>
  <c r="S19" i="22"/>
  <c r="S20" i="22"/>
  <c r="S17" i="22"/>
  <c r="S16" i="22"/>
  <c r="Z15" i="21"/>
  <c r="F61" i="128"/>
  <c r="F59" i="128"/>
  <c r="F56" i="128"/>
  <c r="F55" i="128"/>
  <c r="F54" i="128"/>
  <c r="F53" i="128"/>
  <c r="F52" i="128"/>
  <c r="F50" i="128"/>
  <c r="F49" i="128"/>
  <c r="F48" i="128"/>
  <c r="F47" i="128"/>
  <c r="E46" i="128"/>
  <c r="D46" i="128"/>
  <c r="F44" i="128"/>
  <c r="F43" i="128"/>
  <c r="F42" i="128"/>
  <c r="F41" i="128"/>
  <c r="E40" i="128"/>
  <c r="D40" i="128"/>
  <c r="F25" i="128"/>
  <c r="F24" i="128"/>
  <c r="F23" i="128"/>
  <c r="F22" i="128"/>
  <c r="E21" i="128"/>
  <c r="D21" i="128"/>
  <c r="B20" i="128"/>
  <c r="F19" i="128"/>
  <c r="F18" i="128"/>
  <c r="F17" i="128"/>
  <c r="F16" i="128"/>
  <c r="E15" i="128"/>
  <c r="E29" i="128" s="1"/>
  <c r="D29" i="128"/>
  <c r="P7" i="128"/>
  <c r="S32" i="16" l="1"/>
  <c r="F30" i="29"/>
  <c r="L15" i="35"/>
  <c r="X15" i="35"/>
  <c r="L15" i="43"/>
  <c r="L15" i="36"/>
  <c r="L15" i="51"/>
  <c r="V16" i="51"/>
  <c r="Y16" i="51"/>
  <c r="Y18" i="51"/>
  <c r="L15" i="23"/>
  <c r="L15" i="26"/>
  <c r="L15" i="42"/>
  <c r="V20" i="24"/>
  <c r="Y22" i="24"/>
  <c r="Y18" i="24"/>
  <c r="L15" i="24"/>
  <c r="V19" i="24"/>
  <c r="L15" i="82"/>
  <c r="L15" i="21"/>
  <c r="R39" i="16"/>
  <c r="V79" i="19"/>
  <c r="V75" i="19"/>
  <c r="J29" i="12"/>
  <c r="J29" i="10" s="1"/>
  <c r="H29" i="12"/>
  <c r="F29" i="46"/>
  <c r="F29" i="29"/>
  <c r="Y85" i="19"/>
  <c r="Y81" i="19"/>
  <c r="Y77" i="19"/>
  <c r="Y73" i="19"/>
  <c r="Y69" i="19"/>
  <c r="Y65" i="19"/>
  <c r="Y61" i="19"/>
  <c r="Y57" i="19"/>
  <c r="Y53" i="19"/>
  <c r="Y49" i="19"/>
  <c r="Y45" i="19"/>
  <c r="Y41" i="19"/>
  <c r="Y37" i="19"/>
  <c r="Y33" i="19"/>
  <c r="Y29" i="19"/>
  <c r="Y25" i="19"/>
  <c r="Y21" i="19"/>
  <c r="F21" i="82"/>
  <c r="D30" i="82"/>
  <c r="D27" i="82" s="1"/>
  <c r="D12" i="82" s="1"/>
  <c r="H6" i="82"/>
  <c r="I42" i="18" s="1"/>
  <c r="E29" i="82"/>
  <c r="H6" i="80"/>
  <c r="I50" i="15" s="1"/>
  <c r="X15" i="80"/>
  <c r="E64" i="80" s="1"/>
  <c r="P6" i="80" s="1"/>
  <c r="Q50" i="15" s="1"/>
  <c r="Q52" i="15" s="1"/>
  <c r="L15" i="80"/>
  <c r="U15" i="80"/>
  <c r="S6" i="80" s="1"/>
  <c r="T50" i="15" s="1"/>
  <c r="G33" i="12" s="1"/>
  <c r="G35" i="12" s="1"/>
  <c r="T15" i="35"/>
  <c r="L15" i="34"/>
  <c r="U15" i="35"/>
  <c r="W15" i="35"/>
  <c r="D64" i="35" s="1"/>
  <c r="L15" i="22"/>
  <c r="F58" i="46"/>
  <c r="T15" i="29"/>
  <c r="L15" i="29"/>
  <c r="Y17" i="42"/>
  <c r="AC15" i="19"/>
  <c r="W15" i="19"/>
  <c r="D70" i="19" s="1"/>
  <c r="P5" i="19" s="1"/>
  <c r="Y88" i="19"/>
  <c r="Y84" i="19"/>
  <c r="Y80" i="19"/>
  <c r="Y76" i="19"/>
  <c r="Y72" i="19"/>
  <c r="Y68" i="19"/>
  <c r="Y64" i="19"/>
  <c r="Y60" i="19"/>
  <c r="Y56" i="19"/>
  <c r="Y52" i="19"/>
  <c r="Y48" i="19"/>
  <c r="Y44" i="19"/>
  <c r="Y40" i="19"/>
  <c r="Y36" i="19"/>
  <c r="Y32" i="19"/>
  <c r="Y28" i="19"/>
  <c r="Y24" i="19"/>
  <c r="Y20" i="19"/>
  <c r="T15" i="19"/>
  <c r="L15" i="19"/>
  <c r="U15" i="19"/>
  <c r="H6" i="31"/>
  <c r="E29" i="31"/>
  <c r="F29" i="31" s="1"/>
  <c r="F15" i="47"/>
  <c r="D29" i="47"/>
  <c r="F29" i="47" s="1"/>
  <c r="T15" i="80"/>
  <c r="S5" i="80" s="1"/>
  <c r="S7" i="80" s="1"/>
  <c r="V18" i="80"/>
  <c r="W15" i="80"/>
  <c r="D64" i="80" s="1"/>
  <c r="P5" i="80" s="1"/>
  <c r="Q50" i="14" s="1"/>
  <c r="Y18" i="80"/>
  <c r="V17" i="80"/>
  <c r="Y17" i="80"/>
  <c r="F58" i="82"/>
  <c r="T15" i="82"/>
  <c r="S5" i="82" s="1"/>
  <c r="T42" i="17" s="1"/>
  <c r="I33" i="11" s="1"/>
  <c r="W15" i="82"/>
  <c r="D64" i="82" s="1"/>
  <c r="P5" i="82" s="1"/>
  <c r="Q42" i="17" s="1"/>
  <c r="X15" i="82"/>
  <c r="F40" i="128"/>
  <c r="E27" i="128"/>
  <c r="J6" i="128" s="1"/>
  <c r="F21" i="128"/>
  <c r="F30" i="128"/>
  <c r="F15" i="128"/>
  <c r="F29" i="128"/>
  <c r="F31" i="128"/>
  <c r="F46" i="128"/>
  <c r="J53" i="10"/>
  <c r="Y18" i="21"/>
  <c r="X15" i="31"/>
  <c r="E64" i="31" s="1"/>
  <c r="P6" i="31" s="1"/>
  <c r="W15" i="31"/>
  <c r="Y36" i="23"/>
  <c r="Y32" i="23"/>
  <c r="Y28" i="23"/>
  <c r="Y21" i="23"/>
  <c r="U15" i="47"/>
  <c r="T15" i="47"/>
  <c r="Y51" i="35"/>
  <c r="Y47" i="35"/>
  <c r="Y43" i="35"/>
  <c r="Y39" i="35"/>
  <c r="Y35" i="35"/>
  <c r="Y31" i="35"/>
  <c r="Y27" i="35"/>
  <c r="Y23" i="35"/>
  <c r="Y18" i="35"/>
  <c r="Q7" i="51"/>
  <c r="F34" i="31"/>
  <c r="Y19" i="51"/>
  <c r="Y16" i="47"/>
  <c r="Y15" i="47" s="1"/>
  <c r="Y20" i="22"/>
  <c r="W15" i="21"/>
  <c r="D64" i="21" s="1"/>
  <c r="Y19" i="21"/>
  <c r="Y50" i="19"/>
  <c r="Y34" i="19"/>
  <c r="V63" i="19"/>
  <c r="V59" i="19"/>
  <c r="V55" i="19"/>
  <c r="V51" i="19"/>
  <c r="V47" i="19"/>
  <c r="V43" i="19"/>
  <c r="V35" i="19"/>
  <c r="V31" i="19"/>
  <c r="V27" i="19"/>
  <c r="V23" i="19"/>
  <c r="V19" i="19"/>
  <c r="Y16" i="26"/>
  <c r="Y21" i="26"/>
  <c r="Y17" i="26"/>
  <c r="Y22" i="43"/>
  <c r="V18" i="22"/>
  <c r="Y24" i="28"/>
  <c r="Y20" i="28"/>
  <c r="W15" i="34"/>
  <c r="Y18" i="34"/>
  <c r="Y16" i="35"/>
  <c r="Y50" i="35"/>
  <c r="Y46" i="35"/>
  <c r="Y42" i="35"/>
  <c r="Y38" i="35"/>
  <c r="Y34" i="35"/>
  <c r="Y30" i="35"/>
  <c r="Y26" i="35"/>
  <c r="Y22" i="35"/>
  <c r="Y15" i="41"/>
  <c r="X15" i="41"/>
  <c r="E63" i="41" s="1"/>
  <c r="Y21" i="43"/>
  <c r="W15" i="47"/>
  <c r="Y19" i="44"/>
  <c r="Y29" i="50"/>
  <c r="Y25" i="50"/>
  <c r="Y21" i="50"/>
  <c r="Y17" i="50"/>
  <c r="Y18" i="43"/>
  <c r="X15" i="21"/>
  <c r="E64" i="21" s="1"/>
  <c r="V17" i="21"/>
  <c r="V15" i="21" s="1"/>
  <c r="W15" i="24"/>
  <c r="X15" i="24"/>
  <c r="E64" i="24" s="1"/>
  <c r="W15" i="25"/>
  <c r="X15" i="25"/>
  <c r="E64" i="25" s="1"/>
  <c r="Y21" i="34"/>
  <c r="Y17" i="34"/>
  <c r="V53" i="35"/>
  <c r="V49" i="35"/>
  <c r="V45" i="35"/>
  <c r="V41" i="35"/>
  <c r="V37" i="35"/>
  <c r="V33" i="35"/>
  <c r="V29" i="35"/>
  <c r="V25" i="35"/>
  <c r="V18" i="44"/>
  <c r="Y16" i="44"/>
  <c r="Y18" i="44"/>
  <c r="V28" i="50"/>
  <c r="V24" i="50"/>
  <c r="V20" i="50"/>
  <c r="Y28" i="50"/>
  <c r="Y24" i="50"/>
  <c r="Y20" i="50"/>
  <c r="V64" i="19"/>
  <c r="V62" i="19"/>
  <c r="V60" i="19"/>
  <c r="V58" i="19"/>
  <c r="V56" i="19"/>
  <c r="V54" i="19"/>
  <c r="V52" i="19"/>
  <c r="V50" i="19"/>
  <c r="V48" i="19"/>
  <c r="V46" i="19"/>
  <c r="V44" i="19"/>
  <c r="V42" i="19"/>
  <c r="V40" i="19"/>
  <c r="V38" i="19"/>
  <c r="V36" i="19"/>
  <c r="V34" i="19"/>
  <c r="V32" i="19"/>
  <c r="V30" i="19"/>
  <c r="V28" i="19"/>
  <c r="V26" i="19"/>
  <c r="V24" i="19"/>
  <c r="V22" i="19"/>
  <c r="V20" i="19"/>
  <c r="V21" i="43"/>
  <c r="T15" i="31"/>
  <c r="S5" i="31" s="1"/>
  <c r="V18" i="34"/>
  <c r="V16" i="23"/>
  <c r="V35" i="23"/>
  <c r="V31" i="23"/>
  <c r="V27" i="23"/>
  <c r="V20" i="23"/>
  <c r="V20" i="22"/>
  <c r="U15" i="22"/>
  <c r="V65" i="19"/>
  <c r="V61" i="19"/>
  <c r="V57" i="19"/>
  <c r="V53" i="19"/>
  <c r="V49" i="19"/>
  <c r="V45" i="19"/>
  <c r="V41" i="19"/>
  <c r="V37" i="19"/>
  <c r="V33" i="19"/>
  <c r="V29" i="19"/>
  <c r="V25" i="19"/>
  <c r="V21" i="19"/>
  <c r="T15" i="24"/>
  <c r="U15" i="24"/>
  <c r="T15" i="25"/>
  <c r="U15" i="25"/>
  <c r="U15" i="26"/>
  <c r="V26" i="29"/>
  <c r="V22" i="29"/>
  <c r="V18" i="29"/>
  <c r="O5" i="29"/>
  <c r="F58" i="29"/>
  <c r="F58" i="31"/>
  <c r="F58" i="47"/>
  <c r="N5" i="29"/>
  <c r="N7" i="29" s="1"/>
  <c r="F52" i="29"/>
  <c r="N5" i="46"/>
  <c r="N7" i="46" s="1"/>
  <c r="F52" i="46"/>
  <c r="F52" i="31"/>
  <c r="F52" i="47"/>
  <c r="M5" i="29"/>
  <c r="N15" i="14" s="1"/>
  <c r="F46" i="29"/>
  <c r="M5" i="46"/>
  <c r="M7" i="46" s="1"/>
  <c r="F46" i="46"/>
  <c r="F46" i="47"/>
  <c r="L5" i="29"/>
  <c r="M15" i="14" s="1"/>
  <c r="F40" i="29"/>
  <c r="L5" i="47"/>
  <c r="F40" i="47"/>
  <c r="F34" i="33"/>
  <c r="K5" i="29"/>
  <c r="K7" i="29" s="1"/>
  <c r="F34" i="29"/>
  <c r="F21" i="29"/>
  <c r="F21" i="47"/>
  <c r="F15" i="29"/>
  <c r="F15" i="31"/>
  <c r="F15" i="46"/>
  <c r="V21" i="35"/>
  <c r="Y33" i="36"/>
  <c r="Y31" i="36"/>
  <c r="Y29" i="36"/>
  <c r="Y27" i="36"/>
  <c r="Y25" i="36"/>
  <c r="Y23" i="36"/>
  <c r="Y21" i="36"/>
  <c r="V32" i="36"/>
  <c r="V28" i="36"/>
  <c r="V24" i="36"/>
  <c r="V17" i="22"/>
  <c r="Y18" i="28"/>
  <c r="V51" i="35"/>
  <c r="V43" i="35"/>
  <c r="V35" i="35"/>
  <c r="V27" i="35"/>
  <c r="Y49" i="35"/>
  <c r="Y45" i="35"/>
  <c r="Y37" i="35"/>
  <c r="Y29" i="35"/>
  <c r="Y21" i="35"/>
  <c r="V30" i="36"/>
  <c r="V19" i="36"/>
  <c r="Y34" i="36"/>
  <c r="Y30" i="36"/>
  <c r="Y26" i="36"/>
  <c r="Y24" i="36"/>
  <c r="W15" i="42"/>
  <c r="V19" i="43"/>
  <c r="X15" i="43"/>
  <c r="E64" i="43" s="1"/>
  <c r="X15" i="50"/>
  <c r="E64" i="50" s="1"/>
  <c r="T15" i="21"/>
  <c r="V37" i="23"/>
  <c r="V33" i="23"/>
  <c r="V29" i="23"/>
  <c r="V25" i="23"/>
  <c r="V18" i="23"/>
  <c r="T15" i="22"/>
  <c r="V19" i="22"/>
  <c r="Y17" i="23"/>
  <c r="Y34" i="23"/>
  <c r="Y30" i="23"/>
  <c r="Y26" i="23"/>
  <c r="Y19" i="23"/>
  <c r="X15" i="26"/>
  <c r="E64" i="26" s="1"/>
  <c r="V24" i="29"/>
  <c r="V20" i="29"/>
  <c r="W15" i="29"/>
  <c r="X15" i="29"/>
  <c r="E64" i="29" s="1"/>
  <c r="P6" i="29" s="1"/>
  <c r="V20" i="34"/>
  <c r="Y20" i="34"/>
  <c r="X15" i="34"/>
  <c r="E64" i="34" s="1"/>
  <c r="Y52" i="35"/>
  <c r="Y48" i="35"/>
  <c r="Y44" i="35"/>
  <c r="Y40" i="35"/>
  <c r="Y36" i="35"/>
  <c r="Y32" i="35"/>
  <c r="Y28" i="35"/>
  <c r="Y24" i="35"/>
  <c r="Y20" i="35"/>
  <c r="Y17" i="35"/>
  <c r="Y19" i="43"/>
  <c r="V21" i="44"/>
  <c r="V17" i="44"/>
  <c r="Y21" i="44"/>
  <c r="Y17" i="44"/>
  <c r="V27" i="50"/>
  <c r="V23" i="50"/>
  <c r="V19" i="50"/>
  <c r="Y27" i="50"/>
  <c r="Y23" i="50"/>
  <c r="Y19" i="50"/>
  <c r="U15" i="31"/>
  <c r="S6" i="31" s="1"/>
  <c r="Y17" i="21"/>
  <c r="Y26" i="28"/>
  <c r="Y22" i="28"/>
  <c r="V47" i="35"/>
  <c r="V39" i="35"/>
  <c r="V31" i="35"/>
  <c r="V23" i="35"/>
  <c r="Y53" i="35"/>
  <c r="Y41" i="35"/>
  <c r="Y33" i="35"/>
  <c r="Y25" i="35"/>
  <c r="V34" i="36"/>
  <c r="V26" i="36"/>
  <c r="V22" i="36"/>
  <c r="Y32" i="36"/>
  <c r="Y28" i="36"/>
  <c r="Y22" i="36"/>
  <c r="X15" i="42"/>
  <c r="E64" i="42" s="1"/>
  <c r="Y20" i="43"/>
  <c r="W15" i="22"/>
  <c r="Y18" i="22"/>
  <c r="Y23" i="26"/>
  <c r="Y19" i="26"/>
  <c r="X15" i="28"/>
  <c r="E64" i="28" s="1"/>
  <c r="V28" i="29"/>
  <c r="V19" i="34"/>
  <c r="Y19" i="34"/>
  <c r="U15" i="36"/>
  <c r="X15" i="36"/>
  <c r="E65" i="36" s="1"/>
  <c r="E12" i="36" s="1"/>
  <c r="E66" i="36" s="1"/>
  <c r="V20" i="44"/>
  <c r="Y20" i="44"/>
  <c r="V30" i="50"/>
  <c r="V26" i="50"/>
  <c r="V22" i="50"/>
  <c r="V18" i="50"/>
  <c r="W15" i="50"/>
  <c r="Y30" i="50"/>
  <c r="Y26" i="50"/>
  <c r="Y22" i="50"/>
  <c r="Y18" i="50"/>
  <c r="X15" i="51"/>
  <c r="E65" i="51" s="1"/>
  <c r="E12" i="51" s="1"/>
  <c r="E66" i="51" s="1"/>
  <c r="Y16" i="31"/>
  <c r="U15" i="29"/>
  <c r="V21" i="34"/>
  <c r="V17" i="34"/>
  <c r="T15" i="42"/>
  <c r="U15" i="42"/>
  <c r="V19" i="44"/>
  <c r="V29" i="50"/>
  <c r="V25" i="50"/>
  <c r="V21" i="50"/>
  <c r="V17" i="50"/>
  <c r="V16" i="22"/>
  <c r="V36" i="23"/>
  <c r="V32" i="23"/>
  <c r="V28" i="23"/>
  <c r="V21" i="23"/>
  <c r="U15" i="23"/>
  <c r="V16" i="26"/>
  <c r="V15" i="26" s="1"/>
  <c r="V26" i="28"/>
  <c r="V22" i="28"/>
  <c r="V18" i="28"/>
  <c r="U15" i="34"/>
  <c r="V16" i="35"/>
  <c r="V50" i="35"/>
  <c r="V46" i="35"/>
  <c r="V42" i="35"/>
  <c r="V38" i="35"/>
  <c r="V34" i="35"/>
  <c r="V30" i="35"/>
  <c r="V26" i="35"/>
  <c r="V22" i="35"/>
  <c r="V18" i="35"/>
  <c r="V33" i="36"/>
  <c r="V29" i="36"/>
  <c r="V25" i="36"/>
  <c r="V21" i="36"/>
  <c r="V17" i="36"/>
  <c r="U15" i="50"/>
  <c r="V16" i="31"/>
  <c r="V17" i="23"/>
  <c r="V34" i="23"/>
  <c r="V30" i="23"/>
  <c r="V26" i="23"/>
  <c r="V19" i="23"/>
  <c r="V24" i="28"/>
  <c r="V20" i="28"/>
  <c r="U15" i="28"/>
  <c r="T15" i="34"/>
  <c r="V52" i="35"/>
  <c r="V48" i="35"/>
  <c r="V44" i="35"/>
  <c r="V40" i="35"/>
  <c r="V36" i="35"/>
  <c r="V32" i="35"/>
  <c r="V28" i="35"/>
  <c r="V24" i="35"/>
  <c r="V20" i="35"/>
  <c r="V17" i="35"/>
  <c r="V31" i="36"/>
  <c r="V27" i="36"/>
  <c r="V23" i="36"/>
  <c r="V20" i="36"/>
  <c r="T15" i="41"/>
  <c r="U15" i="41"/>
  <c r="T15" i="50"/>
  <c r="V22" i="51"/>
  <c r="V19" i="51"/>
  <c r="V16" i="47"/>
  <c r="V18" i="19"/>
  <c r="Y87" i="19"/>
  <c r="Y83" i="19"/>
  <c r="Y79" i="19"/>
  <c r="Y75" i="19"/>
  <c r="Y71" i="19"/>
  <c r="Y67" i="19"/>
  <c r="Y63" i="19"/>
  <c r="Y59" i="19"/>
  <c r="Y55" i="19"/>
  <c r="Y51" i="19"/>
  <c r="Y47" i="19"/>
  <c r="Y43" i="19"/>
  <c r="Y39" i="19"/>
  <c r="Y35" i="19"/>
  <c r="Y31" i="19"/>
  <c r="Y27" i="19"/>
  <c r="Y23" i="19"/>
  <c r="Y19" i="19"/>
  <c r="F32" i="128"/>
  <c r="D27" i="128"/>
  <c r="M7" i="29"/>
  <c r="O15" i="14"/>
  <c r="P15" i="14"/>
  <c r="O7" i="29"/>
  <c r="L15" i="14"/>
  <c r="Y37" i="23"/>
  <c r="Y35" i="23"/>
  <c r="Y33" i="23"/>
  <c r="Y31" i="23"/>
  <c r="Y29" i="23"/>
  <c r="Y27" i="23"/>
  <c r="Y25" i="23"/>
  <c r="Y20" i="23"/>
  <c r="Y18" i="23"/>
  <c r="X15" i="23"/>
  <c r="E64" i="23" s="1"/>
  <c r="T15" i="26"/>
  <c r="H6" i="29"/>
  <c r="I15" i="15" s="1"/>
  <c r="I6" i="29"/>
  <c r="J15" i="15" s="1"/>
  <c r="Y20" i="36"/>
  <c r="Y19" i="36"/>
  <c r="Y17" i="36"/>
  <c r="W15" i="41"/>
  <c r="E21" i="46"/>
  <c r="V16" i="46"/>
  <c r="V15" i="46" s="1"/>
  <c r="Y16" i="46"/>
  <c r="Y15" i="46" s="1"/>
  <c r="H6" i="46"/>
  <c r="K6" i="46"/>
  <c r="K7" i="46" s="1"/>
  <c r="Y17" i="22"/>
  <c r="Y19" i="22"/>
  <c r="X15" i="22"/>
  <c r="E64" i="22" s="1"/>
  <c r="W15" i="23"/>
  <c r="Y36" i="25"/>
  <c r="W15" i="26"/>
  <c r="V25" i="28"/>
  <c r="V23" i="28"/>
  <c r="V21" i="28"/>
  <c r="V19" i="28"/>
  <c r="V17" i="28"/>
  <c r="W15" i="28"/>
  <c r="Y25" i="28"/>
  <c r="Y23" i="28"/>
  <c r="Y21" i="28"/>
  <c r="Y19" i="28"/>
  <c r="Y17" i="28"/>
  <c r="V25" i="29"/>
  <c r="V23" i="29"/>
  <c r="V21" i="29"/>
  <c r="V19" i="29"/>
  <c r="V17" i="29"/>
  <c r="H5" i="29"/>
  <c r="I5" i="29"/>
  <c r="E64" i="35"/>
  <c r="T15" i="36"/>
  <c r="W15" i="36"/>
  <c r="D65" i="36" s="1"/>
  <c r="H5" i="46"/>
  <c r="I5" i="46"/>
  <c r="L5" i="46"/>
  <c r="L7" i="46" s="1"/>
  <c r="O5" i="46"/>
  <c r="O7" i="46" s="1"/>
  <c r="V22" i="43"/>
  <c r="V20" i="43"/>
  <c r="Y16" i="80"/>
  <c r="U15" i="82"/>
  <c r="S6" i="82" s="1"/>
  <c r="E64" i="82"/>
  <c r="P6" i="82" s="1"/>
  <c r="V20" i="51"/>
  <c r="V18" i="51"/>
  <c r="U15" i="51"/>
  <c r="K7" i="80"/>
  <c r="I6" i="80"/>
  <c r="J50" i="15" s="1"/>
  <c r="J52" i="15" s="1"/>
  <c r="F34" i="80"/>
  <c r="N5" i="82"/>
  <c r="N7" i="82" s="1"/>
  <c r="R50" i="14"/>
  <c r="V17" i="31"/>
  <c r="Y17" i="31"/>
  <c r="V17" i="47"/>
  <c r="Y17" i="47"/>
  <c r="V16" i="80"/>
  <c r="V19" i="82"/>
  <c r="V17" i="82"/>
  <c r="O5" i="82"/>
  <c r="O7" i="82" s="1"/>
  <c r="L5" i="82"/>
  <c r="L7" i="82" s="1"/>
  <c r="O5" i="47"/>
  <c r="O7" i="47" s="1"/>
  <c r="H5" i="47"/>
  <c r="H7" i="47" s="1"/>
  <c r="I5" i="47"/>
  <c r="I7" i="47" s="1"/>
  <c r="M5" i="47"/>
  <c r="M7" i="47" s="1"/>
  <c r="N5" i="47"/>
  <c r="N7" i="47" s="1"/>
  <c r="L7" i="47"/>
  <c r="N7" i="80"/>
  <c r="F52" i="80"/>
  <c r="L7" i="80"/>
  <c r="F40" i="80"/>
  <c r="F58" i="80"/>
  <c r="O5" i="80"/>
  <c r="O50" i="14"/>
  <c r="M7" i="80"/>
  <c r="F46" i="80"/>
  <c r="M50" i="14"/>
  <c r="I5" i="82"/>
  <c r="J42" i="17" s="1"/>
  <c r="H5" i="82"/>
  <c r="H7" i="82" s="1"/>
  <c r="F21" i="80"/>
  <c r="I5" i="80"/>
  <c r="H5" i="80"/>
  <c r="I50" i="14" s="1"/>
  <c r="H5" i="31"/>
  <c r="H7" i="31" s="1"/>
  <c r="I5" i="31"/>
  <c r="I7" i="31" s="1"/>
  <c r="L5" i="31"/>
  <c r="L7" i="31" s="1"/>
  <c r="O5" i="31"/>
  <c r="O7" i="31" s="1"/>
  <c r="N5" i="31"/>
  <c r="N7" i="31" s="1"/>
  <c r="M5" i="82"/>
  <c r="M7" i="82" s="1"/>
  <c r="F30" i="82"/>
  <c r="R42" i="17"/>
  <c r="O42" i="17"/>
  <c r="Y16" i="82"/>
  <c r="Y15" i="82" s="1"/>
  <c r="I42" i="17"/>
  <c r="P42" i="17"/>
  <c r="L42" i="17"/>
  <c r="V16" i="82"/>
  <c r="F64" i="80"/>
  <c r="N50" i="14"/>
  <c r="P6" i="47"/>
  <c r="E27" i="82"/>
  <c r="J6" i="82" s="1"/>
  <c r="K42" i="18" s="1"/>
  <c r="I6" i="82"/>
  <c r="F15" i="82"/>
  <c r="F29" i="80"/>
  <c r="E27" i="80"/>
  <c r="F30" i="80"/>
  <c r="F15" i="80"/>
  <c r="T15" i="44"/>
  <c r="U15" i="44"/>
  <c r="T15" i="43"/>
  <c r="U15" i="43"/>
  <c r="K5" i="31"/>
  <c r="K6" i="31"/>
  <c r="T15" i="51"/>
  <c r="W15" i="51"/>
  <c r="D65" i="51" s="1"/>
  <c r="Y16" i="50"/>
  <c r="V16" i="50"/>
  <c r="V16" i="44"/>
  <c r="W15" i="43"/>
  <c r="V18" i="43"/>
  <c r="T15" i="46"/>
  <c r="W15" i="46"/>
  <c r="Y16" i="42"/>
  <c r="V16" i="42"/>
  <c r="V15" i="42" s="1"/>
  <c r="V16" i="41"/>
  <c r="V15" i="41" s="1"/>
  <c r="V16" i="36"/>
  <c r="Y16" i="36"/>
  <c r="Y16" i="34"/>
  <c r="V16" i="34"/>
  <c r="D27" i="31"/>
  <c r="E27" i="29"/>
  <c r="J6" i="29" s="1"/>
  <c r="K15" i="15" s="1"/>
  <c r="D27" i="29"/>
  <c r="Y16" i="29"/>
  <c r="Y15" i="29" s="1"/>
  <c r="V16" i="29"/>
  <c r="Y16" i="28"/>
  <c r="Y15" i="28" s="1"/>
  <c r="V16" i="28"/>
  <c r="Y16" i="22"/>
  <c r="T15" i="23"/>
  <c r="Y16" i="23"/>
  <c r="V16" i="24"/>
  <c r="V15" i="24" s="1"/>
  <c r="Y16" i="24"/>
  <c r="Y15" i="24" s="1"/>
  <c r="V15" i="25"/>
  <c r="Y24" i="26"/>
  <c r="Y22" i="26"/>
  <c r="Y20" i="26"/>
  <c r="Y18" i="26"/>
  <c r="Y18" i="19"/>
  <c r="O6" i="128"/>
  <c r="N6" i="128" s="1"/>
  <c r="M6" i="128" s="1"/>
  <c r="L6" i="128" s="1"/>
  <c r="K6" i="128"/>
  <c r="I6" i="128"/>
  <c r="H6" i="128"/>
  <c r="O5" i="128"/>
  <c r="K5" i="128"/>
  <c r="I5" i="128"/>
  <c r="H5" i="128"/>
  <c r="H7" i="128" s="1"/>
  <c r="F60" i="112"/>
  <c r="F59" i="112"/>
  <c r="F58" i="112" s="1"/>
  <c r="E58" i="112"/>
  <c r="D58" i="112"/>
  <c r="F56" i="112"/>
  <c r="F55" i="112"/>
  <c r="F54" i="112"/>
  <c r="F53" i="112"/>
  <c r="E52" i="112"/>
  <c r="D52" i="112"/>
  <c r="F50" i="112"/>
  <c r="F49" i="112"/>
  <c r="F48" i="112"/>
  <c r="F47" i="112"/>
  <c r="E46" i="112"/>
  <c r="D46" i="112"/>
  <c r="F44" i="112"/>
  <c r="F43" i="112"/>
  <c r="F42" i="112"/>
  <c r="F41" i="112"/>
  <c r="E40" i="112"/>
  <c r="D40" i="112"/>
  <c r="F25" i="112"/>
  <c r="F24" i="112"/>
  <c r="F23" i="112"/>
  <c r="F22" i="112"/>
  <c r="E21" i="112"/>
  <c r="I6" i="112" s="1"/>
  <c r="D21" i="112"/>
  <c r="B20" i="112"/>
  <c r="F19" i="112"/>
  <c r="F18" i="112"/>
  <c r="F17" i="112"/>
  <c r="F16" i="112"/>
  <c r="E15" i="112"/>
  <c r="D15" i="112"/>
  <c r="P7" i="112"/>
  <c r="K6" i="112"/>
  <c r="K5" i="112"/>
  <c r="I5" i="112"/>
  <c r="F60" i="127"/>
  <c r="F59" i="127"/>
  <c r="F56" i="127"/>
  <c r="F55" i="127"/>
  <c r="F54" i="127"/>
  <c r="F53" i="127"/>
  <c r="F52" i="127"/>
  <c r="F50" i="127"/>
  <c r="F49" i="127"/>
  <c r="F48" i="127"/>
  <c r="F47" i="127"/>
  <c r="E46" i="127"/>
  <c r="M6" i="127" s="1"/>
  <c r="D46" i="127"/>
  <c r="F44" i="127"/>
  <c r="F43" i="127"/>
  <c r="F42" i="127"/>
  <c r="F41" i="127"/>
  <c r="E40" i="127"/>
  <c r="D40" i="127"/>
  <c r="F40" i="127" s="1"/>
  <c r="F32" i="127"/>
  <c r="F31" i="127"/>
  <c r="F25" i="127"/>
  <c r="F24" i="127"/>
  <c r="F23" i="127"/>
  <c r="F22" i="127"/>
  <c r="E21" i="127"/>
  <c r="I6" i="127" s="1"/>
  <c r="D21" i="127"/>
  <c r="I5" i="127" s="1"/>
  <c r="B20" i="127"/>
  <c r="F19" i="127"/>
  <c r="F18" i="127"/>
  <c r="F17" i="127"/>
  <c r="F16" i="127"/>
  <c r="E15" i="127"/>
  <c r="D15" i="127"/>
  <c r="P7" i="127"/>
  <c r="K6" i="127"/>
  <c r="N5" i="127"/>
  <c r="K5" i="127"/>
  <c r="F60" i="126"/>
  <c r="F59" i="126"/>
  <c r="E58" i="126"/>
  <c r="O6" i="126" s="1"/>
  <c r="D58" i="126"/>
  <c r="O5" i="126" s="1"/>
  <c r="F56" i="126"/>
  <c r="F55" i="126"/>
  <c r="F54" i="126"/>
  <c r="F53" i="126"/>
  <c r="E52" i="126"/>
  <c r="D52" i="126"/>
  <c r="F50" i="126"/>
  <c r="F49" i="126"/>
  <c r="F48" i="126"/>
  <c r="F47" i="126"/>
  <c r="E46" i="126"/>
  <c r="D46" i="126"/>
  <c r="F44" i="126"/>
  <c r="F43" i="126"/>
  <c r="F42" i="126"/>
  <c r="F41" i="126"/>
  <c r="E40" i="126"/>
  <c r="D40" i="126"/>
  <c r="F25" i="126"/>
  <c r="F24" i="126"/>
  <c r="F23" i="126"/>
  <c r="F22" i="126"/>
  <c r="E21" i="126"/>
  <c r="D21" i="126"/>
  <c r="I5" i="126" s="1"/>
  <c r="B20" i="126"/>
  <c r="F19" i="126"/>
  <c r="F18" i="126"/>
  <c r="F17" i="126"/>
  <c r="F16" i="126"/>
  <c r="E15" i="126"/>
  <c r="D15" i="126"/>
  <c r="P7" i="126"/>
  <c r="K6" i="126"/>
  <c r="I6" i="126"/>
  <c r="K5" i="126"/>
  <c r="K7" i="126" s="1"/>
  <c r="F61" i="125"/>
  <c r="F60" i="125" s="1"/>
  <c r="F58" i="125"/>
  <c r="F57" i="125"/>
  <c r="F56" i="125"/>
  <c r="F55" i="125"/>
  <c r="F54" i="125"/>
  <c r="F52" i="125"/>
  <c r="F51" i="125"/>
  <c r="F48" i="125"/>
  <c r="E47" i="125"/>
  <c r="D47" i="125"/>
  <c r="F45" i="125"/>
  <c r="F44" i="125"/>
  <c r="F42" i="125"/>
  <c r="F41" i="125"/>
  <c r="E40" i="125"/>
  <c r="D40" i="125"/>
  <c r="F25" i="125"/>
  <c r="F24" i="125"/>
  <c r="F23" i="125"/>
  <c r="F22" i="125"/>
  <c r="E21" i="125"/>
  <c r="E30" i="125" s="1"/>
  <c r="D21" i="125"/>
  <c r="D30" i="125" s="1"/>
  <c r="F30" i="125" s="1"/>
  <c r="F19" i="125"/>
  <c r="F18" i="125"/>
  <c r="F17" i="125"/>
  <c r="F16" i="125"/>
  <c r="B20" i="125"/>
  <c r="H29" i="10" l="1"/>
  <c r="Y15" i="42"/>
  <c r="T42" i="18"/>
  <c r="I33" i="12" s="1"/>
  <c r="I33" i="10" s="1"/>
  <c r="S7" i="82"/>
  <c r="Y15" i="80"/>
  <c r="Y15" i="19"/>
  <c r="H6" i="112"/>
  <c r="E29" i="112"/>
  <c r="H5" i="112"/>
  <c r="D29" i="112"/>
  <c r="H6" i="127"/>
  <c r="E29" i="127"/>
  <c r="H5" i="127"/>
  <c r="D29" i="127"/>
  <c r="F64" i="82"/>
  <c r="T52" i="15"/>
  <c r="E12" i="80"/>
  <c r="T50" i="14"/>
  <c r="G33" i="11" s="1"/>
  <c r="I7" i="80"/>
  <c r="P7" i="80"/>
  <c r="V15" i="35"/>
  <c r="Y15" i="35"/>
  <c r="I6" i="46"/>
  <c r="E30" i="46"/>
  <c r="F30" i="46" s="1"/>
  <c r="F27" i="29"/>
  <c r="V15" i="19"/>
  <c r="H6" i="126"/>
  <c r="E29" i="126"/>
  <c r="H5" i="126"/>
  <c r="H7" i="126" s="1"/>
  <c r="D29" i="126"/>
  <c r="F46" i="126"/>
  <c r="H7" i="127"/>
  <c r="F46" i="112"/>
  <c r="V15" i="80"/>
  <c r="V15" i="82"/>
  <c r="F58" i="126"/>
  <c r="N6" i="126"/>
  <c r="M6" i="126" s="1"/>
  <c r="L6" i="126"/>
  <c r="F21" i="126"/>
  <c r="I7" i="126"/>
  <c r="F21" i="112"/>
  <c r="F15" i="126"/>
  <c r="F21" i="125"/>
  <c r="L5" i="127"/>
  <c r="I7" i="127"/>
  <c r="L6" i="127"/>
  <c r="L7" i="127" s="1"/>
  <c r="J5" i="128"/>
  <c r="F27" i="128"/>
  <c r="K7" i="128"/>
  <c r="I61" i="18"/>
  <c r="J61" i="18"/>
  <c r="F15" i="112"/>
  <c r="F40" i="125"/>
  <c r="M5" i="127"/>
  <c r="M7" i="127" s="1"/>
  <c r="F15" i="127"/>
  <c r="F58" i="127"/>
  <c r="K7" i="112"/>
  <c r="L61" i="17"/>
  <c r="F40" i="112"/>
  <c r="F52" i="112"/>
  <c r="I7" i="128"/>
  <c r="R6" i="128"/>
  <c r="H7" i="112"/>
  <c r="I61" i="17"/>
  <c r="I7" i="112"/>
  <c r="J61" i="17"/>
  <c r="L61" i="18"/>
  <c r="F40" i="126"/>
  <c r="F52" i="126"/>
  <c r="F21" i="127"/>
  <c r="F46" i="127"/>
  <c r="N5" i="126"/>
  <c r="M5" i="126" s="1"/>
  <c r="L5" i="126" s="1"/>
  <c r="L7" i="126" s="1"/>
  <c r="D12" i="35"/>
  <c r="F64" i="35"/>
  <c r="F65" i="51"/>
  <c r="D12" i="51"/>
  <c r="E12" i="35"/>
  <c r="E65" i="35" s="1"/>
  <c r="Y15" i="43"/>
  <c r="Y15" i="50"/>
  <c r="F65" i="36"/>
  <c r="D12" i="36"/>
  <c r="F12" i="36" s="1"/>
  <c r="L7" i="29"/>
  <c r="Y15" i="21"/>
  <c r="Y15" i="22"/>
  <c r="V15" i="47"/>
  <c r="Y15" i="51"/>
  <c r="Y15" i="25"/>
  <c r="Y15" i="31"/>
  <c r="S7" i="31"/>
  <c r="V15" i="22"/>
  <c r="J5" i="31"/>
  <c r="I7" i="46"/>
  <c r="F21" i="46"/>
  <c r="V15" i="31"/>
  <c r="V15" i="23"/>
  <c r="Y15" i="34"/>
  <c r="V15" i="44"/>
  <c r="Y15" i="36"/>
  <c r="V15" i="51"/>
  <c r="Y15" i="26"/>
  <c r="Y15" i="23"/>
  <c r="V15" i="28"/>
  <c r="V15" i="50"/>
  <c r="V15" i="29"/>
  <c r="V15" i="34"/>
  <c r="V15" i="36"/>
  <c r="V15" i="43"/>
  <c r="O15" i="43" s="1"/>
  <c r="J5" i="29"/>
  <c r="Q42" i="18"/>
  <c r="P7" i="82"/>
  <c r="J15" i="14"/>
  <c r="I7" i="29"/>
  <c r="R6" i="29"/>
  <c r="S15" i="15" s="1"/>
  <c r="H13" i="12" s="1"/>
  <c r="Q15" i="15"/>
  <c r="E12" i="29"/>
  <c r="E65" i="29" s="1"/>
  <c r="O7" i="126"/>
  <c r="K7" i="127"/>
  <c r="N5" i="128"/>
  <c r="O7" i="128"/>
  <c r="H7" i="46"/>
  <c r="I15" i="14"/>
  <c r="H7" i="29"/>
  <c r="N42" i="17"/>
  <c r="M42" i="17"/>
  <c r="O7" i="80"/>
  <c r="P50" i="14"/>
  <c r="J50" i="14"/>
  <c r="E12" i="82"/>
  <c r="F12" i="82" s="1"/>
  <c r="H7" i="80"/>
  <c r="I7" i="82"/>
  <c r="J42" i="18"/>
  <c r="F29" i="82"/>
  <c r="F27" i="82"/>
  <c r="J5" i="82"/>
  <c r="K42" i="17" s="1"/>
  <c r="R6" i="82"/>
  <c r="S42" i="18" s="1"/>
  <c r="J33" i="12" s="1"/>
  <c r="J6" i="80"/>
  <c r="D27" i="80"/>
  <c r="D12" i="80" s="1"/>
  <c r="F47" i="125"/>
  <c r="K7" i="31"/>
  <c r="F15" i="125"/>
  <c r="E15" i="125"/>
  <c r="E29" i="125" s="1"/>
  <c r="D15" i="125"/>
  <c r="D29" i="125" s="1"/>
  <c r="P7" i="125"/>
  <c r="G33" i="10" l="1"/>
  <c r="J7" i="128"/>
  <c r="N7" i="126"/>
  <c r="M7" i="126"/>
  <c r="D66" i="51"/>
  <c r="F12" i="51"/>
  <c r="D66" i="36"/>
  <c r="D65" i="35"/>
  <c r="F12" i="35"/>
  <c r="R6" i="80"/>
  <c r="S50" i="15" s="1"/>
  <c r="H33" i="12" s="1"/>
  <c r="K50" i="15"/>
  <c r="M5" i="128"/>
  <c r="N7" i="128"/>
  <c r="K15" i="14"/>
  <c r="J7" i="29"/>
  <c r="W6" i="82"/>
  <c r="V6" i="82"/>
  <c r="T6" i="82"/>
  <c r="J7" i="82"/>
  <c r="R7" i="82" s="1"/>
  <c r="R5" i="82"/>
  <c r="S42" i="17" s="1"/>
  <c r="U6" i="82"/>
  <c r="J5" i="80"/>
  <c r="K50" i="14" s="1"/>
  <c r="F27" i="80"/>
  <c r="F12" i="80"/>
  <c r="T6" i="80"/>
  <c r="K6" i="125"/>
  <c r="I6" i="125"/>
  <c r="H6" i="125"/>
  <c r="N5" i="125"/>
  <c r="M5" i="125"/>
  <c r="L5" i="125"/>
  <c r="K5" i="125"/>
  <c r="I5" i="125"/>
  <c r="H5" i="125"/>
  <c r="F60" i="124"/>
  <c r="F59" i="124"/>
  <c r="E58" i="124"/>
  <c r="D58" i="124"/>
  <c r="F56" i="124"/>
  <c r="F55" i="124"/>
  <c r="F54" i="124"/>
  <c r="F53" i="124"/>
  <c r="E52" i="124"/>
  <c r="D52" i="124"/>
  <c r="F50" i="124"/>
  <c r="F49" i="124"/>
  <c r="F48" i="124"/>
  <c r="F47" i="124"/>
  <c r="E46" i="124"/>
  <c r="D46" i="124"/>
  <c r="F46" i="124" s="1"/>
  <c r="F44" i="124"/>
  <c r="F43" i="124"/>
  <c r="F42" i="124"/>
  <c r="F41" i="124"/>
  <c r="E40" i="124"/>
  <c r="D40" i="124"/>
  <c r="F25" i="124"/>
  <c r="F24" i="124"/>
  <c r="F23" i="124"/>
  <c r="F22" i="124"/>
  <c r="F21" i="124" s="1"/>
  <c r="E21" i="124"/>
  <c r="D21" i="124"/>
  <c r="B20" i="124"/>
  <c r="F19" i="124"/>
  <c r="F18" i="124"/>
  <c r="F17" i="124"/>
  <c r="F16" i="124"/>
  <c r="E15" i="124"/>
  <c r="E29" i="124" s="1"/>
  <c r="D15" i="124"/>
  <c r="D29" i="124" s="1"/>
  <c r="F58" i="124" l="1"/>
  <c r="U6" i="80"/>
  <c r="J33" i="11"/>
  <c r="J33" i="10" s="1"/>
  <c r="F15" i="124"/>
  <c r="H7" i="125"/>
  <c r="I7" i="125"/>
  <c r="F40" i="124"/>
  <c r="F52" i="124"/>
  <c r="V6" i="80"/>
  <c r="W6" i="80"/>
  <c r="K7" i="125"/>
  <c r="L5" i="128"/>
  <c r="R5" i="128" s="1"/>
  <c r="M7" i="128"/>
  <c r="W7" i="82"/>
  <c r="T7" i="82"/>
  <c r="V7" i="82"/>
  <c r="U7" i="82"/>
  <c r="W5" i="82"/>
  <c r="V5" i="82"/>
  <c r="T5" i="82"/>
  <c r="U5" i="82"/>
  <c r="J7" i="80"/>
  <c r="R7" i="80" s="1"/>
  <c r="R5" i="80"/>
  <c r="S50" i="14" s="1"/>
  <c r="H33" i="11" s="1"/>
  <c r="P7" i="124"/>
  <c r="K6" i="124"/>
  <c r="I6" i="124"/>
  <c r="H6" i="124"/>
  <c r="K5" i="124"/>
  <c r="I5" i="124"/>
  <c r="H5" i="124"/>
  <c r="F60" i="123"/>
  <c r="F59" i="123"/>
  <c r="E58" i="123"/>
  <c r="D58" i="123"/>
  <c r="F56" i="123"/>
  <c r="F55" i="123"/>
  <c r="F54" i="123"/>
  <c r="F53" i="123"/>
  <c r="E52" i="123"/>
  <c r="D52" i="123"/>
  <c r="F50" i="123"/>
  <c r="F49" i="123"/>
  <c r="F48" i="123"/>
  <c r="F47" i="123"/>
  <c r="E46" i="123"/>
  <c r="D46" i="123"/>
  <c r="F44" i="123"/>
  <c r="F43" i="123"/>
  <c r="F42" i="123"/>
  <c r="F41" i="123"/>
  <c r="E40" i="123"/>
  <c r="D40" i="123"/>
  <c r="F25" i="123"/>
  <c r="F24" i="123"/>
  <c r="F23" i="123"/>
  <c r="F22" i="123"/>
  <c r="E21" i="123"/>
  <c r="I6" i="123" s="1"/>
  <c r="D21" i="123"/>
  <c r="B20" i="123"/>
  <c r="F19" i="123"/>
  <c r="F18" i="123"/>
  <c r="F17" i="123"/>
  <c r="F16" i="123"/>
  <c r="E15" i="123"/>
  <c r="D15" i="123"/>
  <c r="P7" i="123"/>
  <c r="K6" i="123"/>
  <c r="K5" i="123"/>
  <c r="I5" i="123"/>
  <c r="F60" i="97"/>
  <c r="F59" i="97"/>
  <c r="F58" i="97" s="1"/>
  <c r="E58" i="97"/>
  <c r="D58" i="97"/>
  <c r="F56" i="97"/>
  <c r="F55" i="97"/>
  <c r="F54" i="97"/>
  <c r="F53" i="97"/>
  <c r="E52" i="97"/>
  <c r="D52" i="97"/>
  <c r="F50" i="97"/>
  <c r="F49" i="97"/>
  <c r="F48" i="97"/>
  <c r="F47" i="97"/>
  <c r="E46" i="97"/>
  <c r="D46" i="97"/>
  <c r="F46" i="97" s="1"/>
  <c r="F44" i="97"/>
  <c r="F43" i="97"/>
  <c r="F42" i="97"/>
  <c r="F41" i="97"/>
  <c r="E40" i="97"/>
  <c r="D40" i="97"/>
  <c r="F32" i="97"/>
  <c r="F31" i="97"/>
  <c r="F25" i="97"/>
  <c r="F24" i="97"/>
  <c r="F23" i="97"/>
  <c r="F22" i="97"/>
  <c r="F21" i="97" s="1"/>
  <c r="E21" i="97"/>
  <c r="I6" i="97" s="1"/>
  <c r="D21" i="97"/>
  <c r="B20" i="97"/>
  <c r="F19" i="97"/>
  <c r="F18" i="97"/>
  <c r="F17" i="97"/>
  <c r="F16" i="97"/>
  <c r="E15" i="97"/>
  <c r="E29" i="97" s="1"/>
  <c r="D15" i="97"/>
  <c r="D29" i="97" s="1"/>
  <c r="P7" i="97"/>
  <c r="K6" i="97"/>
  <c r="H6" i="97"/>
  <c r="I70" i="15" s="1"/>
  <c r="K5" i="97"/>
  <c r="I5" i="97"/>
  <c r="J70" i="14" s="1"/>
  <c r="H5" i="97"/>
  <c r="F60" i="122"/>
  <c r="F59" i="122"/>
  <c r="F56" i="122"/>
  <c r="F55" i="122"/>
  <c r="F54" i="122"/>
  <c r="F53" i="122"/>
  <c r="F52" i="122"/>
  <c r="F50" i="122"/>
  <c r="F49" i="122"/>
  <c r="F48" i="122"/>
  <c r="F47" i="122"/>
  <c r="E46" i="122"/>
  <c r="M6" i="122" s="1"/>
  <c r="D46" i="122"/>
  <c r="F44" i="122"/>
  <c r="F43" i="122"/>
  <c r="F42" i="122"/>
  <c r="F41" i="122"/>
  <c r="E40" i="122"/>
  <c r="D40" i="122"/>
  <c r="F25" i="122"/>
  <c r="F24" i="122"/>
  <c r="F23" i="122"/>
  <c r="F22" i="122"/>
  <c r="E21" i="122"/>
  <c r="I6" i="122" s="1"/>
  <c r="D21" i="122"/>
  <c r="B20" i="122"/>
  <c r="F19" i="122"/>
  <c r="F18" i="122"/>
  <c r="F17" i="122"/>
  <c r="F16" i="122"/>
  <c r="E15" i="122"/>
  <c r="E29" i="122" s="1"/>
  <c r="D15" i="122"/>
  <c r="D29" i="122" s="1"/>
  <c r="P7" i="122"/>
  <c r="O6" i="122"/>
  <c r="N6" i="122"/>
  <c r="K6" i="122"/>
  <c r="H6" i="122"/>
  <c r="H6" i="123" l="1"/>
  <c r="E29" i="123"/>
  <c r="H5" i="123"/>
  <c r="D29" i="123"/>
  <c r="F40" i="122"/>
  <c r="F40" i="123"/>
  <c r="H33" i="10"/>
  <c r="H7" i="97"/>
  <c r="I70" i="14"/>
  <c r="F15" i="97"/>
  <c r="K7" i="97"/>
  <c r="L70" i="14"/>
  <c r="F40" i="97"/>
  <c r="F52" i="97"/>
  <c r="F58" i="123"/>
  <c r="F58" i="122"/>
  <c r="F21" i="123"/>
  <c r="I7" i="124"/>
  <c r="H7" i="124"/>
  <c r="F15" i="123"/>
  <c r="I7" i="123"/>
  <c r="F21" i="122"/>
  <c r="F46" i="122"/>
  <c r="K7" i="123"/>
  <c r="F15" i="122"/>
  <c r="L6" i="122"/>
  <c r="F46" i="123"/>
  <c r="F52" i="123"/>
  <c r="H7" i="123"/>
  <c r="I7" i="97"/>
  <c r="K7" i="124"/>
  <c r="L7" i="128"/>
  <c r="R7" i="128"/>
  <c r="W7" i="80"/>
  <c r="U7" i="80"/>
  <c r="V7" i="80"/>
  <c r="T7" i="80"/>
  <c r="W5" i="80"/>
  <c r="U5" i="80"/>
  <c r="V5" i="80"/>
  <c r="T5" i="80"/>
  <c r="O5" i="125"/>
  <c r="N5" i="122"/>
  <c r="M5" i="122"/>
  <c r="M7" i="122" s="1"/>
  <c r="L5" i="122"/>
  <c r="L7" i="122" s="1"/>
  <c r="K5" i="122"/>
  <c r="I5" i="122"/>
  <c r="I7" i="122" s="1"/>
  <c r="H5" i="122"/>
  <c r="H7" i="122" s="1"/>
  <c r="F60" i="121"/>
  <c r="F59" i="121"/>
  <c r="E58" i="121"/>
  <c r="D58" i="121"/>
  <c r="O5" i="121" s="1"/>
  <c r="F56" i="121"/>
  <c r="F55" i="121"/>
  <c r="F54" i="121"/>
  <c r="F53" i="121"/>
  <c r="E52" i="121"/>
  <c r="N6" i="121" s="1"/>
  <c r="D52" i="121"/>
  <c r="N5" i="121" s="1"/>
  <c r="F50" i="121"/>
  <c r="F49" i="121"/>
  <c r="F48" i="121"/>
  <c r="F47" i="121"/>
  <c r="E46" i="121"/>
  <c r="D46" i="121"/>
  <c r="M5" i="121" s="1"/>
  <c r="F44" i="121"/>
  <c r="F43" i="121"/>
  <c r="F42" i="121"/>
  <c r="F41" i="121"/>
  <c r="E40" i="121"/>
  <c r="D40" i="121"/>
  <c r="L5" i="121" s="1"/>
  <c r="F25" i="121"/>
  <c r="F24" i="121"/>
  <c r="F23" i="121"/>
  <c r="F22" i="121"/>
  <c r="E21" i="121"/>
  <c r="I6" i="121" s="1"/>
  <c r="D21" i="121"/>
  <c r="B20" i="121"/>
  <c r="F19" i="121"/>
  <c r="F18" i="121"/>
  <c r="F17" i="121"/>
  <c r="F16" i="121"/>
  <c r="E15" i="121"/>
  <c r="H6" i="121" s="1"/>
  <c r="D15" i="121"/>
  <c r="P7" i="121"/>
  <c r="L6" i="121"/>
  <c r="K6" i="121"/>
  <c r="K5" i="121"/>
  <c r="M6" i="121" l="1"/>
  <c r="F52" i="121"/>
  <c r="F40" i="121"/>
  <c r="F15" i="121"/>
  <c r="F46" i="121"/>
  <c r="F21" i="121"/>
  <c r="F58" i="121"/>
  <c r="K7" i="122"/>
  <c r="I5" i="121"/>
  <c r="H5" i="121"/>
  <c r="R4" i="121"/>
  <c r="F60" i="120"/>
  <c r="F59" i="120"/>
  <c r="E58" i="120"/>
  <c r="D58" i="120"/>
  <c r="F56" i="120"/>
  <c r="F55" i="120"/>
  <c r="F54" i="120"/>
  <c r="F53" i="120"/>
  <c r="E52" i="120"/>
  <c r="D52" i="120"/>
  <c r="F50" i="120"/>
  <c r="F49" i="120"/>
  <c r="F48" i="120"/>
  <c r="F47" i="120"/>
  <c r="E46" i="120"/>
  <c r="D46" i="120"/>
  <c r="F46" i="120" s="1"/>
  <c r="F44" i="120"/>
  <c r="F43" i="120"/>
  <c r="F42" i="120"/>
  <c r="F41" i="120"/>
  <c r="E40" i="120"/>
  <c r="D40" i="120"/>
  <c r="F25" i="120"/>
  <c r="F24" i="120"/>
  <c r="F23" i="120"/>
  <c r="F22" i="120"/>
  <c r="E21" i="120"/>
  <c r="I6" i="120" s="1"/>
  <c r="D21" i="120"/>
  <c r="B20" i="120"/>
  <c r="F19" i="120"/>
  <c r="F18" i="120"/>
  <c r="F17" i="120"/>
  <c r="F16" i="120"/>
  <c r="E15" i="120"/>
  <c r="D15" i="120"/>
  <c r="D29" i="120" s="1"/>
  <c r="P7" i="120"/>
  <c r="K6" i="120"/>
  <c r="K5" i="120"/>
  <c r="I5" i="120"/>
  <c r="H5" i="120" l="1"/>
  <c r="H6" i="120"/>
  <c r="E29" i="120"/>
  <c r="F58" i="120"/>
  <c r="F15" i="120"/>
  <c r="F40" i="120"/>
  <c r="F52" i="120"/>
  <c r="F21" i="120"/>
  <c r="K7" i="120"/>
  <c r="H7" i="121"/>
  <c r="D27" i="121"/>
  <c r="P7" i="119"/>
  <c r="M6" i="119"/>
  <c r="L6" i="119" s="1"/>
  <c r="K6" i="119"/>
  <c r="I6" i="119"/>
  <c r="H6" i="119"/>
  <c r="M5" i="119"/>
  <c r="M7" i="119" s="1"/>
  <c r="L5" i="119"/>
  <c r="K5" i="119"/>
  <c r="I5" i="119"/>
  <c r="H5" i="119"/>
  <c r="F60" i="118"/>
  <c r="F59" i="118"/>
  <c r="E58" i="118"/>
  <c r="D58" i="118"/>
  <c r="F56" i="118"/>
  <c r="F55" i="118"/>
  <c r="F54" i="118"/>
  <c r="F53" i="118"/>
  <c r="E52" i="118"/>
  <c r="D52" i="118"/>
  <c r="F50" i="118"/>
  <c r="F49" i="118"/>
  <c r="F48" i="118"/>
  <c r="F47" i="118"/>
  <c r="E46" i="118"/>
  <c r="D46" i="118"/>
  <c r="F44" i="118"/>
  <c r="F43" i="118"/>
  <c r="F42" i="118"/>
  <c r="F41" i="118"/>
  <c r="E40" i="118"/>
  <c r="D40" i="118"/>
  <c r="F25" i="118"/>
  <c r="F24" i="118"/>
  <c r="F23" i="118"/>
  <c r="F22" i="118"/>
  <c r="E21" i="118"/>
  <c r="D21" i="118"/>
  <c r="B20" i="118"/>
  <c r="F19" i="118"/>
  <c r="F18" i="118"/>
  <c r="F17" i="118"/>
  <c r="F16" i="118"/>
  <c r="E15" i="118"/>
  <c r="E29" i="118" s="1"/>
  <c r="D15" i="118"/>
  <c r="D29" i="118" s="1"/>
  <c r="L7" i="119" l="1"/>
  <c r="F40" i="118"/>
  <c r="I7" i="119"/>
  <c r="F52" i="118"/>
  <c r="F21" i="118"/>
  <c r="F46" i="118"/>
  <c r="F15" i="118"/>
  <c r="F58" i="118"/>
  <c r="H7" i="119"/>
  <c r="K7" i="119"/>
  <c r="D12" i="121"/>
  <c r="J5" i="121"/>
  <c r="P7" i="118"/>
  <c r="K6" i="118"/>
  <c r="I6" i="118"/>
  <c r="H6" i="118"/>
  <c r="K5" i="118"/>
  <c r="I5" i="118"/>
  <c r="H5" i="118"/>
  <c r="F60" i="117"/>
  <c r="F59" i="117"/>
  <c r="E58" i="117"/>
  <c r="D58" i="117"/>
  <c r="F56" i="117"/>
  <c r="F55" i="117"/>
  <c r="F54" i="117"/>
  <c r="F53" i="117"/>
  <c r="E52" i="117"/>
  <c r="D52" i="117"/>
  <c r="F50" i="117"/>
  <c r="F49" i="117"/>
  <c r="F48" i="117"/>
  <c r="F47" i="117"/>
  <c r="E46" i="117"/>
  <c r="D46" i="117"/>
  <c r="F46" i="117" s="1"/>
  <c r="F44" i="117"/>
  <c r="F43" i="117"/>
  <c r="F42" i="117"/>
  <c r="F41" i="117"/>
  <c r="E40" i="117"/>
  <c r="D40" i="117"/>
  <c r="F25" i="117"/>
  <c r="F24" i="117"/>
  <c r="F23" i="117"/>
  <c r="F22" i="117"/>
  <c r="E21" i="117"/>
  <c r="I6" i="117" s="1"/>
  <c r="D21" i="117"/>
  <c r="B20" i="117"/>
  <c r="F19" i="117"/>
  <c r="F18" i="117"/>
  <c r="F17" i="117"/>
  <c r="F16" i="117"/>
  <c r="F15" i="117" s="1"/>
  <c r="E15" i="117"/>
  <c r="E29" i="117" s="1"/>
  <c r="D15" i="117"/>
  <c r="D29" i="117" s="1"/>
  <c r="P7" i="117"/>
  <c r="K6" i="117"/>
  <c r="H6" i="117"/>
  <c r="N5" i="117"/>
  <c r="L5" i="117"/>
  <c r="K5" i="117"/>
  <c r="I5" i="117"/>
  <c r="F62" i="115"/>
  <c r="F61" i="115"/>
  <c r="F60" i="115"/>
  <c r="F59" i="115"/>
  <c r="E58" i="115"/>
  <c r="O6" i="115" s="1"/>
  <c r="D58" i="115"/>
  <c r="F56" i="115"/>
  <c r="F55" i="115"/>
  <c r="F54" i="115"/>
  <c r="F53" i="115"/>
  <c r="E52" i="115"/>
  <c r="D52" i="115"/>
  <c r="F50" i="115"/>
  <c r="F49" i="115"/>
  <c r="F48" i="115"/>
  <c r="F47" i="115"/>
  <c r="E46" i="115"/>
  <c r="D46" i="115"/>
  <c r="F44" i="115"/>
  <c r="F43" i="115"/>
  <c r="F42" i="115"/>
  <c r="F41" i="115"/>
  <c r="E40" i="115"/>
  <c r="D40" i="115"/>
  <c r="F25" i="115"/>
  <c r="F24" i="115"/>
  <c r="F23" i="115"/>
  <c r="F22" i="115"/>
  <c r="E21" i="115"/>
  <c r="I6" i="115" s="1"/>
  <c r="D21" i="115"/>
  <c r="B20" i="115"/>
  <c r="F19" i="115"/>
  <c r="F18" i="115"/>
  <c r="F17" i="115"/>
  <c r="F16" i="115"/>
  <c r="E15" i="115"/>
  <c r="H6" i="115" s="1"/>
  <c r="D15" i="115"/>
  <c r="K6" i="115"/>
  <c r="K5" i="115"/>
  <c r="H5" i="115"/>
  <c r="F63" i="114"/>
  <c r="F62" i="114"/>
  <c r="F61" i="114"/>
  <c r="F60" i="114"/>
  <c r="E59" i="114"/>
  <c r="O6" i="114" s="1"/>
  <c r="D59" i="114"/>
  <c r="O5" i="114" s="1"/>
  <c r="F56" i="114"/>
  <c r="F55" i="114"/>
  <c r="F54" i="114"/>
  <c r="E53" i="114"/>
  <c r="D53" i="114"/>
  <c r="F51" i="114"/>
  <c r="F50" i="114"/>
  <c r="F49" i="114"/>
  <c r="F48" i="114"/>
  <c r="E47" i="114"/>
  <c r="D47" i="114"/>
  <c r="F47" i="114" s="1"/>
  <c r="F45" i="114"/>
  <c r="F44" i="114"/>
  <c r="F43" i="114"/>
  <c r="F42" i="114"/>
  <c r="E41" i="114"/>
  <c r="D41" i="114"/>
  <c r="E35" i="114"/>
  <c r="K6" i="114" s="1"/>
  <c r="D35" i="114"/>
  <c r="K5" i="114" s="1"/>
  <c r="F26" i="114"/>
  <c r="F25" i="114"/>
  <c r="F24" i="114"/>
  <c r="F23" i="114"/>
  <c r="E22" i="114"/>
  <c r="D22" i="114"/>
  <c r="D31" i="114" s="1"/>
  <c r="F20" i="114"/>
  <c r="F19" i="114"/>
  <c r="F17" i="114"/>
  <c r="B21" i="114"/>
  <c r="F16" i="114"/>
  <c r="E15" i="114"/>
  <c r="D15" i="114"/>
  <c r="P7" i="114"/>
  <c r="F60" i="110"/>
  <c r="F59" i="110"/>
  <c r="E58" i="110"/>
  <c r="D58" i="110"/>
  <c r="O5" i="110" s="1"/>
  <c r="F56" i="110"/>
  <c r="F55" i="110"/>
  <c r="F54" i="110"/>
  <c r="F53" i="110"/>
  <c r="E52" i="110"/>
  <c r="N6" i="110" s="1"/>
  <c r="D52" i="110"/>
  <c r="N5" i="110" s="1"/>
  <c r="F50" i="110"/>
  <c r="F49" i="110"/>
  <c r="F48" i="110"/>
  <c r="F47" i="110"/>
  <c r="E46" i="110"/>
  <c r="D46" i="110"/>
  <c r="M5" i="110" s="1"/>
  <c r="F44" i="110"/>
  <c r="F43" i="110"/>
  <c r="F42" i="110"/>
  <c r="F41" i="110"/>
  <c r="E40" i="110"/>
  <c r="D40" i="110"/>
  <c r="L5" i="110" s="1"/>
  <c r="F25" i="110"/>
  <c r="F24" i="110"/>
  <c r="F23" i="110"/>
  <c r="F22" i="110"/>
  <c r="E21" i="110"/>
  <c r="D21" i="110"/>
  <c r="B20" i="110"/>
  <c r="F19" i="110"/>
  <c r="F18" i="110"/>
  <c r="F17" i="110"/>
  <c r="F16" i="110"/>
  <c r="E15" i="110"/>
  <c r="D15" i="110"/>
  <c r="P7" i="110"/>
  <c r="L6" i="110"/>
  <c r="K6" i="110"/>
  <c r="K5" i="110"/>
  <c r="F60" i="109"/>
  <c r="F59" i="109"/>
  <c r="E58" i="109"/>
  <c r="D58" i="109"/>
  <c r="F56" i="109"/>
  <c r="F55" i="109"/>
  <c r="F54" i="109"/>
  <c r="F53" i="109"/>
  <c r="E52" i="109"/>
  <c r="D52" i="109"/>
  <c r="F50" i="109"/>
  <c r="F49" i="109"/>
  <c r="F48" i="109"/>
  <c r="F47" i="109"/>
  <c r="E46" i="109"/>
  <c r="D46" i="109"/>
  <c r="F44" i="109"/>
  <c r="F43" i="109"/>
  <c r="F42" i="109"/>
  <c r="F41" i="109"/>
  <c r="E40" i="109"/>
  <c r="D40" i="109"/>
  <c r="F25" i="109"/>
  <c r="F24" i="109"/>
  <c r="F23" i="109"/>
  <c r="F22" i="109"/>
  <c r="E21" i="109"/>
  <c r="I6" i="109" s="1"/>
  <c r="D21" i="109"/>
  <c r="B20" i="109"/>
  <c r="F19" i="109"/>
  <c r="F18" i="109"/>
  <c r="F17" i="109"/>
  <c r="F16" i="109"/>
  <c r="E15" i="109"/>
  <c r="D15" i="109"/>
  <c r="P7" i="109"/>
  <c r="K6" i="109"/>
  <c r="K5" i="109"/>
  <c r="I5" i="109"/>
  <c r="F65" i="108"/>
  <c r="F60" i="108"/>
  <c r="F57" i="108"/>
  <c r="F56" i="108"/>
  <c r="F54" i="108"/>
  <c r="E53" i="108"/>
  <c r="D53" i="108"/>
  <c r="F51" i="108"/>
  <c r="F50" i="108"/>
  <c r="F49" i="108"/>
  <c r="F47" i="108"/>
  <c r="E46" i="108"/>
  <c r="D46" i="108"/>
  <c r="F44" i="108"/>
  <c r="F43" i="108"/>
  <c r="F42" i="108"/>
  <c r="F41" i="108"/>
  <c r="E40" i="108"/>
  <c r="D40" i="108"/>
  <c r="F25" i="108"/>
  <c r="F24" i="108"/>
  <c r="F23" i="108"/>
  <c r="F22" i="108"/>
  <c r="E21" i="108"/>
  <c r="I6" i="108" s="1"/>
  <c r="D21" i="108"/>
  <c r="B20" i="108"/>
  <c r="F19" i="108"/>
  <c r="F18" i="108"/>
  <c r="F17" i="108"/>
  <c r="F16" i="108"/>
  <c r="E15" i="108"/>
  <c r="H6" i="108" s="1"/>
  <c r="D15" i="108"/>
  <c r="P7" i="108"/>
  <c r="K6" i="108"/>
  <c r="K5" i="108"/>
  <c r="I5" i="108"/>
  <c r="H5" i="108"/>
  <c r="F60" i="106"/>
  <c r="F59" i="106"/>
  <c r="E58" i="106"/>
  <c r="O6" i="106" s="1"/>
  <c r="D58" i="106"/>
  <c r="O5" i="106" s="1"/>
  <c r="F56" i="106"/>
  <c r="F55" i="106"/>
  <c r="F54" i="106"/>
  <c r="F53" i="106"/>
  <c r="E52" i="106"/>
  <c r="D52" i="106"/>
  <c r="F50" i="106"/>
  <c r="F49" i="106"/>
  <c r="F48" i="106"/>
  <c r="F47" i="106"/>
  <c r="E46" i="106"/>
  <c r="D46" i="106"/>
  <c r="F46" i="106" s="1"/>
  <c r="F44" i="106"/>
  <c r="F43" i="106"/>
  <c r="F42" i="106"/>
  <c r="F41" i="106"/>
  <c r="E40" i="106"/>
  <c r="D40" i="106"/>
  <c r="F40" i="106" s="1"/>
  <c r="F25" i="106"/>
  <c r="F24" i="106"/>
  <c r="F23" i="106"/>
  <c r="F22" i="106"/>
  <c r="E21" i="106"/>
  <c r="E30" i="106" s="1"/>
  <c r="D21" i="106"/>
  <c r="D30" i="106" s="1"/>
  <c r="B20" i="106"/>
  <c r="F19" i="106"/>
  <c r="F18" i="106"/>
  <c r="F17" i="106"/>
  <c r="F16" i="106"/>
  <c r="E15" i="106"/>
  <c r="D15" i="106"/>
  <c r="D29" i="106" s="1"/>
  <c r="Q7" i="106"/>
  <c r="P7" i="106"/>
  <c r="K6" i="106"/>
  <c r="I6" i="106"/>
  <c r="N5" i="106"/>
  <c r="K5" i="106"/>
  <c r="I5" i="106"/>
  <c r="I7" i="106" s="1"/>
  <c r="H5" i="106"/>
  <c r="F62" i="105"/>
  <c r="F61" i="105"/>
  <c r="F60" i="105"/>
  <c r="F59" i="105"/>
  <c r="E58" i="105"/>
  <c r="O6" i="105" s="1"/>
  <c r="D58" i="105"/>
  <c r="F58" i="105" s="1"/>
  <c r="F56" i="105"/>
  <c r="F55" i="105"/>
  <c r="F54" i="105"/>
  <c r="F53" i="105"/>
  <c r="E52" i="105"/>
  <c r="D52" i="105"/>
  <c r="F50" i="105"/>
  <c r="F49" i="105"/>
  <c r="F48" i="105"/>
  <c r="F47" i="105"/>
  <c r="E46" i="105"/>
  <c r="M6" i="105" s="1"/>
  <c r="D46" i="105"/>
  <c r="F44" i="105"/>
  <c r="F43" i="105"/>
  <c r="F42" i="105"/>
  <c r="F41" i="105"/>
  <c r="E40" i="105"/>
  <c r="L6" i="105" s="1"/>
  <c r="D40" i="105"/>
  <c r="F38" i="105"/>
  <c r="F37" i="105"/>
  <c r="F36" i="105"/>
  <c r="F35" i="105"/>
  <c r="E34" i="105"/>
  <c r="K6" i="105" s="1"/>
  <c r="D34" i="105"/>
  <c r="F25" i="105"/>
  <c r="F24" i="105"/>
  <c r="F23" i="105"/>
  <c r="F22" i="105"/>
  <c r="E21" i="105"/>
  <c r="E30" i="105" s="1"/>
  <c r="D21" i="105"/>
  <c r="D30" i="105" s="1"/>
  <c r="B20" i="105"/>
  <c r="F19" i="105"/>
  <c r="F18" i="105"/>
  <c r="F17" i="105"/>
  <c r="F16" i="105"/>
  <c r="E15" i="105"/>
  <c r="D15" i="105"/>
  <c r="D29" i="105" s="1"/>
  <c r="P7" i="105"/>
  <c r="N6" i="105"/>
  <c r="I6" i="105"/>
  <c r="L5" i="105"/>
  <c r="F64" i="104"/>
  <c r="F63" i="104"/>
  <c r="F62" i="104"/>
  <c r="F61" i="104"/>
  <c r="E60" i="104"/>
  <c r="D60" i="104"/>
  <c r="F60" i="104" s="1"/>
  <c r="F58" i="104"/>
  <c r="F57" i="104"/>
  <c r="F56" i="104"/>
  <c r="F55" i="104"/>
  <c r="E54" i="104"/>
  <c r="D54" i="104"/>
  <c r="F52" i="104"/>
  <c r="F51" i="104"/>
  <c r="F50" i="104"/>
  <c r="F49" i="104"/>
  <c r="E48" i="104"/>
  <c r="D48" i="104"/>
  <c r="F46" i="104"/>
  <c r="F45" i="104"/>
  <c r="F44" i="104"/>
  <c r="F43" i="104"/>
  <c r="E42" i="104"/>
  <c r="L6" i="104" s="1"/>
  <c r="D42" i="104"/>
  <c r="F40" i="104"/>
  <c r="F39" i="104"/>
  <c r="F38" i="104"/>
  <c r="F37" i="104"/>
  <c r="E36" i="104"/>
  <c r="K6" i="104" s="1"/>
  <c r="D36" i="104"/>
  <c r="F27" i="104"/>
  <c r="F26" i="104"/>
  <c r="F25" i="104"/>
  <c r="F24" i="104"/>
  <c r="E23" i="104"/>
  <c r="I6" i="104" s="1"/>
  <c r="D23" i="104"/>
  <c r="B22" i="104"/>
  <c r="F16" i="104"/>
  <c r="E15" i="104"/>
  <c r="D15" i="104"/>
  <c r="D31" i="104" s="1"/>
  <c r="Q7" i="104"/>
  <c r="P7" i="104"/>
  <c r="N6" i="104"/>
  <c r="M6" i="104"/>
  <c r="N5" i="104"/>
  <c r="N7" i="104" s="1"/>
  <c r="M5" i="104"/>
  <c r="M7" i="104" s="1"/>
  <c r="K5" i="104"/>
  <c r="I5" i="104"/>
  <c r="H5" i="104"/>
  <c r="F62" i="103"/>
  <c r="F61" i="103"/>
  <c r="F60" i="103"/>
  <c r="F59" i="103"/>
  <c r="E58" i="103"/>
  <c r="D58" i="103"/>
  <c r="O5" i="103" s="1"/>
  <c r="F56" i="103"/>
  <c r="F55" i="103"/>
  <c r="F54" i="103"/>
  <c r="F53" i="103"/>
  <c r="F52" i="103" s="1"/>
  <c r="E52" i="103"/>
  <c r="N6" i="103" s="1"/>
  <c r="D52" i="103"/>
  <c r="F50" i="103"/>
  <c r="F49" i="103"/>
  <c r="F48" i="103"/>
  <c r="F47" i="103"/>
  <c r="F46" i="103" s="1"/>
  <c r="E46" i="103"/>
  <c r="D46" i="103"/>
  <c r="F44" i="103"/>
  <c r="F43" i="103"/>
  <c r="F42" i="103"/>
  <c r="F41" i="103"/>
  <c r="E40" i="103"/>
  <c r="L6" i="103" s="1"/>
  <c r="F38" i="103"/>
  <c r="F37" i="103"/>
  <c r="F36" i="103"/>
  <c r="F35" i="103"/>
  <c r="F34" i="103" s="1"/>
  <c r="E34" i="103"/>
  <c r="D34" i="103"/>
  <c r="F25" i="103"/>
  <c r="F24" i="103"/>
  <c r="F23" i="103"/>
  <c r="F22" i="103"/>
  <c r="F21" i="103" s="1"/>
  <c r="E21" i="103"/>
  <c r="D21" i="103"/>
  <c r="F20" i="103"/>
  <c r="B20" i="103"/>
  <c r="F19" i="103"/>
  <c r="F18" i="103"/>
  <c r="F17" i="103"/>
  <c r="F16" i="103"/>
  <c r="E15" i="103"/>
  <c r="Q7" i="103"/>
  <c r="P7" i="103"/>
  <c r="M6" i="103"/>
  <c r="I6" i="103"/>
  <c r="I5" i="103"/>
  <c r="F62" i="100"/>
  <c r="F61" i="100"/>
  <c r="F60" i="100"/>
  <c r="F59" i="100"/>
  <c r="E58" i="100"/>
  <c r="D58" i="100"/>
  <c r="F54" i="100"/>
  <c r="F53" i="100"/>
  <c r="E52" i="100"/>
  <c r="D52" i="100"/>
  <c r="F48" i="100"/>
  <c r="F47" i="100"/>
  <c r="E46" i="100"/>
  <c r="D46" i="100"/>
  <c r="F46" i="100" s="1"/>
  <c r="F41" i="100"/>
  <c r="E40" i="100"/>
  <c r="D40" i="100"/>
  <c r="F34" i="100"/>
  <c r="F21" i="100"/>
  <c r="B20" i="100"/>
  <c r="F19" i="100"/>
  <c r="F18" i="100"/>
  <c r="F17" i="100"/>
  <c r="F16" i="100"/>
  <c r="E15" i="100"/>
  <c r="D15" i="100"/>
  <c r="H5" i="100" s="1"/>
  <c r="K6" i="100"/>
  <c r="I6" i="100"/>
  <c r="H6" i="100"/>
  <c r="L5" i="100"/>
  <c r="K5" i="100"/>
  <c r="I5" i="100"/>
  <c r="F64" i="99"/>
  <c r="F63" i="99"/>
  <c r="F62" i="99"/>
  <c r="F61" i="99"/>
  <c r="F60" i="99"/>
  <c r="E59" i="99"/>
  <c r="D59" i="99"/>
  <c r="F57" i="99"/>
  <c r="F55" i="99"/>
  <c r="F54" i="99"/>
  <c r="E53" i="99"/>
  <c r="N6" i="99" s="1"/>
  <c r="D53" i="99"/>
  <c r="F49" i="99"/>
  <c r="F48" i="99"/>
  <c r="E47" i="99"/>
  <c r="D47" i="99"/>
  <c r="F45" i="99"/>
  <c r="F44" i="99"/>
  <c r="F43" i="99"/>
  <c r="F42" i="99"/>
  <c r="E41" i="99"/>
  <c r="D41" i="99"/>
  <c r="F41" i="99" s="1"/>
  <c r="F39" i="99"/>
  <c r="F38" i="99"/>
  <c r="F37" i="99"/>
  <c r="F36" i="99"/>
  <c r="E35" i="99"/>
  <c r="K6" i="99" s="1"/>
  <c r="D35" i="99"/>
  <c r="F35" i="99" s="1"/>
  <c r="F22" i="99"/>
  <c r="F20" i="99"/>
  <c r="F19" i="99"/>
  <c r="F18" i="99"/>
  <c r="B21" i="99"/>
  <c r="F16" i="99"/>
  <c r="E15" i="99"/>
  <c r="D15" i="99"/>
  <c r="P7" i="99"/>
  <c r="I6" i="99"/>
  <c r="I5" i="99"/>
  <c r="F59" i="95"/>
  <c r="E58" i="95"/>
  <c r="D58" i="95"/>
  <c r="F58" i="95" s="1"/>
  <c r="F54" i="95"/>
  <c r="F53" i="95"/>
  <c r="E52" i="95"/>
  <c r="D52" i="95"/>
  <c r="N5" i="95" s="1"/>
  <c r="N7" i="95" s="1"/>
  <c r="F48" i="95"/>
  <c r="F47" i="95"/>
  <c r="E46" i="95"/>
  <c r="D46" i="95"/>
  <c r="M5" i="95" s="1"/>
  <c r="F41" i="95"/>
  <c r="E40" i="95"/>
  <c r="D40" i="95"/>
  <c r="F34" i="95"/>
  <c r="F21" i="95"/>
  <c r="B20" i="95"/>
  <c r="F19" i="95"/>
  <c r="F18" i="95"/>
  <c r="F17" i="95"/>
  <c r="F16" i="95"/>
  <c r="E15" i="95"/>
  <c r="E29" i="95" s="1"/>
  <c r="D15" i="95"/>
  <c r="P7" i="95"/>
  <c r="O6" i="95"/>
  <c r="N6" i="95" s="1"/>
  <c r="M6" i="95"/>
  <c r="L6" i="95"/>
  <c r="K6" i="95"/>
  <c r="I6" i="95"/>
  <c r="O5" i="95"/>
  <c r="K5" i="95"/>
  <c r="I5" i="95"/>
  <c r="F59" i="94"/>
  <c r="E58" i="94"/>
  <c r="D58" i="94"/>
  <c r="F54" i="94"/>
  <c r="F53" i="94"/>
  <c r="E52" i="94"/>
  <c r="D52" i="94"/>
  <c r="F48" i="94"/>
  <c r="F47" i="94"/>
  <c r="E46" i="94"/>
  <c r="D46" i="94"/>
  <c r="F41" i="94"/>
  <c r="E40" i="94"/>
  <c r="D40" i="94"/>
  <c r="L5" i="94" s="1"/>
  <c r="F34" i="94"/>
  <c r="F21" i="94"/>
  <c r="B20" i="94"/>
  <c r="F19" i="94"/>
  <c r="F18" i="94"/>
  <c r="F17" i="94"/>
  <c r="F16" i="94"/>
  <c r="E15" i="94"/>
  <c r="D15" i="94"/>
  <c r="D29" i="94" s="1"/>
  <c r="P7" i="94"/>
  <c r="K6" i="94"/>
  <c r="I6" i="94"/>
  <c r="K5" i="94"/>
  <c r="I5" i="94"/>
  <c r="F55" i="93"/>
  <c r="F54" i="93"/>
  <c r="E53" i="93"/>
  <c r="D53" i="93"/>
  <c r="F51" i="93"/>
  <c r="F50" i="93"/>
  <c r="F48" i="93"/>
  <c r="F47" i="93"/>
  <c r="E46" i="93"/>
  <c r="D46" i="93"/>
  <c r="F41" i="93"/>
  <c r="E40" i="93"/>
  <c r="D40" i="93"/>
  <c r="F34" i="93"/>
  <c r="F27" i="93"/>
  <c r="F21" i="93"/>
  <c r="B20" i="93"/>
  <c r="F19" i="93"/>
  <c r="F18" i="93"/>
  <c r="F17" i="93"/>
  <c r="F16" i="93"/>
  <c r="E15" i="93"/>
  <c r="D15" i="93"/>
  <c r="F15" i="93" s="1"/>
  <c r="M5" i="106" l="1"/>
  <c r="F30" i="106"/>
  <c r="I5" i="105"/>
  <c r="H7" i="118"/>
  <c r="H5" i="94"/>
  <c r="I6" i="110"/>
  <c r="E30" i="110"/>
  <c r="I5" i="110"/>
  <c r="I7" i="110" s="1"/>
  <c r="D30" i="110"/>
  <c r="F30" i="110" s="1"/>
  <c r="H6" i="110"/>
  <c r="E29" i="110"/>
  <c r="H5" i="110"/>
  <c r="D29" i="110"/>
  <c r="L5" i="95"/>
  <c r="H6" i="95"/>
  <c r="H5" i="95"/>
  <c r="D29" i="95"/>
  <c r="F52" i="105"/>
  <c r="F46" i="105"/>
  <c r="F30" i="105"/>
  <c r="H5" i="105"/>
  <c r="H7" i="105" s="1"/>
  <c r="H6" i="105"/>
  <c r="E29" i="105"/>
  <c r="H6" i="106"/>
  <c r="E29" i="106"/>
  <c r="F54" i="104"/>
  <c r="F48" i="104"/>
  <c r="F42" i="104"/>
  <c r="H6" i="104"/>
  <c r="H7" i="104" s="1"/>
  <c r="E31" i="104"/>
  <c r="I6" i="114"/>
  <c r="E31" i="114"/>
  <c r="F31" i="114" s="1"/>
  <c r="H5" i="114"/>
  <c r="H7" i="114" s="1"/>
  <c r="D30" i="114"/>
  <c r="H6" i="114"/>
  <c r="E30" i="114"/>
  <c r="F47" i="99"/>
  <c r="M6" i="99"/>
  <c r="H6" i="99"/>
  <c r="H5" i="109"/>
  <c r="D29" i="109"/>
  <c r="H6" i="109"/>
  <c r="E29" i="109"/>
  <c r="H6" i="94"/>
  <c r="E29" i="94"/>
  <c r="N5" i="103"/>
  <c r="F40" i="103"/>
  <c r="H6" i="103"/>
  <c r="E29" i="103"/>
  <c r="I7" i="108"/>
  <c r="F40" i="108"/>
  <c r="F21" i="110"/>
  <c r="F46" i="109"/>
  <c r="F52" i="94"/>
  <c r="F58" i="94"/>
  <c r="F15" i="94"/>
  <c r="L7" i="95"/>
  <c r="K7" i="95" s="1"/>
  <c r="F40" i="95"/>
  <c r="F40" i="94"/>
  <c r="F46" i="94"/>
  <c r="F53" i="93"/>
  <c r="F59" i="93"/>
  <c r="F46" i="93"/>
  <c r="F58" i="106"/>
  <c r="F58" i="100"/>
  <c r="O5" i="105"/>
  <c r="O7" i="105" s="1"/>
  <c r="F58" i="103"/>
  <c r="O5" i="104"/>
  <c r="F52" i="106"/>
  <c r="N6" i="115"/>
  <c r="F52" i="100"/>
  <c r="N6" i="106"/>
  <c r="M6" i="106" s="1"/>
  <c r="M5" i="103"/>
  <c r="L5" i="103" s="1"/>
  <c r="K5" i="103" s="1"/>
  <c r="M5" i="105"/>
  <c r="M7" i="105" s="1"/>
  <c r="M6" i="110"/>
  <c r="L5" i="104"/>
  <c r="L7" i="104"/>
  <c r="L5" i="106"/>
  <c r="L6" i="106"/>
  <c r="F40" i="105"/>
  <c r="F36" i="104"/>
  <c r="F34" i="105"/>
  <c r="K5" i="99"/>
  <c r="K6" i="103"/>
  <c r="K7" i="103" s="1"/>
  <c r="K7" i="104"/>
  <c r="I7" i="104"/>
  <c r="F23" i="104"/>
  <c r="F21" i="105"/>
  <c r="F21" i="109"/>
  <c r="I7" i="103"/>
  <c r="F21" i="106"/>
  <c r="I7" i="117"/>
  <c r="H7" i="106"/>
  <c r="F15" i="99"/>
  <c r="F15" i="106"/>
  <c r="F15" i="115"/>
  <c r="F15" i="103"/>
  <c r="L5" i="99"/>
  <c r="L6" i="99"/>
  <c r="F53" i="99"/>
  <c r="H5" i="99"/>
  <c r="F59" i="99"/>
  <c r="L7" i="105"/>
  <c r="I7" i="105"/>
  <c r="N5" i="105"/>
  <c r="N7" i="105" s="1"/>
  <c r="K5" i="105"/>
  <c r="K7" i="105" s="1"/>
  <c r="F15" i="108"/>
  <c r="M7" i="110"/>
  <c r="K7" i="114"/>
  <c r="K7" i="108"/>
  <c r="I7" i="109"/>
  <c r="F53" i="108"/>
  <c r="K7" i="109"/>
  <c r="F40" i="109"/>
  <c r="F52" i="109"/>
  <c r="F22" i="114"/>
  <c r="F41" i="114"/>
  <c r="I5" i="115"/>
  <c r="F40" i="117"/>
  <c r="F58" i="117"/>
  <c r="K7" i="118"/>
  <c r="F15" i="109"/>
  <c r="I5" i="114"/>
  <c r="I7" i="114" s="1"/>
  <c r="I7" i="118"/>
  <c r="H7" i="108"/>
  <c r="F21" i="108"/>
  <c r="F46" i="108"/>
  <c r="F58" i="110"/>
  <c r="F15" i="114"/>
  <c r="F46" i="115"/>
  <c r="F21" i="117"/>
  <c r="F59" i="108"/>
  <c r="F58" i="109"/>
  <c r="N5" i="114"/>
  <c r="M5" i="114" s="1"/>
  <c r="L5" i="114" s="1"/>
  <c r="F52" i="117"/>
  <c r="F58" i="115"/>
  <c r="O7" i="114"/>
  <c r="F59" i="114"/>
  <c r="O5" i="115"/>
  <c r="N5" i="115" s="1"/>
  <c r="M5" i="115" s="1"/>
  <c r="L5" i="115" s="1"/>
  <c r="F40" i="115"/>
  <c r="F52" i="115"/>
  <c r="F21" i="115"/>
  <c r="L7" i="110"/>
  <c r="K7" i="110" s="1"/>
  <c r="F15" i="110"/>
  <c r="F40" i="110"/>
  <c r="F46" i="110"/>
  <c r="F52" i="110"/>
  <c r="F40" i="100"/>
  <c r="F15" i="100"/>
  <c r="F40" i="93"/>
  <c r="M7" i="95"/>
  <c r="O7" i="95"/>
  <c r="F15" i="95"/>
  <c r="L7" i="103"/>
  <c r="N7" i="103"/>
  <c r="D15" i="103"/>
  <c r="F15" i="104"/>
  <c r="F15" i="105"/>
  <c r="K7" i="106"/>
  <c r="M7" i="106"/>
  <c r="H7" i="110"/>
  <c r="M6" i="115"/>
  <c r="L6" i="115" s="1"/>
  <c r="H5" i="117"/>
  <c r="H7" i="117" s="1"/>
  <c r="M5" i="117"/>
  <c r="K7" i="117"/>
  <c r="F46" i="95"/>
  <c r="F52" i="95"/>
  <c r="M7" i="103"/>
  <c r="O7" i="106"/>
  <c r="R5" i="121"/>
  <c r="S82" i="14" s="1"/>
  <c r="O5" i="119"/>
  <c r="N6" i="114"/>
  <c r="N7" i="114" s="1"/>
  <c r="F53" i="114"/>
  <c r="N7" i="106"/>
  <c r="P7" i="93"/>
  <c r="M6" i="93"/>
  <c r="L6" i="93" s="1"/>
  <c r="K6" i="93"/>
  <c r="I6" i="93"/>
  <c r="H6" i="93"/>
  <c r="M5" i="93"/>
  <c r="M7" i="93" s="1"/>
  <c r="L5" i="93"/>
  <c r="L7" i="93" s="1"/>
  <c r="K5" i="93"/>
  <c r="I5" i="93"/>
  <c r="H5" i="93"/>
  <c r="F59" i="91"/>
  <c r="E58" i="91"/>
  <c r="O6" i="91" s="1"/>
  <c r="D58" i="91"/>
  <c r="F55" i="91"/>
  <c r="F54" i="91"/>
  <c r="F53" i="91"/>
  <c r="E52" i="91"/>
  <c r="D52" i="91"/>
  <c r="F48" i="91"/>
  <c r="F47" i="91"/>
  <c r="E46" i="91"/>
  <c r="M6" i="91" s="1"/>
  <c r="D46" i="91"/>
  <c r="F46" i="91" s="1"/>
  <c r="F41" i="91"/>
  <c r="E40" i="91"/>
  <c r="L6" i="91" s="1"/>
  <c r="D40" i="91"/>
  <c r="F40" i="91" s="1"/>
  <c r="F34" i="91"/>
  <c r="F21" i="91"/>
  <c r="B20" i="91"/>
  <c r="F19" i="91"/>
  <c r="F18" i="91"/>
  <c r="F17" i="91"/>
  <c r="F16" i="91"/>
  <c r="E15" i="91"/>
  <c r="E29" i="91" s="1"/>
  <c r="D15" i="91"/>
  <c r="D29" i="91" s="1"/>
  <c r="Q7" i="91"/>
  <c r="P7" i="91"/>
  <c r="I7" i="91"/>
  <c r="K6" i="91"/>
  <c r="M5" i="91"/>
  <c r="K5" i="91"/>
  <c r="F61" i="90"/>
  <c r="F60" i="90"/>
  <c r="F59" i="90"/>
  <c r="E58" i="90"/>
  <c r="O6" i="90" s="1"/>
  <c r="D58" i="90"/>
  <c r="F56" i="90"/>
  <c r="F55" i="90"/>
  <c r="F54" i="90"/>
  <c r="F53" i="90"/>
  <c r="E52" i="90"/>
  <c r="D52" i="90"/>
  <c r="F52" i="90" s="1"/>
  <c r="F50" i="90"/>
  <c r="F49" i="90"/>
  <c r="F48" i="90"/>
  <c r="F47" i="90"/>
  <c r="E46" i="90"/>
  <c r="D46" i="90"/>
  <c r="F46" i="90" s="1"/>
  <c r="F44" i="90"/>
  <c r="F43" i="90"/>
  <c r="F42" i="90"/>
  <c r="F41" i="90"/>
  <c r="E40" i="90"/>
  <c r="D40" i="90"/>
  <c r="F38" i="90"/>
  <c r="F37" i="90"/>
  <c r="F36" i="90"/>
  <c r="F35" i="90"/>
  <c r="E34" i="90"/>
  <c r="K6" i="90" s="1"/>
  <c r="D34" i="90"/>
  <c r="F32" i="90"/>
  <c r="F31" i="90"/>
  <c r="F25" i="90"/>
  <c r="F24" i="90"/>
  <c r="F23" i="90"/>
  <c r="F22" i="90"/>
  <c r="E21" i="90"/>
  <c r="E30" i="90" s="1"/>
  <c r="D21" i="90"/>
  <c r="B20" i="90"/>
  <c r="F19" i="90"/>
  <c r="F18" i="90"/>
  <c r="F17" i="90"/>
  <c r="F16" i="90"/>
  <c r="E15" i="90"/>
  <c r="D15" i="90"/>
  <c r="D29" i="90" s="1"/>
  <c r="M6" i="90"/>
  <c r="L6" i="90"/>
  <c r="I6" i="90"/>
  <c r="O5" i="90"/>
  <c r="F64" i="89"/>
  <c r="F63" i="89"/>
  <c r="F62" i="89"/>
  <c r="F61" i="89"/>
  <c r="E60" i="89"/>
  <c r="D60" i="89"/>
  <c r="F59" i="89"/>
  <c r="F58" i="89"/>
  <c r="F57" i="89"/>
  <c r="F56" i="89"/>
  <c r="F55" i="89"/>
  <c r="H5" i="90" l="1"/>
  <c r="H7" i="109"/>
  <c r="H7" i="95"/>
  <c r="F21" i="90"/>
  <c r="D30" i="90"/>
  <c r="H6" i="90"/>
  <c r="H7" i="90" s="1"/>
  <c r="E29" i="90"/>
  <c r="K7" i="91"/>
  <c r="M7" i="91"/>
  <c r="L5" i="91"/>
  <c r="L7" i="91" s="1"/>
  <c r="F15" i="91"/>
  <c r="H6" i="91"/>
  <c r="H5" i="103"/>
  <c r="D29" i="103"/>
  <c r="H5" i="91"/>
  <c r="F34" i="90"/>
  <c r="F40" i="90"/>
  <c r="M5" i="90"/>
  <c r="L5" i="90" s="1"/>
  <c r="L7" i="90" s="1"/>
  <c r="N6" i="91"/>
  <c r="N6" i="90"/>
  <c r="F52" i="91"/>
  <c r="F58" i="90"/>
  <c r="F58" i="91"/>
  <c r="O7" i="90"/>
  <c r="N5" i="90"/>
  <c r="K7" i="93"/>
  <c r="L7" i="99"/>
  <c r="K7" i="99" s="1"/>
  <c r="L7" i="106"/>
  <c r="H67" i="11"/>
  <c r="O7" i="115"/>
  <c r="F60" i="89"/>
  <c r="I5" i="90"/>
  <c r="I7" i="90" s="1"/>
  <c r="K5" i="90"/>
  <c r="K7" i="90" s="1"/>
  <c r="N5" i="119"/>
  <c r="D27" i="93"/>
  <c r="E27" i="93"/>
  <c r="H7" i="103"/>
  <c r="D27" i="95"/>
  <c r="F15" i="90"/>
  <c r="M6" i="114"/>
  <c r="E54" i="89"/>
  <c r="D54" i="89"/>
  <c r="F54" i="89" s="1"/>
  <c r="F52" i="89"/>
  <c r="F51" i="89"/>
  <c r="F50" i="89"/>
  <c r="F49" i="89"/>
  <c r="E48" i="89"/>
  <c r="D48" i="89"/>
  <c r="F48" i="89" s="1"/>
  <c r="F46" i="89"/>
  <c r="F45" i="89"/>
  <c r="F44" i="89"/>
  <c r="F43" i="89"/>
  <c r="E42" i="89"/>
  <c r="D42" i="89"/>
  <c r="F40" i="89"/>
  <c r="F39" i="89"/>
  <c r="F38" i="89"/>
  <c r="F37" i="89"/>
  <c r="E36" i="89"/>
  <c r="D36" i="89"/>
  <c r="F36" i="89" s="1"/>
  <c r="F34" i="89"/>
  <c r="F27" i="89"/>
  <c r="F26" i="89"/>
  <c r="F25" i="89"/>
  <c r="F24" i="89"/>
  <c r="E23" i="89"/>
  <c r="E32" i="89" s="1"/>
  <c r="D23" i="89"/>
  <c r="D32" i="89" s="1"/>
  <c r="B22" i="89"/>
  <c r="F21" i="89"/>
  <c r="F20" i="89"/>
  <c r="F19" i="89"/>
  <c r="F16" i="89"/>
  <c r="E15" i="89"/>
  <c r="E31" i="89" s="1"/>
  <c r="D15" i="89"/>
  <c r="Q7" i="89"/>
  <c r="P7" i="89"/>
  <c r="H7" i="91" l="1"/>
  <c r="M7" i="90"/>
  <c r="F42" i="89"/>
  <c r="F15" i="89"/>
  <c r="D31" i="89"/>
  <c r="N7" i="90"/>
  <c r="F23" i="89"/>
  <c r="L6" i="114"/>
  <c r="L7" i="114" s="1"/>
  <c r="M7" i="114"/>
  <c r="J5" i="95"/>
  <c r="D12" i="95"/>
  <c r="E12" i="93"/>
  <c r="J6" i="93"/>
  <c r="D12" i="93"/>
  <c r="J5" i="93"/>
  <c r="L6" i="89"/>
  <c r="K6" i="89"/>
  <c r="I6" i="89"/>
  <c r="H6" i="89"/>
  <c r="O5" i="89"/>
  <c r="N5" i="89" s="1"/>
  <c r="M5" i="89"/>
  <c r="L5" i="89"/>
  <c r="L7" i="89" s="1"/>
  <c r="K5" i="89"/>
  <c r="K7" i="89" s="1"/>
  <c r="I5" i="89"/>
  <c r="H5" i="89"/>
  <c r="F59" i="88"/>
  <c r="E58" i="88"/>
  <c r="O6" i="88" s="1"/>
  <c r="D58" i="88"/>
  <c r="O5" i="88" s="1"/>
  <c r="F56" i="88"/>
  <c r="F55" i="88"/>
  <c r="F54" i="88"/>
  <c r="F53" i="88"/>
  <c r="E52" i="88"/>
  <c r="D52" i="88"/>
  <c r="F50" i="88"/>
  <c r="F49" i="88"/>
  <c r="F48" i="88"/>
  <c r="F47" i="88"/>
  <c r="E46" i="88"/>
  <c r="D46" i="88"/>
  <c r="F46" i="88" s="1"/>
  <c r="F44" i="88"/>
  <c r="F43" i="88"/>
  <c r="F42" i="88"/>
  <c r="F41" i="88"/>
  <c r="E40" i="88"/>
  <c r="D40" i="88"/>
  <c r="F35" i="88"/>
  <c r="E34" i="88"/>
  <c r="K6" i="88" s="1"/>
  <c r="D34" i="88"/>
  <c r="B20" i="88"/>
  <c r="F19" i="88"/>
  <c r="F18" i="88"/>
  <c r="F17" i="88"/>
  <c r="E15" i="88"/>
  <c r="D15" i="88"/>
  <c r="Q7" i="88"/>
  <c r="P7" i="88" s="1"/>
  <c r="N6" i="88"/>
  <c r="M6" i="88"/>
  <c r="L6" i="88"/>
  <c r="I6" i="88"/>
  <c r="N5" i="88"/>
  <c r="K5" i="88"/>
  <c r="I5" i="88"/>
  <c r="I7" i="88" s="1"/>
  <c r="D66" i="85"/>
  <c r="S6" i="85" s="1"/>
  <c r="C66" i="85"/>
  <c r="S5" i="85" s="1"/>
  <c r="E65" i="85"/>
  <c r="E64" i="85"/>
  <c r="E63" i="85"/>
  <c r="E62" i="85"/>
  <c r="E61" i="85"/>
  <c r="E60" i="85"/>
  <c r="E59" i="85"/>
  <c r="E58" i="85"/>
  <c r="E57" i="85"/>
  <c r="E56" i="85"/>
  <c r="E55" i="85"/>
  <c r="D17" i="85"/>
  <c r="C17" i="85"/>
  <c r="E16" i="85"/>
  <c r="E15" i="85"/>
  <c r="H6" i="85"/>
  <c r="H5" i="85"/>
  <c r="F56" i="84"/>
  <c r="F55" i="84"/>
  <c r="F54" i="84"/>
  <c r="F53" i="84"/>
  <c r="E52" i="84"/>
  <c r="D52" i="84"/>
  <c r="F52" i="84" s="1"/>
  <c r="F50" i="84"/>
  <c r="F49" i="84"/>
  <c r="F48" i="84"/>
  <c r="F47" i="84"/>
  <c r="E46" i="84"/>
  <c r="M6" i="84" s="1"/>
  <c r="L6" i="84" s="1"/>
  <c r="L7" i="84" s="1"/>
  <c r="K7" i="84" s="1"/>
  <c r="D46" i="84"/>
  <c r="M5" i="84" s="1"/>
  <c r="L5" i="84" s="1"/>
  <c r="F44" i="84"/>
  <c r="F43" i="84"/>
  <c r="F42" i="84"/>
  <c r="F41" i="84"/>
  <c r="E40" i="84"/>
  <c r="D40" i="84"/>
  <c r="F40" i="84" s="1"/>
  <c r="F30" i="84"/>
  <c r="F29" i="84"/>
  <c r="E27" i="84"/>
  <c r="D27" i="84"/>
  <c r="F27" i="84" s="1"/>
  <c r="B20" i="84"/>
  <c r="F19" i="84"/>
  <c r="F18" i="84"/>
  <c r="F17" i="84"/>
  <c r="F16" i="84"/>
  <c r="E15" i="84"/>
  <c r="D15" i="84"/>
  <c r="S6" i="84"/>
  <c r="P6" i="84"/>
  <c r="K6" i="84"/>
  <c r="J6" i="84"/>
  <c r="I6" i="84"/>
  <c r="H6" i="84" s="1"/>
  <c r="S5" i="84"/>
  <c r="S7" i="84" s="1"/>
  <c r="K5" i="84"/>
  <c r="I5" i="84"/>
  <c r="H5" i="84" s="1"/>
  <c r="F40" i="88" l="1"/>
  <c r="O7" i="88"/>
  <c r="H6" i="88"/>
  <c r="E29" i="88"/>
  <c r="H5" i="88"/>
  <c r="H7" i="88" s="1"/>
  <c r="D29" i="88"/>
  <c r="H7" i="89"/>
  <c r="L5" i="88"/>
  <c r="M5" i="88"/>
  <c r="N7" i="88"/>
  <c r="F52" i="88"/>
  <c r="F12" i="93"/>
  <c r="F30" i="88"/>
  <c r="F16" i="88"/>
  <c r="J7" i="84"/>
  <c r="I7" i="84" s="1"/>
  <c r="H7" i="84" s="1"/>
  <c r="J5" i="84"/>
  <c r="S7" i="85"/>
  <c r="F34" i="88"/>
  <c r="F58" i="88"/>
  <c r="J7" i="93"/>
  <c r="I7" i="93" s="1"/>
  <c r="H7" i="93" s="1"/>
  <c r="R5" i="95"/>
  <c r="F15" i="84"/>
  <c r="F46" i="84"/>
  <c r="F15" i="88"/>
  <c r="H7" i="85"/>
  <c r="E66" i="85"/>
  <c r="C51" i="85"/>
  <c r="J6" i="85"/>
  <c r="R6" i="85" s="1"/>
  <c r="M7" i="88" l="1"/>
  <c r="L7" i="88"/>
  <c r="K7" i="88" s="1"/>
  <c r="E17" i="85"/>
  <c r="J5" i="85"/>
  <c r="E38" i="85"/>
  <c r="D51" i="85"/>
  <c r="E38" i="73"/>
  <c r="D38" i="73"/>
  <c r="M6" i="73" s="1"/>
  <c r="C38" i="73"/>
  <c r="M5" i="73" s="1"/>
  <c r="L5" i="73" s="1"/>
  <c r="E32" i="73"/>
  <c r="D30" i="73"/>
  <c r="N6" i="73" s="1"/>
  <c r="C30" i="73"/>
  <c r="E29" i="73"/>
  <c r="E28" i="73"/>
  <c r="E30" i="73" s="1"/>
  <c r="E25" i="73"/>
  <c r="D23" i="73"/>
  <c r="L6" i="73" s="1"/>
  <c r="C23" i="73"/>
  <c r="E22" i="73"/>
  <c r="E21" i="73"/>
  <c r="E20" i="73"/>
  <c r="E19" i="73"/>
  <c r="E18" i="73"/>
  <c r="E15" i="73"/>
  <c r="E14" i="73"/>
  <c r="E11" i="73"/>
  <c r="P6" i="73"/>
  <c r="O6" i="73"/>
  <c r="K6" i="73"/>
  <c r="I6" i="73"/>
  <c r="H6" i="73"/>
  <c r="P5" i="73"/>
  <c r="O5" i="73"/>
  <c r="N5" i="73" s="1"/>
  <c r="K5" i="73"/>
  <c r="J5" i="73"/>
  <c r="I5" i="73"/>
  <c r="H5" i="73"/>
  <c r="H7" i="73" s="1"/>
  <c r="D52" i="71"/>
  <c r="C52" i="71"/>
  <c r="E51" i="71"/>
  <c r="E50" i="71"/>
  <c r="D45" i="71"/>
  <c r="D47" i="71" s="1"/>
  <c r="C45" i="71"/>
  <c r="C47" i="71" s="1"/>
  <c r="E44" i="71"/>
  <c r="E43" i="71"/>
  <c r="E42" i="71"/>
  <c r="E41" i="71"/>
  <c r="E40" i="71"/>
  <c r="E37" i="71"/>
  <c r="E35" i="71"/>
  <c r="E32" i="71"/>
  <c r="E31" i="71"/>
  <c r="E28" i="71"/>
  <c r="E25" i="71"/>
  <c r="E23" i="71"/>
  <c r="E22" i="71"/>
  <c r="E21" i="71"/>
  <c r="E18" i="71"/>
  <c r="E17" i="71"/>
  <c r="E47" i="71" l="1"/>
  <c r="P7" i="73"/>
  <c r="O7" i="73" s="1"/>
  <c r="E33" i="71"/>
  <c r="E34" i="73"/>
  <c r="R5" i="73"/>
  <c r="N7" i="73"/>
  <c r="M7" i="73" s="1"/>
  <c r="L7" i="73"/>
  <c r="K7" i="73" s="1"/>
  <c r="E45" i="71"/>
  <c r="E26" i="71"/>
  <c r="J6" i="73"/>
  <c r="J7" i="73" s="1"/>
  <c r="I7" i="73" s="1"/>
  <c r="E52" i="71"/>
  <c r="C54" i="71" s="1"/>
  <c r="E23" i="73"/>
  <c r="J7" i="85"/>
  <c r="R5" i="85"/>
  <c r="R7" i="85" s="1"/>
  <c r="K31" i="85" s="1"/>
  <c r="E51" i="85"/>
  <c r="D14" i="71"/>
  <c r="C14" i="71"/>
  <c r="E13" i="71"/>
  <c r="E12" i="71"/>
  <c r="S6" i="71"/>
  <c r="P6" i="71"/>
  <c r="O6" i="71"/>
  <c r="N6" i="71" s="1"/>
  <c r="M6" i="71"/>
  <c r="L6" i="71"/>
  <c r="K6" i="71"/>
  <c r="J6" i="71"/>
  <c r="I6" i="71"/>
  <c r="H6" i="71"/>
  <c r="S5" i="71"/>
  <c r="P5" i="71"/>
  <c r="O5" i="71"/>
  <c r="N5" i="71"/>
  <c r="M5" i="71" s="1"/>
  <c r="L5" i="71" s="1"/>
  <c r="K5" i="71"/>
  <c r="J5" i="71"/>
  <c r="I5" i="71"/>
  <c r="H5" i="71"/>
  <c r="D52" i="70"/>
  <c r="S6" i="70" s="1"/>
  <c r="C52" i="70"/>
  <c r="E51" i="70"/>
  <c r="E50" i="70"/>
  <c r="E44" i="70"/>
  <c r="E43" i="70"/>
  <c r="E42" i="70"/>
  <c r="E41" i="70"/>
  <c r="E40" i="70"/>
  <c r="E34" i="70"/>
  <c r="N6" i="70"/>
  <c r="E31" i="70"/>
  <c r="E30" i="70"/>
  <c r="E27" i="70"/>
  <c r="L6" i="70"/>
  <c r="E24" i="70"/>
  <c r="E23" i="70"/>
  <c r="E22" i="70"/>
  <c r="E21" i="70"/>
  <c r="E20" i="70"/>
  <c r="E17" i="70"/>
  <c r="E16" i="70"/>
  <c r="E12" i="70"/>
  <c r="E11" i="70"/>
  <c r="O6" i="70"/>
  <c r="M6" i="70"/>
  <c r="K6" i="70"/>
  <c r="J6" i="70"/>
  <c r="I6" i="70"/>
  <c r="H6" i="70"/>
  <c r="R6" i="70" s="1"/>
  <c r="P7" i="70"/>
  <c r="O5" i="70"/>
  <c r="N5" i="70"/>
  <c r="K5" i="70"/>
  <c r="K7" i="70" s="1"/>
  <c r="J5" i="70"/>
  <c r="R5" i="70" s="1"/>
  <c r="D60" i="69"/>
  <c r="C60" i="69"/>
  <c r="E58" i="69"/>
  <c r="E56" i="69"/>
  <c r="E55" i="69"/>
  <c r="E54" i="69"/>
  <c r="E52" i="70" l="1"/>
  <c r="O7" i="70"/>
  <c r="I7" i="70"/>
  <c r="E41" i="73"/>
  <c r="D41" i="73" s="1"/>
  <c r="C41" i="73" s="1"/>
  <c r="R6" i="73"/>
  <c r="S5" i="70"/>
  <c r="S7" i="70" s="1"/>
  <c r="E14" i="71"/>
  <c r="E60" i="69"/>
  <c r="C62" i="69" s="1"/>
  <c r="S7" i="71"/>
  <c r="R7" i="73"/>
  <c r="R6" i="71"/>
  <c r="D54" i="70"/>
  <c r="L5" i="70"/>
  <c r="L7" i="70" s="1"/>
  <c r="J7" i="70"/>
  <c r="C54" i="70"/>
  <c r="M5" i="70"/>
  <c r="M7" i="70" s="1"/>
  <c r="H7" i="70"/>
  <c r="N7" i="70"/>
  <c r="E36" i="70"/>
  <c r="R5" i="71"/>
  <c r="D54" i="71"/>
  <c r="E37" i="69"/>
  <c r="E35" i="69"/>
  <c r="E18" i="69"/>
  <c r="E17" i="69"/>
  <c r="D14" i="69"/>
  <c r="C14" i="69"/>
  <c r="E14" i="69"/>
  <c r="D62" i="69" l="1"/>
  <c r="E33" i="69"/>
  <c r="E48" i="69"/>
  <c r="R7" i="71"/>
  <c r="D50" i="69"/>
  <c r="C50" i="69"/>
  <c r="R7" i="70"/>
  <c r="E50" i="69" l="1"/>
  <c r="P6" i="69"/>
  <c r="O6" i="69"/>
  <c r="N6" i="69"/>
  <c r="M6" i="69" s="1"/>
  <c r="L6" i="69" s="1"/>
  <c r="K6" i="69"/>
  <c r="J6" i="69"/>
  <c r="I6" i="69"/>
  <c r="H6" i="69"/>
  <c r="S5" i="69"/>
  <c r="P5" i="69"/>
  <c r="O5" i="69"/>
  <c r="L5" i="69"/>
  <c r="L7" i="69" s="1"/>
  <c r="K5" i="69"/>
  <c r="J5" i="69"/>
  <c r="J7" i="69" s="1"/>
  <c r="I5" i="69"/>
  <c r="H5" i="69"/>
  <c r="H7" i="69" s="1"/>
  <c r="S6" i="69" s="1"/>
  <c r="E64" i="83"/>
  <c r="D64" i="83"/>
  <c r="F64" i="83" s="1"/>
  <c r="F62" i="83"/>
  <c r="F61" i="83"/>
  <c r="F60" i="83"/>
  <c r="F59" i="83"/>
  <c r="E58" i="83"/>
  <c r="O6" i="83" s="1"/>
  <c r="P43" i="18" s="1"/>
  <c r="P44" i="18" s="1"/>
  <c r="D58" i="83"/>
  <c r="F56" i="83"/>
  <c r="F55" i="83"/>
  <c r="F54" i="83"/>
  <c r="F53" i="83"/>
  <c r="E52" i="83"/>
  <c r="N6" i="83" s="1"/>
  <c r="D52" i="83"/>
  <c r="F50" i="83"/>
  <c r="F49" i="83"/>
  <c r="F48" i="83"/>
  <c r="F47" i="83"/>
  <c r="E46" i="83"/>
  <c r="D46" i="83"/>
  <c r="F44" i="83"/>
  <c r="F43" i="83"/>
  <c r="F42" i="83"/>
  <c r="F41" i="83"/>
  <c r="E40" i="83"/>
  <c r="D40" i="83"/>
  <c r="F38" i="83"/>
  <c r="F37" i="83"/>
  <c r="F36" i="83"/>
  <c r="F35" i="83"/>
  <c r="E34" i="83"/>
  <c r="K6" i="83" s="1"/>
  <c r="L43" i="18" s="1"/>
  <c r="L44" i="18" s="1"/>
  <c r="D34" i="83"/>
  <c r="F25" i="83"/>
  <c r="F24" i="83"/>
  <c r="F23" i="83"/>
  <c r="F22" i="83"/>
  <c r="E21" i="83"/>
  <c r="I6" i="83" s="1"/>
  <c r="J43" i="18" s="1"/>
  <c r="J44" i="18" s="1"/>
  <c r="D21" i="83"/>
  <c r="I5" i="83" s="1"/>
  <c r="J43" i="17" s="1"/>
  <c r="B20" i="83"/>
  <c r="F19" i="83"/>
  <c r="F18" i="83"/>
  <c r="F17" i="83"/>
  <c r="F16" i="83"/>
  <c r="E15" i="83"/>
  <c r="E27" i="83" s="1"/>
  <c r="J6" i="83" s="1"/>
  <c r="K43" i="18" s="1"/>
  <c r="K44" i="18" s="1"/>
  <c r="D15" i="83"/>
  <c r="S7" i="83"/>
  <c r="S6" i="83"/>
  <c r="T43" i="18" s="1"/>
  <c r="I34" i="12" s="1"/>
  <c r="Q6" i="83"/>
  <c r="R43" i="18" s="1"/>
  <c r="R44" i="18" s="1"/>
  <c r="P6" i="83"/>
  <c r="Q43" i="18" s="1"/>
  <c r="Q44" i="18" s="1"/>
  <c r="M6" i="83"/>
  <c r="N43" i="18" s="1"/>
  <c r="N44" i="18" s="1"/>
  <c r="L6" i="83"/>
  <c r="M43" i="18" s="1"/>
  <c r="M44" i="18" s="1"/>
  <c r="S5" i="83"/>
  <c r="T43" i="17" s="1"/>
  <c r="I34" i="11" s="1"/>
  <c r="Q5" i="83"/>
  <c r="R43" i="17" s="1"/>
  <c r="P5" i="83"/>
  <c r="Q43" i="17" s="1"/>
  <c r="O5" i="83"/>
  <c r="P43" i="17" s="1"/>
  <c r="N5" i="83"/>
  <c r="O43" i="17" s="1"/>
  <c r="M5" i="83"/>
  <c r="N43" i="17" s="1"/>
  <c r="L5" i="83"/>
  <c r="M43" i="17" s="1"/>
  <c r="K5" i="83"/>
  <c r="L43" i="17" s="1"/>
  <c r="H5" i="83"/>
  <c r="I43" i="17" s="1"/>
  <c r="W4" i="83"/>
  <c r="V4" i="83" s="1"/>
  <c r="U4" i="83" s="1"/>
  <c r="T4" i="83" s="1"/>
  <c r="E46" i="60"/>
  <c r="D39" i="60"/>
  <c r="C39" i="60"/>
  <c r="E37" i="60"/>
  <c r="J6" i="60"/>
  <c r="J5" i="60"/>
  <c r="E32" i="60"/>
  <c r="D30" i="60"/>
  <c r="N6" i="60" s="1"/>
  <c r="C30" i="60"/>
  <c r="E29" i="60"/>
  <c r="E28" i="60"/>
  <c r="E25" i="60"/>
  <c r="D23" i="60"/>
  <c r="L6" i="60" s="1"/>
  <c r="C23" i="60"/>
  <c r="E22" i="60"/>
  <c r="E21" i="60"/>
  <c r="E20" i="60"/>
  <c r="E19" i="60"/>
  <c r="E18" i="60"/>
  <c r="E15" i="60"/>
  <c r="E14" i="60"/>
  <c r="E11" i="60"/>
  <c r="S6" i="60"/>
  <c r="P6" i="60"/>
  <c r="O6" i="60"/>
  <c r="M6" i="60"/>
  <c r="K6" i="60"/>
  <c r="I6" i="60"/>
  <c r="H6" i="60"/>
  <c r="S5" i="60"/>
  <c r="P5" i="60"/>
  <c r="O5" i="60"/>
  <c r="K5" i="60"/>
  <c r="I5" i="60"/>
  <c r="H5" i="60"/>
  <c r="E45" i="58"/>
  <c r="D37" i="58"/>
  <c r="D44" i="52" s="1"/>
  <c r="E18" i="58"/>
  <c r="E17" i="58"/>
  <c r="E16" i="58"/>
  <c r="I35" i="12" l="1"/>
  <c r="I34" i="10"/>
  <c r="I35" i="11"/>
  <c r="H7" i="60"/>
  <c r="C42" i="60"/>
  <c r="I7" i="60"/>
  <c r="K7" i="60"/>
  <c r="L5" i="60"/>
  <c r="N5" i="60"/>
  <c r="N7" i="60" s="1"/>
  <c r="P7" i="60"/>
  <c r="E30" i="60"/>
  <c r="S7" i="60"/>
  <c r="E39" i="60"/>
  <c r="M5" i="60"/>
  <c r="M7" i="60" s="1"/>
  <c r="R6" i="60"/>
  <c r="J7" i="60"/>
  <c r="L7" i="60"/>
  <c r="D42" i="60"/>
  <c r="E42" i="60" s="1"/>
  <c r="E34" i="60"/>
  <c r="R6" i="69"/>
  <c r="J5" i="58"/>
  <c r="E58" i="84"/>
  <c r="O7" i="60"/>
  <c r="E23" i="60"/>
  <c r="F21" i="83"/>
  <c r="F30" i="83"/>
  <c r="I7" i="69"/>
  <c r="K7" i="69"/>
  <c r="N5" i="69"/>
  <c r="O7" i="69"/>
  <c r="P7" i="83"/>
  <c r="S7" i="69"/>
  <c r="T44" i="18"/>
  <c r="F58" i="83"/>
  <c r="O43" i="18"/>
  <c r="O44" i="18" s="1"/>
  <c r="N7" i="83"/>
  <c r="F52" i="83"/>
  <c r="F46" i="83"/>
  <c r="L7" i="83"/>
  <c r="F40" i="83"/>
  <c r="F34" i="83"/>
  <c r="J46" i="16"/>
  <c r="J44" i="17"/>
  <c r="N46" i="16"/>
  <c r="N44" i="17"/>
  <c r="R46" i="16"/>
  <c r="R44" i="17"/>
  <c r="I44" i="17"/>
  <c r="M46" i="16"/>
  <c r="M44" i="17"/>
  <c r="O46" i="16"/>
  <c r="O44" i="17"/>
  <c r="Q46" i="16"/>
  <c r="Q44" i="17"/>
  <c r="H6" i="83"/>
  <c r="I7" i="83"/>
  <c r="K7" i="83"/>
  <c r="M7" i="83"/>
  <c r="O7" i="83"/>
  <c r="Q7" i="83"/>
  <c r="F15" i="83"/>
  <c r="L46" i="16"/>
  <c r="L44" i="17"/>
  <c r="P46" i="16"/>
  <c r="P44" i="17"/>
  <c r="T44" i="17"/>
  <c r="D15" i="58"/>
  <c r="H6" i="58" s="1"/>
  <c r="C15" i="58"/>
  <c r="H5" i="58" s="1"/>
  <c r="D13" i="58"/>
  <c r="C13" i="58"/>
  <c r="P5" i="58" s="1"/>
  <c r="E12" i="58"/>
  <c r="S6" i="58"/>
  <c r="P6" i="58"/>
  <c r="O6" i="58"/>
  <c r="N6" i="58"/>
  <c r="L6" i="58"/>
  <c r="K6" i="58"/>
  <c r="J6" i="58"/>
  <c r="I6" i="58"/>
  <c r="S5" i="58"/>
  <c r="S7" i="58" s="1"/>
  <c r="O5" i="58"/>
  <c r="N5" i="58"/>
  <c r="L5" i="58"/>
  <c r="K5" i="58"/>
  <c r="I5" i="58"/>
  <c r="D51" i="55"/>
  <c r="C51" i="55"/>
  <c r="E50" i="55"/>
  <c r="E51" i="55"/>
  <c r="I35" i="10" l="1"/>
  <c r="R5" i="60"/>
  <c r="R7" i="60" s="1"/>
  <c r="R6" i="58"/>
  <c r="E13" i="58"/>
  <c r="H7" i="58"/>
  <c r="E15" i="58"/>
  <c r="R5" i="58"/>
  <c r="E12" i="84"/>
  <c r="O6" i="84"/>
  <c r="N6" i="84" s="1"/>
  <c r="R6" i="84" s="1"/>
  <c r="M5" i="69"/>
  <c r="N7" i="69"/>
  <c r="D58" i="84"/>
  <c r="F59" i="84"/>
  <c r="D27" i="83"/>
  <c r="F29" i="83"/>
  <c r="I43" i="18"/>
  <c r="R6" i="83"/>
  <c r="T46" i="16"/>
  <c r="H7" i="83"/>
  <c r="M5" i="55"/>
  <c r="E33" i="55"/>
  <c r="N6" i="55"/>
  <c r="E30" i="55"/>
  <c r="E29" i="55"/>
  <c r="E26" i="55"/>
  <c r="E23" i="55"/>
  <c r="E22" i="55"/>
  <c r="E21" i="55"/>
  <c r="E20" i="55"/>
  <c r="E19" i="55"/>
  <c r="D12" i="55"/>
  <c r="E11" i="55"/>
  <c r="E10" i="55"/>
  <c r="S6" i="55"/>
  <c r="O6" i="55"/>
  <c r="K6" i="55"/>
  <c r="J6" i="55"/>
  <c r="I6" i="55"/>
  <c r="H6" i="55"/>
  <c r="S5" i="55"/>
  <c r="O5" i="55"/>
  <c r="N5" i="55"/>
  <c r="K5" i="55"/>
  <c r="J5" i="55"/>
  <c r="I5" i="55"/>
  <c r="H5" i="55"/>
  <c r="C45" i="54"/>
  <c r="E43" i="54"/>
  <c r="E42" i="54"/>
  <c r="E41" i="54"/>
  <c r="E40" i="54"/>
  <c r="E39" i="54"/>
  <c r="J5" i="54"/>
  <c r="E33" i="54"/>
  <c r="D31" i="54"/>
  <c r="C31" i="54"/>
  <c r="E30" i="54"/>
  <c r="E29" i="54"/>
  <c r="E26" i="54"/>
  <c r="D24" i="54"/>
  <c r="C24" i="54"/>
  <c r="E23" i="54"/>
  <c r="E22" i="54"/>
  <c r="E21" i="54"/>
  <c r="E20" i="54"/>
  <c r="E19" i="54"/>
  <c r="E16" i="54"/>
  <c r="D12" i="54"/>
  <c r="C12" i="54"/>
  <c r="C47" i="54" s="1"/>
  <c r="E11" i="54"/>
  <c r="E10" i="54"/>
  <c r="O6" i="54"/>
  <c r="K6" i="54"/>
  <c r="J6" i="54"/>
  <c r="I6" i="54"/>
  <c r="S7" i="54"/>
  <c r="P5" i="54"/>
  <c r="O5" i="54"/>
  <c r="K5" i="54"/>
  <c r="I5" i="54"/>
  <c r="D74" i="52"/>
  <c r="C74" i="52"/>
  <c r="E72" i="52"/>
  <c r="E71" i="52"/>
  <c r="E70" i="52"/>
  <c r="E68" i="52"/>
  <c r="E67" i="52"/>
  <c r="E66" i="52"/>
  <c r="E65" i="52"/>
  <c r="D59" i="52"/>
  <c r="C59" i="52"/>
  <c r="E58" i="52"/>
  <c r="E57" i="52"/>
  <c r="E56" i="52"/>
  <c r="E54" i="52"/>
  <c r="E53" i="52"/>
  <c r="E52" i="52"/>
  <c r="E51" i="52"/>
  <c r="E50" i="52"/>
  <c r="E49" i="52"/>
  <c r="E41" i="52"/>
  <c r="E39" i="52"/>
  <c r="E38" i="52"/>
  <c r="E37" i="52"/>
  <c r="E33" i="52"/>
  <c r="E31" i="52"/>
  <c r="E30" i="52"/>
  <c r="E29" i="52"/>
  <c r="E28" i="52"/>
  <c r="E27" i="52"/>
  <c r="E26" i="52"/>
  <c r="E21" i="52"/>
  <c r="D19" i="52"/>
  <c r="H6" i="52" s="1"/>
  <c r="H5" i="52"/>
  <c r="I27" i="14" s="1"/>
  <c r="E18" i="52"/>
  <c r="E17" i="52"/>
  <c r="D14" i="52"/>
  <c r="C14" i="52"/>
  <c r="E13" i="52"/>
  <c r="E12" i="52"/>
  <c r="G16" i="9" l="1"/>
  <c r="G20" i="9" s="1"/>
  <c r="G21" i="9" s="1"/>
  <c r="H7" i="52"/>
  <c r="E40" i="58"/>
  <c r="D40" i="58" s="1"/>
  <c r="C40" i="58" s="1"/>
  <c r="M6" i="55"/>
  <c r="P6" i="54"/>
  <c r="D47" i="54"/>
  <c r="E47" i="54" s="1"/>
  <c r="E74" i="52"/>
  <c r="E31" i="54"/>
  <c r="E31" i="55"/>
  <c r="R7" i="58"/>
  <c r="P7" i="58" s="1"/>
  <c r="O7" i="58" s="1"/>
  <c r="N7" i="58" s="1"/>
  <c r="M7" i="58" s="1"/>
  <c r="L7" i="58" s="1"/>
  <c r="K7" i="58" s="1"/>
  <c r="J7" i="58" s="1"/>
  <c r="I7" i="58" s="1"/>
  <c r="S7" i="55"/>
  <c r="D46" i="55"/>
  <c r="L6" i="55"/>
  <c r="E24" i="54"/>
  <c r="E59" i="52"/>
  <c r="E14" i="52"/>
  <c r="R6" i="54"/>
  <c r="J5" i="52"/>
  <c r="D45" i="52"/>
  <c r="J6" i="52" s="1"/>
  <c r="E45" i="54"/>
  <c r="D76" i="52"/>
  <c r="E19" i="52"/>
  <c r="C76" i="52"/>
  <c r="R5" i="54"/>
  <c r="L5" i="55"/>
  <c r="P6" i="55"/>
  <c r="C46" i="55"/>
  <c r="E12" i="55"/>
  <c r="E35" i="55"/>
  <c r="E43" i="52"/>
  <c r="E45" i="52" s="1"/>
  <c r="E61" i="52" s="1"/>
  <c r="D61" i="52" s="1"/>
  <c r="E12" i="54"/>
  <c r="E35" i="54"/>
  <c r="F58" i="84"/>
  <c r="O5" i="84"/>
  <c r="D12" i="84"/>
  <c r="F12" i="84" s="1"/>
  <c r="M7" i="69"/>
  <c r="R5" i="69"/>
  <c r="R7" i="69" s="1"/>
  <c r="P7" i="69" s="1"/>
  <c r="S43" i="18"/>
  <c r="J34" i="12" s="1"/>
  <c r="J35" i="12" s="1"/>
  <c r="W6" i="83"/>
  <c r="T6" i="83"/>
  <c r="U6" i="83"/>
  <c r="V6" i="83"/>
  <c r="I44" i="18"/>
  <c r="I46" i="16"/>
  <c r="F27" i="83"/>
  <c r="D12" i="83"/>
  <c r="J5" i="83"/>
  <c r="P5" i="55"/>
  <c r="R5" i="55" s="1"/>
  <c r="P6" i="52"/>
  <c r="O6" i="52"/>
  <c r="N6" i="52"/>
  <c r="M6" i="52"/>
  <c r="L6" i="52" s="1"/>
  <c r="K6" i="52"/>
  <c r="I6" i="52"/>
  <c r="S5" i="52"/>
  <c r="P5" i="52"/>
  <c r="O5" i="52"/>
  <c r="N5" i="52"/>
  <c r="M5" i="52"/>
  <c r="L5" i="52"/>
  <c r="K5" i="52"/>
  <c r="K7" i="52" s="1"/>
  <c r="I5" i="52"/>
  <c r="E64" i="81"/>
  <c r="D64" i="81"/>
  <c r="F62" i="81"/>
  <c r="F61" i="81"/>
  <c r="F60" i="81"/>
  <c r="F59" i="81"/>
  <c r="E58" i="81"/>
  <c r="D58" i="81"/>
  <c r="F58" i="81" s="1"/>
  <c r="F56" i="81"/>
  <c r="F55" i="81"/>
  <c r="F54" i="81"/>
  <c r="F53" i="81"/>
  <c r="E52" i="81"/>
  <c r="D52" i="81"/>
  <c r="F52" i="81" s="1"/>
  <c r="F50" i="81"/>
  <c r="F49" i="81"/>
  <c r="F48" i="81"/>
  <c r="F47" i="81"/>
  <c r="E46" i="81"/>
  <c r="D46" i="81"/>
  <c r="F46" i="81" s="1"/>
  <c r="F44" i="81"/>
  <c r="F43" i="81"/>
  <c r="F42" i="81"/>
  <c r="F41" i="81"/>
  <c r="E40" i="81"/>
  <c r="D40" i="81"/>
  <c r="F40" i="81" s="1"/>
  <c r="F38" i="81"/>
  <c r="F37" i="81"/>
  <c r="F36" i="81"/>
  <c r="F35" i="81"/>
  <c r="E34" i="81"/>
  <c r="D34" i="81"/>
  <c r="F34" i="81" s="1"/>
  <c r="F25" i="81"/>
  <c r="F24" i="81"/>
  <c r="F23" i="81"/>
  <c r="F22" i="81"/>
  <c r="E21" i="81"/>
  <c r="D21" i="81"/>
  <c r="B20" i="81"/>
  <c r="F19" i="81"/>
  <c r="F18" i="81"/>
  <c r="F17" i="81"/>
  <c r="F16" i="81"/>
  <c r="E15" i="81"/>
  <c r="D15" i="81"/>
  <c r="Q6" i="81"/>
  <c r="P6" i="81"/>
  <c r="O6" i="81"/>
  <c r="N6" i="81"/>
  <c r="M6" i="81"/>
  <c r="N51" i="15" s="1"/>
  <c r="N52" i="15" s="1"/>
  <c r="K6" i="81"/>
  <c r="I6" i="81"/>
  <c r="H6" i="81"/>
  <c r="I51" i="15" s="1"/>
  <c r="I52" i="15" s="1"/>
  <c r="S5" i="81"/>
  <c r="T51" i="14" s="1"/>
  <c r="Q5" i="81"/>
  <c r="R51" i="14" s="1"/>
  <c r="P5" i="81"/>
  <c r="Q51" i="14" s="1"/>
  <c r="O5" i="81"/>
  <c r="I5" i="81"/>
  <c r="J51" i="14" s="1"/>
  <c r="E46" i="55" l="1"/>
  <c r="H34" i="11"/>
  <c r="G34" i="11"/>
  <c r="R6" i="55"/>
  <c r="C61" i="52"/>
  <c r="R7" i="54"/>
  <c r="P7" i="54" s="1"/>
  <c r="O7" i="54" s="1"/>
  <c r="N7" i="54" s="1"/>
  <c r="M7" i="54" s="1"/>
  <c r="L7" i="54" s="1"/>
  <c r="K7" i="54" s="1"/>
  <c r="J7" i="54" s="1"/>
  <c r="I7" i="54" s="1"/>
  <c r="H7" i="54" s="1"/>
  <c r="J7" i="52"/>
  <c r="R6" i="52"/>
  <c r="F30" i="81"/>
  <c r="N5" i="81"/>
  <c r="P51" i="14"/>
  <c r="J54" i="13"/>
  <c r="J52" i="14"/>
  <c r="Q7" i="81"/>
  <c r="F15" i="81"/>
  <c r="F21" i="81"/>
  <c r="F64" i="81"/>
  <c r="R7" i="55"/>
  <c r="P7" i="55" s="1"/>
  <c r="O7" i="55" s="1"/>
  <c r="N7" i="55" s="1"/>
  <c r="M7" i="55" s="1"/>
  <c r="L7" i="55" s="1"/>
  <c r="K7" i="55" s="1"/>
  <c r="J7" i="55" s="1"/>
  <c r="I7" i="55" s="1"/>
  <c r="H7" i="55" s="1"/>
  <c r="N5" i="84"/>
  <c r="O7" i="84"/>
  <c r="R52" i="14"/>
  <c r="R54" i="13"/>
  <c r="L6" i="81"/>
  <c r="I7" i="81"/>
  <c r="O7" i="81"/>
  <c r="N7" i="81" s="1"/>
  <c r="R5" i="52"/>
  <c r="I7" i="52"/>
  <c r="S6" i="52" s="1"/>
  <c r="S7" i="52" s="1"/>
  <c r="T54" i="13"/>
  <c r="S44" i="18"/>
  <c r="S7" i="81"/>
  <c r="T52" i="14"/>
  <c r="Q52" i="14"/>
  <c r="Q54" i="13"/>
  <c r="P7" i="81"/>
  <c r="K43" i="17"/>
  <c r="J7" i="83"/>
  <c r="R7" i="83" s="1"/>
  <c r="R5" i="83"/>
  <c r="H5" i="81"/>
  <c r="W4" i="81"/>
  <c r="V4" i="81" s="1"/>
  <c r="U4" i="81" s="1"/>
  <c r="T4" i="81" s="1"/>
  <c r="O6" i="51"/>
  <c r="O5" i="51"/>
  <c r="M6" i="51"/>
  <c r="K6" i="51"/>
  <c r="I5" i="51"/>
  <c r="S6" i="51"/>
  <c r="P6" i="51"/>
  <c r="N6" i="51"/>
  <c r="S5" i="51"/>
  <c r="M5" i="51"/>
  <c r="H5" i="51"/>
  <c r="W4" i="51"/>
  <c r="V4" i="51"/>
  <c r="U4" i="51"/>
  <c r="T4" i="51" s="1"/>
  <c r="P6" i="50"/>
  <c r="D64" i="50"/>
  <c r="E58" i="50"/>
  <c r="O5" i="50"/>
  <c r="E52" i="50"/>
  <c r="N6" i="50" s="1"/>
  <c r="D52" i="50"/>
  <c r="E46" i="50"/>
  <c r="M6" i="50" s="1"/>
  <c r="D46" i="50"/>
  <c r="D40" i="50"/>
  <c r="F40" i="50" s="1"/>
  <c r="E34" i="50"/>
  <c r="K6" i="50" s="1"/>
  <c r="D34" i="50"/>
  <c r="F34" i="50" s="1"/>
  <c r="E21" i="50"/>
  <c r="E30" i="50" s="1"/>
  <c r="D21" i="50"/>
  <c r="F16" i="50"/>
  <c r="E15" i="50"/>
  <c r="E29" i="50" s="1"/>
  <c r="D15" i="50"/>
  <c r="D29" i="50" s="1"/>
  <c r="S6" i="50"/>
  <c r="S5" i="50"/>
  <c r="K5" i="50"/>
  <c r="W4" i="50"/>
  <c r="V4" i="50" s="1"/>
  <c r="U4" i="50" s="1"/>
  <c r="T4" i="50" s="1"/>
  <c r="E64" i="49"/>
  <c r="D64" i="49"/>
  <c r="F64" i="49" s="1"/>
  <c r="E58" i="49"/>
  <c r="O6" i="49" s="1"/>
  <c r="D58" i="49"/>
  <c r="E52" i="49"/>
  <c r="D52" i="49"/>
  <c r="E46" i="49"/>
  <c r="M6" i="49" s="1"/>
  <c r="D46" i="49"/>
  <c r="D40" i="49"/>
  <c r="F40" i="49" s="1"/>
  <c r="E34" i="49"/>
  <c r="D34" i="49"/>
  <c r="E21" i="49"/>
  <c r="I6" i="49" s="1"/>
  <c r="D21" i="49"/>
  <c r="F16" i="49"/>
  <c r="E15" i="49"/>
  <c r="H6" i="49" s="1"/>
  <c r="D15" i="49"/>
  <c r="S6" i="49"/>
  <c r="Q6" i="49"/>
  <c r="P6" i="49"/>
  <c r="L6" i="49"/>
  <c r="S5" i="49"/>
  <c r="S7" i="49" s="1"/>
  <c r="Q5" i="49"/>
  <c r="Q7" i="49" s="1"/>
  <c r="P5" i="49"/>
  <c r="P7" i="49" s="1"/>
  <c r="W4" i="49"/>
  <c r="V4" i="49" s="1"/>
  <c r="U4" i="49" s="1"/>
  <c r="T4" i="49" s="1"/>
  <c r="E64" i="48"/>
  <c r="D64" i="48"/>
  <c r="F64" i="48" s="1"/>
  <c r="E58" i="48"/>
  <c r="O6" i="48" s="1"/>
  <c r="D58" i="48"/>
  <c r="O5" i="48" s="1"/>
  <c r="P17" i="17" s="1"/>
  <c r="E52" i="48"/>
  <c r="D52" i="48"/>
  <c r="E46" i="48"/>
  <c r="D46" i="48"/>
  <c r="D40" i="48"/>
  <c r="F40" i="48" s="1"/>
  <c r="E34" i="48"/>
  <c r="K6" i="48" s="1"/>
  <c r="D34" i="48"/>
  <c r="E21" i="48"/>
  <c r="E30" i="48" s="1"/>
  <c r="D21" i="48"/>
  <c r="F16" i="48"/>
  <c r="E15" i="48"/>
  <c r="E29" i="48" s="1"/>
  <c r="D15" i="48"/>
  <c r="D29" i="48" s="1"/>
  <c r="F29" i="48" s="1"/>
  <c r="S6" i="48"/>
  <c r="Q6" i="48"/>
  <c r="P6" i="48"/>
  <c r="S5" i="48"/>
  <c r="S7" i="48" s="1"/>
  <c r="Q5" i="48"/>
  <c r="Q7" i="48" s="1"/>
  <c r="P5" i="48"/>
  <c r="P7" i="48" s="1"/>
  <c r="W4" i="48"/>
  <c r="V4" i="48" s="1"/>
  <c r="U4" i="48" s="1"/>
  <c r="T4" i="48" s="1"/>
  <c r="D64" i="47"/>
  <c r="E27" i="47"/>
  <c r="S6" i="47"/>
  <c r="S5" i="47"/>
  <c r="D64" i="46"/>
  <c r="E27" i="46"/>
  <c r="S6" i="46"/>
  <c r="S5" i="46"/>
  <c r="E64" i="45"/>
  <c r="D64" i="45"/>
  <c r="F64" i="45" s="1"/>
  <c r="E58" i="45"/>
  <c r="O6" i="45" s="1"/>
  <c r="D58" i="45"/>
  <c r="E52" i="45"/>
  <c r="D52" i="45"/>
  <c r="N5" i="45" s="1"/>
  <c r="E46" i="45"/>
  <c r="M6" i="45" s="1"/>
  <c r="D46" i="45"/>
  <c r="D40" i="45"/>
  <c r="E34" i="45"/>
  <c r="K6" i="45" s="1"/>
  <c r="D34" i="45"/>
  <c r="E21" i="45"/>
  <c r="D21" i="45"/>
  <c r="F16" i="45"/>
  <c r="E15" i="45"/>
  <c r="D15" i="45"/>
  <c r="S6" i="45"/>
  <c r="Q6" i="45"/>
  <c r="P6" i="45"/>
  <c r="S5" i="45"/>
  <c r="Q5" i="45"/>
  <c r="Q7" i="45" s="1"/>
  <c r="P5" i="45"/>
  <c r="P7" i="45" s="1"/>
  <c r="O5" i="45"/>
  <c r="W4" i="45"/>
  <c r="V4" i="45"/>
  <c r="U4" i="45"/>
  <c r="T4" i="45"/>
  <c r="P6" i="44"/>
  <c r="D64" i="44"/>
  <c r="E58" i="44"/>
  <c r="O6" i="44" s="1"/>
  <c r="D58" i="44"/>
  <c r="E52" i="44"/>
  <c r="D52" i="44"/>
  <c r="N5" i="44" s="1"/>
  <c r="E46" i="44"/>
  <c r="D46" i="44"/>
  <c r="F46" i="44" s="1"/>
  <c r="D40" i="44"/>
  <c r="E34" i="44"/>
  <c r="K6" i="44" s="1"/>
  <c r="D34" i="44"/>
  <c r="E21" i="44"/>
  <c r="D21" i="44"/>
  <c r="F16" i="44"/>
  <c r="E15" i="44"/>
  <c r="H6" i="44" s="1"/>
  <c r="D15" i="44"/>
  <c r="S6" i="44"/>
  <c r="Q6" i="44"/>
  <c r="S5" i="44"/>
  <c r="Q5" i="44"/>
  <c r="Q7" i="44" s="1"/>
  <c r="W4" i="44"/>
  <c r="V4" i="44"/>
  <c r="U4" i="44"/>
  <c r="T4" i="44"/>
  <c r="P6" i="43"/>
  <c r="D64" i="43"/>
  <c r="P5" i="43" s="1"/>
  <c r="E58" i="43"/>
  <c r="O6" i="43" s="1"/>
  <c r="D58" i="43"/>
  <c r="E52" i="43"/>
  <c r="N6" i="43" s="1"/>
  <c r="D52" i="43"/>
  <c r="E46" i="43"/>
  <c r="M6" i="43" s="1"/>
  <c r="D46" i="43"/>
  <c r="D40" i="43"/>
  <c r="E34" i="43"/>
  <c r="K6" i="43" s="1"/>
  <c r="D34" i="43"/>
  <c r="E21" i="43"/>
  <c r="E30" i="43" s="1"/>
  <c r="D21" i="43"/>
  <c r="D30" i="43" s="1"/>
  <c r="F30" i="43" s="1"/>
  <c r="F16" i="43"/>
  <c r="E15" i="43"/>
  <c r="E29" i="43" s="1"/>
  <c r="D15" i="43"/>
  <c r="D29" i="43" s="1"/>
  <c r="S6" i="43"/>
  <c r="L6" i="43"/>
  <c r="S5" i="43"/>
  <c r="Q7" i="43"/>
  <c r="V4" i="43"/>
  <c r="U4" i="43" s="1"/>
  <c r="T4" i="43" s="1"/>
  <c r="P6" i="42"/>
  <c r="D64" i="42"/>
  <c r="P5" i="42" s="1"/>
  <c r="E58" i="42"/>
  <c r="D58" i="42"/>
  <c r="E52" i="42"/>
  <c r="N6" i="42" s="1"/>
  <c r="D52" i="42"/>
  <c r="E46" i="42"/>
  <c r="M6" i="42" s="1"/>
  <c r="D46" i="42"/>
  <c r="L6" i="42"/>
  <c r="D40" i="42"/>
  <c r="E34" i="42"/>
  <c r="K6" i="42" s="1"/>
  <c r="D34" i="42"/>
  <c r="E21" i="42"/>
  <c r="E30" i="42" s="1"/>
  <c r="D21" i="42"/>
  <c r="D30" i="42" s="1"/>
  <c r="F16" i="42"/>
  <c r="E15" i="42"/>
  <c r="D15" i="42"/>
  <c r="D29" i="42" s="1"/>
  <c r="S6" i="42"/>
  <c r="O6" i="42"/>
  <c r="S5" i="42"/>
  <c r="W4" i="42"/>
  <c r="V4" i="42" s="1"/>
  <c r="U4" i="42" s="1"/>
  <c r="T4" i="42" s="1"/>
  <c r="D63" i="41"/>
  <c r="P5" i="41" s="1"/>
  <c r="P7" i="41" s="1"/>
  <c r="E57" i="41"/>
  <c r="O6" i="41" s="1"/>
  <c r="D57" i="41"/>
  <c r="E51" i="41"/>
  <c r="D51" i="41"/>
  <c r="E45" i="41"/>
  <c r="M6" i="41" s="1"/>
  <c r="D45" i="41"/>
  <c r="D39" i="41"/>
  <c r="F39" i="41" s="1"/>
  <c r="E33" i="41"/>
  <c r="D33" i="41"/>
  <c r="E20" i="41"/>
  <c r="E29" i="41" s="1"/>
  <c r="D20" i="41"/>
  <c r="D29" i="41" s="1"/>
  <c r="F16" i="41"/>
  <c r="E15" i="41"/>
  <c r="E28" i="41" s="1"/>
  <c r="D15" i="41"/>
  <c r="D28" i="41" s="1"/>
  <c r="S6" i="41"/>
  <c r="P6" i="41"/>
  <c r="S5" i="41"/>
  <c r="W4" i="41"/>
  <c r="V4" i="41" s="1"/>
  <c r="U4" i="41" s="1"/>
  <c r="T4" i="41" s="1"/>
  <c r="E64" i="40"/>
  <c r="D64" i="40"/>
  <c r="F64" i="40" s="1"/>
  <c r="E58" i="40"/>
  <c r="O6" i="40" s="1"/>
  <c r="D58" i="40"/>
  <c r="E52" i="40"/>
  <c r="D52" i="40"/>
  <c r="E46" i="40"/>
  <c r="M6" i="40" s="1"/>
  <c r="D46" i="40"/>
  <c r="L6" i="40"/>
  <c r="D40" i="40"/>
  <c r="F40" i="40" s="1"/>
  <c r="E34" i="40"/>
  <c r="K6" i="40" s="1"/>
  <c r="D34" i="40"/>
  <c r="K5" i="40" s="1"/>
  <c r="E21" i="40"/>
  <c r="I6" i="40" s="1"/>
  <c r="D21" i="40"/>
  <c r="F16" i="40"/>
  <c r="E15" i="40"/>
  <c r="D15" i="40"/>
  <c r="S6" i="40"/>
  <c r="Q6" i="40"/>
  <c r="P6" i="40"/>
  <c r="N6" i="40"/>
  <c r="S5" i="40"/>
  <c r="S7" i="40" s="1"/>
  <c r="Q5" i="40"/>
  <c r="Q7" i="40" s="1"/>
  <c r="P5" i="40"/>
  <c r="P7" i="40" s="1"/>
  <c r="O5" i="40"/>
  <c r="N5" i="40"/>
  <c r="W4" i="40"/>
  <c r="V4" i="40" s="1"/>
  <c r="U4" i="40" s="1"/>
  <c r="T4" i="40" s="1"/>
  <c r="E64" i="39"/>
  <c r="D64" i="39"/>
  <c r="F64" i="39" s="1"/>
  <c r="E58" i="39"/>
  <c r="O6" i="39" s="1"/>
  <c r="D58" i="39"/>
  <c r="F58" i="39" s="1"/>
  <c r="E52" i="39"/>
  <c r="N6" i="39" s="1"/>
  <c r="D52" i="39"/>
  <c r="E46" i="39"/>
  <c r="M6" i="39" s="1"/>
  <c r="D46" i="39"/>
  <c r="D40" i="39"/>
  <c r="F40" i="39" s="1"/>
  <c r="E34" i="39"/>
  <c r="K6" i="39" s="1"/>
  <c r="D34" i="39"/>
  <c r="E21" i="39"/>
  <c r="D21" i="39"/>
  <c r="I5" i="39" s="1"/>
  <c r="F16" i="39"/>
  <c r="E15" i="39"/>
  <c r="E27" i="39" s="1"/>
  <c r="J6" i="39" s="1"/>
  <c r="D15" i="39"/>
  <c r="S7" i="39"/>
  <c r="S6" i="39"/>
  <c r="Q6" i="39"/>
  <c r="P6" i="39"/>
  <c r="L6" i="39"/>
  <c r="I6" i="39"/>
  <c r="S5" i="39"/>
  <c r="Q5" i="39"/>
  <c r="Q7" i="39" s="1"/>
  <c r="P5" i="39"/>
  <c r="P7" i="39" s="1"/>
  <c r="W4" i="39"/>
  <c r="V4" i="39" s="1"/>
  <c r="U4" i="39" s="1"/>
  <c r="T4" i="39" s="1"/>
  <c r="F68" i="37"/>
  <c r="F67" i="37"/>
  <c r="F66" i="37"/>
  <c r="F65" i="37"/>
  <c r="E64" i="37"/>
  <c r="D64" i="37"/>
  <c r="F62" i="37"/>
  <c r="F61" i="37"/>
  <c r="F60" i="37"/>
  <c r="F59" i="37"/>
  <c r="E58" i="37"/>
  <c r="D58" i="37"/>
  <c r="F56" i="37"/>
  <c r="F55" i="37"/>
  <c r="F54" i="37"/>
  <c r="F53" i="37"/>
  <c r="E52" i="37"/>
  <c r="D52" i="37"/>
  <c r="F50" i="37"/>
  <c r="F49" i="37"/>
  <c r="F48" i="37"/>
  <c r="F47" i="37"/>
  <c r="E46" i="37"/>
  <c r="D46" i="37"/>
  <c r="F44" i="37"/>
  <c r="F43" i="37"/>
  <c r="F42" i="37"/>
  <c r="F41" i="37"/>
  <c r="E40" i="37"/>
  <c r="D40" i="37"/>
  <c r="F30" i="42" l="1"/>
  <c r="R55" i="13"/>
  <c r="J55" i="13"/>
  <c r="Q55" i="13"/>
  <c r="I6" i="41"/>
  <c r="F29" i="50"/>
  <c r="F29" i="41"/>
  <c r="F28" i="41"/>
  <c r="S7" i="41"/>
  <c r="I5" i="50"/>
  <c r="D30" i="50"/>
  <c r="F30" i="50" s="1"/>
  <c r="I5" i="48"/>
  <c r="J17" i="17" s="1"/>
  <c r="D30" i="48"/>
  <c r="F30" i="48" s="1"/>
  <c r="F46" i="42"/>
  <c r="H6" i="42"/>
  <c r="E29" i="42"/>
  <c r="F29" i="42" s="1"/>
  <c r="F64" i="44"/>
  <c r="P5" i="44"/>
  <c r="P7" i="44" s="1"/>
  <c r="F29" i="43"/>
  <c r="H35" i="11"/>
  <c r="G34" i="10"/>
  <c r="G35" i="11"/>
  <c r="F58" i="40"/>
  <c r="N6" i="48"/>
  <c r="N6" i="49"/>
  <c r="F51" i="41"/>
  <c r="F52" i="48"/>
  <c r="F52" i="49"/>
  <c r="F46" i="39"/>
  <c r="F21" i="40"/>
  <c r="F21" i="42"/>
  <c r="F21" i="49"/>
  <c r="F34" i="45"/>
  <c r="F34" i="44"/>
  <c r="F34" i="49"/>
  <c r="F45" i="41"/>
  <c r="F46" i="45"/>
  <c r="F46" i="43"/>
  <c r="F52" i="39"/>
  <c r="F52" i="40"/>
  <c r="F58" i="42"/>
  <c r="S7" i="46"/>
  <c r="F58" i="43"/>
  <c r="F58" i="44"/>
  <c r="F58" i="45"/>
  <c r="O6" i="50"/>
  <c r="F58" i="50"/>
  <c r="F57" i="41"/>
  <c r="O7" i="48"/>
  <c r="F58" i="48"/>
  <c r="O5" i="49"/>
  <c r="F58" i="49"/>
  <c r="N5" i="42"/>
  <c r="F52" i="42"/>
  <c r="N6" i="44"/>
  <c r="N7" i="44" s="1"/>
  <c r="N5" i="50"/>
  <c r="F52" i="50"/>
  <c r="N5" i="39"/>
  <c r="F52" i="43"/>
  <c r="F52" i="44"/>
  <c r="F52" i="45"/>
  <c r="M5" i="50"/>
  <c r="M7" i="50" s="1"/>
  <c r="F46" i="50"/>
  <c r="M5" i="40"/>
  <c r="M7" i="40" s="1"/>
  <c r="F46" i="40"/>
  <c r="M5" i="43"/>
  <c r="M7" i="43" s="1"/>
  <c r="M5" i="48"/>
  <c r="F46" i="48"/>
  <c r="F46" i="49"/>
  <c r="L5" i="40"/>
  <c r="L7" i="40" s="1"/>
  <c r="L5" i="42"/>
  <c r="F40" i="42"/>
  <c r="L5" i="43"/>
  <c r="L7" i="43" s="1"/>
  <c r="F40" i="43"/>
  <c r="L5" i="44"/>
  <c r="F40" i="44"/>
  <c r="L5" i="45"/>
  <c r="F40" i="45"/>
  <c r="F34" i="39"/>
  <c r="K5" i="48"/>
  <c r="F34" i="48"/>
  <c r="K5" i="49"/>
  <c r="F34" i="40"/>
  <c r="F33" i="41"/>
  <c r="K5" i="42"/>
  <c r="K7" i="42" s="1"/>
  <c r="F34" i="42"/>
  <c r="F34" i="43"/>
  <c r="I5" i="41"/>
  <c r="I7" i="41" s="1"/>
  <c r="F20" i="41"/>
  <c r="I5" i="43"/>
  <c r="F21" i="43"/>
  <c r="I5" i="44"/>
  <c r="F21" i="44"/>
  <c r="I5" i="45"/>
  <c r="H5" i="45" s="1"/>
  <c r="F21" i="45"/>
  <c r="I5" i="49"/>
  <c r="I7" i="49" s="1"/>
  <c r="I7" i="39"/>
  <c r="F21" i="39"/>
  <c r="F21" i="48"/>
  <c r="F21" i="50"/>
  <c r="H5" i="50"/>
  <c r="F15" i="50"/>
  <c r="H6" i="39"/>
  <c r="F15" i="44"/>
  <c r="F15" i="45"/>
  <c r="H5" i="39"/>
  <c r="H7" i="39" s="1"/>
  <c r="F15" i="39"/>
  <c r="H6" i="40"/>
  <c r="F15" i="40"/>
  <c r="F15" i="41"/>
  <c r="F15" i="42"/>
  <c r="F15" i="43"/>
  <c r="H5" i="48"/>
  <c r="I17" i="17" s="1"/>
  <c r="F15" i="48"/>
  <c r="H5" i="49"/>
  <c r="H7" i="49" s="1"/>
  <c r="F15" i="49"/>
  <c r="M5" i="39"/>
  <c r="M7" i="39" s="1"/>
  <c r="M5" i="44"/>
  <c r="N7" i="39"/>
  <c r="L6" i="45"/>
  <c r="K5" i="44"/>
  <c r="K7" i="44" s="1"/>
  <c r="S7" i="50"/>
  <c r="P5" i="51"/>
  <c r="P7" i="51" s="1"/>
  <c r="S7" i="44"/>
  <c r="S7" i="47"/>
  <c r="S7" i="42"/>
  <c r="S7" i="51"/>
  <c r="O7" i="40"/>
  <c r="O5" i="39"/>
  <c r="O7" i="39" s="1"/>
  <c r="O7" i="49"/>
  <c r="N6" i="45"/>
  <c r="N7" i="45" s="1"/>
  <c r="N7" i="40"/>
  <c r="N5" i="48"/>
  <c r="N7" i="48" s="1"/>
  <c r="M5" i="45"/>
  <c r="M7" i="45" s="1"/>
  <c r="M6" i="48"/>
  <c r="L5" i="39"/>
  <c r="L7" i="39" s="1"/>
  <c r="L6" i="48"/>
  <c r="K5" i="39"/>
  <c r="K7" i="39" s="1"/>
  <c r="K5" i="45"/>
  <c r="K7" i="45" s="1"/>
  <c r="R6" i="39"/>
  <c r="W6" i="39" s="1"/>
  <c r="I6" i="43"/>
  <c r="I6" i="45"/>
  <c r="I7" i="45" s="1"/>
  <c r="H7" i="45" s="1"/>
  <c r="E27" i="45"/>
  <c r="J6" i="45" s="1"/>
  <c r="E27" i="40"/>
  <c r="J6" i="40" s="1"/>
  <c r="R6" i="40" s="1"/>
  <c r="W6" i="40" s="1"/>
  <c r="I6" i="44"/>
  <c r="I6" i="48"/>
  <c r="H6" i="48" s="1"/>
  <c r="H6" i="45"/>
  <c r="R7" i="52"/>
  <c r="P7" i="52" s="1"/>
  <c r="O7" i="52" s="1"/>
  <c r="N7" i="52" s="1"/>
  <c r="M7" i="52" s="1"/>
  <c r="L7" i="52" s="1"/>
  <c r="E27" i="44"/>
  <c r="J6" i="44" s="1"/>
  <c r="E26" i="41"/>
  <c r="E12" i="41" s="1"/>
  <c r="E64" i="41" s="1"/>
  <c r="F63" i="41"/>
  <c r="E27" i="43"/>
  <c r="J6" i="43" s="1"/>
  <c r="J6" i="46"/>
  <c r="R6" i="46" s="1"/>
  <c r="E12" i="46"/>
  <c r="E65" i="46" s="1"/>
  <c r="I6" i="51"/>
  <c r="I7" i="51" s="1"/>
  <c r="I51" i="14"/>
  <c r="H7" i="81"/>
  <c r="N7" i="84"/>
  <c r="M7" i="84" s="1"/>
  <c r="D27" i="81"/>
  <c r="M5" i="81"/>
  <c r="O51" i="14"/>
  <c r="H5" i="41"/>
  <c r="H5" i="42"/>
  <c r="F64" i="46"/>
  <c r="P5" i="46"/>
  <c r="P7" i="46" s="1"/>
  <c r="P54" i="13"/>
  <c r="P52" i="14"/>
  <c r="O7" i="45"/>
  <c r="S7" i="45"/>
  <c r="K7" i="40"/>
  <c r="J6" i="47"/>
  <c r="R6" i="47" s="1"/>
  <c r="E12" i="47"/>
  <c r="E65" i="47" s="1"/>
  <c r="S43" i="17"/>
  <c r="J34" i="11" s="1"/>
  <c r="W5" i="83"/>
  <c r="V5" i="83"/>
  <c r="U5" i="83"/>
  <c r="T5" i="83"/>
  <c r="K46" i="16"/>
  <c r="K44" i="17"/>
  <c r="W7" i="83"/>
  <c r="T7" i="83"/>
  <c r="U7" i="83"/>
  <c r="V7" i="83"/>
  <c r="P5" i="47"/>
  <c r="L6" i="51"/>
  <c r="L6" i="50"/>
  <c r="S7" i="43"/>
  <c r="Q7" i="50"/>
  <c r="N5" i="49"/>
  <c r="K6" i="49"/>
  <c r="E27" i="49"/>
  <c r="J6" i="49" s="1"/>
  <c r="Q7" i="42"/>
  <c r="Q7" i="41"/>
  <c r="H6" i="51"/>
  <c r="H7" i="51" s="1"/>
  <c r="O7" i="51"/>
  <c r="N5" i="51"/>
  <c r="N7" i="51" s="1"/>
  <c r="M7" i="51"/>
  <c r="L5" i="51"/>
  <c r="K5" i="51"/>
  <c r="K7" i="51" s="1"/>
  <c r="J6" i="51"/>
  <c r="F64" i="50"/>
  <c r="P5" i="50"/>
  <c r="P7" i="50" s="1"/>
  <c r="O7" i="50"/>
  <c r="N7" i="50"/>
  <c r="L5" i="50"/>
  <c r="K7" i="50"/>
  <c r="I6" i="50"/>
  <c r="I7" i="50" s="1"/>
  <c r="E27" i="50"/>
  <c r="J6" i="50" s="1"/>
  <c r="H6" i="50"/>
  <c r="H5" i="44"/>
  <c r="H7" i="44" s="1"/>
  <c r="O5" i="44"/>
  <c r="O7" i="44" s="1"/>
  <c r="M6" i="44"/>
  <c r="L6" i="44"/>
  <c r="F64" i="47"/>
  <c r="D27" i="47"/>
  <c r="N5" i="43"/>
  <c r="N7" i="43" s="1"/>
  <c r="H6" i="43"/>
  <c r="P7" i="43"/>
  <c r="F64" i="43"/>
  <c r="O5" i="43"/>
  <c r="O7" i="43" s="1"/>
  <c r="K5" i="43"/>
  <c r="K7" i="43" s="1"/>
  <c r="H5" i="43"/>
  <c r="D27" i="46"/>
  <c r="F27" i="46" s="1"/>
  <c r="L5" i="48"/>
  <c r="E27" i="48"/>
  <c r="J6" i="48" s="1"/>
  <c r="H7" i="48"/>
  <c r="N7" i="42"/>
  <c r="L7" i="42"/>
  <c r="P7" i="42"/>
  <c r="F64" i="42"/>
  <c r="O5" i="42"/>
  <c r="O7" i="42" s="1"/>
  <c r="M5" i="42"/>
  <c r="M7" i="42" s="1"/>
  <c r="I6" i="42"/>
  <c r="E27" i="42"/>
  <c r="J6" i="42" s="1"/>
  <c r="I5" i="42"/>
  <c r="L6" i="41"/>
  <c r="K6" i="41" s="1"/>
  <c r="O5" i="41"/>
  <c r="N5" i="41" s="1"/>
  <c r="M5" i="41" s="1"/>
  <c r="M7" i="41" s="1"/>
  <c r="O7" i="41"/>
  <c r="N6" i="41"/>
  <c r="N7" i="41" s="1"/>
  <c r="L5" i="41"/>
  <c r="H6" i="41"/>
  <c r="F40" i="37"/>
  <c r="F46" i="37"/>
  <c r="F52" i="37"/>
  <c r="F58" i="37"/>
  <c r="F64" i="37"/>
  <c r="F70" i="37"/>
  <c r="F31" i="37"/>
  <c r="F30" i="37"/>
  <c r="F29" i="37"/>
  <c r="F28" i="37"/>
  <c r="E27" i="37"/>
  <c r="E36" i="37" s="1"/>
  <c r="D27" i="37"/>
  <c r="D36" i="37" s="1"/>
  <c r="B20" i="37"/>
  <c r="F19" i="37"/>
  <c r="F18" i="37"/>
  <c r="F17" i="37"/>
  <c r="F16" i="37"/>
  <c r="E15" i="37"/>
  <c r="D15" i="37"/>
  <c r="K7" i="48" l="1"/>
  <c r="L17" i="17"/>
  <c r="G35" i="10"/>
  <c r="P55" i="13"/>
  <c r="H7" i="43"/>
  <c r="H7" i="42"/>
  <c r="E35" i="37"/>
  <c r="E33" i="37" s="1"/>
  <c r="E12" i="37" s="1"/>
  <c r="D35" i="37"/>
  <c r="J34" i="10"/>
  <c r="J35" i="10" s="1"/>
  <c r="J35" i="11"/>
  <c r="K33" i="11" s="1" a="1"/>
  <c r="I7" i="43"/>
  <c r="L7" i="45"/>
  <c r="I7" i="48"/>
  <c r="H7" i="41"/>
  <c r="L7" i="44"/>
  <c r="M7" i="44"/>
  <c r="M7" i="48"/>
  <c r="L7" i="51"/>
  <c r="K7" i="49"/>
  <c r="J5" i="47"/>
  <c r="R5" i="47" s="1"/>
  <c r="R7" i="47" s="1"/>
  <c r="F27" i="47"/>
  <c r="R6" i="43"/>
  <c r="W6" i="43" s="1"/>
  <c r="L7" i="48"/>
  <c r="T6" i="39"/>
  <c r="L7" i="50"/>
  <c r="U6" i="39"/>
  <c r="D27" i="43"/>
  <c r="I7" i="42"/>
  <c r="R6" i="48"/>
  <c r="V6" i="48" s="1"/>
  <c r="V6" i="39"/>
  <c r="R6" i="45"/>
  <c r="W6" i="45" s="1"/>
  <c r="R6" i="42"/>
  <c r="W6" i="42" s="1"/>
  <c r="F36" i="37"/>
  <c r="J6" i="41"/>
  <c r="R6" i="41" s="1"/>
  <c r="U6" i="41" s="1"/>
  <c r="J5" i="46"/>
  <c r="D12" i="46"/>
  <c r="D65" i="46" s="1"/>
  <c r="O52" i="14"/>
  <c r="O54" i="13"/>
  <c r="D12" i="81"/>
  <c r="I54" i="13"/>
  <c r="I52" i="14"/>
  <c r="E12" i="43"/>
  <c r="E65" i="43" s="1"/>
  <c r="E12" i="50"/>
  <c r="E65" i="50" s="1"/>
  <c r="L5" i="81"/>
  <c r="N51" i="14"/>
  <c r="M7" i="81"/>
  <c r="E12" i="42"/>
  <c r="E65" i="42" s="1"/>
  <c r="D27" i="45"/>
  <c r="F27" i="45" s="1"/>
  <c r="D27" i="40"/>
  <c r="F27" i="40" s="1"/>
  <c r="V6" i="40"/>
  <c r="T6" i="40"/>
  <c r="U6" i="40"/>
  <c r="D27" i="39"/>
  <c r="F27" i="39" s="1"/>
  <c r="J7" i="47"/>
  <c r="D12" i="47"/>
  <c r="D65" i="47" s="1"/>
  <c r="S44" i="17"/>
  <c r="P7" i="47"/>
  <c r="R6" i="51"/>
  <c r="U6" i="51" s="1"/>
  <c r="M5" i="49"/>
  <c r="N7" i="49"/>
  <c r="R6" i="49"/>
  <c r="V6" i="49" s="1"/>
  <c r="D27" i="49"/>
  <c r="F27" i="49" s="1"/>
  <c r="R6" i="50"/>
  <c r="W6" i="50" s="1"/>
  <c r="H7" i="50"/>
  <c r="D27" i="50"/>
  <c r="R6" i="44"/>
  <c r="W6" i="44" s="1"/>
  <c r="D27" i="44"/>
  <c r="F27" i="44" s="1"/>
  <c r="D27" i="48"/>
  <c r="F27" i="48" s="1"/>
  <c r="D27" i="42"/>
  <c r="K5" i="41"/>
  <c r="K7" i="41" s="1"/>
  <c r="L7" i="41"/>
  <c r="D26" i="41"/>
  <c r="F27" i="37"/>
  <c r="F15" i="37"/>
  <c r="I16" i="8" l="1"/>
  <c r="J16" i="8" s="1"/>
  <c r="J20" i="8" s="1"/>
  <c r="I20" i="8"/>
  <c r="I55" i="13"/>
  <c r="O55" i="13"/>
  <c r="E71" i="37"/>
  <c r="K34" i="11"/>
  <c r="K33" i="11"/>
  <c r="K35" i="11"/>
  <c r="V6" i="43"/>
  <c r="U6" i="43"/>
  <c r="T6" i="42"/>
  <c r="D12" i="41"/>
  <c r="D64" i="41" s="1"/>
  <c r="F26" i="41"/>
  <c r="T6" i="43"/>
  <c r="D12" i="43"/>
  <c r="D65" i="43" s="1"/>
  <c r="F27" i="43"/>
  <c r="D12" i="42"/>
  <c r="D65" i="42" s="1"/>
  <c r="F27" i="42"/>
  <c r="D12" i="50"/>
  <c r="D65" i="50" s="1"/>
  <c r="F27" i="50"/>
  <c r="J5" i="43"/>
  <c r="J7" i="43" s="1"/>
  <c r="R7" i="43" s="1"/>
  <c r="W6" i="41"/>
  <c r="U6" i="48"/>
  <c r="V6" i="42"/>
  <c r="W6" i="48"/>
  <c r="V6" i="45"/>
  <c r="U6" i="45" s="1"/>
  <c r="T6" i="48"/>
  <c r="J5" i="51"/>
  <c r="J7" i="51" s="1"/>
  <c r="R7" i="51" s="1"/>
  <c r="U6" i="42"/>
  <c r="U6" i="44"/>
  <c r="T6" i="51"/>
  <c r="T6" i="45"/>
  <c r="T6" i="44"/>
  <c r="V6" i="41"/>
  <c r="V6" i="44"/>
  <c r="V6" i="51"/>
  <c r="F12" i="46"/>
  <c r="T6" i="41"/>
  <c r="T6" i="50"/>
  <c r="N54" i="13"/>
  <c r="N52" i="14"/>
  <c r="K5" i="81"/>
  <c r="M51" i="14"/>
  <c r="L7" i="81"/>
  <c r="J7" i="46"/>
  <c r="R5" i="46"/>
  <c r="R7" i="46" s="1"/>
  <c r="W6" i="51"/>
  <c r="L5" i="49"/>
  <c r="L7" i="49" s="1"/>
  <c r="M7" i="49"/>
  <c r="T6" i="49"/>
  <c r="U6" i="49"/>
  <c r="W6" i="49"/>
  <c r="D12" i="45"/>
  <c r="J5" i="45"/>
  <c r="D12" i="40"/>
  <c r="J5" i="40"/>
  <c r="J5" i="39"/>
  <c r="F12" i="47"/>
  <c r="S46" i="16"/>
  <c r="D12" i="49"/>
  <c r="J5" i="49"/>
  <c r="U6" i="50"/>
  <c r="V6" i="50"/>
  <c r="J5" i="50"/>
  <c r="J5" i="44"/>
  <c r="J5" i="48"/>
  <c r="K17" i="17" s="1"/>
  <c r="J5" i="42"/>
  <c r="J5" i="41"/>
  <c r="F35" i="37"/>
  <c r="D33" i="37"/>
  <c r="S6" i="37"/>
  <c r="O6" i="37"/>
  <c r="N6" i="37"/>
  <c r="M6" i="37"/>
  <c r="L6" i="37"/>
  <c r="K6" i="37"/>
  <c r="N55" i="13" l="1"/>
  <c r="D12" i="37"/>
  <c r="D71" i="37" s="1"/>
  <c r="R5" i="43"/>
  <c r="W5" i="43" s="1"/>
  <c r="V5" i="43" s="1"/>
  <c r="R5" i="51"/>
  <c r="U5" i="51" s="1"/>
  <c r="F12" i="41"/>
  <c r="F12" i="50"/>
  <c r="J5" i="81"/>
  <c r="L51" i="14"/>
  <c r="K7" i="81"/>
  <c r="M54" i="13"/>
  <c r="M52" i="14"/>
  <c r="J7" i="45"/>
  <c r="R7" i="45" s="1"/>
  <c r="R5" i="45"/>
  <c r="I5" i="40"/>
  <c r="J7" i="40"/>
  <c r="J7" i="39"/>
  <c r="R7" i="39" s="1"/>
  <c r="R5" i="39"/>
  <c r="J7" i="49"/>
  <c r="R7" i="49" s="1"/>
  <c r="R5" i="49"/>
  <c r="W7" i="51"/>
  <c r="U7" i="51"/>
  <c r="V7" i="51"/>
  <c r="T7" i="51"/>
  <c r="J7" i="50"/>
  <c r="R7" i="50" s="1"/>
  <c r="R5" i="50"/>
  <c r="J7" i="44"/>
  <c r="I7" i="44" s="1"/>
  <c r="R5" i="44"/>
  <c r="U7" i="43"/>
  <c r="V7" i="43"/>
  <c r="T7" i="43"/>
  <c r="J7" i="48"/>
  <c r="R7" i="48" s="1"/>
  <c r="R5" i="48"/>
  <c r="S17" i="17" s="1"/>
  <c r="J7" i="42"/>
  <c r="R7" i="42" s="1"/>
  <c r="W7" i="42" s="1"/>
  <c r="R5" i="42"/>
  <c r="F12" i="42"/>
  <c r="J7" i="41"/>
  <c r="R7" i="41" s="1"/>
  <c r="R5" i="41"/>
  <c r="F33" i="37"/>
  <c r="J6" i="37"/>
  <c r="I6" i="37"/>
  <c r="H6" i="37"/>
  <c r="Q7" i="37"/>
  <c r="P7" i="37"/>
  <c r="O5" i="37"/>
  <c r="O7" i="37" s="1"/>
  <c r="N5" i="37"/>
  <c r="N7" i="37" s="1"/>
  <c r="M5" i="37"/>
  <c r="M7" i="37" s="1"/>
  <c r="L5" i="37"/>
  <c r="L7" i="37" s="1"/>
  <c r="K5" i="37"/>
  <c r="K7" i="37" s="1"/>
  <c r="J5" i="37"/>
  <c r="I5" i="37"/>
  <c r="H5" i="37"/>
  <c r="W4" i="37"/>
  <c r="V4" i="37" s="1"/>
  <c r="U4" i="37" s="1"/>
  <c r="T4" i="37" s="1"/>
  <c r="P6" i="36"/>
  <c r="P5" i="36"/>
  <c r="O6" i="36"/>
  <c r="O5" i="36"/>
  <c r="N5" i="36" s="1"/>
  <c r="M6" i="36"/>
  <c r="S6" i="36"/>
  <c r="K6" i="36"/>
  <c r="S5" i="36"/>
  <c r="Q7" i="36"/>
  <c r="H5" i="36"/>
  <c r="W4" i="36"/>
  <c r="V4" i="36" s="1"/>
  <c r="U4" i="36" s="1"/>
  <c r="T4" i="36" s="1"/>
  <c r="O6" i="35"/>
  <c r="M6" i="35"/>
  <c r="H5" i="35"/>
  <c r="S6" i="35"/>
  <c r="P6" i="35"/>
  <c r="N6" i="35"/>
  <c r="K6" i="35"/>
  <c r="I6" i="35"/>
  <c r="S5" i="35"/>
  <c r="W4" i="35"/>
  <c r="V4" i="35" s="1"/>
  <c r="U4" i="35" s="1"/>
  <c r="T4" i="35" s="1"/>
  <c r="D64" i="34"/>
  <c r="P5" i="34" s="1"/>
  <c r="E58" i="34"/>
  <c r="O6" i="34" s="1"/>
  <c r="D58" i="34"/>
  <c r="E52" i="34"/>
  <c r="N6" i="34" s="1"/>
  <c r="D52" i="34"/>
  <c r="E46" i="34"/>
  <c r="M6" i="34" s="1"/>
  <c r="D46" i="34"/>
  <c r="F46" i="34" s="1"/>
  <c r="L6" i="34"/>
  <c r="D40" i="34"/>
  <c r="F40" i="34" s="1"/>
  <c r="E34" i="34"/>
  <c r="K6" i="34" s="1"/>
  <c r="D34" i="34"/>
  <c r="E21" i="34"/>
  <c r="D21" i="34"/>
  <c r="F16" i="34"/>
  <c r="E15" i="34"/>
  <c r="D15" i="34"/>
  <c r="S6" i="34"/>
  <c r="P6" i="34"/>
  <c r="S5" i="34"/>
  <c r="W4" i="34"/>
  <c r="V4" i="34" s="1"/>
  <c r="U4" i="34" s="1"/>
  <c r="T4" i="34" s="1"/>
  <c r="E64" i="33"/>
  <c r="F64" i="33" s="1"/>
  <c r="E58" i="33"/>
  <c r="D58" i="33"/>
  <c r="F58" i="33" s="1"/>
  <c r="E52" i="33"/>
  <c r="N6" i="33" s="1"/>
  <c r="D52" i="33"/>
  <c r="F52" i="33" s="1"/>
  <c r="E46" i="33"/>
  <c r="M6" i="33" s="1"/>
  <c r="D46" i="33"/>
  <c r="F46" i="33" s="1"/>
  <c r="L6" i="33"/>
  <c r="D40" i="33"/>
  <c r="F40" i="33" s="1"/>
  <c r="K6" i="33"/>
  <c r="E21" i="33"/>
  <c r="I6" i="33" s="1"/>
  <c r="D21" i="33"/>
  <c r="F16" i="33"/>
  <c r="E15" i="33"/>
  <c r="H6" i="33" s="1"/>
  <c r="D15" i="33"/>
  <c r="S6" i="33"/>
  <c r="Q6" i="33"/>
  <c r="O6" i="33"/>
  <c r="S5" i="33"/>
  <c r="S7" i="33" s="1"/>
  <c r="Q5" i="33"/>
  <c r="P5" i="33"/>
  <c r="K5" i="33"/>
  <c r="W4" i="33"/>
  <c r="V4" i="33" s="1"/>
  <c r="U4" i="33" s="1"/>
  <c r="T4" i="33" s="1"/>
  <c r="E64" i="32"/>
  <c r="D64" i="32"/>
  <c r="F64" i="32" s="1"/>
  <c r="E58" i="32"/>
  <c r="O6" i="32" s="1"/>
  <c r="D58" i="32"/>
  <c r="F58" i="32" s="1"/>
  <c r="E52" i="32"/>
  <c r="D52" i="32"/>
  <c r="E46" i="32"/>
  <c r="M6" i="32" s="1"/>
  <c r="D46" i="32"/>
  <c r="F46" i="32" s="1"/>
  <c r="D40" i="32"/>
  <c r="F40" i="32" s="1"/>
  <c r="E34" i="32"/>
  <c r="K6" i="32" s="1"/>
  <c r="D34" i="32"/>
  <c r="E21" i="32"/>
  <c r="E30" i="32" s="1"/>
  <c r="D21" i="32"/>
  <c r="D30" i="32" s="1"/>
  <c r="F16" i="32"/>
  <c r="E15" i="32"/>
  <c r="E29" i="32" s="1"/>
  <c r="D15" i="32"/>
  <c r="D29" i="32" s="1"/>
  <c r="S6" i="32"/>
  <c r="Q6" i="32"/>
  <c r="P6" i="32"/>
  <c r="S5" i="32"/>
  <c r="S7" i="32" s="1"/>
  <c r="Q5" i="32"/>
  <c r="P5" i="32"/>
  <c r="W4" i="32"/>
  <c r="V4" i="32" s="1"/>
  <c r="U4" i="32"/>
  <c r="T4" i="32" s="1"/>
  <c r="D64" i="31"/>
  <c r="E64" i="30"/>
  <c r="D64" i="30"/>
  <c r="F64" i="30" s="1"/>
  <c r="E12" i="30"/>
  <c r="D12" i="30"/>
  <c r="S6" i="30"/>
  <c r="S5" i="30"/>
  <c r="D64" i="29"/>
  <c r="S6" i="29"/>
  <c r="T15" i="15" s="1"/>
  <c r="G13" i="12" s="1"/>
  <c r="S5" i="29"/>
  <c r="D64" i="28"/>
  <c r="E58" i="28"/>
  <c r="O6" i="28" s="1"/>
  <c r="D58" i="28"/>
  <c r="E52" i="28"/>
  <c r="N6" i="28" s="1"/>
  <c r="D52" i="28"/>
  <c r="E46" i="28"/>
  <c r="M6" i="28" s="1"/>
  <c r="D46" i="28"/>
  <c r="L6" i="28"/>
  <c r="D40" i="28"/>
  <c r="F40" i="28" s="1"/>
  <c r="E34" i="28"/>
  <c r="K6" i="28" s="1"/>
  <c r="D34" i="28"/>
  <c r="E21" i="28"/>
  <c r="E30" i="28" s="1"/>
  <c r="D21" i="28"/>
  <c r="D30" i="28" s="1"/>
  <c r="F16" i="28"/>
  <c r="E15" i="28"/>
  <c r="E29" i="28" s="1"/>
  <c r="D15" i="28"/>
  <c r="D29" i="28" s="1"/>
  <c r="F29" i="28" s="1"/>
  <c r="S6" i="28"/>
  <c r="P6" i="28"/>
  <c r="S5" i="28"/>
  <c r="Q7" i="28"/>
  <c r="P5" i="28"/>
  <c r="W4" i="28"/>
  <c r="V4" i="28" s="1"/>
  <c r="U4" i="28" s="1"/>
  <c r="T4" i="28" s="1"/>
  <c r="D64" i="26"/>
  <c r="E58" i="26"/>
  <c r="D58" i="26"/>
  <c r="E52" i="26"/>
  <c r="N6" i="26" s="1"/>
  <c r="D52" i="26"/>
  <c r="E46" i="26"/>
  <c r="M6" i="26" s="1"/>
  <c r="D46" i="26"/>
  <c r="D40" i="26"/>
  <c r="F40" i="26" s="1"/>
  <c r="E34" i="26"/>
  <c r="K6" i="26" s="1"/>
  <c r="D34" i="26"/>
  <c r="E21" i="26"/>
  <c r="D21" i="26"/>
  <c r="D30" i="26" s="1"/>
  <c r="F16" i="26"/>
  <c r="E15" i="26"/>
  <c r="D15" i="26"/>
  <c r="D29" i="26" s="1"/>
  <c r="S6" i="26"/>
  <c r="P6" i="26"/>
  <c r="O6" i="26"/>
  <c r="L6" i="26"/>
  <c r="S5" i="26"/>
  <c r="W4" i="26"/>
  <c r="V4" i="26" s="1"/>
  <c r="U4" i="26" s="1"/>
  <c r="T4" i="26" s="1"/>
  <c r="D64" i="25"/>
  <c r="E58" i="25"/>
  <c r="D58" i="25"/>
  <c r="F58" i="25" s="1"/>
  <c r="E52" i="25"/>
  <c r="N6" i="25" s="1"/>
  <c r="D52" i="25"/>
  <c r="F52" i="25" s="1"/>
  <c r="E46" i="25"/>
  <c r="D46" i="25"/>
  <c r="D40" i="25"/>
  <c r="F40" i="25" s="1"/>
  <c r="E34" i="25"/>
  <c r="K6" i="25" s="1"/>
  <c r="D34" i="25"/>
  <c r="K5" i="25" s="1"/>
  <c r="E21" i="25"/>
  <c r="D21" i="25"/>
  <c r="D30" i="25" s="1"/>
  <c r="F16" i="25"/>
  <c r="E15" i="25"/>
  <c r="E29" i="25" s="1"/>
  <c r="D15" i="25"/>
  <c r="D29" i="25" s="1"/>
  <c r="S6" i="25"/>
  <c r="P6" i="25"/>
  <c r="O6" i="25" s="1"/>
  <c r="S5" i="25"/>
  <c r="Q7" i="25"/>
  <c r="M5" i="25"/>
  <c r="V4" i="25"/>
  <c r="U4" i="25" s="1"/>
  <c r="T4" i="25" s="1"/>
  <c r="D64" i="24"/>
  <c r="P5" i="24" s="1"/>
  <c r="E58" i="24"/>
  <c r="O6" i="24" s="1"/>
  <c r="D58" i="24"/>
  <c r="E52" i="24"/>
  <c r="D52" i="24"/>
  <c r="E46" i="24"/>
  <c r="D46" i="24"/>
  <c r="M5" i="24" s="1"/>
  <c r="D40" i="24"/>
  <c r="E34" i="24"/>
  <c r="K6" i="24" s="1"/>
  <c r="D34" i="24"/>
  <c r="D21" i="24"/>
  <c r="D30" i="24" s="1"/>
  <c r="F16" i="24"/>
  <c r="E15" i="24"/>
  <c r="E29" i="24" s="1"/>
  <c r="D15" i="24"/>
  <c r="D29" i="24" s="1"/>
  <c r="F29" i="24" s="1"/>
  <c r="S6" i="24"/>
  <c r="P6" i="24"/>
  <c r="S5" i="24"/>
  <c r="K5" i="24"/>
  <c r="W4" i="24"/>
  <c r="V4" i="24" s="1"/>
  <c r="U4" i="24" s="1"/>
  <c r="T4" i="24" s="1"/>
  <c r="D64" i="23"/>
  <c r="E58" i="23"/>
  <c r="D58" i="23"/>
  <c r="F58" i="23" s="1"/>
  <c r="E52" i="23"/>
  <c r="D52" i="23"/>
  <c r="E46" i="23"/>
  <c r="D46" i="23"/>
  <c r="D40" i="23"/>
  <c r="F40" i="23" s="1"/>
  <c r="E34" i="23"/>
  <c r="D34" i="23"/>
  <c r="F34" i="23" s="1"/>
  <c r="E21" i="23"/>
  <c r="D21" i="23"/>
  <c r="F30" i="23" s="1"/>
  <c r="F16" i="23"/>
  <c r="E15" i="23"/>
  <c r="D15" i="23"/>
  <c r="F30" i="32" l="1"/>
  <c r="M55" i="13"/>
  <c r="F30" i="34"/>
  <c r="H5" i="34"/>
  <c r="F29" i="32"/>
  <c r="F29" i="23"/>
  <c r="F12" i="37"/>
  <c r="W5" i="51"/>
  <c r="F52" i="32"/>
  <c r="H6" i="34"/>
  <c r="F29" i="34"/>
  <c r="F30" i="28"/>
  <c r="I6" i="25"/>
  <c r="E30" i="25"/>
  <c r="F30" i="25" s="1"/>
  <c r="H6" i="25"/>
  <c r="F29" i="25"/>
  <c r="I6" i="26"/>
  <c r="E30" i="26"/>
  <c r="F30" i="26" s="1"/>
  <c r="H6" i="26"/>
  <c r="E29" i="26"/>
  <c r="F29" i="26" s="1"/>
  <c r="U5" i="43"/>
  <c r="T5" i="43"/>
  <c r="F34" i="24"/>
  <c r="F21" i="34"/>
  <c r="F15" i="24"/>
  <c r="F15" i="26"/>
  <c r="F15" i="32"/>
  <c r="F34" i="25"/>
  <c r="F34" i="28"/>
  <c r="L5" i="34"/>
  <c r="L7" i="34" s="1"/>
  <c r="F58" i="34"/>
  <c r="T5" i="51"/>
  <c r="V5" i="51"/>
  <c r="S7" i="26"/>
  <c r="O5" i="24"/>
  <c r="F58" i="24"/>
  <c r="O5" i="26"/>
  <c r="O7" i="26" s="1"/>
  <c r="F58" i="26"/>
  <c r="O5" i="28"/>
  <c r="F58" i="28"/>
  <c r="F52" i="23"/>
  <c r="N5" i="24"/>
  <c r="F52" i="24"/>
  <c r="N5" i="25"/>
  <c r="N7" i="25" s="1"/>
  <c r="F52" i="28"/>
  <c r="N5" i="34"/>
  <c r="N7" i="34" s="1"/>
  <c r="F52" i="34"/>
  <c r="F52" i="26"/>
  <c r="M5" i="26"/>
  <c r="F46" i="26"/>
  <c r="F46" i="25"/>
  <c r="F46" i="23"/>
  <c r="F46" i="24"/>
  <c r="F46" i="28"/>
  <c r="L5" i="24"/>
  <c r="F40" i="24"/>
  <c r="K5" i="34"/>
  <c r="K7" i="34" s="1"/>
  <c r="F34" i="34"/>
  <c r="F34" i="32"/>
  <c r="F34" i="26"/>
  <c r="I5" i="26"/>
  <c r="F21" i="26"/>
  <c r="I5" i="24"/>
  <c r="I5" i="32"/>
  <c r="F21" i="32"/>
  <c r="F21" i="33"/>
  <c r="F21" i="23"/>
  <c r="F21" i="25"/>
  <c r="I5" i="28"/>
  <c r="F21" i="28"/>
  <c r="F15" i="23"/>
  <c r="F15" i="25"/>
  <c r="F15" i="28"/>
  <c r="H5" i="32"/>
  <c r="H5" i="33"/>
  <c r="F15" i="33"/>
  <c r="F15" i="34"/>
  <c r="J6" i="35"/>
  <c r="M6" i="25"/>
  <c r="M7" i="25" s="1"/>
  <c r="L5" i="26"/>
  <c r="L7" i="26" s="1"/>
  <c r="L6" i="25"/>
  <c r="I5" i="25"/>
  <c r="I7" i="25" s="1"/>
  <c r="S7" i="28"/>
  <c r="S7" i="36"/>
  <c r="S7" i="34"/>
  <c r="S7" i="25"/>
  <c r="S7" i="35"/>
  <c r="O5" i="25"/>
  <c r="O7" i="25" s="1"/>
  <c r="N5" i="32"/>
  <c r="M5" i="32" s="1"/>
  <c r="L5" i="32" s="1"/>
  <c r="K5" i="32" s="1"/>
  <c r="K7" i="32" s="1"/>
  <c r="N6" i="32"/>
  <c r="N5" i="28"/>
  <c r="N7" i="28" s="1"/>
  <c r="M5" i="33"/>
  <c r="K7" i="25"/>
  <c r="I6" i="34"/>
  <c r="N6" i="24"/>
  <c r="M6" i="24" s="1"/>
  <c r="L6" i="24" s="1"/>
  <c r="L7" i="24" s="1"/>
  <c r="E27" i="28"/>
  <c r="E12" i="28" s="1"/>
  <c r="E65" i="28" s="1"/>
  <c r="F64" i="28"/>
  <c r="P5" i="29"/>
  <c r="D12" i="29"/>
  <c r="D65" i="29" s="1"/>
  <c r="Q7" i="32"/>
  <c r="P7" i="32" s="1"/>
  <c r="F64" i="34"/>
  <c r="I5" i="35"/>
  <c r="I7" i="35" s="1"/>
  <c r="H6" i="35"/>
  <c r="H7" i="35" s="1"/>
  <c r="J6" i="36"/>
  <c r="H7" i="37"/>
  <c r="J7" i="37"/>
  <c r="L52" i="14"/>
  <c r="L54" i="13"/>
  <c r="H5" i="26"/>
  <c r="P5" i="26"/>
  <c r="P7" i="26" s="1"/>
  <c r="H5" i="28"/>
  <c r="T15" i="14"/>
  <c r="G13" i="11" s="1"/>
  <c r="G13" i="10" s="1"/>
  <c r="S7" i="29"/>
  <c r="Q7" i="33"/>
  <c r="K51" i="14"/>
  <c r="R5" i="81"/>
  <c r="W7" i="45"/>
  <c r="V7" i="45" s="1"/>
  <c r="T7" i="45"/>
  <c r="U7" i="45"/>
  <c r="W5" i="45"/>
  <c r="V5" i="45"/>
  <c r="U5" i="45" s="1"/>
  <c r="T5" i="45"/>
  <c r="H5" i="40"/>
  <c r="R5" i="40" s="1"/>
  <c r="U5" i="40" s="1"/>
  <c r="I7" i="40"/>
  <c r="W7" i="39"/>
  <c r="T7" i="39"/>
  <c r="U7" i="39"/>
  <c r="V7" i="39"/>
  <c r="W5" i="39"/>
  <c r="U5" i="39"/>
  <c r="T5" i="39"/>
  <c r="V5" i="39"/>
  <c r="P5" i="31"/>
  <c r="L5" i="35"/>
  <c r="V7" i="49"/>
  <c r="T7" i="49"/>
  <c r="W7" i="49"/>
  <c r="U7" i="49"/>
  <c r="V5" i="49"/>
  <c r="T5" i="49"/>
  <c r="W5" i="49"/>
  <c r="U5" i="49"/>
  <c r="Q7" i="34"/>
  <c r="L5" i="33"/>
  <c r="L7" i="33" s="1"/>
  <c r="O5" i="33"/>
  <c r="O7" i="33" s="1"/>
  <c r="P6" i="33"/>
  <c r="E27" i="33"/>
  <c r="J6" i="33" s="1"/>
  <c r="Q7" i="26"/>
  <c r="S7" i="24"/>
  <c r="W7" i="50"/>
  <c r="V7" i="50" s="1"/>
  <c r="T7" i="50"/>
  <c r="U7" i="50"/>
  <c r="V5" i="50"/>
  <c r="T5" i="50"/>
  <c r="W5" i="50"/>
  <c r="U5" i="50"/>
  <c r="R7" i="44"/>
  <c r="U7" i="44" s="1"/>
  <c r="V5" i="44"/>
  <c r="T5" i="44"/>
  <c r="W5" i="44"/>
  <c r="U5" i="44"/>
  <c r="W7" i="48"/>
  <c r="U7" i="48"/>
  <c r="V7" i="48"/>
  <c r="T7" i="48"/>
  <c r="V5" i="48"/>
  <c r="T5" i="48"/>
  <c r="W5" i="48"/>
  <c r="U5" i="48"/>
  <c r="U7" i="42"/>
  <c r="V7" i="42"/>
  <c r="T7" i="42"/>
  <c r="U5" i="42"/>
  <c r="V5" i="42"/>
  <c r="T5" i="42"/>
  <c r="W5" i="42"/>
  <c r="W7" i="41"/>
  <c r="T7" i="41"/>
  <c r="V7" i="41"/>
  <c r="U7" i="41" s="1"/>
  <c r="W5" i="41"/>
  <c r="V5" i="41" s="1"/>
  <c r="U5" i="41"/>
  <c r="T5" i="41" s="1"/>
  <c r="I7" i="37"/>
  <c r="R6" i="37"/>
  <c r="U6" i="37" s="1"/>
  <c r="R5" i="37"/>
  <c r="H6" i="36"/>
  <c r="H7" i="36" s="1"/>
  <c r="P7" i="36"/>
  <c r="O7" i="36"/>
  <c r="N6" i="36"/>
  <c r="N7" i="36" s="1"/>
  <c r="M5" i="36"/>
  <c r="L5" i="36" s="1"/>
  <c r="L6" i="36"/>
  <c r="K5" i="36"/>
  <c r="K7" i="36" s="1"/>
  <c r="I6" i="36"/>
  <c r="P5" i="35"/>
  <c r="P7" i="35" s="1"/>
  <c r="O5" i="35"/>
  <c r="O7" i="35" s="1"/>
  <c r="N5" i="35"/>
  <c r="N7" i="35" s="1"/>
  <c r="M5" i="35"/>
  <c r="M7" i="35" s="1"/>
  <c r="L6" i="35"/>
  <c r="K5" i="35"/>
  <c r="K7" i="35" s="1"/>
  <c r="M5" i="34"/>
  <c r="M7" i="34" s="1"/>
  <c r="O5" i="34"/>
  <c r="O7" i="34" s="1"/>
  <c r="E27" i="34"/>
  <c r="J6" i="34" s="1"/>
  <c r="P7" i="34"/>
  <c r="I5" i="34"/>
  <c r="P7" i="33"/>
  <c r="N5" i="33"/>
  <c r="N7" i="33" s="1"/>
  <c r="K7" i="33"/>
  <c r="I5" i="33"/>
  <c r="I7" i="33" s="1"/>
  <c r="H7" i="33"/>
  <c r="O5" i="32"/>
  <c r="O7" i="32" s="1"/>
  <c r="I6" i="32"/>
  <c r="I7" i="32" s="1"/>
  <c r="L6" i="32"/>
  <c r="E27" i="32"/>
  <c r="J6" i="32" s="1"/>
  <c r="H6" i="32"/>
  <c r="E27" i="31"/>
  <c r="F27" i="31" s="1"/>
  <c r="F64" i="31"/>
  <c r="F12" i="30"/>
  <c r="F64" i="29"/>
  <c r="P7" i="28"/>
  <c r="O7" i="28"/>
  <c r="M5" i="28"/>
  <c r="M7" i="28" s="1"/>
  <c r="L5" i="28"/>
  <c r="L7" i="28" s="1"/>
  <c r="K5" i="28"/>
  <c r="K7" i="28" s="1"/>
  <c r="I6" i="28"/>
  <c r="H6" i="28"/>
  <c r="E27" i="23"/>
  <c r="E12" i="23" s="1"/>
  <c r="E65" i="23" s="1"/>
  <c r="D27" i="24"/>
  <c r="O7" i="24"/>
  <c r="H6" i="24"/>
  <c r="F64" i="26"/>
  <c r="M7" i="26"/>
  <c r="N5" i="26"/>
  <c r="N7" i="26" s="1"/>
  <c r="K5" i="26"/>
  <c r="K7" i="26" s="1"/>
  <c r="F64" i="25"/>
  <c r="P5" i="25"/>
  <c r="P7" i="25" s="1"/>
  <c r="L5" i="25"/>
  <c r="H5" i="25"/>
  <c r="D27" i="25"/>
  <c r="P7" i="24"/>
  <c r="F64" i="24"/>
  <c r="K7" i="24"/>
  <c r="H5" i="24"/>
  <c r="F64" i="23"/>
  <c r="S6" i="23"/>
  <c r="P6" i="23"/>
  <c r="O6" i="23"/>
  <c r="N6" i="23"/>
  <c r="M6" i="23"/>
  <c r="L6" i="23"/>
  <c r="K6" i="23"/>
  <c r="I6" i="23"/>
  <c r="H6" i="23"/>
  <c r="S5" i="23"/>
  <c r="Q7" i="23"/>
  <c r="P5" i="23"/>
  <c r="O5" i="23"/>
  <c r="N5" i="23"/>
  <c r="M5" i="23"/>
  <c r="L5" i="23"/>
  <c r="K5" i="23"/>
  <c r="K7" i="23" s="1"/>
  <c r="I5" i="23"/>
  <c r="H5" i="23"/>
  <c r="W4" i="23"/>
  <c r="V4" i="23" s="1"/>
  <c r="U4" i="23" s="1"/>
  <c r="T4" i="23" s="1"/>
  <c r="D64" i="22"/>
  <c r="E58" i="22"/>
  <c r="O6" i="22" s="1"/>
  <c r="D58" i="22"/>
  <c r="O5" i="22" s="1"/>
  <c r="E52" i="22"/>
  <c r="N6" i="22" s="1"/>
  <c r="D52" i="22"/>
  <c r="E46" i="22"/>
  <c r="D46" i="22"/>
  <c r="D40" i="22"/>
  <c r="F40" i="22" s="1"/>
  <c r="E34" i="22"/>
  <c r="K6" i="22" s="1"/>
  <c r="D34" i="22"/>
  <c r="E21" i="22"/>
  <c r="D21" i="22"/>
  <c r="D30" i="22" s="1"/>
  <c r="F16" i="22"/>
  <c r="E15" i="22"/>
  <c r="E29" i="22" s="1"/>
  <c r="D15" i="22"/>
  <c r="D29" i="22" s="1"/>
  <c r="S6" i="22"/>
  <c r="P6" i="22"/>
  <c r="M6" i="22"/>
  <c r="L6" i="22"/>
  <c r="S5" i="22"/>
  <c r="W4" i="22"/>
  <c r="V4" i="22" s="1"/>
  <c r="U4" i="22" s="1"/>
  <c r="T4" i="22" s="1"/>
  <c r="E58" i="21"/>
  <c r="D58" i="21"/>
  <c r="E52" i="21"/>
  <c r="D52" i="21"/>
  <c r="E46" i="21"/>
  <c r="D46" i="21"/>
  <c r="D40" i="21"/>
  <c r="F40" i="21" s="1"/>
  <c r="E34" i="21"/>
  <c r="D34" i="21"/>
  <c r="E21" i="21"/>
  <c r="E30" i="21" s="1"/>
  <c r="D21" i="21"/>
  <c r="D30" i="21" s="1"/>
  <c r="F16" i="21"/>
  <c r="E15" i="21"/>
  <c r="E29" i="21" s="1"/>
  <c r="D15" i="21"/>
  <c r="D29" i="21" s="1"/>
  <c r="I7" i="28" l="1"/>
  <c r="M7" i="24"/>
  <c r="H7" i="25"/>
  <c r="S7" i="22"/>
  <c r="L55" i="13"/>
  <c r="E27" i="26"/>
  <c r="J6" i="26" s="1"/>
  <c r="E27" i="25"/>
  <c r="J6" i="25" s="1"/>
  <c r="R6" i="25" s="1"/>
  <c r="T6" i="25" s="1"/>
  <c r="H7" i="34"/>
  <c r="H7" i="28"/>
  <c r="F29" i="21"/>
  <c r="F29" i="22"/>
  <c r="I6" i="22"/>
  <c r="E30" i="22"/>
  <c r="F30" i="22" s="1"/>
  <c r="H7" i="23"/>
  <c r="F30" i="21"/>
  <c r="I7" i="26"/>
  <c r="H7" i="26"/>
  <c r="R6" i="26"/>
  <c r="W6" i="26" s="1"/>
  <c r="P7" i="23"/>
  <c r="F21" i="21"/>
  <c r="F21" i="22"/>
  <c r="I7" i="34"/>
  <c r="R6" i="34"/>
  <c r="W6" i="34" s="1"/>
  <c r="R7" i="37"/>
  <c r="U7" i="37" s="1"/>
  <c r="M7" i="33"/>
  <c r="F52" i="22"/>
  <c r="F58" i="21"/>
  <c r="F58" i="22"/>
  <c r="F52" i="21"/>
  <c r="F46" i="21"/>
  <c r="F46" i="22"/>
  <c r="K5" i="22"/>
  <c r="K7" i="22" s="1"/>
  <c r="F34" i="22"/>
  <c r="F34" i="21"/>
  <c r="J5" i="25"/>
  <c r="D12" i="24"/>
  <c r="D65" i="24" s="1"/>
  <c r="I5" i="22"/>
  <c r="F15" i="21"/>
  <c r="H5" i="22"/>
  <c r="F15" i="22"/>
  <c r="L7" i="35"/>
  <c r="L7" i="36"/>
  <c r="L7" i="25"/>
  <c r="M7" i="32"/>
  <c r="O7" i="23"/>
  <c r="N7" i="32"/>
  <c r="L7" i="23"/>
  <c r="L7" i="32"/>
  <c r="F12" i="29"/>
  <c r="O7" i="22"/>
  <c r="N7" i="24"/>
  <c r="L5" i="22"/>
  <c r="L7" i="22" s="1"/>
  <c r="I7" i="23"/>
  <c r="R6" i="35"/>
  <c r="T6" i="35" s="1"/>
  <c r="E12" i="33"/>
  <c r="D12" i="25"/>
  <c r="D65" i="25" s="1"/>
  <c r="S7" i="23"/>
  <c r="M7" i="36"/>
  <c r="R6" i="33"/>
  <c r="T6" i="33" s="1"/>
  <c r="T5" i="81"/>
  <c r="V5" i="81"/>
  <c r="S51" i="14"/>
  <c r="W5" i="81"/>
  <c r="U5" i="81"/>
  <c r="P5" i="22"/>
  <c r="P7" i="22" s="1"/>
  <c r="K52" i="14"/>
  <c r="E12" i="34"/>
  <c r="E65" i="34" s="1"/>
  <c r="Q15" i="14"/>
  <c r="P7" i="29"/>
  <c r="R5" i="29"/>
  <c r="W6" i="37"/>
  <c r="W5" i="40"/>
  <c r="V5" i="40"/>
  <c r="T5" i="40"/>
  <c r="H7" i="40"/>
  <c r="R7" i="40" s="1"/>
  <c r="U7" i="40" s="1"/>
  <c r="J6" i="31"/>
  <c r="E12" i="31"/>
  <c r="E65" i="31" s="1"/>
  <c r="P7" i="31"/>
  <c r="Q7" i="22"/>
  <c r="V7" i="44"/>
  <c r="T7" i="44"/>
  <c r="W7" i="44"/>
  <c r="V6" i="37"/>
  <c r="T6" i="37"/>
  <c r="T5" i="37"/>
  <c r="V5" i="37"/>
  <c r="U5" i="37" s="1"/>
  <c r="R6" i="36"/>
  <c r="V6" i="36" s="1"/>
  <c r="Q7" i="35"/>
  <c r="D27" i="34"/>
  <c r="F27" i="34" s="1"/>
  <c r="D27" i="33"/>
  <c r="R6" i="32"/>
  <c r="W6" i="32" s="1"/>
  <c r="D27" i="32"/>
  <c r="F27" i="32" s="1"/>
  <c r="H7" i="32"/>
  <c r="J6" i="28"/>
  <c r="R6" i="28" s="1"/>
  <c r="W6" i="28" s="1"/>
  <c r="D27" i="28"/>
  <c r="F27" i="28" s="1"/>
  <c r="N5" i="22"/>
  <c r="N7" i="22" s="1"/>
  <c r="N7" i="23"/>
  <c r="J6" i="23"/>
  <c r="R6" i="23" s="1"/>
  <c r="V6" i="23" s="1"/>
  <c r="H7" i="24"/>
  <c r="D27" i="26"/>
  <c r="J5" i="24"/>
  <c r="M7" i="23"/>
  <c r="D27" i="23"/>
  <c r="F27" i="23" s="1"/>
  <c r="F64" i="21"/>
  <c r="F64" i="22"/>
  <c r="M5" i="22"/>
  <c r="M7" i="22" s="1"/>
  <c r="H6" i="22"/>
  <c r="E12" i="26" l="1"/>
  <c r="E65" i="26" s="1"/>
  <c r="F27" i="26"/>
  <c r="E12" i="25"/>
  <c r="E65" i="25" s="1"/>
  <c r="J7" i="25"/>
  <c r="F27" i="25"/>
  <c r="I7" i="22"/>
  <c r="T6" i="26"/>
  <c r="U6" i="26"/>
  <c r="V6" i="26"/>
  <c r="R5" i="25"/>
  <c r="U5" i="25" s="1"/>
  <c r="T6" i="34"/>
  <c r="U6" i="34"/>
  <c r="V6" i="34"/>
  <c r="T7" i="37"/>
  <c r="R7" i="25"/>
  <c r="W7" i="25" s="1"/>
  <c r="D12" i="23"/>
  <c r="D65" i="23" s="1"/>
  <c r="D12" i="33"/>
  <c r="F12" i="33" s="1"/>
  <c r="D12" i="34"/>
  <c r="D65" i="34" s="1"/>
  <c r="D12" i="26"/>
  <c r="D65" i="26" s="1"/>
  <c r="D12" i="28"/>
  <c r="D65" i="28" s="1"/>
  <c r="W6" i="35"/>
  <c r="V6" i="25"/>
  <c r="U6" i="25"/>
  <c r="W6" i="25"/>
  <c r="V6" i="33"/>
  <c r="V6" i="35"/>
  <c r="U6" i="35"/>
  <c r="E27" i="22"/>
  <c r="J6" i="22" s="1"/>
  <c r="R6" i="22" s="1"/>
  <c r="T6" i="22" s="1"/>
  <c r="W6" i="33"/>
  <c r="U6" i="33"/>
  <c r="T6" i="32"/>
  <c r="T6" i="28"/>
  <c r="S15" i="14"/>
  <c r="R7" i="29"/>
  <c r="S52" i="14"/>
  <c r="U6" i="28"/>
  <c r="W7" i="40"/>
  <c r="V7" i="40" s="1"/>
  <c r="T7" i="40"/>
  <c r="J7" i="31"/>
  <c r="R6" i="31"/>
  <c r="U6" i="36"/>
  <c r="T6" i="36"/>
  <c r="W6" i="36"/>
  <c r="J5" i="36"/>
  <c r="J5" i="35"/>
  <c r="J5" i="34"/>
  <c r="J5" i="33"/>
  <c r="U6" i="32"/>
  <c r="V6" i="32"/>
  <c r="D12" i="32"/>
  <c r="J5" i="32"/>
  <c r="V6" i="28"/>
  <c r="J5" i="28"/>
  <c r="D27" i="21"/>
  <c r="D27" i="22"/>
  <c r="F27" i="22" s="1"/>
  <c r="E12" i="22"/>
  <c r="E65" i="22" s="1"/>
  <c r="J5" i="26"/>
  <c r="R5" i="24"/>
  <c r="W6" i="23"/>
  <c r="U6" i="23"/>
  <c r="T6" i="23" s="1"/>
  <c r="J5" i="23"/>
  <c r="H7" i="22"/>
  <c r="S6" i="21"/>
  <c r="Q6" i="21"/>
  <c r="P6" i="21"/>
  <c r="O6" i="21"/>
  <c r="N6" i="21"/>
  <c r="M6" i="21" s="1"/>
  <c r="L6" i="21" s="1"/>
  <c r="K6" i="21" s="1"/>
  <c r="I6" i="21"/>
  <c r="H6" i="21"/>
  <c r="W5" i="25" l="1"/>
  <c r="T5" i="25"/>
  <c r="V5" i="25"/>
  <c r="T7" i="25"/>
  <c r="F12" i="23"/>
  <c r="V7" i="25"/>
  <c r="U7" i="25"/>
  <c r="F12" i="28"/>
  <c r="D12" i="22"/>
  <c r="D65" i="22" s="1"/>
  <c r="W6" i="22"/>
  <c r="H13" i="11"/>
  <c r="V6" i="22"/>
  <c r="U6" i="22"/>
  <c r="I5" i="36"/>
  <c r="I7" i="36" s="1"/>
  <c r="J7" i="36"/>
  <c r="J7" i="35"/>
  <c r="R7" i="35" s="1"/>
  <c r="R5" i="35"/>
  <c r="R5" i="34"/>
  <c r="J7" i="34"/>
  <c r="J7" i="33"/>
  <c r="R7" i="33" s="1"/>
  <c r="R5" i="33"/>
  <c r="J7" i="32"/>
  <c r="R7" i="32" s="1"/>
  <c r="R5" i="32"/>
  <c r="J7" i="28"/>
  <c r="R7" i="28" s="1"/>
  <c r="R5" i="28"/>
  <c r="D12" i="21"/>
  <c r="D65" i="21" s="1"/>
  <c r="J5" i="22"/>
  <c r="J7" i="22" s="1"/>
  <c r="R7" i="22" s="1"/>
  <c r="R5" i="26"/>
  <c r="J7" i="26"/>
  <c r="R7" i="26" s="1"/>
  <c r="W5" i="24"/>
  <c r="U5" i="24"/>
  <c r="V5" i="24"/>
  <c r="T5" i="24"/>
  <c r="J7" i="23"/>
  <c r="R7" i="23" s="1"/>
  <c r="R5" i="23"/>
  <c r="S5" i="21"/>
  <c r="S7" i="21" s="1"/>
  <c r="Q5" i="21"/>
  <c r="Q7" i="21" s="1"/>
  <c r="P5" i="21"/>
  <c r="P7" i="21" s="1"/>
  <c r="H13" i="10" l="1"/>
  <c r="R5" i="36"/>
  <c r="U5" i="36" s="1"/>
  <c r="R7" i="36"/>
  <c r="T7" i="36" s="1"/>
  <c r="R5" i="22"/>
  <c r="U5" i="22" s="1"/>
  <c r="T5" i="22" s="1"/>
  <c r="V5" i="35"/>
  <c r="T5" i="35"/>
  <c r="W5" i="35"/>
  <c r="U5" i="35"/>
  <c r="V7" i="35"/>
  <c r="T7" i="35"/>
  <c r="W7" i="35"/>
  <c r="U7" i="35"/>
  <c r="U5" i="34"/>
  <c r="T5" i="34"/>
  <c r="W5" i="34"/>
  <c r="V5" i="34"/>
  <c r="V5" i="33"/>
  <c r="T5" i="33"/>
  <c r="W5" i="33"/>
  <c r="U5" i="33"/>
  <c r="W7" i="33"/>
  <c r="U7" i="33"/>
  <c r="T7" i="33" s="1"/>
  <c r="V7" i="33"/>
  <c r="W5" i="32"/>
  <c r="U5" i="32"/>
  <c r="V5" i="32"/>
  <c r="T5" i="32"/>
  <c r="V7" i="32"/>
  <c r="T7" i="32"/>
  <c r="W7" i="32"/>
  <c r="U7" i="32"/>
  <c r="U5" i="28"/>
  <c r="W5" i="28"/>
  <c r="V5" i="28" s="1"/>
  <c r="T5" i="28"/>
  <c r="W7" i="28"/>
  <c r="T7" i="28"/>
  <c r="V7" i="28"/>
  <c r="U7" i="28" s="1"/>
  <c r="W7" i="26"/>
  <c r="U7" i="26"/>
  <c r="V7" i="26"/>
  <c r="T7" i="26"/>
  <c r="W5" i="26"/>
  <c r="V5" i="26" s="1"/>
  <c r="T5" i="26"/>
  <c r="U5" i="26"/>
  <c r="V5" i="23"/>
  <c r="T5" i="23"/>
  <c r="W5" i="23"/>
  <c r="U5" i="23"/>
  <c r="W7" i="23"/>
  <c r="V7" i="23"/>
  <c r="T7" i="23"/>
  <c r="U7" i="23"/>
  <c r="V7" i="22"/>
  <c r="W7" i="22"/>
  <c r="U7" i="22"/>
  <c r="T7" i="22" s="1"/>
  <c r="O5" i="21"/>
  <c r="N5" i="21" s="1"/>
  <c r="N7" i="21" s="1"/>
  <c r="M5" i="21"/>
  <c r="L5" i="21"/>
  <c r="L7" i="21" s="1"/>
  <c r="V5" i="22" l="1"/>
  <c r="M7" i="21"/>
  <c r="W5" i="36"/>
  <c r="V7" i="36"/>
  <c r="U7" i="36"/>
  <c r="T5" i="36"/>
  <c r="W7" i="36"/>
  <c r="V5" i="36"/>
  <c r="W5" i="22"/>
  <c r="O7" i="21"/>
  <c r="K5" i="21"/>
  <c r="K7" i="21" s="1"/>
  <c r="J5" i="21"/>
  <c r="I5" i="21"/>
  <c r="H5" i="21"/>
  <c r="W4" i="21"/>
  <c r="V4" i="21" s="1"/>
  <c r="U4" i="21" s="1"/>
  <c r="T4" i="21" s="1"/>
  <c r="F68" i="19"/>
  <c r="F67" i="19"/>
  <c r="F66" i="19"/>
  <c r="F65" i="19"/>
  <c r="E64" i="19"/>
  <c r="D64" i="19"/>
  <c r="F62" i="19"/>
  <c r="F61" i="19"/>
  <c r="F60" i="19"/>
  <c r="F59" i="19"/>
  <c r="E58" i="19"/>
  <c r="D58" i="19"/>
  <c r="F56" i="19"/>
  <c r="F55" i="19"/>
  <c r="F54" i="19"/>
  <c r="F53" i="19"/>
  <c r="E52" i="19"/>
  <c r="D52" i="19"/>
  <c r="F50" i="19"/>
  <c r="F49" i="19"/>
  <c r="F48" i="19"/>
  <c r="F47" i="19"/>
  <c r="E46" i="19"/>
  <c r="D46" i="19"/>
  <c r="F44" i="19"/>
  <c r="F43" i="19"/>
  <c r="F42" i="19"/>
  <c r="F41" i="19"/>
  <c r="E40" i="19"/>
  <c r="D40" i="19"/>
  <c r="F31" i="19"/>
  <c r="F30" i="19"/>
  <c r="F29" i="19"/>
  <c r="F28" i="19"/>
  <c r="E27" i="19"/>
  <c r="E36" i="19" s="1"/>
  <c r="D27" i="19"/>
  <c r="D36" i="19" s="1"/>
  <c r="B20" i="19"/>
  <c r="E15" i="19"/>
  <c r="E35" i="19" s="1"/>
  <c r="D15" i="19"/>
  <c r="D35" i="19" l="1"/>
  <c r="F27" i="19"/>
  <c r="F40" i="19"/>
  <c r="F64" i="19"/>
  <c r="F15" i="19"/>
  <c r="F36" i="19"/>
  <c r="F46" i="19"/>
  <c r="F52" i="19"/>
  <c r="F58" i="19"/>
  <c r="R5" i="21"/>
  <c r="U5" i="21" s="1"/>
  <c r="F70" i="19"/>
  <c r="S6" i="19"/>
  <c r="Q6" i="19"/>
  <c r="O6" i="19"/>
  <c r="N6" i="19"/>
  <c r="M6" i="19"/>
  <c r="L6" i="19"/>
  <c r="K6" i="19"/>
  <c r="I6" i="19"/>
  <c r="H6" i="19"/>
  <c r="S5" i="19"/>
  <c r="Q5" i="19"/>
  <c r="Q7" i="19" s="1"/>
  <c r="O5" i="19"/>
  <c r="N5" i="19"/>
  <c r="M5" i="19"/>
  <c r="L5" i="19"/>
  <c r="K5" i="19"/>
  <c r="I5" i="19"/>
  <c r="H5" i="19"/>
  <c r="W4" i="19"/>
  <c r="V4" i="19"/>
  <c r="U4" i="19"/>
  <c r="T4" i="19" s="1"/>
  <c r="R74" i="18"/>
  <c r="Q73" i="18"/>
  <c r="N73" i="18"/>
  <c r="M73" i="18" s="1"/>
  <c r="L73" i="18"/>
  <c r="J73" i="18"/>
  <c r="I73" i="18"/>
  <c r="Q72" i="18"/>
  <c r="P72" i="18" s="1"/>
  <c r="O72" i="18" s="1"/>
  <c r="N72" i="18" s="1"/>
  <c r="M72" i="18" s="1"/>
  <c r="L72" i="18" s="1"/>
  <c r="J72" i="18"/>
  <c r="I72" i="18" s="1"/>
  <c r="Q71" i="18"/>
  <c r="Q70" i="18"/>
  <c r="J70" i="18"/>
  <c r="I70" i="18" s="1"/>
  <c r="Q69" i="18"/>
  <c r="I69" i="18"/>
  <c r="Q64" i="18"/>
  <c r="P64" i="18" s="1"/>
  <c r="O64" i="18" s="1"/>
  <c r="N64" i="18" s="1"/>
  <c r="M64" i="18" s="1"/>
  <c r="L64" i="18" s="1"/>
  <c r="Q63" i="18"/>
  <c r="P63" i="18" s="1"/>
  <c r="O63" i="18" s="1"/>
  <c r="N63" i="18" s="1"/>
  <c r="M63" i="18" s="1"/>
  <c r="L63" i="18" s="1"/>
  <c r="I63" i="18"/>
  <c r="R59" i="18"/>
  <c r="R56" i="18" s="1"/>
  <c r="Q59" i="18"/>
  <c r="L59" i="18"/>
  <c r="J59" i="18"/>
  <c r="Q58" i="18"/>
  <c r="I58" i="18"/>
  <c r="Q57" i="18"/>
  <c r="Q56" i="18" s="1"/>
  <c r="J57" i="18"/>
  <c r="R55" i="18"/>
  <c r="Q55" i="18"/>
  <c r="P55" i="18" s="1"/>
  <c r="O55" i="18" s="1"/>
  <c r="N55" i="18" s="1"/>
  <c r="M55" i="18" s="1"/>
  <c r="L55" i="18" s="1"/>
  <c r="J55" i="18"/>
  <c r="I55" i="18"/>
  <c r="R54" i="18"/>
  <c r="Q54" i="18"/>
  <c r="P54" i="18"/>
  <c r="O54" i="18"/>
  <c r="N54" i="18"/>
  <c r="M54" i="18"/>
  <c r="L54" i="18"/>
  <c r="J54" i="18"/>
  <c r="I54" i="18"/>
  <c r="R53" i="18"/>
  <c r="Q53" i="18"/>
  <c r="O53" i="18"/>
  <c r="N53" i="18"/>
  <c r="M53" i="18"/>
  <c r="L53" i="18"/>
  <c r="J53" i="18"/>
  <c r="I53" i="18" s="1"/>
  <c r="R52" i="18"/>
  <c r="Q52" i="18"/>
  <c r="N52" i="18"/>
  <c r="Q51" i="18" l="1"/>
  <c r="Q66" i="18" s="1"/>
  <c r="I59" i="18"/>
  <c r="I7" i="19"/>
  <c r="N51" i="18"/>
  <c r="R51" i="18"/>
  <c r="R66" i="18" s="1"/>
  <c r="I57" i="18"/>
  <c r="I56" i="18" s="1"/>
  <c r="H7" i="19"/>
  <c r="L7" i="19"/>
  <c r="K7" i="19" s="1"/>
  <c r="D33" i="19"/>
  <c r="D12" i="19" s="1"/>
  <c r="W5" i="21"/>
  <c r="T5" i="21"/>
  <c r="V5" i="21"/>
  <c r="S7" i="19"/>
  <c r="P7" i="19"/>
  <c r="O7" i="19" s="1"/>
  <c r="N7" i="19" s="1"/>
  <c r="M7" i="19" s="1"/>
  <c r="Q74" i="18"/>
  <c r="M52" i="18"/>
  <c r="M51" i="18" s="1"/>
  <c r="T30" i="18"/>
  <c r="Q30" i="18"/>
  <c r="P30" i="18"/>
  <c r="O30" i="18"/>
  <c r="N30" i="18"/>
  <c r="M30" i="18"/>
  <c r="L30" i="18"/>
  <c r="K30" i="18" s="1"/>
  <c r="J30" i="18"/>
  <c r="I30" i="18"/>
  <c r="T28" i="18"/>
  <c r="T27" i="18" s="1"/>
  <c r="I26" i="12" s="1"/>
  <c r="S28" i="18"/>
  <c r="Q28" i="18"/>
  <c r="Q27" i="18" s="1"/>
  <c r="P28" i="18"/>
  <c r="P27" i="18" s="1"/>
  <c r="O28" i="18"/>
  <c r="O27" i="18" s="1"/>
  <c r="N28" i="18"/>
  <c r="N27" i="18" s="1"/>
  <c r="M28" i="18"/>
  <c r="M27" i="18" s="1"/>
  <c r="L28" i="18"/>
  <c r="J28" i="18"/>
  <c r="J27" i="18" s="1"/>
  <c r="I28" i="18"/>
  <c r="I27" i="18" s="1"/>
  <c r="T26" i="18"/>
  <c r="L25" i="18"/>
  <c r="K28" i="18" l="1"/>
  <c r="K27" i="18" s="1"/>
  <c r="L27" i="18"/>
  <c r="J26" i="12"/>
  <c r="S27" i="18"/>
  <c r="K25" i="18"/>
  <c r="J25" i="18" s="1"/>
  <c r="S30" i="18"/>
  <c r="I28" i="12"/>
  <c r="S26" i="18"/>
  <c r="J25" i="12" s="1"/>
  <c r="I25" i="12"/>
  <c r="Q26" i="18"/>
  <c r="P26" i="18" s="1"/>
  <c r="O26" i="18" s="1"/>
  <c r="N26" i="18" s="1"/>
  <c r="M26" i="18" s="1"/>
  <c r="L26" i="18" s="1"/>
  <c r="K26" i="18" s="1"/>
  <c r="J26" i="18" s="1"/>
  <c r="I26" i="18" s="1"/>
  <c r="T25" i="18" s="1"/>
  <c r="T38" i="18" s="1"/>
  <c r="S25" i="18"/>
  <c r="D71" i="19"/>
  <c r="J5" i="19"/>
  <c r="L52" i="18"/>
  <c r="L51" i="18" s="1"/>
  <c r="J38" i="18" l="1"/>
  <c r="S38" i="18"/>
  <c r="L38" i="18"/>
  <c r="K38" i="18"/>
  <c r="I25" i="18"/>
  <c r="I38" i="18" s="1"/>
  <c r="I24" i="12"/>
  <c r="I30" i="12" s="1"/>
  <c r="J28" i="12"/>
  <c r="Q25" i="18"/>
  <c r="Q38" i="18" s="1"/>
  <c r="J24" i="12"/>
  <c r="R5" i="19"/>
  <c r="T20" i="18"/>
  <c r="S20" i="18"/>
  <c r="R20" i="18" s="1"/>
  <c r="Q20" i="18" s="1"/>
  <c r="P20" i="18" s="1"/>
  <c r="O20" i="18" s="1"/>
  <c r="N20" i="18" s="1"/>
  <c r="M20" i="18" s="1"/>
  <c r="L20" i="18" s="1"/>
  <c r="K20" i="18"/>
  <c r="J20" i="18" s="1"/>
  <c r="I20" i="18" s="1"/>
  <c r="T19" i="18"/>
  <c r="I20" i="12" s="1"/>
  <c r="S19" i="18"/>
  <c r="K19" i="18"/>
  <c r="J19" i="18" s="1"/>
  <c r="I19" i="18" s="1"/>
  <c r="T18" i="18"/>
  <c r="S18" i="18"/>
  <c r="K18" i="18"/>
  <c r="J18" i="18" s="1"/>
  <c r="I18" i="18" s="1"/>
  <c r="T16" i="18"/>
  <c r="I17" i="12" s="1"/>
  <c r="S16" i="18"/>
  <c r="J17" i="12" s="1"/>
  <c r="R16" i="18"/>
  <c r="Q16" i="18"/>
  <c r="P16" i="18"/>
  <c r="O16" i="18"/>
  <c r="N16" i="18"/>
  <c r="M16" i="18"/>
  <c r="L16" i="18"/>
  <c r="K16" i="18"/>
  <c r="J16" i="18"/>
  <c r="I16" i="18"/>
  <c r="T15" i="18"/>
  <c r="I14" i="12" s="1"/>
  <c r="R15" i="18"/>
  <c r="Q15" i="18"/>
  <c r="P15" i="18"/>
  <c r="O15" i="18"/>
  <c r="N15" i="18"/>
  <c r="M15" i="18"/>
  <c r="L15" i="18"/>
  <c r="K15" i="18"/>
  <c r="J15" i="18"/>
  <c r="I15" i="18"/>
  <c r="T14" i="18"/>
  <c r="I13" i="12" s="1"/>
  <c r="S14" i="18"/>
  <c r="J13" i="12" s="1"/>
  <c r="R14" i="18"/>
  <c r="Q14" i="18"/>
  <c r="P14" i="18"/>
  <c r="O14" i="18"/>
  <c r="N14" i="18"/>
  <c r="M14" i="18"/>
  <c r="L14" i="18"/>
  <c r="K14" i="18"/>
  <c r="J14" i="18"/>
  <c r="I14" i="18"/>
  <c r="T13" i="18"/>
  <c r="I12" i="12" s="1"/>
  <c r="S13" i="18"/>
  <c r="K13" i="18"/>
  <c r="J13" i="18"/>
  <c r="I13" i="18" s="1"/>
  <c r="T12" i="18"/>
  <c r="S12" i="18"/>
  <c r="K12" i="18"/>
  <c r="T11" i="18"/>
  <c r="I9" i="12" s="1"/>
  <c r="S11" i="18"/>
  <c r="K11" i="18"/>
  <c r="J11" i="18" s="1"/>
  <c r="I11" i="18" s="1"/>
  <c r="T10" i="18"/>
  <c r="K10" i="18"/>
  <c r="J10" i="18" s="1"/>
  <c r="I10" i="18" s="1"/>
  <c r="T9" i="18"/>
  <c r="I10" i="12" s="1"/>
  <c r="S9" i="18"/>
  <c r="K9" i="18"/>
  <c r="J9" i="18" s="1"/>
  <c r="I9" i="18"/>
  <c r="T8" i="18"/>
  <c r="K8" i="18"/>
  <c r="J8" i="18" s="1"/>
  <c r="I8" i="18"/>
  <c r="T7" i="18"/>
  <c r="O7" i="18"/>
  <c r="K7" i="18"/>
  <c r="R74" i="17"/>
  <c r="Q73" i="17"/>
  <c r="O73" i="17"/>
  <c r="N73" i="17"/>
  <c r="M73" i="17" s="1"/>
  <c r="L73" i="17"/>
  <c r="J73" i="17"/>
  <c r="I73" i="17"/>
  <c r="Q72" i="17"/>
  <c r="P72" i="17" s="1"/>
  <c r="O72" i="17" s="1"/>
  <c r="N72" i="17" s="1"/>
  <c r="M72" i="17" s="1"/>
  <c r="L72" i="17" s="1"/>
  <c r="Q71" i="17"/>
  <c r="P71" i="17" s="1"/>
  <c r="O71" i="17" s="1"/>
  <c r="Q70" i="17"/>
  <c r="Q69" i="17"/>
  <c r="I69" i="17"/>
  <c r="Q64" i="17"/>
  <c r="P64" i="17" s="1"/>
  <c r="O64" i="17" s="1"/>
  <c r="N64" i="17" s="1"/>
  <c r="M64" i="17" s="1"/>
  <c r="L64" i="17" s="1"/>
  <c r="Q63" i="17"/>
  <c r="P63" i="17"/>
  <c r="O63" i="17" s="1"/>
  <c r="N63" i="17" s="1"/>
  <c r="M63" i="17" s="1"/>
  <c r="L63" i="17" s="1"/>
  <c r="R59" i="17"/>
  <c r="Q59" i="17"/>
  <c r="P59" i="17"/>
  <c r="O59" i="17"/>
  <c r="M59" i="17"/>
  <c r="L59" i="17"/>
  <c r="J59" i="17"/>
  <c r="I59" i="17"/>
  <c r="Q58" i="17"/>
  <c r="J58" i="17"/>
  <c r="I58" i="17" s="1"/>
  <c r="I56" i="17" s="1"/>
  <c r="Q57" i="17"/>
  <c r="J57" i="17"/>
  <c r="R55" i="17"/>
  <c r="Q55" i="17"/>
  <c r="P55" i="17"/>
  <c r="O55" i="17"/>
  <c r="N55" i="17" s="1"/>
  <c r="M55" i="17"/>
  <c r="L55" i="17"/>
  <c r="J55" i="17"/>
  <c r="I55" i="17" s="1"/>
  <c r="R54" i="17"/>
  <c r="Q54" i="17"/>
  <c r="P54" i="17" s="1"/>
  <c r="O54" i="17"/>
  <c r="N54" i="17"/>
  <c r="M54" i="17"/>
  <c r="L54" i="17"/>
  <c r="J54" i="17"/>
  <c r="I54" i="17"/>
  <c r="R53" i="17"/>
  <c r="Q53" i="17"/>
  <c r="P53" i="17"/>
  <c r="O53" i="17" s="1"/>
  <c r="N53" i="17"/>
  <c r="M53" i="17"/>
  <c r="L53" i="17" s="1"/>
  <c r="R52" i="17"/>
  <c r="Q52" i="17"/>
  <c r="P52" i="17"/>
  <c r="O52" i="17"/>
  <c r="N52" i="17"/>
  <c r="M52" i="17"/>
  <c r="N71" i="17" l="1"/>
  <c r="J30" i="12"/>
  <c r="N59" i="17"/>
  <c r="P25" i="18"/>
  <c r="P38" i="18" s="1"/>
  <c r="I15" i="12"/>
  <c r="T21" i="18"/>
  <c r="J12" i="18"/>
  <c r="K21" i="18"/>
  <c r="O51" i="17"/>
  <c r="R51" i="17"/>
  <c r="R66" i="17" s="1"/>
  <c r="I6" i="12"/>
  <c r="S8" i="18"/>
  <c r="J11" i="12" s="1"/>
  <c r="I11" i="12"/>
  <c r="N51" i="17"/>
  <c r="P51" i="17"/>
  <c r="M51" i="17"/>
  <c r="S10" i="18"/>
  <c r="J16" i="12" s="1"/>
  <c r="I16" i="12"/>
  <c r="R9" i="18"/>
  <c r="Q9" i="18" s="1"/>
  <c r="P9" i="18" s="1"/>
  <c r="O9" i="18" s="1"/>
  <c r="N9" i="18" s="1"/>
  <c r="M9" i="18" s="1"/>
  <c r="L9" i="18" s="1"/>
  <c r="J10" i="12"/>
  <c r="R12" i="18"/>
  <c r="Q12" i="18" s="1"/>
  <c r="J15" i="12"/>
  <c r="R13" i="18"/>
  <c r="Q13" i="18" s="1"/>
  <c r="P13" i="18" s="1"/>
  <c r="O13" i="18" s="1"/>
  <c r="N13" i="18" s="1"/>
  <c r="M13" i="18" s="1"/>
  <c r="L13" i="18" s="1"/>
  <c r="J12" i="12"/>
  <c r="R8" i="18"/>
  <c r="Q8" i="18" s="1"/>
  <c r="P8" i="18" s="1"/>
  <c r="O8" i="18" s="1"/>
  <c r="N8" i="18" s="1"/>
  <c r="M8" i="18" s="1"/>
  <c r="L8" i="18" s="1"/>
  <c r="R11" i="18"/>
  <c r="Q11" i="18" s="1"/>
  <c r="P11" i="18" s="1"/>
  <c r="O11" i="18" s="1"/>
  <c r="N11" i="18" s="1"/>
  <c r="M11" i="18" s="1"/>
  <c r="L11" i="18" s="1"/>
  <c r="J9" i="12"/>
  <c r="R19" i="18"/>
  <c r="Q19" i="18" s="1"/>
  <c r="P19" i="18" s="1"/>
  <c r="O19" i="18" s="1"/>
  <c r="N19" i="18" s="1"/>
  <c r="M19" i="18" s="1"/>
  <c r="L19" i="18" s="1"/>
  <c r="J20" i="12"/>
  <c r="R18" i="18"/>
  <c r="Q18" i="18" s="1"/>
  <c r="P18" i="18" s="1"/>
  <c r="O18" i="18" s="1"/>
  <c r="N18" i="18" s="1"/>
  <c r="M18" i="18" s="1"/>
  <c r="L18" i="18" s="1"/>
  <c r="R10" i="18"/>
  <c r="Q51" i="17"/>
  <c r="I57" i="17"/>
  <c r="V5" i="19"/>
  <c r="W5" i="19"/>
  <c r="U5" i="19"/>
  <c r="T5" i="19"/>
  <c r="J7" i="18"/>
  <c r="S7" i="18"/>
  <c r="N7" i="18"/>
  <c r="Q74" i="17"/>
  <c r="L52" i="17"/>
  <c r="L51" i="17" s="1"/>
  <c r="J52" i="17"/>
  <c r="I52" i="17"/>
  <c r="T30" i="17"/>
  <c r="Q30" i="17"/>
  <c r="P30" i="17"/>
  <c r="O30" i="17"/>
  <c r="N30" i="17"/>
  <c r="M30" i="17"/>
  <c r="L30" i="17"/>
  <c r="K30" i="17"/>
  <c r="J30" i="17"/>
  <c r="I30" i="17"/>
  <c r="T28" i="17"/>
  <c r="Q28" i="17"/>
  <c r="P28" i="17"/>
  <c r="P27" i="17" s="1"/>
  <c r="P38" i="17" s="1"/>
  <c r="O28" i="17"/>
  <c r="N28" i="17"/>
  <c r="N27" i="17" s="1"/>
  <c r="M28" i="17"/>
  <c r="L28" i="17"/>
  <c r="J28" i="17"/>
  <c r="I28" i="17"/>
  <c r="T26" i="17"/>
  <c r="K25" i="17"/>
  <c r="M71" i="17" l="1"/>
  <c r="J27" i="17"/>
  <c r="J38" i="17" s="1"/>
  <c r="I28" i="11"/>
  <c r="I28" i="10" s="1"/>
  <c r="O25" i="18"/>
  <c r="O38" i="18" s="1"/>
  <c r="Q10" i="18"/>
  <c r="P10" i="18" s="1"/>
  <c r="O10" i="18" s="1"/>
  <c r="N10" i="18" s="1"/>
  <c r="M10" i="18" s="1"/>
  <c r="L10" i="18" s="1"/>
  <c r="P12" i="18"/>
  <c r="O12" i="18"/>
  <c r="N12" i="18"/>
  <c r="M12" i="18"/>
  <c r="L12" i="18"/>
  <c r="I12" i="18"/>
  <c r="J21" i="18"/>
  <c r="J6" i="12"/>
  <c r="I7" i="12"/>
  <c r="I21" i="12" s="1"/>
  <c r="I26" i="10"/>
  <c r="I25" i="11"/>
  <c r="I25" i="10" s="1"/>
  <c r="Q66" i="17"/>
  <c r="J25" i="17"/>
  <c r="K28" i="17"/>
  <c r="K27" i="17" s="1"/>
  <c r="K38" i="17" s="1"/>
  <c r="S28" i="17"/>
  <c r="S26" i="17"/>
  <c r="S30" i="17"/>
  <c r="M7" i="18"/>
  <c r="R7" i="18"/>
  <c r="R21" i="18" s="1"/>
  <c r="I7" i="18"/>
  <c r="T20" i="17"/>
  <c r="K20" i="17"/>
  <c r="I20" i="17"/>
  <c r="T19" i="17"/>
  <c r="S19" i="17"/>
  <c r="K19" i="17"/>
  <c r="I19" i="17"/>
  <c r="T16" i="17"/>
  <c r="S16" i="17"/>
  <c r="R16" i="17"/>
  <c r="Q16" i="17"/>
  <c r="P16" i="17"/>
  <c r="O16" i="17"/>
  <c r="N16" i="17"/>
  <c r="M16" i="17"/>
  <c r="L16" i="17"/>
  <c r="K16" i="17"/>
  <c r="J16" i="17"/>
  <c r="I16" i="17"/>
  <c r="T15" i="17"/>
  <c r="S15" i="17"/>
  <c r="J14" i="11" s="1"/>
  <c r="R15" i="17"/>
  <c r="Q15" i="17"/>
  <c r="P15" i="17"/>
  <c r="O15" i="17"/>
  <c r="N15" i="17"/>
  <c r="M15" i="17"/>
  <c r="L15" i="17"/>
  <c r="K15" i="17"/>
  <c r="J15" i="17"/>
  <c r="I15" i="17"/>
  <c r="T14" i="17"/>
  <c r="S14" i="17"/>
  <c r="R14" i="17"/>
  <c r="Q14" i="17"/>
  <c r="P14" i="17"/>
  <c r="O14" i="17"/>
  <c r="N14" i="17"/>
  <c r="M14" i="17"/>
  <c r="L14" i="17"/>
  <c r="K14" i="17"/>
  <c r="J14" i="17"/>
  <c r="I14" i="17"/>
  <c r="S13" i="17"/>
  <c r="K13" i="17"/>
  <c r="J12" i="17"/>
  <c r="I12" i="17"/>
  <c r="T11" i="17"/>
  <c r="R11" i="17"/>
  <c r="P11" i="17"/>
  <c r="M11" i="17"/>
  <c r="J11" i="17"/>
  <c r="I11" i="17"/>
  <c r="S10" i="17"/>
  <c r="K10" i="17"/>
  <c r="T9" i="17"/>
  <c r="I10" i="11" s="1"/>
  <c r="I10" i="10" s="1"/>
  <c r="K9" i="17"/>
  <c r="I9" i="17"/>
  <c r="T8" i="17"/>
  <c r="I11" i="11" s="1"/>
  <c r="I11" i="10" s="1"/>
  <c r="R8" i="17"/>
  <c r="I8" i="17"/>
  <c r="S7" i="17"/>
  <c r="K7" i="17"/>
  <c r="I7" i="17"/>
  <c r="L71" i="17" l="1"/>
  <c r="J26" i="11"/>
  <c r="J26" i="10" s="1"/>
  <c r="S27" i="17"/>
  <c r="I21" i="18"/>
  <c r="N25" i="18"/>
  <c r="N38" i="18" s="1"/>
  <c r="N21" i="18"/>
  <c r="M21" i="18"/>
  <c r="O21" i="18"/>
  <c r="I13" i="11"/>
  <c r="I13" i="10" s="1"/>
  <c r="J28" i="11"/>
  <c r="J28" i="10" s="1"/>
  <c r="J25" i="11"/>
  <c r="J25" i="10" s="1"/>
  <c r="J6" i="11"/>
  <c r="J6" i="10" s="1"/>
  <c r="I9" i="11"/>
  <c r="I9" i="10" s="1"/>
  <c r="I14" i="11"/>
  <c r="I14" i="10" s="1"/>
  <c r="I17" i="11"/>
  <c r="I17" i="10" s="1"/>
  <c r="I18" i="11"/>
  <c r="I18" i="10" s="1"/>
  <c r="I20" i="11"/>
  <c r="I20" i="10" s="1"/>
  <c r="J20" i="11"/>
  <c r="J20" i="10" s="1"/>
  <c r="J16" i="11"/>
  <c r="J16" i="10" s="1"/>
  <c r="J13" i="11"/>
  <c r="J17" i="11"/>
  <c r="J17" i="10" s="1"/>
  <c r="J12" i="11"/>
  <c r="J12" i="10" s="1"/>
  <c r="S8" i="17"/>
  <c r="J9" i="17"/>
  <c r="J10" i="17"/>
  <c r="T10" i="17"/>
  <c r="L11" i="17"/>
  <c r="Q11" i="17"/>
  <c r="J13" i="17"/>
  <c r="T13" i="17"/>
  <c r="R19" i="17"/>
  <c r="S20" i="17"/>
  <c r="Q26" i="17"/>
  <c r="I25" i="17"/>
  <c r="J7" i="17"/>
  <c r="Q8" i="17"/>
  <c r="S9" i="17"/>
  <c r="R10" i="17"/>
  <c r="O11" i="17"/>
  <c r="S11" i="17"/>
  <c r="R13" i="17"/>
  <c r="J19" i="17"/>
  <c r="J20" i="17"/>
  <c r="Q82" i="16"/>
  <c r="R7" i="17"/>
  <c r="Q7" i="18"/>
  <c r="Q21" i="18" s="1"/>
  <c r="L7" i="18"/>
  <c r="L21" i="18" s="1"/>
  <c r="G14" i="9" l="1"/>
  <c r="G15" i="9" s="1"/>
  <c r="G17" i="9" s="1"/>
  <c r="M25" i="18"/>
  <c r="M38" i="18" s="1"/>
  <c r="J13" i="10"/>
  <c r="I12" i="11"/>
  <c r="I12" i="10" s="1"/>
  <c r="I16" i="11"/>
  <c r="I16" i="10" s="1"/>
  <c r="J10" i="11"/>
  <c r="J10" i="10" s="1"/>
  <c r="J11" i="11"/>
  <c r="J11" i="10" s="1"/>
  <c r="J9" i="11"/>
  <c r="J9" i="10" s="1"/>
  <c r="J18" i="11"/>
  <c r="J18" i="10" s="1"/>
  <c r="P26" i="17"/>
  <c r="R20" i="17"/>
  <c r="Q19" i="17"/>
  <c r="I13" i="17"/>
  <c r="K11" i="17"/>
  <c r="I10" i="17"/>
  <c r="Q13" i="17"/>
  <c r="N11" i="17"/>
  <c r="Q10" i="17"/>
  <c r="R9" i="17"/>
  <c r="P8" i="17"/>
  <c r="P7" i="18"/>
  <c r="P21" i="18" s="1"/>
  <c r="Q7" i="17"/>
  <c r="R72" i="16" l="1"/>
  <c r="Q72" i="16"/>
  <c r="P19" i="17"/>
  <c r="Q20" i="17"/>
  <c r="O26" i="17"/>
  <c r="O8" i="17"/>
  <c r="Q9" i="17"/>
  <c r="P10" i="17"/>
  <c r="P13" i="17"/>
  <c r="T12" i="17"/>
  <c r="P7" i="17"/>
  <c r="R91" i="15"/>
  <c r="S87" i="15"/>
  <c r="H74" i="12" s="1"/>
  <c r="Q87" i="15"/>
  <c r="P87" i="15" s="1"/>
  <c r="O87" i="15" s="1"/>
  <c r="N87" i="15"/>
  <c r="M87" i="15" s="1"/>
  <c r="L87" i="15" s="1"/>
  <c r="K87" i="15"/>
  <c r="J87" i="15" s="1"/>
  <c r="I87" i="15" s="1"/>
  <c r="R84" i="15"/>
  <c r="Q83" i="15"/>
  <c r="P83" i="15" s="1"/>
  <c r="O83" i="15"/>
  <c r="N83" i="15"/>
  <c r="M83" i="15" s="1"/>
  <c r="L83" i="15"/>
  <c r="J83" i="15"/>
  <c r="I83" i="15"/>
  <c r="Q82" i="15"/>
  <c r="O82" i="15"/>
  <c r="N82" i="15" s="1"/>
  <c r="M82" i="15"/>
  <c r="L82" i="15"/>
  <c r="J82" i="15"/>
  <c r="I82" i="15"/>
  <c r="Q81" i="15"/>
  <c r="J81" i="15"/>
  <c r="I81" i="15" s="1"/>
  <c r="Q80" i="15"/>
  <c r="N80" i="15"/>
  <c r="M80" i="15" s="1"/>
  <c r="L80" i="15" s="1"/>
  <c r="Q79" i="15"/>
  <c r="J79" i="15"/>
  <c r="I79" i="15" s="1"/>
  <c r="Q78" i="15"/>
  <c r="H76" i="12" l="1"/>
  <c r="K74" i="12" s="1" a="1"/>
  <c r="I15" i="11"/>
  <c r="I15" i="10" s="1"/>
  <c r="S12" i="17"/>
  <c r="S21" i="17" s="1"/>
  <c r="O13" i="17"/>
  <c r="O10" i="17"/>
  <c r="P9" i="17"/>
  <c r="N8" i="17"/>
  <c r="N26" i="17"/>
  <c r="P20" i="17"/>
  <c r="O19" i="17"/>
  <c r="I21" i="17"/>
  <c r="Q84" i="15"/>
  <c r="Q91" i="15"/>
  <c r="O7" i="17"/>
  <c r="K74" i="12" l="1"/>
  <c r="K75" i="12"/>
  <c r="K76" i="12"/>
  <c r="I7" i="10"/>
  <c r="J15" i="11"/>
  <c r="J15" i="10" s="1"/>
  <c r="I21" i="16"/>
  <c r="N19" i="17"/>
  <c r="O20" i="17"/>
  <c r="M26" i="17"/>
  <c r="M8" i="17"/>
  <c r="O9" i="17"/>
  <c r="N10" i="17"/>
  <c r="N13" i="17"/>
  <c r="R12" i="17"/>
  <c r="R21" i="17" s="1"/>
  <c r="N7" i="17"/>
  <c r="L78" i="15"/>
  <c r="J78" i="15"/>
  <c r="I78" i="15" s="1"/>
  <c r="Q73" i="15"/>
  <c r="Q72" i="15"/>
  <c r="L72" i="15"/>
  <c r="R68" i="15"/>
  <c r="Q68" i="15"/>
  <c r="O68" i="15"/>
  <c r="L68" i="15"/>
  <c r="J68" i="15"/>
  <c r="Q67" i="15"/>
  <c r="I67" i="15"/>
  <c r="Q66" i="15"/>
  <c r="I66" i="15"/>
  <c r="R64" i="15"/>
  <c r="Q64" i="15"/>
  <c r="P64" i="15"/>
  <c r="O64" i="15" s="1"/>
  <c r="N64" i="15"/>
  <c r="M64" i="15"/>
  <c r="L64" i="15" s="1"/>
  <c r="J64" i="15"/>
  <c r="I64" i="15"/>
  <c r="R63" i="15"/>
  <c r="Q63" i="15"/>
  <c r="P63" i="15" s="1"/>
  <c r="O63" i="15"/>
  <c r="N63" i="15"/>
  <c r="M63" i="15"/>
  <c r="L63" i="15"/>
  <c r="J63" i="15"/>
  <c r="I63" i="15"/>
  <c r="R62" i="15"/>
  <c r="Q62" i="15"/>
  <c r="M62" i="15"/>
  <c r="L62" i="15" s="1"/>
  <c r="J62" i="15"/>
  <c r="I62" i="15"/>
  <c r="R61" i="15"/>
  <c r="Q61" i="15"/>
  <c r="P61" i="15"/>
  <c r="O61" i="15"/>
  <c r="L61" i="15"/>
  <c r="J61" i="15"/>
  <c r="R57" i="15"/>
  <c r="T56" i="15"/>
  <c r="S56" i="15" s="1"/>
  <c r="Q56" i="15"/>
  <c r="P56" i="15"/>
  <c r="O56" i="15"/>
  <c r="N56" i="15"/>
  <c r="M56" i="15"/>
  <c r="L56" i="15"/>
  <c r="K56" i="15"/>
  <c r="J56" i="15"/>
  <c r="I56" i="15"/>
  <c r="T55" i="15"/>
  <c r="Q55" i="15"/>
  <c r="P55" i="15"/>
  <c r="O55" i="15"/>
  <c r="N55" i="15"/>
  <c r="M55" i="15"/>
  <c r="L55" i="15"/>
  <c r="K55" i="15"/>
  <c r="J55" i="15"/>
  <c r="I55" i="15"/>
  <c r="T37" i="15"/>
  <c r="G28" i="12" s="1"/>
  <c r="S36" i="15"/>
  <c r="Q36" i="15"/>
  <c r="N36" i="15"/>
  <c r="T31" i="15"/>
  <c r="S31" i="15"/>
  <c r="T29" i="15"/>
  <c r="T27" i="15"/>
  <c r="O27" i="15"/>
  <c r="K27" i="15"/>
  <c r="G26" i="12" l="1"/>
  <c r="T30" i="15"/>
  <c r="S30" i="15"/>
  <c r="H26" i="12" s="1"/>
  <c r="M36" i="15"/>
  <c r="N34" i="15"/>
  <c r="S34" i="15"/>
  <c r="P36" i="15"/>
  <c r="Q34" i="15"/>
  <c r="I68" i="15"/>
  <c r="I65" i="15" s="1"/>
  <c r="N68" i="15"/>
  <c r="P68" i="15"/>
  <c r="M68" i="15"/>
  <c r="G24" i="12"/>
  <c r="S55" i="15"/>
  <c r="H38" i="12" s="1"/>
  <c r="G38" i="12"/>
  <c r="H40" i="12"/>
  <c r="Q31" i="15"/>
  <c r="Q30" i="15" s="1"/>
  <c r="S29" i="15"/>
  <c r="G25" i="12"/>
  <c r="Q60" i="15"/>
  <c r="Q29" i="15"/>
  <c r="P29" i="15" s="1"/>
  <c r="O29" i="15" s="1"/>
  <c r="N29" i="15" s="1"/>
  <c r="M29" i="15" s="1"/>
  <c r="L29" i="15" s="1"/>
  <c r="K29" i="15" s="1"/>
  <c r="J29" i="15" s="1"/>
  <c r="I29" i="15" s="1"/>
  <c r="H25" i="12"/>
  <c r="L60" i="15"/>
  <c r="R60" i="15"/>
  <c r="R75" i="15" s="1"/>
  <c r="I61" i="15"/>
  <c r="I60" i="15" s="1"/>
  <c r="J60" i="15"/>
  <c r="N61" i="15"/>
  <c r="N27" i="15"/>
  <c r="J27" i="15"/>
  <c r="S27" i="15"/>
  <c r="H24" i="12" s="1"/>
  <c r="Q12" i="17"/>
  <c r="Q21" i="17" s="1"/>
  <c r="R21" i="16"/>
  <c r="M13" i="17"/>
  <c r="M10" i="17"/>
  <c r="N9" i="17"/>
  <c r="L8" i="17"/>
  <c r="L26" i="17"/>
  <c r="N20" i="17"/>
  <c r="M19" i="17"/>
  <c r="S37" i="15"/>
  <c r="M7" i="17"/>
  <c r="Q57" i="15"/>
  <c r="P57" i="15" s="1"/>
  <c r="O57" i="15" s="1"/>
  <c r="N57" i="15" s="1"/>
  <c r="M57" i="15" s="1"/>
  <c r="L57" i="15" s="1"/>
  <c r="K57" i="15" s="1"/>
  <c r="J57" i="15" s="1"/>
  <c r="I57" i="15" s="1"/>
  <c r="T57" i="15"/>
  <c r="Q47" i="15" l="1"/>
  <c r="H27" i="12"/>
  <c r="S47" i="15"/>
  <c r="P31" i="15"/>
  <c r="O36" i="15"/>
  <c r="O34" i="15" s="1"/>
  <c r="P34" i="15"/>
  <c r="L36" i="15"/>
  <c r="M34" i="15"/>
  <c r="S57" i="15"/>
  <c r="H41" i="12"/>
  <c r="K38" i="12" s="1" a="1"/>
  <c r="G41" i="12"/>
  <c r="Q75" i="15"/>
  <c r="Q37" i="15"/>
  <c r="P37" i="15" s="1"/>
  <c r="O37" i="15" s="1"/>
  <c r="N37" i="15" s="1"/>
  <c r="M37" i="15" s="1"/>
  <c r="L37" i="15" s="1"/>
  <c r="K37" i="15" s="1"/>
  <c r="H28" i="12"/>
  <c r="M61" i="15"/>
  <c r="M60" i="15" s="1"/>
  <c r="Q27" i="15"/>
  <c r="I27" i="15"/>
  <c r="I28" i="13" s="1"/>
  <c r="M27" i="15"/>
  <c r="P12" i="17"/>
  <c r="P21" i="17" s="1"/>
  <c r="Q21" i="16"/>
  <c r="L19" i="17"/>
  <c r="M20" i="17"/>
  <c r="K26" i="17"/>
  <c r="K8" i="17"/>
  <c r="M9" i="17"/>
  <c r="L10" i="17"/>
  <c r="L13" i="17"/>
  <c r="L7" i="17"/>
  <c r="K24" i="12" l="1" a="1"/>
  <c r="K28" i="12" s="1"/>
  <c r="O31" i="15"/>
  <c r="P30" i="15"/>
  <c r="P47" i="15" s="1"/>
  <c r="H30" i="12"/>
  <c r="K36" i="15"/>
  <c r="L34" i="15"/>
  <c r="J37" i="15"/>
  <c r="K39" i="12"/>
  <c r="K38" i="12"/>
  <c r="K40" i="12"/>
  <c r="K41" i="12"/>
  <c r="L27" i="15"/>
  <c r="P27" i="15"/>
  <c r="L9" i="17"/>
  <c r="J26" i="17"/>
  <c r="K39" i="16"/>
  <c r="O12" i="17"/>
  <c r="O21" i="17" s="1"/>
  <c r="P21" i="16"/>
  <c r="J8" i="17"/>
  <c r="J21" i="17" s="1"/>
  <c r="L20" i="17"/>
  <c r="T22" i="15"/>
  <c r="S22" i="15"/>
  <c r="R22" i="15" s="1"/>
  <c r="T21" i="15"/>
  <c r="G20" i="12" s="1"/>
  <c r="S21" i="15"/>
  <c r="T20" i="15"/>
  <c r="G19" i="12" s="1"/>
  <c r="S20" i="15"/>
  <c r="H19" i="12" s="1"/>
  <c r="K20" i="15"/>
  <c r="J20" i="15" s="1"/>
  <c r="I20" i="15" s="1"/>
  <c r="T19" i="15"/>
  <c r="S19" i="15"/>
  <c r="R19" i="15" s="1"/>
  <c r="Q19" i="15" s="1"/>
  <c r="P19" i="15" s="1"/>
  <c r="O19" i="15" s="1"/>
  <c r="N19" i="15" s="1"/>
  <c r="M19" i="15" s="1"/>
  <c r="L19" i="15" s="1"/>
  <c r="K19" i="15"/>
  <c r="J19" i="15" s="1"/>
  <c r="I19" i="15" s="1"/>
  <c r="T18" i="15"/>
  <c r="S18" i="15"/>
  <c r="K18" i="15"/>
  <c r="J18" i="15" s="1"/>
  <c r="I18" i="15" s="1"/>
  <c r="T16" i="15"/>
  <c r="G17" i="12" s="1"/>
  <c r="S16" i="15"/>
  <c r="H17" i="12" s="1"/>
  <c r="R16" i="15"/>
  <c r="Q16" i="15"/>
  <c r="P16" i="15"/>
  <c r="O16" i="15"/>
  <c r="N16" i="15"/>
  <c r="M16" i="15"/>
  <c r="L16" i="15"/>
  <c r="K16" i="15"/>
  <c r="J16" i="15"/>
  <c r="I16" i="15"/>
  <c r="T14" i="15"/>
  <c r="G8" i="12" s="1"/>
  <c r="M14" i="15"/>
  <c r="L14" i="15" s="1"/>
  <c r="K14" i="15"/>
  <c r="J14" i="15" s="1"/>
  <c r="I14" i="15" s="1"/>
  <c r="T13" i="15"/>
  <c r="S13" i="15"/>
  <c r="Q13" i="15"/>
  <c r="K13" i="15"/>
  <c r="J13" i="15" s="1"/>
  <c r="T12" i="15"/>
  <c r="G12" i="12" s="1"/>
  <c r="S12" i="15"/>
  <c r="M12" i="15"/>
  <c r="L12" i="15" s="1"/>
  <c r="K12" i="15"/>
  <c r="J12" i="15"/>
  <c r="I12" i="15"/>
  <c r="T11" i="15"/>
  <c r="G9" i="12" s="1"/>
  <c r="T10" i="15"/>
  <c r="G16" i="12" s="1"/>
  <c r="S10" i="15"/>
  <c r="Q10" i="15"/>
  <c r="P10" i="15" s="1"/>
  <c r="O10" i="15" s="1"/>
  <c r="N10" i="15" s="1"/>
  <c r="M10" i="15" s="1"/>
  <c r="L10" i="15" s="1"/>
  <c r="K10" i="15" s="1"/>
  <c r="J10" i="15" s="1"/>
  <c r="I10" i="15" s="1"/>
  <c r="T9" i="15"/>
  <c r="G10" i="12" s="1"/>
  <c r="S9" i="15"/>
  <c r="Q9" i="15"/>
  <c r="P9" i="15" s="1"/>
  <c r="O9" i="15" s="1"/>
  <c r="N9" i="15" s="1"/>
  <c r="M9" i="15" s="1"/>
  <c r="L9" i="15" s="1"/>
  <c r="K9" i="15"/>
  <c r="J9" i="15" s="1"/>
  <c r="I9" i="15" s="1"/>
  <c r="T8" i="15"/>
  <c r="G11" i="12" s="1"/>
  <c r="I8" i="15"/>
  <c r="T7" i="15"/>
  <c r="O7" i="15"/>
  <c r="N7" i="15"/>
  <c r="M7" i="15"/>
  <c r="R91" i="14"/>
  <c r="S87" i="14"/>
  <c r="Q87" i="14"/>
  <c r="P87" i="14" s="1"/>
  <c r="O87" i="14" s="1"/>
  <c r="N87" i="14"/>
  <c r="M87" i="14" s="1"/>
  <c r="L87" i="14" s="1"/>
  <c r="K87" i="14" s="1"/>
  <c r="J87" i="14" s="1"/>
  <c r="I87" i="14" s="1"/>
  <c r="R84" i="14"/>
  <c r="Q83" i="14"/>
  <c r="O83" i="14"/>
  <c r="N83" i="14"/>
  <c r="M83" i="14"/>
  <c r="L83" i="14"/>
  <c r="J83" i="14"/>
  <c r="I83" i="14"/>
  <c r="Q82" i="14"/>
  <c r="O82" i="14"/>
  <c r="M82" i="14"/>
  <c r="L82" i="14"/>
  <c r="J82" i="14"/>
  <c r="I82" i="14"/>
  <c r="Q81" i="14"/>
  <c r="L81" i="14"/>
  <c r="J81" i="14"/>
  <c r="I81" i="14"/>
  <c r="Q80" i="14"/>
  <c r="P80" i="14" s="1"/>
  <c r="O80" i="14" s="1"/>
  <c r="Q79" i="14"/>
  <c r="Q78" i="14"/>
  <c r="N80" i="14" l="1"/>
  <c r="K30" i="12"/>
  <c r="K29" i="12"/>
  <c r="K26" i="12"/>
  <c r="K25" i="12"/>
  <c r="K24" i="12"/>
  <c r="K27" i="12"/>
  <c r="N31" i="15"/>
  <c r="O30" i="15"/>
  <c r="O47" i="15" s="1"/>
  <c r="J36" i="15"/>
  <c r="K34" i="15"/>
  <c r="I37" i="15"/>
  <c r="Q22" i="15"/>
  <c r="P22" i="15" s="1"/>
  <c r="O22" i="15" s="1"/>
  <c r="N22" i="15" s="1"/>
  <c r="M22" i="15" s="1"/>
  <c r="L22" i="15" s="1"/>
  <c r="K22" i="15" s="1"/>
  <c r="J22" i="15" s="1"/>
  <c r="I22" i="15" s="1"/>
  <c r="P13" i="15"/>
  <c r="G15" i="12"/>
  <c r="G7" i="12" s="1"/>
  <c r="T23" i="15"/>
  <c r="O13" i="15"/>
  <c r="N13" i="15"/>
  <c r="M13" i="15"/>
  <c r="L13" i="15"/>
  <c r="I13" i="15"/>
  <c r="G6" i="12"/>
  <c r="G18" i="12"/>
  <c r="H74" i="11"/>
  <c r="H18" i="12"/>
  <c r="R9" i="15"/>
  <c r="H10" i="12"/>
  <c r="R12" i="15"/>
  <c r="Q12" i="15" s="1"/>
  <c r="P12" i="15" s="1"/>
  <c r="O12" i="15" s="1"/>
  <c r="N12" i="15" s="1"/>
  <c r="H12" i="12"/>
  <c r="R13" i="15"/>
  <c r="H15" i="12"/>
  <c r="R21" i="15"/>
  <c r="Q21" i="15" s="1"/>
  <c r="P21" i="15" s="1"/>
  <c r="O21" i="15" s="1"/>
  <c r="N21" i="15" s="1"/>
  <c r="M21" i="15" s="1"/>
  <c r="L21" i="15" s="1"/>
  <c r="K21" i="15" s="1"/>
  <c r="J21" i="15" s="1"/>
  <c r="I21" i="15" s="1"/>
  <c r="H20" i="12"/>
  <c r="R10" i="15"/>
  <c r="H16" i="12"/>
  <c r="N12" i="17"/>
  <c r="N21" i="17" s="1"/>
  <c r="O21" i="16"/>
  <c r="I26" i="17"/>
  <c r="J39" i="16"/>
  <c r="J21" i="16"/>
  <c r="R18" i="15"/>
  <c r="Q18" i="15" s="1"/>
  <c r="P18" i="15" s="1"/>
  <c r="O18" i="15" s="1"/>
  <c r="N18" i="15" s="1"/>
  <c r="M18" i="15" s="1"/>
  <c r="L18" i="15" s="1"/>
  <c r="S14" i="15"/>
  <c r="R20" i="15"/>
  <c r="Q20" i="15" s="1"/>
  <c r="P20" i="15" s="1"/>
  <c r="O20" i="15" s="1"/>
  <c r="N20" i="15" s="1"/>
  <c r="M20" i="15" s="1"/>
  <c r="L20" i="15" s="1"/>
  <c r="Q84" i="14"/>
  <c r="Q91" i="14"/>
  <c r="L7" i="15"/>
  <c r="Q73" i="14"/>
  <c r="Q72" i="14"/>
  <c r="L72" i="14"/>
  <c r="S68" i="14"/>
  <c r="H53" i="11" s="1"/>
  <c r="R68" i="14"/>
  <c r="Q68" i="14"/>
  <c r="P68" i="14"/>
  <c r="N68" i="14"/>
  <c r="M68" i="14"/>
  <c r="L68" i="14"/>
  <c r="K68" i="14"/>
  <c r="J68" i="14"/>
  <c r="I68" i="14"/>
  <c r="Q67" i="14"/>
  <c r="I67" i="14"/>
  <c r="I65" i="14" s="1"/>
  <c r="Q66" i="14"/>
  <c r="I66" i="14"/>
  <c r="Q64" i="14"/>
  <c r="N64" i="14"/>
  <c r="M64" i="14" s="1"/>
  <c r="L64" i="14" s="1"/>
  <c r="J64" i="14"/>
  <c r="I64" i="14" s="1"/>
  <c r="Q63" i="14"/>
  <c r="P63" i="14"/>
  <c r="O63" i="14"/>
  <c r="N63" i="14"/>
  <c r="M63" i="14"/>
  <c r="L63" i="14"/>
  <c r="J63" i="14"/>
  <c r="Q62" i="14"/>
  <c r="P62" i="14"/>
  <c r="O62" i="14"/>
  <c r="N62" i="14" s="1"/>
  <c r="M62" i="14" s="1"/>
  <c r="L62" i="14" s="1"/>
  <c r="Q61" i="14"/>
  <c r="R57" i="14"/>
  <c r="T56" i="14"/>
  <c r="G40" i="11" s="1"/>
  <c r="S56" i="14"/>
  <c r="H40" i="11" s="1"/>
  <c r="H40" i="10" s="1"/>
  <c r="Q56" i="14"/>
  <c r="P56" i="14"/>
  <c r="O56" i="14"/>
  <c r="N56" i="14"/>
  <c r="M56" i="14"/>
  <c r="L56" i="14"/>
  <c r="K56" i="14"/>
  <c r="J56" i="14"/>
  <c r="I56" i="14"/>
  <c r="T55" i="14"/>
  <c r="P55" i="14"/>
  <c r="O55" i="14"/>
  <c r="N55" i="14"/>
  <c r="M55" i="14"/>
  <c r="L55" i="14"/>
  <c r="K55" i="14"/>
  <c r="J55" i="14"/>
  <c r="I55" i="14"/>
  <c r="M80" i="14" l="1"/>
  <c r="N89" i="13"/>
  <c r="M31" i="15"/>
  <c r="N30" i="15"/>
  <c r="N47" i="15" s="1"/>
  <c r="I36" i="15"/>
  <c r="I34" i="15" s="1"/>
  <c r="J34" i="15"/>
  <c r="O68" i="14"/>
  <c r="R75" i="14"/>
  <c r="T36" i="15"/>
  <c r="T34" i="15" s="1"/>
  <c r="G21" i="12"/>
  <c r="G38" i="11"/>
  <c r="G38" i="10" s="1"/>
  <c r="I19" i="8" s="1"/>
  <c r="I57" i="14"/>
  <c r="G40" i="10"/>
  <c r="H73" i="10"/>
  <c r="H76" i="11"/>
  <c r="K74" i="11" s="1" a="1"/>
  <c r="R14" i="15"/>
  <c r="Q14" i="15" s="1"/>
  <c r="P14" i="15" s="1"/>
  <c r="O14" i="15" s="1"/>
  <c r="N14" i="15" s="1"/>
  <c r="H8" i="12"/>
  <c r="P61" i="14"/>
  <c r="Q60" i="14"/>
  <c r="I63" i="14"/>
  <c r="M12" i="17"/>
  <c r="M21" i="17" s="1"/>
  <c r="N21" i="16"/>
  <c r="T25" i="17"/>
  <c r="T38" i="17" s="1"/>
  <c r="I39" i="16"/>
  <c r="R7" i="15"/>
  <c r="T57" i="14"/>
  <c r="L80" i="14" l="1"/>
  <c r="M89" i="13"/>
  <c r="J19" i="8"/>
  <c r="G27" i="12"/>
  <c r="G30" i="12" s="1"/>
  <c r="T47" i="15"/>
  <c r="L31" i="15"/>
  <c r="M30" i="15"/>
  <c r="M47" i="15" s="1"/>
  <c r="I24" i="11"/>
  <c r="K75" i="11"/>
  <c r="K74" i="11"/>
  <c r="K76" i="11"/>
  <c r="G41" i="11"/>
  <c r="H75" i="10"/>
  <c r="G41" i="10"/>
  <c r="Q75" i="14"/>
  <c r="T39" i="16"/>
  <c r="O61" i="14"/>
  <c r="S25" i="17"/>
  <c r="S38" i="17" s="1"/>
  <c r="L12" i="17"/>
  <c r="L21" i="17" s="1"/>
  <c r="M21" i="16"/>
  <c r="J7" i="15"/>
  <c r="Q7" i="15"/>
  <c r="K73" i="10" l="1" a="1"/>
  <c r="K74" i="10" s="1"/>
  <c r="I24" i="10"/>
  <c r="I30" i="11"/>
  <c r="K31" i="15"/>
  <c r="L30" i="15"/>
  <c r="L47" i="15" s="1"/>
  <c r="J24" i="11"/>
  <c r="I7" i="15"/>
  <c r="S39" i="16"/>
  <c r="N61" i="14"/>
  <c r="K12" i="17"/>
  <c r="K21" i="17" s="1"/>
  <c r="L21" i="16"/>
  <c r="Q25" i="17"/>
  <c r="P7" i="15"/>
  <c r="K73" i="10" l="1"/>
  <c r="K75" i="10"/>
  <c r="I30" i="10"/>
  <c r="J24" i="10"/>
  <c r="J30" i="11"/>
  <c r="J31" i="15"/>
  <c r="K30" i="15"/>
  <c r="K47" i="15" s="1"/>
  <c r="M61" i="14"/>
  <c r="N60" i="14"/>
  <c r="P25" i="17"/>
  <c r="Q39" i="16"/>
  <c r="Q40" i="16" s="1"/>
  <c r="K21" i="16"/>
  <c r="T37" i="14"/>
  <c r="S36" i="14"/>
  <c r="S34" i="14" s="1"/>
  <c r="S35" i="13" s="1"/>
  <c r="Q36" i="14"/>
  <c r="N36" i="14"/>
  <c r="T31" i="14"/>
  <c r="T30" i="14" s="1"/>
  <c r="T29" i="14"/>
  <c r="G25" i="11" s="1"/>
  <c r="G25" i="10" s="1"/>
  <c r="S27" i="14"/>
  <c r="S28" i="13" s="1"/>
  <c r="P27" i="14"/>
  <c r="J30" i="10" l="1"/>
  <c r="H27" i="11"/>
  <c r="I31" i="15"/>
  <c r="I30" i="15" s="1"/>
  <c r="I47" i="15" s="1"/>
  <c r="J30" i="15"/>
  <c r="J47" i="15" s="1"/>
  <c r="G26" i="11"/>
  <c r="G26" i="10" s="1"/>
  <c r="M36" i="14"/>
  <c r="N34" i="14"/>
  <c r="N35" i="13" s="1"/>
  <c r="P36" i="14"/>
  <c r="Q34" i="14"/>
  <c r="Q35" i="13" s="1"/>
  <c r="O27" i="14"/>
  <c r="J27" i="14"/>
  <c r="H24" i="11"/>
  <c r="G28" i="11"/>
  <c r="G28" i="10" s="1"/>
  <c r="L61" i="14"/>
  <c r="L60" i="14" s="1"/>
  <c r="M60" i="14"/>
  <c r="Q27" i="14"/>
  <c r="S31" i="14"/>
  <c r="S30" i="14" s="1"/>
  <c r="S29" i="14"/>
  <c r="H25" i="11" s="1"/>
  <c r="O25" i="17"/>
  <c r="P39" i="16"/>
  <c r="S37" i="14"/>
  <c r="H28" i="11" s="1"/>
  <c r="T22" i="14"/>
  <c r="S22" i="14"/>
  <c r="K22" i="14"/>
  <c r="J22" i="14" s="1"/>
  <c r="I22" i="14"/>
  <c r="T21" i="14"/>
  <c r="S21" i="14"/>
  <c r="H20" i="11" s="1"/>
  <c r="K21" i="14"/>
  <c r="J21" i="14" s="1"/>
  <c r="I21" i="14"/>
  <c r="T20" i="14"/>
  <c r="S20" i="14"/>
  <c r="H19" i="11" s="1"/>
  <c r="K20" i="14"/>
  <c r="J20" i="14" s="1"/>
  <c r="I20" i="14" s="1"/>
  <c r="T19" i="14" s="1"/>
  <c r="S19" i="14" s="1"/>
  <c r="R19" i="14"/>
  <c r="Q19" i="14" s="1"/>
  <c r="P19" i="14"/>
  <c r="O19" i="14" s="1"/>
  <c r="N19" i="14" s="1"/>
  <c r="M19" i="14"/>
  <c r="L19" i="14" s="1"/>
  <c r="K19" i="14"/>
  <c r="J19" i="14"/>
  <c r="I19" i="14"/>
  <c r="T18" i="14"/>
  <c r="S18" i="14"/>
  <c r="J18" i="14"/>
  <c r="I18" i="14"/>
  <c r="T16" i="14"/>
  <c r="R16" i="14"/>
  <c r="Q16" i="14"/>
  <c r="P16" i="14"/>
  <c r="O16" i="14"/>
  <c r="M16" i="14"/>
  <c r="L16" i="14"/>
  <c r="K16" i="14"/>
  <c r="J16" i="14"/>
  <c r="I16" i="14"/>
  <c r="T14" i="14" s="1"/>
  <c r="T14" i="13" s="1"/>
  <c r="S14" i="14"/>
  <c r="H8" i="11" s="1"/>
  <c r="P14" i="14"/>
  <c r="O14" i="14" s="1"/>
  <c r="N14" i="14"/>
  <c r="M14" i="14"/>
  <c r="L14" i="14"/>
  <c r="K14" i="14"/>
  <c r="J14" i="14"/>
  <c r="I14" i="14"/>
  <c r="T13" i="14" s="1"/>
  <c r="R13" i="14"/>
  <c r="Q13" i="14"/>
  <c r="P13" i="14"/>
  <c r="N13" i="14"/>
  <c r="M13" i="14"/>
  <c r="K13" i="14"/>
  <c r="J13" i="14" s="1"/>
  <c r="I13" i="14"/>
  <c r="T12" i="14"/>
  <c r="S12" i="14"/>
  <c r="H12" i="11" s="1"/>
  <c r="M12" i="14"/>
  <c r="L12" i="14" s="1"/>
  <c r="K12" i="14"/>
  <c r="J12" i="14" s="1"/>
  <c r="I12" i="14"/>
  <c r="T11" i="14"/>
  <c r="S11" i="14"/>
  <c r="H9" i="11" s="1"/>
  <c r="K11" i="14"/>
  <c r="J11" i="14" s="1"/>
  <c r="I11" i="14"/>
  <c r="T10" i="14"/>
  <c r="S10" i="14"/>
  <c r="H16" i="11" s="1"/>
  <c r="Q10" i="14"/>
  <c r="P10" i="14" s="1"/>
  <c r="O10" i="14" s="1"/>
  <c r="N10" i="14" s="1"/>
  <c r="M10" i="14" s="1"/>
  <c r="L10" i="14" s="1"/>
  <c r="K10" i="14"/>
  <c r="J10" i="14" s="1"/>
  <c r="I10" i="14"/>
  <c r="T9" i="14" s="1"/>
  <c r="S9" i="14"/>
  <c r="R9" i="14"/>
  <c r="Q9" i="14"/>
  <c r="P9" i="14"/>
  <c r="O9" i="14" s="1"/>
  <c r="N9" i="14" s="1"/>
  <c r="M9" i="14"/>
  <c r="L9" i="14" s="1"/>
  <c r="K9" i="14"/>
  <c r="J9" i="14"/>
  <c r="I9" i="14"/>
  <c r="T8" i="14"/>
  <c r="G11" i="11" s="1"/>
  <c r="G11" i="10" s="1"/>
  <c r="P8" i="14"/>
  <c r="O8" i="14" s="1"/>
  <c r="N8" i="14" s="1"/>
  <c r="M8" i="14" s="1"/>
  <c r="L8" i="14" s="1"/>
  <c r="K8" i="14" s="1"/>
  <c r="J8" i="14" s="1"/>
  <c r="I8" i="14"/>
  <c r="T7" i="14"/>
  <c r="S7" i="14"/>
  <c r="R7" i="14"/>
  <c r="Q7" i="14"/>
  <c r="P7" i="14"/>
  <c r="M7" i="14"/>
  <c r="J7" i="14"/>
  <c r="I7" i="14"/>
  <c r="S47" i="14" l="1"/>
  <c r="H26" i="11"/>
  <c r="O36" i="14"/>
  <c r="O34" i="14" s="1"/>
  <c r="O35" i="13" s="1"/>
  <c r="P34" i="14"/>
  <c r="P35" i="13" s="1"/>
  <c r="L36" i="14"/>
  <c r="M34" i="14"/>
  <c r="M35" i="13" s="1"/>
  <c r="H24" i="10"/>
  <c r="N27" i="14"/>
  <c r="J23" i="14"/>
  <c r="I23" i="14"/>
  <c r="G15" i="11"/>
  <c r="G15" i="10" s="1"/>
  <c r="T23" i="14"/>
  <c r="O13" i="14"/>
  <c r="L13" i="14"/>
  <c r="O7" i="14"/>
  <c r="H6" i="11"/>
  <c r="H12" i="10"/>
  <c r="H19" i="10"/>
  <c r="H20" i="10"/>
  <c r="H28" i="10"/>
  <c r="H25" i="10"/>
  <c r="H27" i="10"/>
  <c r="H16" i="10"/>
  <c r="G12" i="11"/>
  <c r="G12" i="10" s="1"/>
  <c r="G8" i="11"/>
  <c r="G17" i="11"/>
  <c r="G17" i="10" s="1"/>
  <c r="I13" i="8" s="1"/>
  <c r="G19" i="11"/>
  <c r="G19" i="10" s="1"/>
  <c r="G20" i="11"/>
  <c r="G20" i="10" s="1"/>
  <c r="G18" i="11"/>
  <c r="G18" i="10" s="1"/>
  <c r="G10" i="11"/>
  <c r="G10" i="10" s="1"/>
  <c r="G16" i="11"/>
  <c r="G16" i="10" s="1"/>
  <c r="G9" i="11"/>
  <c r="G9" i="10" s="1"/>
  <c r="H10" i="11"/>
  <c r="H8" i="10"/>
  <c r="H18" i="11"/>
  <c r="G6" i="11"/>
  <c r="P62" i="13"/>
  <c r="S8" i="14"/>
  <c r="H11" i="11" s="1"/>
  <c r="R10" i="14"/>
  <c r="R11" i="14"/>
  <c r="Q11" i="14" s="1"/>
  <c r="P11" i="14" s="1"/>
  <c r="O11" i="14" s="1"/>
  <c r="N11" i="14" s="1"/>
  <c r="M11" i="14" s="1"/>
  <c r="L11" i="14" s="1"/>
  <c r="S13" i="14"/>
  <c r="Q29" i="14"/>
  <c r="P29" i="14" s="1"/>
  <c r="Q31" i="14"/>
  <c r="Q30" i="14" s="1"/>
  <c r="Q47" i="14" s="1"/>
  <c r="R12" i="14"/>
  <c r="Q12" i="14" s="1"/>
  <c r="P12" i="14" s="1"/>
  <c r="O12" i="14" s="1"/>
  <c r="N12" i="14" s="1"/>
  <c r="R14" i="14"/>
  <c r="Q14" i="14" s="1"/>
  <c r="R20" i="14"/>
  <c r="Q20" i="14" s="1"/>
  <c r="P20" i="14" s="1"/>
  <c r="O20" i="14" s="1"/>
  <c r="N20" i="14" s="1"/>
  <c r="M20" i="14" s="1"/>
  <c r="L20" i="14" s="1"/>
  <c r="R21" i="14"/>
  <c r="Q21" i="14" s="1"/>
  <c r="P21" i="14" s="1"/>
  <c r="O21" i="14" s="1"/>
  <c r="N21" i="14" s="1"/>
  <c r="M21" i="14" s="1"/>
  <c r="L21" i="14" s="1"/>
  <c r="R22" i="14"/>
  <c r="Q37" i="14"/>
  <c r="N25" i="17"/>
  <c r="N38" i="17" s="1"/>
  <c r="O39" i="16"/>
  <c r="R18" i="14"/>
  <c r="Q18" i="14" s="1"/>
  <c r="P18" i="14" s="1"/>
  <c r="O18" i="14" s="1"/>
  <c r="N18" i="14" s="1"/>
  <c r="M18" i="14" s="1"/>
  <c r="L18" i="14" s="1"/>
  <c r="K18" i="14" s="1"/>
  <c r="O62" i="13"/>
  <c r="N62" i="13" s="1"/>
  <c r="M62" i="13" s="1"/>
  <c r="L62" i="13" s="1"/>
  <c r="K62" i="13" s="1"/>
  <c r="J62" i="13" s="1"/>
  <c r="I62" i="13" s="1"/>
  <c r="R93" i="13"/>
  <c r="Q93" i="13" s="1"/>
  <c r="L7" i="14"/>
  <c r="R62" i="13"/>
  <c r="T62" i="13"/>
  <c r="J13" i="8" l="1"/>
  <c r="I15" i="8"/>
  <c r="I14" i="8"/>
  <c r="J14" i="8" s="1"/>
  <c r="R48" i="13"/>
  <c r="H30" i="11"/>
  <c r="H26" i="10"/>
  <c r="H30" i="10" s="1"/>
  <c r="K36" i="14"/>
  <c r="L34" i="14"/>
  <c r="L35" i="13" s="1"/>
  <c r="M27" i="14"/>
  <c r="Q22" i="14"/>
  <c r="P22" i="14" s="1"/>
  <c r="O22" i="14" s="1"/>
  <c r="N22" i="14" s="1"/>
  <c r="M22" i="14" s="1"/>
  <c r="L22" i="14" s="1"/>
  <c r="L23" i="14" s="1"/>
  <c r="N7" i="14"/>
  <c r="K7" i="14"/>
  <c r="K23" i="14" s="1"/>
  <c r="H18" i="10"/>
  <c r="H10" i="10"/>
  <c r="G8" i="10"/>
  <c r="G7" i="11"/>
  <c r="G21" i="11" s="1"/>
  <c r="H15" i="11"/>
  <c r="G6" i="10"/>
  <c r="P31" i="14"/>
  <c r="P30" i="14" s="1"/>
  <c r="P47" i="14" s="1"/>
  <c r="O29" i="14"/>
  <c r="R8" i="14"/>
  <c r="R23" i="14" s="1"/>
  <c r="P37" i="14"/>
  <c r="M25" i="17"/>
  <c r="N39" i="16"/>
  <c r="AI66" i="5" l="1"/>
  <c r="O47" i="5"/>
  <c r="K24" i="11" a="1"/>
  <c r="K24" i="10" a="1"/>
  <c r="K30" i="10" s="1"/>
  <c r="T47" i="5"/>
  <c r="I26" i="8"/>
  <c r="I21" i="8"/>
  <c r="I22" i="8" s="1"/>
  <c r="I17" i="8"/>
  <c r="I24" i="8" s="1"/>
  <c r="G84" i="10"/>
  <c r="G7" i="10"/>
  <c r="G21" i="10" s="1"/>
  <c r="S48" i="13"/>
  <c r="J36" i="14"/>
  <c r="K34" i="14"/>
  <c r="K35" i="13" s="1"/>
  <c r="L27" i="14"/>
  <c r="O23" i="14"/>
  <c r="M23" i="14"/>
  <c r="P23" i="14"/>
  <c r="Q8" i="14"/>
  <c r="Q23" i="14" s="1"/>
  <c r="H15" i="10"/>
  <c r="O37" i="14"/>
  <c r="N29" i="14"/>
  <c r="O31" i="14"/>
  <c r="O30" i="14" s="1"/>
  <c r="O47" i="14" s="1"/>
  <c r="L25" i="17"/>
  <c r="M39" i="16"/>
  <c r="K29" i="11" l="1"/>
  <c r="K28" i="11"/>
  <c r="K24" i="11"/>
  <c r="K25" i="11"/>
  <c r="K27" i="11"/>
  <c r="K26" i="11"/>
  <c r="K30" i="11"/>
  <c r="K26" i="10"/>
  <c r="K29" i="10"/>
  <c r="K28" i="10"/>
  <c r="K24" i="10"/>
  <c r="K27" i="10"/>
  <c r="K25" i="10"/>
  <c r="J24" i="8"/>
  <c r="J17" i="8"/>
  <c r="J15" i="8" s="1"/>
  <c r="O29" i="5"/>
  <c r="Q48" i="13"/>
  <c r="Q49" i="13" s="1"/>
  <c r="I36" i="14"/>
  <c r="I34" i="14" s="1"/>
  <c r="I35" i="13" s="1"/>
  <c r="J34" i="14"/>
  <c r="J35" i="13" s="1"/>
  <c r="L39" i="16"/>
  <c r="M29" i="14"/>
  <c r="K27" i="14"/>
  <c r="K28" i="13" s="1"/>
  <c r="N31" i="14"/>
  <c r="N30" i="14" s="1"/>
  <c r="N47" i="14" s="1"/>
  <c r="L29" i="14"/>
  <c r="K29" i="14" s="1"/>
  <c r="N37" i="14"/>
  <c r="J26" i="8" l="1"/>
  <c r="J21" i="8"/>
  <c r="J22" i="8" s="1"/>
  <c r="P48" i="13"/>
  <c r="M37" i="14"/>
  <c r="L37" i="14" s="1"/>
  <c r="J29" i="14"/>
  <c r="M31" i="14"/>
  <c r="M30" i="14" s="1"/>
  <c r="M47" i="14" s="1"/>
  <c r="N48" i="13"/>
  <c r="O48" i="13" l="1"/>
  <c r="L31" i="14"/>
  <c r="L30" i="14" s="1"/>
  <c r="L47" i="14" s="1"/>
  <c r="I29" i="14"/>
  <c r="K37" i="14"/>
  <c r="J37" i="14" l="1"/>
  <c r="T27" i="14"/>
  <c r="K31" i="14"/>
  <c r="K30" i="14" s="1"/>
  <c r="K47" i="14" s="1"/>
  <c r="M48" i="13" l="1"/>
  <c r="G24" i="11"/>
  <c r="J31" i="14"/>
  <c r="J30" i="14" s="1"/>
  <c r="J47" i="14" s="1"/>
  <c r="I37" i="14"/>
  <c r="T36" i="14" s="1"/>
  <c r="L48" i="13" l="1"/>
  <c r="T34" i="14"/>
  <c r="T35" i="13" s="1"/>
  <c r="G24" i="10"/>
  <c r="I31" i="14"/>
  <c r="I30" i="14" s="1"/>
  <c r="I47" i="14" s="1"/>
  <c r="G27" i="11" l="1"/>
  <c r="G30" i="11" s="1"/>
  <c r="T47" i="14"/>
  <c r="K48" i="13"/>
  <c r="G27" i="10"/>
  <c r="T48" i="13"/>
  <c r="G30" i="10" l="1"/>
  <c r="J48" i="13"/>
  <c r="G71" i="12"/>
  <c r="G80" i="12" s="1"/>
  <c r="AG66" i="5" l="1"/>
  <c r="O44" i="5"/>
  <c r="G70" i="10"/>
  <c r="F8" i="5" s="1"/>
  <c r="G83" i="12"/>
  <c r="G84" i="12" s="1"/>
  <c r="G81" i="12"/>
  <c r="AG72" i="5"/>
  <c r="T23" i="13"/>
  <c r="O45" i="5"/>
  <c r="I48" i="13"/>
  <c r="G78" i="10" l="1"/>
  <c r="G81" i="10" s="1"/>
  <c r="H8" i="5" s="1"/>
  <c r="F9" i="5"/>
  <c r="F2" i="12"/>
  <c r="J7" i="11" l="1"/>
  <c r="J21" i="11" s="1"/>
  <c r="I7" i="11" l="1"/>
  <c r="F2" i="11" l="1"/>
  <c r="F2" i="10" l="1"/>
  <c r="R100" i="13"/>
  <c r="Q100" i="13"/>
  <c r="F12" i="22"/>
  <c r="E21" i="24"/>
  <c r="I11" i="15"/>
  <c r="I23" i="15" s="1"/>
  <c r="Q11" i="15"/>
  <c r="P11" i="15"/>
  <c r="O11" i="15"/>
  <c r="N11" i="15"/>
  <c r="M11" i="15"/>
  <c r="L11" i="15"/>
  <c r="F21" i="24" l="1"/>
  <c r="E30" i="24"/>
  <c r="F30" i="24" s="1"/>
  <c r="I6" i="24"/>
  <c r="E27" i="24" l="1"/>
  <c r="F27" i="24" s="1"/>
  <c r="I7" i="24"/>
  <c r="J11" i="15"/>
  <c r="J6" i="24" l="1"/>
  <c r="E12" i="24"/>
  <c r="F12" i="24" l="1"/>
  <c r="E65" i="24"/>
  <c r="K11" i="15"/>
  <c r="J7" i="24"/>
  <c r="F12" i="25"/>
  <c r="Q7" i="24" l="1"/>
  <c r="R11" i="15"/>
  <c r="R7" i="24"/>
  <c r="U7" i="24" s="1"/>
  <c r="R6" i="24"/>
  <c r="S11" i="15" s="1"/>
  <c r="F12" i="26"/>
  <c r="W7" i="24" l="1"/>
  <c r="V6" i="24"/>
  <c r="H9" i="12"/>
  <c r="T7" i="24"/>
  <c r="W6" i="24"/>
  <c r="V7" i="24"/>
  <c r="T6" i="24"/>
  <c r="U6" i="24"/>
  <c r="H9" i="10" l="1"/>
  <c r="E27" i="21" l="1"/>
  <c r="F27" i="21" s="1"/>
  <c r="J8" i="15"/>
  <c r="J23" i="15" s="1"/>
  <c r="I23" i="13"/>
  <c r="P8" i="15"/>
  <c r="P23" i="15" s="1"/>
  <c r="Q8" i="15"/>
  <c r="Q23" i="15" s="1"/>
  <c r="M8" i="15"/>
  <c r="M23" i="15" s="1"/>
  <c r="O8" i="15"/>
  <c r="O23" i="15" s="1"/>
  <c r="N8" i="15"/>
  <c r="N23" i="15" s="1"/>
  <c r="L8" i="15"/>
  <c r="L23" i="15" s="1"/>
  <c r="R8" i="15"/>
  <c r="R23" i="15" s="1"/>
  <c r="I7" i="21"/>
  <c r="H7" i="21"/>
  <c r="E33" i="19"/>
  <c r="F33" i="19" l="1"/>
  <c r="E12" i="19"/>
  <c r="R23" i="13"/>
  <c r="M23" i="13"/>
  <c r="J23" i="13"/>
  <c r="L23" i="13"/>
  <c r="Q23" i="13"/>
  <c r="J6" i="21"/>
  <c r="R6" i="21" s="1"/>
  <c r="J6" i="19"/>
  <c r="J7" i="19" s="1"/>
  <c r="R7" i="19" s="1"/>
  <c r="E71" i="19"/>
  <c r="F35" i="19"/>
  <c r="E12" i="21"/>
  <c r="O23" i="13"/>
  <c r="P23" i="13"/>
  <c r="J7" i="21" l="1"/>
  <c r="R7" i="21" s="1"/>
  <c r="U7" i="21" s="1"/>
  <c r="K8" i="15"/>
  <c r="F12" i="19"/>
  <c r="K7" i="15"/>
  <c r="R6" i="19"/>
  <c r="T6" i="19" s="1"/>
  <c r="E65" i="21"/>
  <c r="F12" i="21"/>
  <c r="T6" i="21"/>
  <c r="V6" i="21"/>
  <c r="S8" i="15"/>
  <c r="H11" i="12" s="1"/>
  <c r="U6" i="21"/>
  <c r="W6" i="21"/>
  <c r="V7" i="19"/>
  <c r="U7" i="19"/>
  <c r="W7" i="19"/>
  <c r="T7" i="19"/>
  <c r="N5" i="91"/>
  <c r="O5" i="91"/>
  <c r="N5" i="99"/>
  <c r="O72" i="14" s="1"/>
  <c r="M72" i="14"/>
  <c r="M5" i="99"/>
  <c r="M7" i="99" s="1"/>
  <c r="O5" i="99"/>
  <c r="K23" i="15" l="1"/>
  <c r="N7" i="91"/>
  <c r="O64" i="14"/>
  <c r="O60" i="14" s="1"/>
  <c r="T7" i="21"/>
  <c r="V7" i="21"/>
  <c r="W7" i="21"/>
  <c r="H11" i="10"/>
  <c r="H7" i="12"/>
  <c r="S7" i="15"/>
  <c r="S23" i="15" s="1"/>
  <c r="U6" i="19"/>
  <c r="V6" i="19"/>
  <c r="W6" i="19"/>
  <c r="P72" i="14"/>
  <c r="N7" i="99"/>
  <c r="N72" i="14"/>
  <c r="O7" i="91"/>
  <c r="P64" i="14"/>
  <c r="P60" i="14" s="1"/>
  <c r="K23" i="13" l="1"/>
  <c r="R82" i="13"/>
  <c r="Q82" i="13"/>
  <c r="H6" i="12"/>
  <c r="H21" i="12" l="1"/>
  <c r="H6" i="10"/>
  <c r="D46" i="31"/>
  <c r="F46" i="31" s="1"/>
  <c r="M5" i="31" l="1"/>
  <c r="D12" i="31"/>
  <c r="D65" i="31" s="1"/>
  <c r="E12" i="32"/>
  <c r="F12" i="32" s="1"/>
  <c r="R7" i="34"/>
  <c r="U7" i="34" s="1"/>
  <c r="F12" i="31" l="1"/>
  <c r="M7" i="31"/>
  <c r="R5" i="31"/>
  <c r="N16" i="14"/>
  <c r="N23" i="14" s="1"/>
  <c r="W7" i="34"/>
  <c r="V7" i="34"/>
  <c r="T7" i="34"/>
  <c r="F12" i="34"/>
  <c r="R7" i="31" l="1"/>
  <c r="S16" i="14"/>
  <c r="S23" i="14" s="1"/>
  <c r="N23" i="13"/>
  <c r="H17" i="11" l="1"/>
  <c r="S23" i="13" l="1"/>
  <c r="Q24" i="13" s="1"/>
  <c r="H17" i="10"/>
  <c r="H7" i="11"/>
  <c r="H7" i="10" l="1"/>
  <c r="H21" i="11"/>
  <c r="K21" i="11" l="1"/>
  <c r="K6" i="11" a="1"/>
  <c r="H21" i="10"/>
  <c r="D12" i="48"/>
  <c r="E12" i="48"/>
  <c r="S15" i="18"/>
  <c r="S21" i="18" s="1"/>
  <c r="K14" i="11" l="1"/>
  <c r="K13" i="11"/>
  <c r="K12" i="11"/>
  <c r="K9" i="11"/>
  <c r="K8" i="11"/>
  <c r="K19" i="11"/>
  <c r="K16" i="11"/>
  <c r="K20" i="11"/>
  <c r="K11" i="11"/>
  <c r="K6" i="11"/>
  <c r="K10" i="11"/>
  <c r="K18" i="11"/>
  <c r="K15" i="11"/>
  <c r="K17" i="11"/>
  <c r="K7" i="11"/>
  <c r="J14" i="12"/>
  <c r="F12" i="48"/>
  <c r="S21" i="16" l="1"/>
  <c r="Q53" i="16" s="1"/>
  <c r="J7" i="12"/>
  <c r="J14" i="10"/>
  <c r="Q22" i="16" l="1"/>
  <c r="J21" i="12"/>
  <c r="K6" i="12" s="1" a="1"/>
  <c r="J7" i="10"/>
  <c r="K13" i="12" l="1"/>
  <c r="K19" i="12"/>
  <c r="K17" i="12"/>
  <c r="K20" i="12"/>
  <c r="K12" i="12"/>
  <c r="K18" i="12"/>
  <c r="K16" i="12"/>
  <c r="K15" i="12"/>
  <c r="K10" i="12"/>
  <c r="K8" i="12"/>
  <c r="K9" i="12"/>
  <c r="K11" i="12"/>
  <c r="K6" i="12"/>
  <c r="K14" i="12"/>
  <c r="K7" i="12"/>
  <c r="K21" i="12"/>
  <c r="J21" i="10"/>
  <c r="W7" i="43"/>
  <c r="K6" i="10" l="1" a="1"/>
  <c r="K21" i="10" s="1"/>
  <c r="T31" i="5"/>
  <c r="F12" i="43"/>
  <c r="K13" i="10" l="1"/>
  <c r="K8" i="10"/>
  <c r="K19" i="10"/>
  <c r="K16" i="10"/>
  <c r="K20" i="10"/>
  <c r="K12" i="10"/>
  <c r="K10" i="10"/>
  <c r="K18" i="10"/>
  <c r="K15" i="10"/>
  <c r="K9" i="10"/>
  <c r="K11" i="10"/>
  <c r="K6" i="10"/>
  <c r="K17" i="10"/>
  <c r="K14" i="10"/>
  <c r="K7" i="10"/>
  <c r="F12" i="44"/>
  <c r="E12" i="49"/>
  <c r="F12" i="49" s="1"/>
  <c r="M6" i="125"/>
  <c r="N71" i="18" s="1"/>
  <c r="N79" i="16" s="1"/>
  <c r="R82" i="16"/>
  <c r="L71" i="18"/>
  <c r="J71" i="18"/>
  <c r="I71" i="18"/>
  <c r="O6" i="125"/>
  <c r="N6" i="125"/>
  <c r="N7" i="125" s="1"/>
  <c r="L6" i="125"/>
  <c r="L7" i="125" s="1"/>
  <c r="M7" i="125" l="1"/>
  <c r="O7" i="125"/>
  <c r="P71" i="18"/>
  <c r="M71" i="18"/>
  <c r="M79" i="16" s="1"/>
  <c r="O71" i="18" l="1"/>
  <c r="O79" i="16" s="1"/>
  <c r="I74" i="18" l="1"/>
  <c r="T55" i="13" l="1"/>
  <c r="T105" i="13" s="1"/>
  <c r="E12" i="83"/>
  <c r="F12" i="83" s="1"/>
  <c r="G79" i="10" l="1"/>
  <c r="H9" i="5" l="1"/>
  <c r="P57" i="14"/>
  <c r="O57" i="14"/>
  <c r="N57" i="14"/>
  <c r="M57" i="14"/>
  <c r="L57" i="14"/>
  <c r="K57" i="14"/>
  <c r="J57" i="14"/>
  <c r="P5" i="84"/>
  <c r="Q55" i="14" s="1"/>
  <c r="G82" i="10" l="1"/>
  <c r="E8" i="5"/>
  <c r="E9" i="5" s="1"/>
  <c r="R5" i="84"/>
  <c r="R7" i="84" s="1"/>
  <c r="P7" i="84"/>
  <c r="Q57" i="14"/>
  <c r="S55" i="14"/>
  <c r="Q62" i="13" l="1"/>
  <c r="H38" i="11"/>
  <c r="S57" i="14"/>
  <c r="H41" i="11" l="1"/>
  <c r="K38" i="11" s="1" a="1"/>
  <c r="H38" i="10"/>
  <c r="S62" i="13"/>
  <c r="K39" i="11" l="1"/>
  <c r="K40" i="11"/>
  <c r="K41" i="11"/>
  <c r="K38" i="11"/>
  <c r="H41" i="10"/>
  <c r="D12" i="39"/>
  <c r="E12" i="39"/>
  <c r="E12" i="40"/>
  <c r="F12" i="40" s="1"/>
  <c r="E12" i="45"/>
  <c r="F12" i="45" s="1"/>
  <c r="K38" i="10" l="1" a="1"/>
  <c r="K41" i="10" s="1"/>
  <c r="K38" i="10"/>
  <c r="F12" i="39"/>
  <c r="K39" i="10" l="1"/>
  <c r="K40" i="10"/>
  <c r="E27" i="81"/>
  <c r="D27" i="88"/>
  <c r="J5" i="88" s="1"/>
  <c r="E27" i="88"/>
  <c r="D29" i="89"/>
  <c r="E29" i="89"/>
  <c r="M6" i="89"/>
  <c r="N6" i="89"/>
  <c r="O62" i="15" s="1"/>
  <c r="O6" i="89"/>
  <c r="D27" i="90"/>
  <c r="J5" i="90" s="1"/>
  <c r="E27" i="90"/>
  <c r="D27" i="91"/>
  <c r="J5" i="91" s="1"/>
  <c r="R5" i="91" s="1"/>
  <c r="E27" i="91"/>
  <c r="J6" i="91" s="1"/>
  <c r="R6" i="91" s="1"/>
  <c r="N5" i="93"/>
  <c r="O66" i="14" s="1"/>
  <c r="O5" i="93"/>
  <c r="P66" i="14" s="1"/>
  <c r="N6" i="93"/>
  <c r="O6" i="93"/>
  <c r="R6" i="93" s="1"/>
  <c r="S66" i="15" s="1"/>
  <c r="H51" i="12" s="1"/>
  <c r="D27" i="94"/>
  <c r="J5" i="94" s="1"/>
  <c r="M5" i="94"/>
  <c r="N67" i="14" s="1"/>
  <c r="N65" i="14" s="1"/>
  <c r="N5" i="94"/>
  <c r="O67" i="14" s="1"/>
  <c r="O5" i="94"/>
  <c r="P67" i="14" s="1"/>
  <c r="E27" i="94"/>
  <c r="L6" i="94"/>
  <c r="M67" i="15" s="1"/>
  <c r="M6" i="94"/>
  <c r="N67" i="15" s="1"/>
  <c r="N65" i="15" s="1"/>
  <c r="N6" i="94"/>
  <c r="O6" i="94"/>
  <c r="P67" i="15" s="1"/>
  <c r="E27" i="95"/>
  <c r="J6" i="95" s="1"/>
  <c r="D28" i="99"/>
  <c r="E28" i="99"/>
  <c r="O6" i="99"/>
  <c r="P72" i="15" s="1"/>
  <c r="D27" i="100"/>
  <c r="M5" i="100"/>
  <c r="N73" i="14" s="1"/>
  <c r="N5" i="100"/>
  <c r="O5" i="100"/>
  <c r="P73" i="14" s="1"/>
  <c r="E27" i="100"/>
  <c r="L6" i="100"/>
  <c r="M73" i="15" s="1"/>
  <c r="M6" i="100"/>
  <c r="N6" i="100"/>
  <c r="O73" i="15" s="1"/>
  <c r="O6" i="100"/>
  <c r="D27" i="117"/>
  <c r="O5" i="117"/>
  <c r="P78" i="14" s="1"/>
  <c r="E27" i="117"/>
  <c r="L6" i="117"/>
  <c r="L7" i="117" s="1"/>
  <c r="M6" i="117"/>
  <c r="M7" i="117" s="1"/>
  <c r="N6" i="117"/>
  <c r="O78" i="15" s="1"/>
  <c r="O6" i="117"/>
  <c r="D27" i="118"/>
  <c r="L5" i="118"/>
  <c r="M5" i="118"/>
  <c r="N5" i="118"/>
  <c r="O5" i="118"/>
  <c r="E27" i="118"/>
  <c r="L6" i="118"/>
  <c r="M79" i="15" s="1"/>
  <c r="M6" i="118"/>
  <c r="N6" i="118"/>
  <c r="O79" i="15" s="1"/>
  <c r="O6" i="118"/>
  <c r="N6" i="119"/>
  <c r="N7" i="119" s="1"/>
  <c r="O6" i="119"/>
  <c r="P80" i="15" s="1"/>
  <c r="D27" i="120"/>
  <c r="L5" i="120"/>
  <c r="M81" i="14" s="1"/>
  <c r="M5" i="120"/>
  <c r="N81" i="14" s="1"/>
  <c r="N5" i="120"/>
  <c r="O81" i="14" s="1"/>
  <c r="O5" i="120"/>
  <c r="E27" i="120"/>
  <c r="L6" i="120"/>
  <c r="M81" i="15" s="1"/>
  <c r="M6" i="120"/>
  <c r="N81" i="15" s="1"/>
  <c r="N6" i="120"/>
  <c r="O81" i="15" s="1"/>
  <c r="O6" i="120"/>
  <c r="P81" i="15" s="1"/>
  <c r="E27" i="121"/>
  <c r="O6" i="121"/>
  <c r="P82" i="15" s="1"/>
  <c r="O5" i="122"/>
  <c r="P83" i="14" s="1"/>
  <c r="F29" i="122"/>
  <c r="D27" i="97"/>
  <c r="L5" i="97"/>
  <c r="M70" i="14" s="1"/>
  <c r="M5" i="97"/>
  <c r="N70" i="14" s="1"/>
  <c r="N5" i="97"/>
  <c r="O70" i="14" s="1"/>
  <c r="O5" i="97"/>
  <c r="P70" i="14" s="1"/>
  <c r="F29" i="97"/>
  <c r="L6" i="97"/>
  <c r="M6" i="97"/>
  <c r="N6" i="97"/>
  <c r="O6" i="97"/>
  <c r="D27" i="103"/>
  <c r="J5" i="103" s="1"/>
  <c r="E27" i="103"/>
  <c r="O6" i="103"/>
  <c r="F31" i="104"/>
  <c r="E29" i="104"/>
  <c r="O6" i="104"/>
  <c r="P53" i="18" s="1"/>
  <c r="D27" i="105"/>
  <c r="J5" i="105" s="1"/>
  <c r="E27" i="105"/>
  <c r="D27" i="106"/>
  <c r="E27" i="106"/>
  <c r="D27" i="108"/>
  <c r="J5" i="108" s="1"/>
  <c r="L5" i="108"/>
  <c r="M5" i="108"/>
  <c r="N57" i="17" s="1"/>
  <c r="N5" i="108"/>
  <c r="O5" i="108"/>
  <c r="P57" i="17" s="1"/>
  <c r="E27" i="108"/>
  <c r="L6" i="108"/>
  <c r="M6" i="108"/>
  <c r="N6" i="108"/>
  <c r="O6" i="108"/>
  <c r="P57" i="18" s="1"/>
  <c r="D27" i="109"/>
  <c r="L5" i="109"/>
  <c r="M58" i="17" s="1"/>
  <c r="M5" i="109"/>
  <c r="N58" i="17" s="1"/>
  <c r="N56" i="17" s="1"/>
  <c r="N5" i="109"/>
  <c r="O5" i="109"/>
  <c r="E27" i="109"/>
  <c r="L6" i="109"/>
  <c r="M6" i="109"/>
  <c r="N58" i="18" s="1"/>
  <c r="N6" i="109"/>
  <c r="O58" i="18" s="1"/>
  <c r="O6" i="109"/>
  <c r="P58" i="18" s="1"/>
  <c r="D27" i="110"/>
  <c r="E27" i="110"/>
  <c r="O6" i="110"/>
  <c r="D28" i="114"/>
  <c r="E28" i="114"/>
  <c r="D27" i="115"/>
  <c r="F29" i="115"/>
  <c r="D27" i="123"/>
  <c r="L5" i="123"/>
  <c r="M5" i="123"/>
  <c r="N69" i="17" s="1"/>
  <c r="N5" i="123"/>
  <c r="O69" i="17" s="1"/>
  <c r="O5" i="123"/>
  <c r="E27" i="123"/>
  <c r="J6" i="123" s="1"/>
  <c r="L6" i="123"/>
  <c r="M6" i="123"/>
  <c r="N69" i="18" s="1"/>
  <c r="N6" i="123"/>
  <c r="O6" i="123"/>
  <c r="P69" i="18" s="1"/>
  <c r="D27" i="124"/>
  <c r="J5" i="124" s="1"/>
  <c r="L5" i="124"/>
  <c r="M70" i="17" s="1"/>
  <c r="M5" i="124"/>
  <c r="N5" i="124"/>
  <c r="O5" i="124"/>
  <c r="P70" i="17" s="1"/>
  <c r="E27" i="124"/>
  <c r="J6" i="124" s="1"/>
  <c r="L6" i="124"/>
  <c r="M70" i="18" s="1"/>
  <c r="M6" i="124"/>
  <c r="N6" i="124"/>
  <c r="O6" i="124"/>
  <c r="P70" i="18" s="1"/>
  <c r="D27" i="125"/>
  <c r="J5" i="125" s="1"/>
  <c r="E27" i="125"/>
  <c r="J6" i="125" s="1"/>
  <c r="D27" i="126"/>
  <c r="J5" i="126" s="1"/>
  <c r="E27" i="126"/>
  <c r="J6" i="126" s="1"/>
  <c r="D27" i="127"/>
  <c r="O5" i="127"/>
  <c r="P73" i="17" s="1"/>
  <c r="N6" i="127"/>
  <c r="O73" i="18" s="1"/>
  <c r="O6" i="127"/>
  <c r="P73" i="18" s="1"/>
  <c r="D27" i="112"/>
  <c r="J5" i="112" s="1"/>
  <c r="K61" i="17" s="1"/>
  <c r="L5" i="112"/>
  <c r="M61" i="17" s="1"/>
  <c r="M5" i="112"/>
  <c r="N61" i="17" s="1"/>
  <c r="N5" i="112"/>
  <c r="O61" i="17" s="1"/>
  <c r="O5" i="112"/>
  <c r="P61" i="17" s="1"/>
  <c r="E27" i="112"/>
  <c r="L6" i="112"/>
  <c r="M6" i="112"/>
  <c r="N6" i="112"/>
  <c r="O6" i="112"/>
  <c r="S91" i="14"/>
  <c r="S100" i="13"/>
  <c r="S91" i="15"/>
  <c r="J69" i="18"/>
  <c r="M69" i="18"/>
  <c r="L69" i="18"/>
  <c r="M69" i="17"/>
  <c r="M57" i="17"/>
  <c r="M57" i="18"/>
  <c r="M58" i="18"/>
  <c r="M59" i="18"/>
  <c r="L69" i="17"/>
  <c r="L70" i="17"/>
  <c r="L70" i="18"/>
  <c r="L57" i="17"/>
  <c r="L57" i="18"/>
  <c r="L58" i="17"/>
  <c r="L58" i="18"/>
  <c r="N70" i="18"/>
  <c r="N70" i="17"/>
  <c r="N59" i="18"/>
  <c r="I71" i="17"/>
  <c r="J71" i="17"/>
  <c r="J69" i="17"/>
  <c r="J70" i="17"/>
  <c r="J72" i="17"/>
  <c r="J52" i="18"/>
  <c r="J53" i="17"/>
  <c r="J58" i="18"/>
  <c r="J56" i="18" s="1"/>
  <c r="J63" i="17"/>
  <c r="J63" i="18"/>
  <c r="J64" i="17"/>
  <c r="J64" i="18"/>
  <c r="I70" i="17"/>
  <c r="I72" i="17"/>
  <c r="I52" i="18"/>
  <c r="I53" i="17"/>
  <c r="I51" i="17" s="1"/>
  <c r="I63" i="17"/>
  <c r="I64" i="17"/>
  <c r="I64" i="18"/>
  <c r="N62" i="15"/>
  <c r="N60" i="15" s="1"/>
  <c r="N66" i="14"/>
  <c r="N66" i="15"/>
  <c r="N72" i="15"/>
  <c r="N73" i="15"/>
  <c r="N78" i="14"/>
  <c r="N79" i="14"/>
  <c r="N79" i="15"/>
  <c r="M7" i="121"/>
  <c r="N100" i="13"/>
  <c r="P62" i="15"/>
  <c r="P60" i="15" s="1"/>
  <c r="P66" i="15"/>
  <c r="P73" i="15"/>
  <c r="P79" i="14"/>
  <c r="P79" i="15"/>
  <c r="P91" i="14"/>
  <c r="P100" i="13"/>
  <c r="M72" i="15"/>
  <c r="O72" i="15"/>
  <c r="M66" i="14"/>
  <c r="M67" i="14"/>
  <c r="M73" i="14"/>
  <c r="L66" i="14"/>
  <c r="M66" i="15"/>
  <c r="M78" i="14"/>
  <c r="M79" i="14"/>
  <c r="L7" i="121"/>
  <c r="M100" i="13"/>
  <c r="O66" i="15"/>
  <c r="O67" i="15"/>
  <c r="O73" i="14"/>
  <c r="O78" i="14"/>
  <c r="N7" i="121"/>
  <c r="O100" i="13"/>
  <c r="I61" i="14"/>
  <c r="I68" i="13" s="1"/>
  <c r="I62" i="14"/>
  <c r="I72" i="14"/>
  <c r="I72" i="15"/>
  <c r="I73" i="14"/>
  <c r="I73" i="15"/>
  <c r="I78" i="14"/>
  <c r="I79" i="14"/>
  <c r="I80" i="14"/>
  <c r="I80" i="15"/>
  <c r="I84" i="15" s="1"/>
  <c r="I100" i="13"/>
  <c r="J61" i="14"/>
  <c r="J62" i="14"/>
  <c r="J66" i="14"/>
  <c r="J66" i="15"/>
  <c r="J67" i="14"/>
  <c r="J67" i="15"/>
  <c r="J72" i="14"/>
  <c r="J72" i="15"/>
  <c r="J73" i="14"/>
  <c r="J73" i="15"/>
  <c r="J78" i="14"/>
  <c r="J79" i="14"/>
  <c r="J80" i="14"/>
  <c r="J80" i="15"/>
  <c r="J84" i="15" s="1"/>
  <c r="I7" i="121"/>
  <c r="L66" i="15"/>
  <c r="L67" i="14"/>
  <c r="L67" i="15"/>
  <c r="L73" i="14"/>
  <c r="L73" i="15"/>
  <c r="L78" i="14"/>
  <c r="L79" i="14"/>
  <c r="L79" i="15"/>
  <c r="L81" i="15"/>
  <c r="K7" i="121"/>
  <c r="L100" i="13"/>
  <c r="M91" i="15"/>
  <c r="K66" i="14"/>
  <c r="K66" i="15"/>
  <c r="L91" i="15"/>
  <c r="O91" i="15"/>
  <c r="N91" i="15"/>
  <c r="P91" i="15"/>
  <c r="G71" i="11"/>
  <c r="I91" i="14"/>
  <c r="J91" i="14"/>
  <c r="K91" i="14"/>
  <c r="O52" i="18"/>
  <c r="O57" i="17"/>
  <c r="O57" i="18"/>
  <c r="O58" i="17"/>
  <c r="O59" i="18"/>
  <c r="O69" i="18"/>
  <c r="O70" i="17"/>
  <c r="P58" i="17"/>
  <c r="P52" i="18"/>
  <c r="P59" i="18"/>
  <c r="O91" i="14"/>
  <c r="N91" i="14"/>
  <c r="M91" i="14"/>
  <c r="L91" i="14"/>
  <c r="J91" i="15"/>
  <c r="I91" i="15"/>
  <c r="K91" i="15"/>
  <c r="O7" i="89"/>
  <c r="I7" i="89"/>
  <c r="F32" i="89"/>
  <c r="F29" i="88"/>
  <c r="M7" i="89"/>
  <c r="D12" i="90"/>
  <c r="F29" i="95"/>
  <c r="F27" i="95" s="1"/>
  <c r="F31" i="89"/>
  <c r="Q7" i="90"/>
  <c r="P7" i="90"/>
  <c r="F30" i="90"/>
  <c r="F29" i="91"/>
  <c r="F27" i="91" s="1"/>
  <c r="O7" i="103"/>
  <c r="O7" i="104"/>
  <c r="K7" i="94"/>
  <c r="F29" i="90"/>
  <c r="O7" i="93"/>
  <c r="O7" i="110"/>
  <c r="N7" i="110"/>
  <c r="F29" i="106"/>
  <c r="I7" i="95"/>
  <c r="N7" i="94"/>
  <c r="F29" i="100"/>
  <c r="F27" i="100" s="1"/>
  <c r="L7" i="108"/>
  <c r="N7" i="108"/>
  <c r="D12" i="108"/>
  <c r="F29" i="108"/>
  <c r="F29" i="110"/>
  <c r="M7" i="118"/>
  <c r="I7" i="94"/>
  <c r="H7" i="94"/>
  <c r="D12" i="94"/>
  <c r="F29" i="94"/>
  <c r="F27" i="94" s="1"/>
  <c r="I7" i="99"/>
  <c r="H7" i="99"/>
  <c r="F29" i="103"/>
  <c r="Q7" i="105"/>
  <c r="F29" i="105"/>
  <c r="N7" i="109"/>
  <c r="F29" i="109"/>
  <c r="F29" i="118"/>
  <c r="F27" i="118" s="1"/>
  <c r="F29" i="121"/>
  <c r="F27" i="121" s="1"/>
  <c r="I7" i="120"/>
  <c r="H7" i="120"/>
  <c r="L7" i="120"/>
  <c r="F29" i="120"/>
  <c r="F27" i="120" s="1"/>
  <c r="F30" i="97"/>
  <c r="N7" i="122"/>
  <c r="O7" i="97"/>
  <c r="F29" i="124"/>
  <c r="F27" i="124" s="1"/>
  <c r="F29" i="127"/>
  <c r="F30" i="127"/>
  <c r="D12" i="128"/>
  <c r="E12" i="128"/>
  <c r="F29" i="126"/>
  <c r="F27" i="126" s="1"/>
  <c r="M7" i="112"/>
  <c r="F29" i="112"/>
  <c r="I51" i="18" l="1"/>
  <c r="I58" i="16"/>
  <c r="I57" i="16"/>
  <c r="G80" i="11"/>
  <c r="G81" i="11" s="1"/>
  <c r="G83" i="11"/>
  <c r="E12" i="91"/>
  <c r="R7" i="91"/>
  <c r="O56" i="18"/>
  <c r="L56" i="18"/>
  <c r="L66" i="18" s="1"/>
  <c r="M56" i="18"/>
  <c r="P56" i="18"/>
  <c r="N7" i="127"/>
  <c r="D12" i="91"/>
  <c r="F12" i="91" s="1"/>
  <c r="N7" i="89"/>
  <c r="L7" i="109"/>
  <c r="M7" i="123"/>
  <c r="L7" i="123"/>
  <c r="N78" i="15"/>
  <c r="N84" i="15" s="1"/>
  <c r="D12" i="124"/>
  <c r="L84" i="15"/>
  <c r="M7" i="108"/>
  <c r="E12" i="126"/>
  <c r="M7" i="120"/>
  <c r="L74" i="17"/>
  <c r="M7" i="124"/>
  <c r="E12" i="124"/>
  <c r="L7" i="124"/>
  <c r="N7" i="124"/>
  <c r="L84" i="14"/>
  <c r="L7" i="112"/>
  <c r="M7" i="109"/>
  <c r="J6" i="81"/>
  <c r="J7" i="81" s="1"/>
  <c r="R7" i="81" s="1"/>
  <c r="E12" i="81"/>
  <c r="F12" i="81" s="1"/>
  <c r="F27" i="81"/>
  <c r="F29" i="81"/>
  <c r="D12" i="88"/>
  <c r="E12" i="95"/>
  <c r="F12" i="95" s="1"/>
  <c r="F27" i="97"/>
  <c r="L7" i="94"/>
  <c r="M7" i="97"/>
  <c r="M7" i="94"/>
  <c r="R5" i="93"/>
  <c r="S66" i="14" s="1"/>
  <c r="N7" i="97"/>
  <c r="O7" i="94"/>
  <c r="R7" i="93"/>
  <c r="N7" i="93"/>
  <c r="J5" i="97"/>
  <c r="R5" i="97" s="1"/>
  <c r="D12" i="97"/>
  <c r="L7" i="97"/>
  <c r="E27" i="97"/>
  <c r="J6" i="97" s="1"/>
  <c r="K70" i="15" s="1"/>
  <c r="N7" i="112"/>
  <c r="N7" i="123"/>
  <c r="O70" i="18"/>
  <c r="O74" i="18" s="1"/>
  <c r="O80" i="15"/>
  <c r="N74" i="17"/>
  <c r="N57" i="18"/>
  <c r="N56" i="18" s="1"/>
  <c r="L7" i="118"/>
  <c r="J5" i="106"/>
  <c r="R5" i="106" s="1"/>
  <c r="D12" i="106"/>
  <c r="F27" i="103"/>
  <c r="D27" i="122"/>
  <c r="J5" i="122" s="1"/>
  <c r="F27" i="106"/>
  <c r="D29" i="104"/>
  <c r="I66" i="18"/>
  <c r="F29" i="125"/>
  <c r="F27" i="125" s="1"/>
  <c r="D12" i="103"/>
  <c r="J5" i="99"/>
  <c r="K72" i="14" s="1"/>
  <c r="D12" i="99"/>
  <c r="J6" i="99"/>
  <c r="K72" i="15" s="1"/>
  <c r="E12" i="99"/>
  <c r="F30" i="99"/>
  <c r="F28" i="99" s="1"/>
  <c r="O7" i="99"/>
  <c r="D12" i="105"/>
  <c r="O7" i="119"/>
  <c r="E27" i="122"/>
  <c r="J6" i="122" s="1"/>
  <c r="F27" i="127"/>
  <c r="E27" i="127"/>
  <c r="E12" i="127" s="1"/>
  <c r="J6" i="118"/>
  <c r="R6" i="118" s="1"/>
  <c r="S79" i="15" s="1"/>
  <c r="H64" i="12" s="1"/>
  <c r="E12" i="118"/>
  <c r="J5" i="117"/>
  <c r="R5" i="117" s="1"/>
  <c r="D12" i="117"/>
  <c r="J5" i="127"/>
  <c r="R5" i="127" s="1"/>
  <c r="D12" i="127"/>
  <c r="J6" i="120"/>
  <c r="K81" i="15" s="1"/>
  <c r="E12" i="120"/>
  <c r="J6" i="119"/>
  <c r="K80" i="15" s="1"/>
  <c r="J6" i="121"/>
  <c r="K82" i="15" s="1"/>
  <c r="E12" i="121"/>
  <c r="F12" i="121" s="1"/>
  <c r="J5" i="118"/>
  <c r="K79" i="14" s="1"/>
  <c r="D12" i="118"/>
  <c r="J5" i="120"/>
  <c r="R5" i="120" s="1"/>
  <c r="D12" i="120"/>
  <c r="J5" i="119"/>
  <c r="K80" i="14" s="1"/>
  <c r="F27" i="122"/>
  <c r="N61" i="18"/>
  <c r="O7" i="123"/>
  <c r="O7" i="127"/>
  <c r="D12" i="112"/>
  <c r="F29" i="123"/>
  <c r="F27" i="123" s="1"/>
  <c r="F29" i="117"/>
  <c r="F27" i="117" s="1"/>
  <c r="I74" i="17"/>
  <c r="I84" i="14"/>
  <c r="M78" i="15"/>
  <c r="M84" i="15" s="1"/>
  <c r="L82" i="16"/>
  <c r="M61" i="18"/>
  <c r="E27" i="115"/>
  <c r="J6" i="115" s="1"/>
  <c r="O7" i="120"/>
  <c r="O7" i="118"/>
  <c r="O7" i="117"/>
  <c r="D12" i="126"/>
  <c r="F27" i="112"/>
  <c r="E12" i="123"/>
  <c r="F27" i="109"/>
  <c r="F27" i="108"/>
  <c r="J84" i="14"/>
  <c r="E12" i="125"/>
  <c r="O7" i="124"/>
  <c r="O7" i="108"/>
  <c r="P69" i="17"/>
  <c r="O7" i="121"/>
  <c r="O7" i="112"/>
  <c r="P82" i="14"/>
  <c r="N7" i="118"/>
  <c r="O79" i="14"/>
  <c r="N7" i="120"/>
  <c r="N7" i="117"/>
  <c r="O61" i="18"/>
  <c r="F12" i="128"/>
  <c r="O7" i="122"/>
  <c r="O7" i="109"/>
  <c r="P81" i="14"/>
  <c r="P78" i="15"/>
  <c r="P84" i="15" s="1"/>
  <c r="P61" i="18"/>
  <c r="F30" i="114"/>
  <c r="J5" i="115"/>
  <c r="K64" i="17" s="1"/>
  <c r="D12" i="115"/>
  <c r="F27" i="115"/>
  <c r="G84" i="11"/>
  <c r="R6" i="126"/>
  <c r="S72" i="18" s="1"/>
  <c r="J66" i="12" s="1"/>
  <c r="K72" i="18"/>
  <c r="R5" i="126"/>
  <c r="K72" i="17"/>
  <c r="J7" i="126"/>
  <c r="R6" i="125"/>
  <c r="S71" i="18" s="1"/>
  <c r="J65" i="12" s="1"/>
  <c r="K71" i="18"/>
  <c r="R5" i="125"/>
  <c r="K71" i="17"/>
  <c r="J7" i="125"/>
  <c r="D12" i="125"/>
  <c r="R6" i="124"/>
  <c r="S70" i="18" s="1"/>
  <c r="J64" i="12" s="1"/>
  <c r="K70" i="18"/>
  <c r="R5" i="124"/>
  <c r="K70" i="17"/>
  <c r="J7" i="124"/>
  <c r="R6" i="123"/>
  <c r="S69" i="18" s="1"/>
  <c r="J63" i="12" s="1"/>
  <c r="K69" i="18"/>
  <c r="J5" i="123"/>
  <c r="D12" i="123"/>
  <c r="R6" i="121"/>
  <c r="K82" i="14"/>
  <c r="J6" i="117"/>
  <c r="J7" i="117" s="1"/>
  <c r="E12" i="117"/>
  <c r="K78" i="14"/>
  <c r="R5" i="115"/>
  <c r="J6" i="114"/>
  <c r="E12" i="114"/>
  <c r="F28" i="114"/>
  <c r="J5" i="114"/>
  <c r="D12" i="114"/>
  <c r="J6" i="112"/>
  <c r="E12" i="112"/>
  <c r="R5" i="112"/>
  <c r="J6" i="110"/>
  <c r="E12" i="110"/>
  <c r="F27" i="110"/>
  <c r="J5" i="110"/>
  <c r="D12" i="110"/>
  <c r="J6" i="109"/>
  <c r="E12" i="109"/>
  <c r="J5" i="109"/>
  <c r="D12" i="109"/>
  <c r="J6" i="108"/>
  <c r="J7" i="108" s="1"/>
  <c r="E12" i="108"/>
  <c r="F12" i="108" s="1"/>
  <c r="R5" i="108"/>
  <c r="K57" i="17"/>
  <c r="J6" i="106"/>
  <c r="E12" i="106"/>
  <c r="J7" i="106"/>
  <c r="J6" i="105"/>
  <c r="J7" i="105" s="1"/>
  <c r="E12" i="105"/>
  <c r="F27" i="105"/>
  <c r="R5" i="105"/>
  <c r="K54" i="17"/>
  <c r="J6" i="104"/>
  <c r="E12" i="104"/>
  <c r="F29" i="104"/>
  <c r="J6" i="103"/>
  <c r="R6" i="103" s="1"/>
  <c r="S52" i="18" s="1"/>
  <c r="J46" i="12" s="1"/>
  <c r="E12" i="103"/>
  <c r="R5" i="103"/>
  <c r="K52" i="17"/>
  <c r="O7" i="100"/>
  <c r="J6" i="100"/>
  <c r="K73" i="15" s="1"/>
  <c r="E12" i="100"/>
  <c r="J5" i="100"/>
  <c r="K73" i="14" s="1"/>
  <c r="D12" i="100"/>
  <c r="R5" i="99"/>
  <c r="S72" i="14" s="1"/>
  <c r="R6" i="95"/>
  <c r="S68" i="15" s="1"/>
  <c r="H53" i="12" s="1"/>
  <c r="K68" i="15"/>
  <c r="J7" i="95"/>
  <c r="J6" i="94"/>
  <c r="J7" i="94" s="1"/>
  <c r="E12" i="94"/>
  <c r="F12" i="94" s="1"/>
  <c r="K67" i="14"/>
  <c r="K65" i="14" s="1"/>
  <c r="R5" i="94"/>
  <c r="S67" i="14" s="1"/>
  <c r="S65" i="14" s="1"/>
  <c r="S64" i="15"/>
  <c r="H49" i="12" s="1"/>
  <c r="K64" i="15"/>
  <c r="S64" i="14"/>
  <c r="H49" i="11" s="1"/>
  <c r="K64" i="14"/>
  <c r="J7" i="91"/>
  <c r="J6" i="90"/>
  <c r="K63" i="15" s="1"/>
  <c r="E12" i="90"/>
  <c r="F12" i="90" s="1"/>
  <c r="F27" i="90"/>
  <c r="R5" i="90"/>
  <c r="S63" i="14" s="1"/>
  <c r="H48" i="11" s="1"/>
  <c r="K63" i="14"/>
  <c r="J7" i="90"/>
  <c r="J6" i="89"/>
  <c r="R6" i="89" s="1"/>
  <c r="S62" i="15" s="1"/>
  <c r="H47" i="12" s="1"/>
  <c r="E12" i="89"/>
  <c r="J5" i="89"/>
  <c r="K62" i="14" s="1"/>
  <c r="F29" i="89"/>
  <c r="D12" i="89"/>
  <c r="J6" i="88"/>
  <c r="J7" i="88" s="1"/>
  <c r="R7" i="88" s="1"/>
  <c r="E12" i="88"/>
  <c r="F12" i="88" s="1"/>
  <c r="F27" i="88"/>
  <c r="R5" i="88"/>
  <c r="S61" i="14" s="1"/>
  <c r="K61" i="14"/>
  <c r="K51" i="15"/>
  <c r="K54" i="13" s="1"/>
  <c r="R6" i="81"/>
  <c r="T6" i="81" s="1"/>
  <c r="P51" i="18"/>
  <c r="O51" i="18"/>
  <c r="J51" i="18"/>
  <c r="L74" i="18"/>
  <c r="N66" i="17"/>
  <c r="M66" i="17"/>
  <c r="M74" i="18"/>
  <c r="P74" i="18"/>
  <c r="J82" i="16"/>
  <c r="N74" i="18"/>
  <c r="J74" i="18"/>
  <c r="I80" i="12"/>
  <c r="I83" i="12" s="1"/>
  <c r="P66" i="17"/>
  <c r="O66" i="17"/>
  <c r="J51" i="17"/>
  <c r="J66" i="17" s="1"/>
  <c r="I66" i="17"/>
  <c r="L66" i="17"/>
  <c r="O74" i="17"/>
  <c r="M74" i="17"/>
  <c r="J74" i="17"/>
  <c r="P74" i="17"/>
  <c r="I82" i="16"/>
  <c r="L75" i="15"/>
  <c r="O60" i="15"/>
  <c r="M75" i="15"/>
  <c r="J75" i="15"/>
  <c r="I75" i="15"/>
  <c r="I60" i="14"/>
  <c r="I67" i="13" s="1"/>
  <c r="M75" i="14"/>
  <c r="P75" i="14"/>
  <c r="J60" i="14"/>
  <c r="O75" i="14"/>
  <c r="M84" i="14"/>
  <c r="L75" i="14"/>
  <c r="N84" i="14"/>
  <c r="N75" i="14"/>
  <c r="J100" i="13"/>
  <c r="K100" i="13"/>
  <c r="H46" i="11" l="1"/>
  <c r="O89" i="13"/>
  <c r="I82" i="13"/>
  <c r="L93" i="13"/>
  <c r="I93" i="13"/>
  <c r="M82" i="13"/>
  <c r="K55" i="13"/>
  <c r="J93" i="13"/>
  <c r="K55" i="17"/>
  <c r="J7" i="99"/>
  <c r="R6" i="99"/>
  <c r="S72" i="15" s="1"/>
  <c r="H57" i="12" s="1"/>
  <c r="L72" i="16"/>
  <c r="M72" i="16"/>
  <c r="H52" i="10"/>
  <c r="R6" i="88"/>
  <c r="S61" i="15" s="1"/>
  <c r="S68" i="13" s="1"/>
  <c r="K52" i="18"/>
  <c r="K58" i="16" s="1"/>
  <c r="R6" i="94"/>
  <c r="S67" i="15" s="1"/>
  <c r="N82" i="16"/>
  <c r="K52" i="15"/>
  <c r="F12" i="126"/>
  <c r="K62" i="15"/>
  <c r="R5" i="89"/>
  <c r="S62" i="14" s="1"/>
  <c r="H47" i="11" s="1"/>
  <c r="H46" i="10" s="1"/>
  <c r="K67" i="15"/>
  <c r="K61" i="15"/>
  <c r="K68" i="13" s="1"/>
  <c r="M82" i="16"/>
  <c r="F12" i="118"/>
  <c r="F12" i="124"/>
  <c r="J7" i="89"/>
  <c r="K70" i="14"/>
  <c r="O84" i="14"/>
  <c r="H51" i="11"/>
  <c r="H50" i="10" s="1"/>
  <c r="O82" i="16"/>
  <c r="N93" i="13"/>
  <c r="R6" i="120"/>
  <c r="S81" i="15" s="1"/>
  <c r="H66" i="12" s="1"/>
  <c r="J6" i="127"/>
  <c r="J7" i="127" s="1"/>
  <c r="E12" i="122"/>
  <c r="J66" i="18"/>
  <c r="J75" i="14"/>
  <c r="W6" i="81"/>
  <c r="W7" i="81"/>
  <c r="T7" i="81"/>
  <c r="U7" i="81"/>
  <c r="V7" i="81"/>
  <c r="U6" i="81"/>
  <c r="V6" i="81"/>
  <c r="S51" i="15"/>
  <c r="R5" i="119"/>
  <c r="S80" i="14" s="1"/>
  <c r="O93" i="13"/>
  <c r="O84" i="15"/>
  <c r="H48" i="10"/>
  <c r="K60" i="14"/>
  <c r="R6" i="90"/>
  <c r="S63" i="15" s="1"/>
  <c r="H48" i="12" s="1"/>
  <c r="H47" i="10" s="1"/>
  <c r="R7" i="95"/>
  <c r="F12" i="89"/>
  <c r="H52" i="11"/>
  <c r="H46" i="12"/>
  <c r="R6" i="97"/>
  <c r="J7" i="97"/>
  <c r="E12" i="97"/>
  <c r="F12" i="97" s="1"/>
  <c r="P75" i="15"/>
  <c r="F12" i="100"/>
  <c r="M66" i="18"/>
  <c r="F12" i="105"/>
  <c r="F12" i="117"/>
  <c r="F12" i="120"/>
  <c r="F12" i="123"/>
  <c r="F12" i="106"/>
  <c r="D12" i="122"/>
  <c r="R5" i="122"/>
  <c r="S83" i="14" s="1"/>
  <c r="H68" i="11" s="1"/>
  <c r="K83" i="14"/>
  <c r="F12" i="103"/>
  <c r="I72" i="16"/>
  <c r="J7" i="103"/>
  <c r="R5" i="118"/>
  <c r="S79" i="14" s="1"/>
  <c r="H64" i="11" s="1"/>
  <c r="H63" i="10" s="1"/>
  <c r="J7" i="121"/>
  <c r="J7" i="120"/>
  <c r="J5" i="104"/>
  <c r="D12" i="104"/>
  <c r="F12" i="104" s="1"/>
  <c r="H57" i="11"/>
  <c r="F12" i="99"/>
  <c r="O66" i="18"/>
  <c r="J7" i="119"/>
  <c r="R6" i="119"/>
  <c r="S80" i="15" s="1"/>
  <c r="H65" i="12" s="1"/>
  <c r="R6" i="122"/>
  <c r="S83" i="15" s="1"/>
  <c r="H68" i="12" s="1"/>
  <c r="J7" i="122"/>
  <c r="K83" i="15"/>
  <c r="F12" i="127"/>
  <c r="F12" i="112"/>
  <c r="N75" i="15"/>
  <c r="R6" i="112"/>
  <c r="S61" i="18" s="1"/>
  <c r="J55" i="12" s="1"/>
  <c r="K61" i="18"/>
  <c r="E12" i="115"/>
  <c r="F12" i="115" s="1"/>
  <c r="J7" i="118"/>
  <c r="K79" i="15"/>
  <c r="K81" i="14"/>
  <c r="F12" i="125"/>
  <c r="K73" i="17"/>
  <c r="N66" i="18"/>
  <c r="F12" i="109"/>
  <c r="F12" i="110"/>
  <c r="F12" i="114"/>
  <c r="O75" i="15"/>
  <c r="P93" i="13"/>
  <c r="P84" i="14"/>
  <c r="S61" i="17"/>
  <c r="P66" i="18"/>
  <c r="P82" i="16"/>
  <c r="J72" i="16"/>
  <c r="I75" i="14"/>
  <c r="S70" i="14"/>
  <c r="H55" i="11" s="1"/>
  <c r="K73" i="18"/>
  <c r="S73" i="17"/>
  <c r="J68" i="11" s="1"/>
  <c r="S72" i="17"/>
  <c r="J66" i="11" s="1"/>
  <c r="J65" i="10" s="1"/>
  <c r="R7" i="126"/>
  <c r="S71" i="17"/>
  <c r="R7" i="125"/>
  <c r="S70" i="17"/>
  <c r="J64" i="11" s="1"/>
  <c r="J63" i="10" s="1"/>
  <c r="R7" i="124"/>
  <c r="R5" i="123"/>
  <c r="K69" i="17"/>
  <c r="J7" i="123"/>
  <c r="R7" i="121"/>
  <c r="S82" i="15"/>
  <c r="S81" i="14"/>
  <c r="H66" i="11" s="1"/>
  <c r="R7" i="120"/>
  <c r="K78" i="15"/>
  <c r="R6" i="117"/>
  <c r="S78" i="15" s="1"/>
  <c r="H63" i="12" s="1"/>
  <c r="S78" i="14"/>
  <c r="H63" i="11" s="1"/>
  <c r="R6" i="115"/>
  <c r="S64" i="18" s="1"/>
  <c r="J58" i="12" s="1"/>
  <c r="K64" i="18"/>
  <c r="S64" i="17"/>
  <c r="J58" i="11" s="1"/>
  <c r="K63" i="18"/>
  <c r="R6" i="114"/>
  <c r="S63" i="18" s="1"/>
  <c r="K63" i="17"/>
  <c r="R5" i="114"/>
  <c r="J7" i="114"/>
  <c r="J7" i="112"/>
  <c r="R6" i="110"/>
  <c r="S59" i="18" s="1"/>
  <c r="J53" i="12" s="1"/>
  <c r="K59" i="18"/>
  <c r="J7" i="110"/>
  <c r="R5" i="110"/>
  <c r="K59" i="17"/>
  <c r="R6" i="109"/>
  <c r="S58" i="18" s="1"/>
  <c r="K58" i="18"/>
  <c r="R5" i="109"/>
  <c r="K58" i="17"/>
  <c r="K56" i="17" s="1"/>
  <c r="J7" i="109"/>
  <c r="R6" i="108"/>
  <c r="S57" i="18" s="1"/>
  <c r="K57" i="18"/>
  <c r="K56" i="18" s="1"/>
  <c r="S57" i="17"/>
  <c r="J51" i="11" s="1"/>
  <c r="K55" i="18"/>
  <c r="R6" i="106"/>
  <c r="S55" i="18" s="1"/>
  <c r="S55" i="17"/>
  <c r="J49" i="11" s="1"/>
  <c r="R6" i="105"/>
  <c r="S54" i="18" s="1"/>
  <c r="K54" i="18"/>
  <c r="S54" i="17"/>
  <c r="J48" i="11" s="1"/>
  <c r="R6" i="104"/>
  <c r="S53" i="18" s="1"/>
  <c r="J47" i="12" s="1"/>
  <c r="K53" i="18"/>
  <c r="S52" i="17"/>
  <c r="S58" i="16" s="1"/>
  <c r="R7" i="103"/>
  <c r="S60" i="14"/>
  <c r="H65" i="11" l="1"/>
  <c r="S89" i="13"/>
  <c r="J65" i="11"/>
  <c r="J64" i="10" s="1"/>
  <c r="S79" i="16"/>
  <c r="I105" i="13"/>
  <c r="O72" i="16"/>
  <c r="P72" i="16"/>
  <c r="N82" i="13"/>
  <c r="L82" i="13"/>
  <c r="P82" i="13"/>
  <c r="M93" i="13"/>
  <c r="O82" i="13"/>
  <c r="J82" i="13"/>
  <c r="R7" i="90"/>
  <c r="H56" i="10"/>
  <c r="R7" i="99"/>
  <c r="R6" i="127"/>
  <c r="S73" i="18" s="1"/>
  <c r="J68" i="12" s="1"/>
  <c r="J69" i="12" s="1"/>
  <c r="R7" i="97"/>
  <c r="S70" i="15"/>
  <c r="R7" i="94"/>
  <c r="K65" i="15"/>
  <c r="H52" i="12"/>
  <c r="H50" i="12" s="1"/>
  <c r="S65" i="15"/>
  <c r="J51" i="12"/>
  <c r="J50" i="10" s="1"/>
  <c r="S56" i="18"/>
  <c r="S60" i="15"/>
  <c r="S67" i="13" s="1"/>
  <c r="H45" i="12"/>
  <c r="N72" i="16"/>
  <c r="R7" i="89"/>
  <c r="K60" i="15"/>
  <c r="K75" i="15" s="1"/>
  <c r="K75" i="14"/>
  <c r="J46" i="11"/>
  <c r="J45" i="10" s="1"/>
  <c r="H65" i="10"/>
  <c r="F12" i="122"/>
  <c r="H34" i="12"/>
  <c r="S52" i="15"/>
  <c r="S54" i="13"/>
  <c r="H45" i="10"/>
  <c r="H50" i="11"/>
  <c r="R7" i="112"/>
  <c r="H67" i="10"/>
  <c r="R7" i="122"/>
  <c r="R7" i="118"/>
  <c r="J49" i="12"/>
  <c r="J48" i="10" s="1"/>
  <c r="R5" i="104"/>
  <c r="S53" i="17" s="1"/>
  <c r="J7" i="104"/>
  <c r="K53" i="17"/>
  <c r="K51" i="17" s="1"/>
  <c r="K57" i="16" s="1"/>
  <c r="K51" i="18"/>
  <c r="J48" i="12"/>
  <c r="J47" i="10" s="1"/>
  <c r="R7" i="105"/>
  <c r="H64" i="10"/>
  <c r="R7" i="119"/>
  <c r="K84" i="14"/>
  <c r="R7" i="117"/>
  <c r="R7" i="127"/>
  <c r="J55" i="11"/>
  <c r="H55" i="12"/>
  <c r="H54" i="10" s="1"/>
  <c r="R7" i="108"/>
  <c r="J52" i="12"/>
  <c r="H62" i="10"/>
  <c r="H69" i="11"/>
  <c r="H67" i="12"/>
  <c r="H66" i="10" s="1"/>
  <c r="J57" i="12"/>
  <c r="R7" i="115"/>
  <c r="J57" i="10"/>
  <c r="S74" i="18"/>
  <c r="K74" i="18"/>
  <c r="J90" i="11"/>
  <c r="S69" i="17"/>
  <c r="J63" i="11" s="1"/>
  <c r="R7" i="123"/>
  <c r="K74" i="17"/>
  <c r="S84" i="15"/>
  <c r="K84" i="15"/>
  <c r="S84" i="14"/>
  <c r="S63" i="17"/>
  <c r="J57" i="11" s="1"/>
  <c r="R7" i="114"/>
  <c r="S59" i="17"/>
  <c r="J53" i="11" s="1"/>
  <c r="R7" i="110"/>
  <c r="S58" i="17"/>
  <c r="R7" i="109"/>
  <c r="R7" i="106"/>
  <c r="S51" i="18"/>
  <c r="H45" i="11"/>
  <c r="K67" i="13" l="1"/>
  <c r="H51" i="10"/>
  <c r="H49" i="10" s="1"/>
  <c r="S55" i="13"/>
  <c r="K82" i="13"/>
  <c r="J52" i="11"/>
  <c r="J50" i="11" s="1"/>
  <c r="S56" i="17"/>
  <c r="J52" i="10"/>
  <c r="K93" i="13"/>
  <c r="K66" i="17"/>
  <c r="J47" i="11"/>
  <c r="J46" i="10" s="1"/>
  <c r="H35" i="12"/>
  <c r="K33" i="12" s="1" a="1"/>
  <c r="H34" i="10"/>
  <c r="R7" i="104"/>
  <c r="S51" i="17"/>
  <c r="S57" i="16" s="1"/>
  <c r="J56" i="10"/>
  <c r="K66" i="18"/>
  <c r="J45" i="12"/>
  <c r="J50" i="12"/>
  <c r="H69" i="12"/>
  <c r="K63" i="12" s="1" a="1"/>
  <c r="J62" i="10"/>
  <c r="J69" i="11"/>
  <c r="K63" i="11" s="1" a="1"/>
  <c r="J67" i="10"/>
  <c r="H68" i="10"/>
  <c r="AI70" i="5" s="1"/>
  <c r="J54" i="10"/>
  <c r="K82" i="16"/>
  <c r="S74" i="17"/>
  <c r="H90" i="11"/>
  <c r="H91" i="10"/>
  <c r="S93" i="13"/>
  <c r="S66" i="18"/>
  <c r="H44" i="10"/>
  <c r="J51" i="10" l="1"/>
  <c r="Q65" i="13"/>
  <c r="J45" i="11"/>
  <c r="J60" i="11" s="1"/>
  <c r="J71" i="11" s="1"/>
  <c r="K64" i="12"/>
  <c r="K69" i="12"/>
  <c r="K65" i="12"/>
  <c r="K68" i="12"/>
  <c r="K67" i="12"/>
  <c r="K63" i="12"/>
  <c r="K66" i="12"/>
  <c r="K34" i="12"/>
  <c r="K35" i="12"/>
  <c r="K33" i="12"/>
  <c r="K64" i="11"/>
  <c r="K67" i="11"/>
  <c r="K63" i="11"/>
  <c r="K66" i="11"/>
  <c r="K69" i="11"/>
  <c r="K65" i="11"/>
  <c r="K68" i="11"/>
  <c r="H35" i="10"/>
  <c r="S66" i="17"/>
  <c r="J60" i="12"/>
  <c r="J71" i="12" s="1"/>
  <c r="J91" i="10"/>
  <c r="J68" i="10"/>
  <c r="AI89" i="5" s="1"/>
  <c r="S82" i="16"/>
  <c r="J44" i="10"/>
  <c r="R7" i="100"/>
  <c r="R6" i="100"/>
  <c r="S73" i="15" s="1"/>
  <c r="H58" i="12" s="1"/>
  <c r="R5" i="100"/>
  <c r="S73" i="14" s="1"/>
  <c r="K33" i="10" l="1" a="1"/>
  <c r="K33" i="10" s="1"/>
  <c r="J49" i="10"/>
  <c r="S72" i="16"/>
  <c r="K72" i="16"/>
  <c r="Q83" i="16"/>
  <c r="K62" i="10" a="1"/>
  <c r="K62" i="10" s="1"/>
  <c r="H58" i="11"/>
  <c r="H60" i="11" s="1"/>
  <c r="H71" i="11" s="1"/>
  <c r="K71" i="11" s="1"/>
  <c r="S75" i="14"/>
  <c r="K45" i="11" a="1"/>
  <c r="K64" i="10"/>
  <c r="K68" i="10"/>
  <c r="K65" i="10"/>
  <c r="H60" i="12"/>
  <c r="K45" i="12" s="1" a="1"/>
  <c r="S75" i="15"/>
  <c r="S93" i="15" s="1"/>
  <c r="J80" i="11"/>
  <c r="J86" i="11"/>
  <c r="K67" i="10" l="1"/>
  <c r="K63" i="10"/>
  <c r="K66" i="10"/>
  <c r="K35" i="10"/>
  <c r="K34" i="10"/>
  <c r="J59" i="10"/>
  <c r="AI88" i="5" s="1"/>
  <c r="S82" i="13"/>
  <c r="Q96" i="13" s="1"/>
  <c r="H57" i="10"/>
  <c r="H86" i="11"/>
  <c r="H80" i="11"/>
  <c r="K80" i="11" s="1"/>
  <c r="K46" i="12"/>
  <c r="K59" i="12"/>
  <c r="K55" i="12"/>
  <c r="K51" i="12"/>
  <c r="K47" i="12"/>
  <c r="K60" i="12"/>
  <c r="K56" i="12"/>
  <c r="K52" i="12"/>
  <c r="K48" i="12"/>
  <c r="K57" i="12"/>
  <c r="K53" i="12"/>
  <c r="K49" i="12"/>
  <c r="K45" i="12"/>
  <c r="K58" i="12"/>
  <c r="K54" i="12"/>
  <c r="K50" i="12"/>
  <c r="K46" i="11"/>
  <c r="K57" i="11"/>
  <c r="K53" i="11"/>
  <c r="K49" i="11"/>
  <c r="K45" i="11"/>
  <c r="K58" i="11"/>
  <c r="K54" i="11"/>
  <c r="K50" i="11"/>
  <c r="K59" i="11"/>
  <c r="K51" i="11"/>
  <c r="K47" i="11"/>
  <c r="K60" i="11"/>
  <c r="K52" i="11"/>
  <c r="K48" i="11"/>
  <c r="K55" i="11"/>
  <c r="K56" i="11"/>
  <c r="J80" i="12"/>
  <c r="J70" i="10" l="1"/>
  <c r="J78" i="10" s="1"/>
  <c r="G10" i="5" s="1"/>
  <c r="AI91" i="5"/>
  <c r="J87" i="10"/>
  <c r="H59" i="10"/>
  <c r="K47" i="10"/>
  <c r="K46" i="10"/>
  <c r="K49" i="10"/>
  <c r="K48" i="10"/>
  <c r="K55" i="10"/>
  <c r="K54" i="10"/>
  <c r="K57" i="10"/>
  <c r="K56" i="10"/>
  <c r="K51" i="10"/>
  <c r="K50" i="10"/>
  <c r="K58" i="10"/>
  <c r="K53" i="10"/>
  <c r="K44" i="10"/>
  <c r="K52" i="10"/>
  <c r="H71" i="12"/>
  <c r="K44" i="10" l="1" a="1"/>
  <c r="K45" i="10" s="1"/>
  <c r="AI69" i="5"/>
  <c r="H70" i="10"/>
  <c r="AI72" i="5"/>
  <c r="K59" i="10"/>
  <c r="H80" i="12"/>
  <c r="K80" i="12" s="1"/>
  <c r="K71" i="12"/>
  <c r="H78" i="10" l="1"/>
  <c r="H87" i="10"/>
  <c r="K70" i="10"/>
  <c r="J90" i="12"/>
  <c r="H90" i="12"/>
  <c r="J86" i="12"/>
  <c r="H86" i="12"/>
  <c r="K78" i="10" l="1"/>
  <c r="G8" i="5"/>
  <c r="G12" i="5" s="1"/>
  <c r="J105" i="13"/>
  <c r="K105" i="13"/>
  <c r="L105" i="13"/>
  <c r="M105" i="13"/>
  <c r="N105" i="13"/>
  <c r="O105" i="13"/>
  <c r="P105" i="13"/>
  <c r="Q105" i="13"/>
  <c r="R105" i="13"/>
  <c r="S105" i="13"/>
  <c r="T106" i="13"/>
  <c r="I93" i="14"/>
  <c r="J93" i="14"/>
  <c r="K93" i="14"/>
  <c r="L93" i="14"/>
  <c r="M93" i="14"/>
  <c r="N93" i="14"/>
  <c r="O93" i="14"/>
  <c r="P93" i="14"/>
  <c r="Q93" i="14"/>
  <c r="R93" i="14"/>
  <c r="S93" i="14"/>
  <c r="T93" i="14"/>
  <c r="T94" i="14" s="1"/>
  <c r="I93" i="15"/>
  <c r="J93" i="15"/>
  <c r="K93" i="15"/>
  <c r="L93" i="15"/>
  <c r="M93" i="15"/>
  <c r="N93" i="15"/>
  <c r="O93" i="15"/>
  <c r="P93" i="15"/>
  <c r="Q93" i="15"/>
  <c r="R93" i="15"/>
  <c r="T93" i="15"/>
  <c r="T94" i="15" s="1"/>
  <c r="I87" i="16"/>
  <c r="J87" i="16"/>
  <c r="K87" i="16"/>
  <c r="L87" i="16"/>
  <c r="M87" i="16"/>
  <c r="N87" i="16"/>
  <c r="O87" i="16"/>
  <c r="P87" i="16"/>
  <c r="Q87" i="16"/>
  <c r="R87" i="16"/>
  <c r="S87" i="16"/>
  <c r="I76" i="17"/>
  <c r="J76" i="17"/>
  <c r="K76" i="17"/>
  <c r="L76" i="17"/>
  <c r="M76" i="17"/>
  <c r="N76" i="17"/>
  <c r="O76" i="17"/>
  <c r="P76" i="17"/>
  <c r="Q76" i="17"/>
  <c r="R76" i="17"/>
  <c r="S76" i="17"/>
  <c r="K76" i="18"/>
  <c r="L76" i="18"/>
  <c r="M76" i="18"/>
  <c r="N76" i="18"/>
  <c r="O76" i="18"/>
  <c r="P76" i="18"/>
  <c r="Q76" i="18"/>
  <c r="R76" i="18"/>
  <c r="S76" i="18"/>
  <c r="T76" i="18"/>
  <c r="J76" i="18" l="1"/>
  <c r="I76" i="18"/>
  <c r="V7" i="37" l="1"/>
  <c r="S5" i="37"/>
  <c r="W5" i="37" s="1"/>
  <c r="S7" i="37" l="1"/>
  <c r="W7" i="37" s="1"/>
  <c r="T7" i="17"/>
  <c r="T21" i="16" s="1"/>
  <c r="T87" i="16" s="1"/>
  <c r="T21" i="17" l="1"/>
  <c r="T76" i="17" s="1"/>
  <c r="I6" i="11"/>
  <c r="I21" i="11" s="1"/>
  <c r="I71" i="11" s="1"/>
  <c r="I80" i="11" s="1"/>
  <c r="I6" i="10"/>
  <c r="I21" i="10" l="1"/>
  <c r="AG91" i="5" s="1"/>
  <c r="I70" i="10" l="1"/>
  <c r="I78" i="10" l="1"/>
  <c r="I81" i="10" s="1"/>
</calcChain>
</file>

<file path=xl/comments1.xml><?xml version="1.0" encoding="utf-8"?>
<comments xmlns="http://schemas.openxmlformats.org/spreadsheetml/2006/main">
  <authors>
    <author>Lance Rottger</author>
  </authors>
  <commentList>
    <comment ref="H61" authorId="0">
      <text>
        <r>
          <rPr>
            <b/>
            <sz val="9"/>
            <color indexed="81"/>
            <rFont val="Tahoma"/>
            <family val="2"/>
          </rPr>
          <t>Lance Rottger:</t>
        </r>
        <r>
          <rPr>
            <sz val="9"/>
            <color indexed="81"/>
            <rFont val="Tahoma"/>
            <family val="2"/>
          </rPr>
          <t xml:space="preserve">
T&amp;D same order number as C/I
</t>
        </r>
      </text>
    </comment>
  </commentList>
</comments>
</file>

<file path=xl/comments2.xml><?xml version="1.0" encoding="utf-8"?>
<comments xmlns="http://schemas.openxmlformats.org/spreadsheetml/2006/main">
  <authors>
    <author>sandra sieg</author>
  </authors>
  <commentList>
    <comment ref="D64" authorId="0">
      <text>
        <r>
          <rPr>
            <b/>
            <sz val="10"/>
            <color indexed="81"/>
            <rFont val="Tahoma"/>
            <family val="2"/>
          </rPr>
          <t>sandra sieg:</t>
        </r>
        <r>
          <rPr>
            <sz val="10"/>
            <color indexed="81"/>
            <rFont val="Tahoma"/>
            <family val="2"/>
          </rPr>
          <t xml:space="preserve">
448800 from RISE Wx Innovation Pilot
</t>
        </r>
      </text>
    </comment>
  </commentList>
</comments>
</file>

<file path=xl/comments3.xml><?xml version="1.0" encoding="utf-8"?>
<comments xmlns="http://schemas.openxmlformats.org/spreadsheetml/2006/main">
  <authors>
    <author>sandra sieg</author>
  </authors>
  <commentList>
    <comment ref="D64" authorId="0">
      <text>
        <r>
          <rPr>
            <b/>
            <sz val="10"/>
            <color indexed="81"/>
            <rFont val="Tahoma"/>
            <family val="2"/>
          </rPr>
          <t>sandra sieg:</t>
        </r>
        <r>
          <rPr>
            <sz val="10"/>
            <color indexed="81"/>
            <rFont val="Tahoma"/>
            <family val="2"/>
          </rPr>
          <t xml:space="preserve">
448800 from RISE Wx Innovation Pilot
</t>
        </r>
      </text>
    </comment>
  </commentList>
</comments>
</file>

<file path=xl/comments4.xml><?xml version="1.0" encoding="utf-8"?>
<comments xmlns="http://schemas.openxmlformats.org/spreadsheetml/2006/main">
  <authors>
    <author>Andy Hemstreet</author>
  </authors>
  <commentList>
    <comment ref="A3" authorId="0">
      <text>
        <r>
          <rPr>
            <b/>
            <sz val="10"/>
            <color indexed="81"/>
            <rFont val="Tahoma"/>
            <family val="2"/>
          </rPr>
          <t xml:space="preserve">sfranc:
</t>
        </r>
        <r>
          <rPr>
            <sz val="8"/>
            <color indexed="81"/>
            <rFont val="Tahoma"/>
            <family val="2"/>
          </rPr>
          <t>Trade Ally Support Orders (Elec &amp; Gas) are used exclusively for PSE annual membership dues to organizations providing broad-based support services for EE programs.</t>
        </r>
      </text>
    </comment>
  </commentList>
</comments>
</file>

<file path=xl/sharedStrings.xml><?xml version="1.0" encoding="utf-8"?>
<sst xmlns="http://schemas.openxmlformats.org/spreadsheetml/2006/main" count="31563" uniqueCount="1803">
  <si>
    <t>May need more tabs to break out details</t>
  </si>
  <si>
    <t>This is only a tab title for Customer Engagement &amp; Education</t>
  </si>
  <si>
    <t>This is only a tab title for Web Experience</t>
  </si>
  <si>
    <t>Net Metering</t>
  </si>
  <si>
    <t>Schedule 150</t>
  </si>
  <si>
    <t>Electric</t>
  </si>
  <si>
    <t>Order Number</t>
  </si>
  <si>
    <t xml:space="preserve"> </t>
  </si>
  <si>
    <t>Labor</t>
  </si>
  <si>
    <t>Marketing Labor</t>
  </si>
  <si>
    <t>Overhead</t>
  </si>
  <si>
    <t>Marketing</t>
  </si>
  <si>
    <t>Outside Services</t>
  </si>
  <si>
    <t>Materials</t>
  </si>
  <si>
    <t>Miscellaneous</t>
  </si>
  <si>
    <t>Direct Benefit to Customer</t>
  </si>
  <si>
    <t>Total Budget</t>
  </si>
  <si>
    <t>Percent Budget Change from Previous Year</t>
  </si>
  <si>
    <t>n/a</t>
  </si>
  <si>
    <t>2012-2013 TOTAL</t>
  </si>
  <si>
    <t>Requires Budget team</t>
  </si>
  <si>
    <t>approval to use.</t>
  </si>
  <si>
    <t>Description</t>
  </si>
  <si>
    <t>Total</t>
  </si>
  <si>
    <t>Brochures</t>
  </si>
  <si>
    <t>Order#</t>
  </si>
  <si>
    <t>Energy Efficient Communities</t>
  </si>
  <si>
    <t>Conservation Supply Curves</t>
  </si>
  <si>
    <t>Program Evaluation</t>
  </si>
  <si>
    <t>MARKET INTEGRATION / ELECTRIC</t>
  </si>
  <si>
    <t>Conservation Strategic Planning</t>
  </si>
  <si>
    <t>Gas</t>
  </si>
  <si>
    <t>Strategic Planning</t>
  </si>
  <si>
    <t xml:space="preserve">MARKET INTEGRATION </t>
  </si>
  <si>
    <t>This is a placeholder tab for Gas Schedule 214</t>
  </si>
  <si>
    <t>This is a placeholder tab for Electric Schedule 214</t>
  </si>
  <si>
    <t>Ratios</t>
  </si>
  <si>
    <t>Acquisition Cost</t>
  </si>
  <si>
    <t>DBtC</t>
  </si>
  <si>
    <t>Revenue</t>
  </si>
  <si>
    <t>Total Savings</t>
  </si>
  <si>
    <t>DBTC</t>
  </si>
  <si>
    <t>Outside Svcs</t>
  </si>
  <si>
    <t>Unit Totals</t>
  </si>
  <si>
    <t>Projected Savings</t>
  </si>
  <si>
    <t>Budget Category</t>
  </si>
  <si>
    <t>LABOR</t>
  </si>
  <si>
    <t>MARKETING LABOR</t>
  </si>
  <si>
    <t>OVERHEAD</t>
  </si>
  <si>
    <t>MARKETING</t>
  </si>
  <si>
    <t>OUTSIDE SERVICES</t>
  </si>
  <si>
    <t>MATERIALS</t>
  </si>
  <si>
    <t>MISCELLANEOUS</t>
  </si>
  <si>
    <t>DIRECT BENEFIT TO CUSTOMER</t>
  </si>
  <si>
    <t>REVENUE</t>
  </si>
  <si>
    <t>TOTAL</t>
  </si>
  <si>
    <t>Incentive Totals</t>
  </si>
  <si>
    <t>Measure Cost</t>
  </si>
  <si>
    <t>Incentive</t>
  </si>
  <si>
    <t>Measure Life</t>
  </si>
  <si>
    <t>End Use</t>
  </si>
  <si>
    <t>UC Ratio</t>
  </si>
  <si>
    <t>TRC Ratio</t>
  </si>
  <si>
    <t>PV UC</t>
  </si>
  <si>
    <t>PV TRC</t>
  </si>
  <si>
    <t>CE Std UC</t>
  </si>
  <si>
    <t>E214</t>
  </si>
  <si>
    <t>E201</t>
  </si>
  <si>
    <t>Home Appliances</t>
  </si>
  <si>
    <t>Lighting</t>
  </si>
  <si>
    <t xml:space="preserve">OVERHEAD LABOR </t>
  </si>
  <si>
    <t>E215</t>
  </si>
  <si>
    <t>E216</t>
  </si>
  <si>
    <t>Fuel Conversion Rebate</t>
  </si>
  <si>
    <t>E217</t>
  </si>
  <si>
    <t>E218</t>
  </si>
  <si>
    <t>E249</t>
  </si>
  <si>
    <t>Pilots</t>
  </si>
  <si>
    <t>Residential Energy Management</t>
  </si>
  <si>
    <t>Schedule</t>
  </si>
  <si>
    <t>Energy Efficient Lighting Services</t>
  </si>
  <si>
    <t>therms</t>
  </si>
  <si>
    <t>G214</t>
  </si>
  <si>
    <t>G215</t>
  </si>
  <si>
    <t>G217</t>
  </si>
  <si>
    <t>G218</t>
  </si>
  <si>
    <t>G249</t>
  </si>
  <si>
    <t xml:space="preserve">Overhead </t>
  </si>
  <si>
    <t>Direct Benefit to Customer (Incentives)</t>
  </si>
  <si>
    <t>Order Number: 18230711</t>
  </si>
  <si>
    <t>Conservation Incentives</t>
  </si>
  <si>
    <t>In-House Programs</t>
  </si>
  <si>
    <t>Contracted Programs</t>
  </si>
  <si>
    <t>Labor (Incl Mgr, Dir, VP, and Budget &amp; Admin Assessments)</t>
  </si>
  <si>
    <t>Miscellaneous Expenses</t>
  </si>
  <si>
    <t xml:space="preserve">     EES Staff, Maj Accts, CSY Support</t>
  </si>
  <si>
    <t>Full Time Equivalent</t>
  </si>
  <si>
    <t>Materials Expenses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</si>
  <si>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</si>
  <si>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</si>
  <si>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</si>
  <si>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</si>
  <si>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</si>
  <si>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</si>
  <si>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</si>
  <si>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</si>
  <si>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</si>
  <si>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</si>
  <si>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</si>
  <si>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</si>
  <si>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</si>
  <si>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</si>
  <si>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</si>
  <si>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</si>
  <si>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Itron (Energy Interval Service)</t>
  </si>
  <si>
    <t>Cellnet (Meter Data Collection Fees)</t>
  </si>
  <si>
    <t>Energy Smart Grocer (PECI)</t>
  </si>
  <si>
    <t xml:space="preserve">     Total Outside Services</t>
  </si>
  <si>
    <t>TOTAL PROGRAM EXPENSES</t>
  </si>
  <si>
    <t>Annual Energy Savings (kWh)</t>
  </si>
  <si>
    <t>kWh</t>
  </si>
  <si>
    <t xml:space="preserve">     Total Savings</t>
  </si>
  <si>
    <t>Percent of 2-Year Total</t>
  </si>
  <si>
    <t>Supporting Notes</t>
  </si>
  <si>
    <t>Order Number: 18230715</t>
  </si>
  <si>
    <t xml:space="preserve">     Itron (Energy Interval Service)</t>
  </si>
  <si>
    <t xml:space="preserve">     Cellnet (Meter Data Collection Fees)</t>
  </si>
  <si>
    <t xml:space="preserve">     Lighting Design Lab (Training &amp; Cust Consultations)</t>
  </si>
  <si>
    <t>Order Number: 18230723</t>
  </si>
  <si>
    <t>*Direct benefits to customer also include RCM employee labor (3-for-free audits, etc.) and</t>
  </si>
  <si>
    <t xml:space="preserve">  energy information via Itron, Utility Mgr Software, and database support from BEM employees.</t>
  </si>
  <si>
    <t xml:space="preserve">     Other (Misc Small Contracts)</t>
  </si>
  <si>
    <t>Order Number: 18230448</t>
  </si>
  <si>
    <t>Order Number: 18230731</t>
  </si>
  <si>
    <t>Therms</t>
  </si>
  <si>
    <t>/Therm</t>
  </si>
  <si>
    <t>Annual Energy Savings (therms)</t>
  </si>
  <si>
    <t>Order Number: 18230691</t>
  </si>
  <si>
    <t>Order Number: 18230706</t>
  </si>
  <si>
    <t>Order Number: 18230694</t>
  </si>
  <si>
    <t>Business Energy Managment</t>
  </si>
  <si>
    <t>E251</t>
  </si>
  <si>
    <t>E253</t>
  </si>
  <si>
    <t>E258</t>
  </si>
  <si>
    <t>E261</t>
  </si>
  <si>
    <t>E262</t>
  </si>
  <si>
    <t>Commercial/Industrial Retrofit</t>
  </si>
  <si>
    <t>Commercial/Industrial New Construction</t>
  </si>
  <si>
    <t>Resource Conservation Manager</t>
  </si>
  <si>
    <t>High Voltage, Self-Directed</t>
  </si>
  <si>
    <t>Technology Evaluation</t>
  </si>
  <si>
    <t>Business Rebates</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</si>
  <si>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</si>
  <si>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</si>
  <si>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</si>
  <si>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</si>
  <si>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</si>
  <si>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</si>
  <si>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</si>
  <si>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</si>
  <si>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</si>
  <si>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</si>
  <si>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</si>
  <si>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Customer Engagement &amp; Education</t>
  </si>
  <si>
    <t>Trade Ally Support</t>
  </si>
  <si>
    <t>Total, Portfolio Support</t>
  </si>
  <si>
    <t>Research &amp; Compliance</t>
  </si>
  <si>
    <t>Total, Research &amp; Compliance</t>
  </si>
  <si>
    <t>Other Electric Programs</t>
  </si>
  <si>
    <t>Total, Other Electric Programs</t>
  </si>
  <si>
    <t>GRAND TOTAL, ELECTRIC PROGRAMS</t>
  </si>
  <si>
    <t>GRAND TOTAL, GAS PROGRAMS</t>
  </si>
  <si>
    <t>Electric Programs</t>
  </si>
  <si>
    <t>Total Savings
kWh</t>
  </si>
  <si>
    <t>Comments</t>
  </si>
  <si>
    <t>Low Income Weatherization</t>
  </si>
  <si>
    <t>Gas Programs</t>
  </si>
  <si>
    <t>Total Savings
Therms</t>
  </si>
  <si>
    <t>Last revised:</t>
  </si>
  <si>
    <t>Program Name</t>
  </si>
  <si>
    <t>Electric Rider Budget</t>
  </si>
  <si>
    <t>Therm Savings</t>
  </si>
  <si>
    <t>Gas Tracker Budget</t>
  </si>
  <si>
    <t>Total Tariff Budget</t>
  </si>
  <si>
    <t>Residential lighting</t>
  </si>
  <si>
    <t>Space heat</t>
  </si>
  <si>
    <t>Water heat</t>
  </si>
  <si>
    <t>Showerheads</t>
  </si>
  <si>
    <t>Weatherization</t>
  </si>
  <si>
    <t>Single Family New Construction</t>
  </si>
  <si>
    <t>Fuel Conversion</t>
  </si>
  <si>
    <t>Multi Family Existing</t>
  </si>
  <si>
    <t xml:space="preserve">Home Energy Reports </t>
  </si>
  <si>
    <t>Total, Residential Programs</t>
  </si>
  <si>
    <t>E250</t>
  </si>
  <si>
    <t>Commercial / Industrial Retrofit</t>
  </si>
  <si>
    <t>Large Power User - Self Directed Program</t>
  </si>
  <si>
    <t>Energy Efficient Technology Evaluation</t>
  </si>
  <si>
    <t>Commercial Rebates</t>
  </si>
  <si>
    <t>Subtotal, Business Programs</t>
  </si>
  <si>
    <t>NW Energy Efficiency Alliance</t>
  </si>
  <si>
    <t>Subtotal, Regional Programs</t>
  </si>
  <si>
    <t>Customer Engagement and Education</t>
  </si>
  <si>
    <t>Energy Advisors</t>
  </si>
  <si>
    <t>Events</t>
  </si>
  <si>
    <t>Education</t>
  </si>
  <si>
    <t xml:space="preserve">Trade Ally Support </t>
  </si>
  <si>
    <t>Subtotal, Portfolio Support</t>
  </si>
  <si>
    <t>Subtotal, Research &amp; Compliance</t>
  </si>
  <si>
    <t>E150</t>
  </si>
  <si>
    <t>E248</t>
  </si>
  <si>
    <t>Subtotal, Other Electric Programs</t>
  </si>
  <si>
    <t>Blue cells = use for 10% "info-only" calculation:</t>
  </si>
  <si>
    <t>Web Development</t>
  </si>
  <si>
    <t>E-news</t>
  </si>
  <si>
    <t>Miscellaneous applications</t>
  </si>
  <si>
    <t>Web content, maintenance + analytics</t>
  </si>
  <si>
    <t>This is the main level of tracking expenditures and expenses in EES.  Per FERC rules, all conservation order numbers start with a "1823nnnn", where "n" is some number.  Cost elements apply to all order numbers (for instance, all conservation programs that</t>
  </si>
  <si>
    <t>Any amount that PSE is paid by a customer, partner, municipality or outside entity.</t>
  </si>
  <si>
    <t>Cost Element</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</si>
  <si>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</si>
  <si>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</si>
  <si>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</si>
  <si>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r>
      <t xml:space="preserve">Revenue                  
 </t>
    </r>
    <r>
      <rPr>
        <sz val="8"/>
        <color indexed="9"/>
        <rFont val="Arial"/>
        <family val="2"/>
      </rPr>
      <t>(Enter as a negative)</t>
    </r>
  </si>
  <si>
    <t xml:space="preserve">Order# </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</si>
  <si>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</si>
  <si>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</si>
  <si>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</si>
  <si>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</si>
  <si>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</si>
  <si>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</si>
  <si>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</si>
  <si>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</si>
  <si>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</si>
  <si>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</si>
  <si>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Phase Balancing</t>
  </si>
  <si>
    <t>CVR</t>
  </si>
  <si>
    <t>Generation, Transmission, and Distribution</t>
  </si>
  <si>
    <t>Generation, Transmission and Distribution</t>
  </si>
  <si>
    <r>
      <t>Strategic Planning</t>
    </r>
    <r>
      <rPr>
        <strike/>
        <sz val="10"/>
        <color rgb="FFFF0000"/>
        <rFont val="Arial"/>
        <family val="2"/>
      </rPr>
      <t xml:space="preserve"> </t>
    </r>
  </si>
  <si>
    <t>Savings</t>
  </si>
  <si>
    <t/>
  </si>
  <si>
    <t>HER program costs excluded from "info-only" calculation because savings will be measured.</t>
  </si>
  <si>
    <t>Net Labor (EES, Maj Accts, CSY)</t>
  </si>
  <si>
    <t>Net Overhead</t>
  </si>
  <si>
    <t>Journal Entry Transfer Credit - 2-Year Amount (See Labor Note)</t>
  </si>
  <si>
    <t>Sch 250 to Sch 258 Journal Transfer Amt:</t>
  </si>
  <si>
    <t>EES Labor Adjustment:</t>
  </si>
  <si>
    <t>Overhead Adjustment:</t>
  </si>
  <si>
    <t xml:space="preserve">     Other Departments' Labor</t>
  </si>
  <si>
    <t>Total Labor</t>
  </si>
  <si>
    <t>kWh Savings Estimates</t>
  </si>
  <si>
    <t>(Title pg)</t>
  </si>
  <si>
    <r>
      <t xml:space="preserve">Order Number
</t>
    </r>
    <r>
      <rPr>
        <sz val="8"/>
        <color theme="1"/>
        <rFont val="Arial"/>
        <family val="2"/>
      </rPr>
      <t>(Click on the order# below to link to the detail page)</t>
    </r>
  </si>
  <si>
    <t>10% of Sch 120 Collections:</t>
  </si>
  <si>
    <t>NOTE:</t>
  </si>
  <si>
    <t>Capital Cost not Included Above =</t>
  </si>
  <si>
    <t>Total Cost (Program Exp + Capital) =</t>
  </si>
  <si>
    <t>Savings Only</t>
  </si>
  <si>
    <t>Residential Home Appliances--Gas Savings</t>
  </si>
  <si>
    <t>This sheet represents gas savings from installation of appliances</t>
  </si>
  <si>
    <t>SF Existing - Mobile Home Duct Sealing</t>
  </si>
  <si>
    <t>NEBs</t>
  </si>
  <si>
    <t>SF Existing - Web-Enabled Thermostats</t>
  </si>
  <si>
    <r>
      <t>Schedule Nos.</t>
    </r>
    <r>
      <rPr>
        <sz val="12"/>
        <rFont val="Arial"/>
        <family val="2"/>
      </rPr>
      <t xml:space="preserve"> </t>
    </r>
    <r>
      <rPr>
        <sz val="8"/>
        <rFont val="Arial"/>
        <family val="2"/>
      </rPr>
      <t>(Unless otherwise noted, applies to both electric and gas)</t>
    </r>
  </si>
  <si>
    <t>261</t>
  </si>
  <si>
    <t>2013 budget (For comparison.  Source: Final 2013 ACP)</t>
  </si>
  <si>
    <t>Verification Team</t>
  </si>
  <si>
    <t>Schedule E202</t>
  </si>
  <si>
    <t>Schedule 292</t>
  </si>
  <si>
    <t>Schedule 254</t>
  </si>
  <si>
    <t>Energy Efficiency Technology Evaluation</t>
  </si>
  <si>
    <t>Schedule 261</t>
  </si>
  <si>
    <t xml:space="preserve">C/I New Construction </t>
  </si>
  <si>
    <t>Schedule 251</t>
  </si>
  <si>
    <t>Schedule 253</t>
  </si>
  <si>
    <t xml:space="preserve">C/I Retrofit </t>
  </si>
  <si>
    <t>Schedule 250</t>
  </si>
  <si>
    <t>Schedule 262</t>
  </si>
  <si>
    <t xml:space="preserve">Large Power User Self-Directed Program </t>
  </si>
  <si>
    <t>Schedule 258</t>
  </si>
  <si>
    <t>C/I Retrofit</t>
  </si>
  <si>
    <t xml:space="preserve">Pilots </t>
  </si>
  <si>
    <t>Schedule 249</t>
  </si>
  <si>
    <t xml:space="preserve">Multi-Family New Construction </t>
  </si>
  <si>
    <t>Schedule 218</t>
  </si>
  <si>
    <t>Multi-Family Retrofit</t>
  </si>
  <si>
    <t>Schedule 217</t>
  </si>
  <si>
    <t>Energy Star Manufactured Home</t>
  </si>
  <si>
    <t>Schedule 215</t>
  </si>
  <si>
    <t>Home Energy Reports</t>
  </si>
  <si>
    <t>Schedule 214</t>
  </si>
  <si>
    <t>Mobile Home Duct Sealing</t>
  </si>
  <si>
    <t>Residential Showerheads</t>
  </si>
  <si>
    <t xml:space="preserve">SF Existing Space Heat </t>
  </si>
  <si>
    <t>SF Existing Weatherizatin</t>
  </si>
  <si>
    <t>SF Existing Water Heat</t>
  </si>
  <si>
    <t>Schedule 201</t>
  </si>
  <si>
    <t>Multi-Family New Construction</t>
  </si>
  <si>
    <t>Schedule 216</t>
  </si>
  <si>
    <t xml:space="preserve">Energy Star Manufactured Home </t>
  </si>
  <si>
    <t xml:space="preserve">SF Existing ARRA Wx </t>
  </si>
  <si>
    <t>SF Existing Space Heat</t>
  </si>
  <si>
    <t>SF Existing Weatherization</t>
  </si>
  <si>
    <t>Industrial Systems Optimization</t>
  </si>
  <si>
    <t>Order Numbers:</t>
  </si>
  <si>
    <t>18231135</t>
  </si>
  <si>
    <t>18231133</t>
  </si>
  <si>
    <t>G250</t>
  </si>
  <si>
    <t>G253</t>
  </si>
  <si>
    <t>G201</t>
  </si>
  <si>
    <t>Gas Rider Budget</t>
  </si>
  <si>
    <t>FTE</t>
  </si>
  <si>
    <t>Ratio</t>
  </si>
  <si>
    <t>Overall Total</t>
  </si>
  <si>
    <t>Percentages for Applicable Year</t>
  </si>
  <si>
    <t>(Enter as a negative value)</t>
  </si>
  <si>
    <t>Savings Section</t>
  </si>
  <si>
    <t>Measure Information</t>
  </si>
  <si>
    <t>Cost Effectiveness (Based on Two-Year Total)</t>
  </si>
  <si>
    <t>Measure Name</t>
  </si>
  <si>
    <t>UOM</t>
  </si>
  <si>
    <t>Unit Type</t>
  </si>
  <si>
    <t>Support %</t>
  </si>
  <si>
    <t>Combined</t>
  </si>
  <si>
    <t>CE Std TRC</t>
  </si>
  <si>
    <t>i</t>
  </si>
  <si>
    <r>
      <t xml:space="preserve">TOTALS </t>
    </r>
    <r>
      <rPr>
        <sz val="10"/>
        <color theme="0"/>
        <rFont val="Wingdings 3"/>
        <family val="1"/>
        <charset val="2"/>
      </rPr>
      <t>g</t>
    </r>
  </si>
  <si>
    <t>N/A</t>
  </si>
  <si>
    <t>Spending Section</t>
  </si>
  <si>
    <t>NW Energy Efficiency Alliance (NEEA)</t>
  </si>
  <si>
    <t>E292</t>
  </si>
  <si>
    <t>GRAND TOTAL All Programs</t>
  </si>
  <si>
    <t>Add up all blue cells and divide by "Total, Efficiency Programs Included in CE Calculations" line.</t>
  </si>
  <si>
    <t>Energy Efficiency Research &amp; Compliance</t>
  </si>
  <si>
    <t>Energy Efficiency Portfolio Support</t>
  </si>
  <si>
    <t xml:space="preserve">     Less Journal Entry Transfer Credit from Schedule 258</t>
  </si>
  <si>
    <r>
      <t xml:space="preserve">Overhead </t>
    </r>
    <r>
      <rPr>
        <sz val="10"/>
        <rFont val="Tahoma"/>
        <family val="2"/>
      </rPr>
      <t>(Please see Note 1 on right.)</t>
    </r>
  </si>
  <si>
    <t>10% NEEA Market Transformation Contribution Calculation (See Note 2)</t>
  </si>
  <si>
    <t>Estimated 2014-2015 Sch 120 Collections:</t>
  </si>
  <si>
    <t>Journal Entry Transfer Credit (See Note 1 at right)</t>
  </si>
  <si>
    <t>Market Integration</t>
  </si>
  <si>
    <t>Conference Attendance</t>
  </si>
  <si>
    <t>Software License/Support</t>
  </si>
  <si>
    <t>Manager</t>
  </si>
  <si>
    <t>Web-Enabled Thermostats</t>
  </si>
  <si>
    <t>Energy Efficiency Education</t>
  </si>
  <si>
    <t>Energy Efficiency Market Research</t>
  </si>
  <si>
    <t>Energy Effiency Education</t>
  </si>
  <si>
    <t>Energy Efficiency Brochures</t>
  </si>
  <si>
    <t>Multi-Family Existing</t>
  </si>
  <si>
    <t>Purple cells = use to indicate a reasonable amt. spent on EM&amp;V:</t>
  </si>
  <si>
    <t>Add up the sum of "Program Evaluation" + "Verification" pink cells and divide by the Residential + Business pink cells.</t>
  </si>
  <si>
    <t>Total MWh, Efficiency Programs Included in CE Calculations</t>
  </si>
  <si>
    <t>G207</t>
  </si>
  <si>
    <t>E202</t>
  </si>
  <si>
    <t>Market Research</t>
  </si>
  <si>
    <t>Brochures, non program-specific</t>
  </si>
  <si>
    <t>PS =</t>
  </si>
  <si>
    <t>Portfolio Support</t>
  </si>
  <si>
    <t xml:space="preserve">PSWE= </t>
  </si>
  <si>
    <t>Portfolio Support Web Experience</t>
  </si>
  <si>
    <t>PSCE =</t>
  </si>
  <si>
    <t>Portfolio Support Customer Education</t>
  </si>
  <si>
    <t>Tab Definitions</t>
  </si>
  <si>
    <t>All detail budget and savings programs within the Single Family Existing Schedule 214 add up to the overall figures noted in the Portfolio View of Exhibit 1.</t>
  </si>
  <si>
    <t>Workbook Name</t>
  </si>
  <si>
    <t xml:space="preserve"> LIW Detail_REM E201_Elec</t>
  </si>
  <si>
    <t>HomePrint Detail_REM_E214 Elec</t>
  </si>
  <si>
    <t>WaterHea_Detail_REM_E214 Elec</t>
  </si>
  <si>
    <t>Wx_Detail_REM E214 Elec</t>
  </si>
  <si>
    <t>SpcHeat Detail_REM_E214 Elec</t>
  </si>
  <si>
    <t>HmAppplc_Detail_REM_E214 Elec</t>
  </si>
  <si>
    <t>ShwrHead_Detail_REM_E214  Elec</t>
  </si>
  <si>
    <t>Lighting Detail_REM_E214 Elec</t>
  </si>
  <si>
    <t>HER Detail_REM_E214 elec.</t>
  </si>
  <si>
    <t>SFNC Detail_REM E215 Elec</t>
  </si>
  <si>
    <t>NCMfgHome Detail_REM E215 Elec</t>
  </si>
  <si>
    <t>FuelConv Detail_REM E216 Elec</t>
  </si>
  <si>
    <t>MF Retr Detail_REM E217 Elec</t>
  </si>
  <si>
    <t>MFNC Detail_REM E218 Elec</t>
  </si>
  <si>
    <t>CI Retr Detail_BEM E250 Elec</t>
  </si>
  <si>
    <t>CI NC Detail_BEM E251 Elec</t>
  </si>
  <si>
    <t>RCM Detail_BEM E253 Elec</t>
  </si>
  <si>
    <t>TechEval Detail_BEM E261 Elec</t>
  </si>
  <si>
    <t>NEEA Detail_E254 elec</t>
  </si>
  <si>
    <t>T&amp;D Detail_Reg E292 elec</t>
  </si>
  <si>
    <t>Engy Adv Detail_PSCE  Elec</t>
  </si>
  <si>
    <t>Events Detail_PSCE Elec</t>
  </si>
  <si>
    <t>Brochures Detail_PSCE Elec</t>
  </si>
  <si>
    <t>Educatn Detail_PSCE E202 Elec</t>
  </si>
  <si>
    <t>CustOnline Detail_PSWE_Elec</t>
  </si>
  <si>
    <t>Mkt Intgn Detail_PSWE_Elec</t>
  </si>
  <si>
    <t>EEC Detail_PS_Elec</t>
  </si>
  <si>
    <t>TradeAlly Detail_PS_ Elec</t>
  </si>
  <si>
    <t>SuppCrv Detail_R&amp;C_Elec</t>
  </si>
  <si>
    <t>Strat Plan Detail_R&amp;C_Elec</t>
  </si>
  <si>
    <t>Mktg Resch Detail_PS_ Elec</t>
  </si>
  <si>
    <t>Eval Detail_R&amp;C_Elec</t>
  </si>
  <si>
    <t>VTeam Detail_R&amp;C_Elec</t>
  </si>
  <si>
    <t>ProgDev Detail_R&amp;C_ Elec</t>
  </si>
  <si>
    <t>Net Mtr Details_Oth Elec E150</t>
  </si>
  <si>
    <t>LIW Detail_REM G201 Gas</t>
  </si>
  <si>
    <t>HmPrint Detail_REM G214 Gas</t>
  </si>
  <si>
    <t>WtrHeat Detail_REM G214 Gas</t>
  </si>
  <si>
    <t>Wx Detail_REM G214 Gas</t>
  </si>
  <si>
    <t>SpHeat Detail_REM G214 Gas</t>
  </si>
  <si>
    <t>ShwrHead Detail_REM G214 Gas</t>
  </si>
  <si>
    <t>HmApplSvgs Detail_REM G214 Gas</t>
  </si>
  <si>
    <t>MHDS Detail_REM G214 Gas</t>
  </si>
  <si>
    <t>WebTstat Detail_REM G214 Gas</t>
  </si>
  <si>
    <t>HER Detail_REM G214 gas</t>
  </si>
  <si>
    <t>NCMfgHomes Detail_REM G215 Gas</t>
  </si>
  <si>
    <t>SFNC Detail_REM G215 Gas</t>
  </si>
  <si>
    <t>MF Retr Detail_REM G217 Gas</t>
  </si>
  <si>
    <t>MFNC Detail_REM G218 Gas</t>
  </si>
  <si>
    <t>CI Retr Detail_BEM G250 Gas</t>
  </si>
  <si>
    <t>CI NC Detail_BEM G251 Gas</t>
  </si>
  <si>
    <t>RCM Detail_BEM 253 Gas</t>
  </si>
  <si>
    <t>TechEval Detail_BEM G261 Gas</t>
  </si>
  <si>
    <t>Rebates Detail_BEM G262 Gas</t>
  </si>
  <si>
    <t>Engy Adv Detail_PSCE_Gas</t>
  </si>
  <si>
    <t>Events Detail_PSCE_Gas</t>
  </si>
  <si>
    <t>Brochure Detail_PSCE_Gas</t>
  </si>
  <si>
    <t>Eductn Detail_PSCE_G207 Gas</t>
  </si>
  <si>
    <t>CustOnline Detail_PSWE_Gas</t>
  </si>
  <si>
    <t>Mkt Intg Detail_PSWE_Gas</t>
  </si>
  <si>
    <t>EEC Detail_PS_Gas</t>
  </si>
  <si>
    <t>TradeAlly Detail_PS_gas</t>
  </si>
  <si>
    <t>Supp Crv Detail_R&amp;C_gas</t>
  </si>
  <si>
    <t>Strat Pln Detail_R&amp;C_Gas</t>
  </si>
  <si>
    <t>Mktg Rsch Detail_PS_gas</t>
  </si>
  <si>
    <t>Eval Detail_R&amp;C_Gas</t>
  </si>
  <si>
    <t>Vteam Detail_R&amp;C_Gas</t>
  </si>
  <si>
    <t xml:space="preserve">Single Family Existing    </t>
  </si>
  <si>
    <t xml:space="preserve">Single Family Existing     </t>
  </si>
  <si>
    <t>Biennial Electric Conservation Acquisition Review</t>
  </si>
  <si>
    <t>BECAR Detail_R&amp;C Elec</t>
  </si>
  <si>
    <t xml:space="preserve">Biennial Elec. Consv. Aquisitn. Review </t>
  </si>
  <si>
    <t>Ref #</t>
  </si>
  <si>
    <t>a</t>
  </si>
  <si>
    <t>b</t>
  </si>
  <si>
    <t>c</t>
  </si>
  <si>
    <t>d</t>
  </si>
  <si>
    <t>e</t>
  </si>
  <si>
    <t>f</t>
  </si>
  <si>
    <t>g</t>
  </si>
  <si>
    <t>h</t>
  </si>
  <si>
    <t>j</t>
  </si>
  <si>
    <t>k</t>
  </si>
  <si>
    <t>l</t>
  </si>
  <si>
    <t>m</t>
  </si>
  <si>
    <t>n</t>
  </si>
  <si>
    <t>o</t>
  </si>
  <si>
    <t>p</t>
  </si>
  <si>
    <t>s</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</si>
  <si>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</si>
  <si>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</si>
  <si>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</si>
  <si>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</si>
  <si>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</si>
  <si>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</si>
  <si>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</si>
  <si>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</si>
  <si>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</si>
  <si>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</si>
  <si>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</si>
  <si>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</si>
  <si>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</si>
  <si>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</si>
  <si>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</si>
  <si>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</si>
  <si>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</si>
  <si>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</si>
  <si>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</si>
  <si>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</si>
  <si>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</si>
  <si>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</si>
  <si>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</si>
  <si>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</si>
  <si>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</si>
  <si>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</si>
  <si>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</si>
  <si>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</si>
  <si>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</si>
  <si>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</si>
  <si>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</si>
  <si>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</si>
  <si>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</si>
  <si>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bc</t>
  </si>
  <si>
    <t>bd</t>
  </si>
  <si>
    <t>be</t>
  </si>
  <si>
    <t>bf</t>
  </si>
  <si>
    <t>bi</t>
  </si>
  <si>
    <t>Also Energy Efficiency staff labor, associated specifically with Marketing functions.  Marketing allocates staffing according to program needs.</t>
  </si>
  <si>
    <t>Service and materials associated with the cost of printing program brochures, marketing pieces, advertising, banners, etc.  Also includes marketing conducted by vendors and contractors.</t>
  </si>
  <si>
    <t>Energy Efficiency program staff labor. Average FTE cost including management assessments.  This Budget Category group includes assessments from Major Accounts management, Resource Planning,  Corporate Communications management, IT specialists and some building maintenance allocations.</t>
  </si>
  <si>
    <t>Overhead--costs associated with primarily employee labor; benefits, for instance.</t>
  </si>
  <si>
    <t>Costs associated with EE staff attending events, employee training, conferences, business meals, business parking, ferry &amp; bridge tolls, mileage incurred on employee automobiles, office supplies, phones, subscriptions, software/hardware, etc.</t>
  </si>
  <si>
    <t>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t>
  </si>
  <si>
    <t xml:space="preserve"> Primarily tools, trade show equipment, etc. </t>
  </si>
  <si>
    <t xml:space="preserve">This category should seldomly be used, and only expenses that cannot be classified under one of the above categories.
</t>
  </si>
  <si>
    <t>All costs associated with rebates, grants, remuneration, value-added services.  PSE cost element # 62510000; Consumer Incentive Payments, is classified by the Accounting department as Miscellaneous.  However, it is one of the primarly elements of Energy Efficiency's Direct Benefit to Customer (DBtC).</t>
  </si>
  <si>
    <t>Exhibit 1 Budget Category Definitions</t>
  </si>
  <si>
    <t>Employee/Office Expense</t>
  </si>
  <si>
    <t>Employee/Office Expenses</t>
  </si>
  <si>
    <t>EMPLOYEE/OFFICE EXPENSES</t>
  </si>
  <si>
    <t xml:space="preserve">Energy Efficiency </t>
  </si>
  <si>
    <t>Communities</t>
  </si>
  <si>
    <t xml:space="preserve">Energy Efficient </t>
  </si>
  <si>
    <t xml:space="preserve">Conservation </t>
  </si>
  <si>
    <t>Biennial Electric</t>
  </si>
  <si>
    <t xml:space="preserve"> Conservation </t>
  </si>
  <si>
    <t>Acquisition Review</t>
  </si>
  <si>
    <t xml:space="preserve">Biennial Electric </t>
  </si>
  <si>
    <t xml:space="preserve">INTEGRATION </t>
  </si>
  <si>
    <t xml:space="preserve">MARKET </t>
  </si>
  <si>
    <t>Supply Curves</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</si>
  <si>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Employee/Office Expenses include travel, meals, lodging, parking, etc.  Cost elements have a very specific connotation and are typically designed to meet a variety of accounting standards, such as FERC requirements.  Therefore, in Exhibit 1, the term "cost element" is rarely used.
The groupings that represent the budget allocations are most accurately listed in the below table.</t>
  </si>
  <si>
    <t xml:space="preserve">Budget Category Includes </t>
  </si>
  <si>
    <t xml:space="preserve">     Travel Expenses (Mileage, Airfare, Parking, Taxi, Lodging)</t>
  </si>
  <si>
    <t xml:space="preserve">     Office Supplies/Svcs, Printing, Phone Expense</t>
  </si>
  <si>
    <t xml:space="preserve">     Software Maintenance, Assessments</t>
  </si>
  <si>
    <t xml:space="preserve">     CMS &amp; Bradson Technologies - CSY Support </t>
  </si>
  <si>
    <t xml:space="preserve">     Energy Mgmt Software Development </t>
  </si>
  <si>
    <t>Energy Smart Grocer</t>
  </si>
  <si>
    <t>Data Center Energy Efficiency Program</t>
  </si>
  <si>
    <t>Industrial Custom Grant Measures</t>
  </si>
  <si>
    <t>Comprehensive Building Tune-Up (CBTU)</t>
  </si>
  <si>
    <t>Other (non-lighting/non-industrial Custom Grants)</t>
  </si>
  <si>
    <t xml:space="preserve">Energy Smart Grocer </t>
  </si>
  <si>
    <t>Data Center energy Efficiency Program</t>
  </si>
  <si>
    <t>DemandSideEnergineering - Bldg Energy Simulation Analysis</t>
  </si>
  <si>
    <t>CMS &amp; Bradson Technologies - CSY Support</t>
  </si>
  <si>
    <t>Lighting Design Lab (Design Support/Consultations)</t>
  </si>
  <si>
    <t>Integrated Design Lab (Design Support.Consultations)</t>
  </si>
  <si>
    <t>Whole Building Approach,Component Approach, Post-Occupancy Commissioning</t>
  </si>
  <si>
    <t xml:space="preserve">     Contracted Programs (Energy Smart Grocer)</t>
  </si>
  <si>
    <t>Total Energy Savings</t>
  </si>
  <si>
    <t xml:space="preserve">Resource </t>
  </si>
  <si>
    <t xml:space="preserve">     Office Supplies/Svcs, Phone Expense, Printing</t>
  </si>
  <si>
    <t xml:space="preserve">     LPB Energy (Utility Mgr Software Support)</t>
  </si>
  <si>
    <t>RCM</t>
  </si>
  <si>
    <t>Strategic Resource Management</t>
  </si>
  <si>
    <t xml:space="preserve">     NEEA Contribution (10% of Schedule 120 collectiosn)</t>
  </si>
  <si>
    <r>
      <t xml:space="preserve">Labor, Journal Entry, Schedule 258 projects </t>
    </r>
    <r>
      <rPr>
        <sz val="8"/>
        <rFont val="Arial"/>
        <family val="2"/>
      </rPr>
      <t>(please see note 1 on right.)</t>
    </r>
  </si>
  <si>
    <t>Journal Entry Transfer Debit - 2 Year Amount (See note 1 above)</t>
  </si>
  <si>
    <t>Schedule 250 to Sch. 258 Journal Transfer Amt:</t>
  </si>
  <si>
    <t>Labor Adjustment (see labor JE line to the left):</t>
  </si>
  <si>
    <t xml:space="preserve">     Remote Site Audit Services Provider</t>
  </si>
  <si>
    <t xml:space="preserve">        (software, analysis, reporting)</t>
  </si>
  <si>
    <t>Remote Energy Audit</t>
  </si>
  <si>
    <t xml:space="preserve">     CMS &amp; Bradson Technologies - CSY Support</t>
  </si>
  <si>
    <t>Small Business Direct Install</t>
  </si>
  <si>
    <t xml:space="preserve">Energy Management Software Development </t>
  </si>
  <si>
    <t>Comprehensive Building Tune-UP (CBTU)</t>
  </si>
  <si>
    <t>Other (non-industrial customer grant measures)</t>
  </si>
  <si>
    <t xml:space="preserve">     Office Supplies/Svc, Phone Expense, Printing</t>
  </si>
  <si>
    <t xml:space="preserve">     DemandSideEngineering - Bldg Energy Simulation Analysis</t>
  </si>
  <si>
    <t xml:space="preserve">     Integrated Design Lab (Design Support.Consultations)</t>
  </si>
  <si>
    <t xml:space="preserve">     Energy Smart Grocer</t>
  </si>
  <si>
    <t>Total Outside Services</t>
  </si>
  <si>
    <t>Whole Buidling Approach, Component Approach, Post-Occupancy Commissioning</t>
  </si>
  <si>
    <t>Contracted Programs (Energy Smart Grocer)</t>
  </si>
  <si>
    <t xml:space="preserve"> (ESG will provide electric-only savings/incentives in New Const sector)</t>
  </si>
  <si>
    <t xml:space="preserve">    CMS &amp; Bradson Technologies - CSY Support</t>
  </si>
  <si>
    <t>Annual Energy Savings (Therms)</t>
  </si>
  <si>
    <t>Strategic Energy Management</t>
  </si>
  <si>
    <t xml:space="preserve">Order Number: </t>
  </si>
  <si>
    <t>Program Support</t>
  </si>
  <si>
    <t>Agency %</t>
  </si>
  <si>
    <t>Program Dollars</t>
  </si>
  <si>
    <t>Other Cost Contribut.</t>
  </si>
  <si>
    <t>Paid to Agency</t>
  </si>
  <si>
    <t>PSE</t>
  </si>
  <si>
    <t xml:space="preserve">SF Existing - </t>
  </si>
  <si>
    <t xml:space="preserve">Mobile Home </t>
  </si>
  <si>
    <t>Duct Sealing</t>
  </si>
  <si>
    <t>SF Existing -</t>
  </si>
  <si>
    <t xml:space="preserve"> Mobile Home </t>
  </si>
  <si>
    <t xml:space="preserve">Multi-Family </t>
  </si>
  <si>
    <t>Retrofit</t>
  </si>
  <si>
    <t>therm</t>
  </si>
  <si>
    <t>MHDS Detail_REM_E214 Elec.</t>
  </si>
  <si>
    <r>
      <t>f</t>
    </r>
    <r>
      <rPr>
        <sz val="10"/>
        <color theme="1"/>
        <rFont val="Franklin Gothic Book"/>
        <family val="2"/>
      </rPr>
      <t xml:space="preserve"> PSE Program Support % </t>
    </r>
  </si>
  <si>
    <t>Non-449:</t>
  </si>
  <si>
    <t>449:</t>
  </si>
  <si>
    <t>MWh Savings</t>
  </si>
  <si>
    <t>r</t>
  </si>
  <si>
    <t>Red tabs within this workbook indicate programs that are cancelled or are on hiatus.</t>
  </si>
  <si>
    <t>Those sub-groups are color-coded and indented. Their totals add up to the grouping above.</t>
  </si>
  <si>
    <t>P/O Res. New Construction</t>
  </si>
  <si>
    <t>215 &amp; 218</t>
  </si>
  <si>
    <t>Residential New Construction</t>
  </si>
  <si>
    <t>bk</t>
  </si>
  <si>
    <t>BEM Pilots E249 Elec</t>
  </si>
  <si>
    <t>REM Pilots E249 Elec</t>
  </si>
  <si>
    <t>Residential Energy Report Expansion</t>
  </si>
  <si>
    <t>18230nnn</t>
  </si>
  <si>
    <t>BEM Pilots Detail G249 Gas</t>
  </si>
  <si>
    <t>REM Pilots Detail G249 Gas</t>
  </si>
  <si>
    <t>Total, Pilots</t>
  </si>
  <si>
    <t>Residential Pilots - Individual Energy Reports</t>
  </si>
  <si>
    <t>Business Pilots - Individual Energy Reports</t>
  </si>
  <si>
    <t>Therm</t>
  </si>
  <si>
    <t>REM</t>
  </si>
  <si>
    <t>REM Pilots</t>
  </si>
  <si>
    <t>Reports</t>
  </si>
  <si>
    <t xml:space="preserve">Home Energy </t>
  </si>
  <si>
    <t xml:space="preserve">REM Pilots </t>
  </si>
  <si>
    <t>q</t>
  </si>
  <si>
    <t>BEM Pilots</t>
  </si>
  <si>
    <t xml:space="preserve">BEM Pilots </t>
  </si>
  <si>
    <t>Subtotal, Pilots</t>
  </si>
  <si>
    <t>Comment</t>
  </si>
  <si>
    <t>Individual Energy Reports - Expansion</t>
  </si>
  <si>
    <t>for readers, no matter where they are in the worksheet.</t>
  </si>
  <si>
    <t>Total PSE payments to NEEA.</t>
  </si>
  <si>
    <r>
      <t xml:space="preserve">(All indented program or activity names are color-coded and comprise the totals of the </t>
    </r>
    <r>
      <rPr>
        <u/>
        <sz val="8"/>
        <rFont val="Arial"/>
        <family val="2"/>
      </rPr>
      <t>above</t>
    </r>
    <r>
      <rPr>
        <sz val="8"/>
        <rFont val="Arial"/>
        <family val="2"/>
      </rPr>
      <t xml:space="preserve"> program or activity grouping.  In some cases, there are sub-activities within another sub-grouping.)</t>
    </r>
  </si>
  <si>
    <t>All costs associated with rebates, grants, remuneration, value-added services.  PSE cost element # 62510000; Consumer Incentive Payments, is classified by the Accounting department as Miscellaneous.  However, it is one of the primarily elements of Energy Efficiency's Direct Benefit to Customer (DBtC).</t>
  </si>
  <si>
    <t xml:space="preserve"> (Please reference cell E-12)</t>
  </si>
  <si>
    <t>Business Energy Reports</t>
  </si>
  <si>
    <t>Schedule G202</t>
  </si>
  <si>
    <t>Please see category descriptions at the bottom of the sector table.</t>
  </si>
  <si>
    <t>aMW</t>
  </si>
  <si>
    <t>Calculation</t>
  </si>
  <si>
    <r>
      <t xml:space="preserve">IRP guidance </t>
    </r>
    <r>
      <rPr>
        <sz val="8"/>
        <color theme="1"/>
        <rFont val="Arial"/>
        <family val="2"/>
      </rPr>
      <t>(no behavior savings)</t>
    </r>
  </si>
  <si>
    <t>15,000 residential HER customers</t>
  </si>
  <si>
    <t>5% of "base" savings</t>
  </si>
  <si>
    <t>New Residential + Small Business</t>
  </si>
  <si>
    <t>HER = Residential Home Energy Reports</t>
  </si>
  <si>
    <t>IRP = Integrated Resource Plan</t>
  </si>
  <si>
    <t>MWh</t>
  </si>
  <si>
    <r>
      <rPr>
        <b/>
        <sz val="14"/>
        <color rgb="FF0000FF"/>
        <rFont val="Arial"/>
        <family val="2"/>
      </rPr>
      <t xml:space="preserve">2-Year View: </t>
    </r>
    <r>
      <rPr>
        <b/>
        <sz val="12"/>
        <rFont val="Arial"/>
        <family val="2"/>
      </rPr>
      <t xml:space="preserve"> PSE Conservation Rider Savings Goals and Budgets, 2016-2017</t>
    </r>
  </si>
  <si>
    <t>NW gas Market Transformation</t>
  </si>
  <si>
    <t>Rebate Processing</t>
  </si>
  <si>
    <t>Programs Support</t>
  </si>
  <si>
    <t>Data and Systems Services</t>
  </si>
  <si>
    <t>Energy Efficiency Software System</t>
  </si>
  <si>
    <r>
      <t xml:space="preserve">Contractor Alliance Network </t>
    </r>
    <r>
      <rPr>
        <i/>
        <sz val="9"/>
        <color theme="1"/>
        <rFont val="Arial"/>
        <family val="2"/>
      </rPr>
      <t>(Net of revenue + cost)</t>
    </r>
  </si>
  <si>
    <t>E195</t>
  </si>
  <si>
    <t>Electric Vehicle Charger Incentive</t>
  </si>
  <si>
    <r>
      <rPr>
        <b/>
        <sz val="14"/>
        <color rgb="FF0000FF"/>
        <rFont val="Arial"/>
        <family val="2"/>
      </rPr>
      <t>2016-specific</t>
    </r>
    <r>
      <rPr>
        <b/>
        <sz val="12"/>
        <rFont val="Arial"/>
        <family val="2"/>
      </rPr>
      <t xml:space="preserve"> PSE Conservation Rider Savings Goals and Budgets</t>
    </r>
  </si>
  <si>
    <t>NW Gas Market Transformation</t>
  </si>
  <si>
    <r>
      <t xml:space="preserve">Contractor Alliance Network </t>
    </r>
    <r>
      <rPr>
        <i/>
        <sz val="9"/>
        <color theme="1"/>
        <rFont val="Arial"/>
        <family val="2"/>
      </rPr>
      <t>(net of revenue + cost)</t>
    </r>
  </si>
  <si>
    <r>
      <rPr>
        <b/>
        <sz val="14"/>
        <color rgb="FF0000FF"/>
        <rFont val="Arial"/>
        <family val="2"/>
      </rPr>
      <t xml:space="preserve">2017-specific </t>
    </r>
    <r>
      <rPr>
        <b/>
        <sz val="12"/>
        <rFont val="Arial"/>
        <family val="2"/>
      </rPr>
      <t>PSE Conservation Rider Savings Goals and Budgets</t>
    </r>
  </si>
  <si>
    <r>
      <t>Contractor Alliance Network</t>
    </r>
    <r>
      <rPr>
        <i/>
        <sz val="9"/>
        <color theme="1"/>
        <rFont val="Arial"/>
        <family val="2"/>
      </rPr>
      <t xml:space="preserve"> (net of revenue + cost)</t>
    </r>
  </si>
  <si>
    <t>Energy Efficiency 2016-2017 Budgets, Sector View</t>
  </si>
  <si>
    <t>2016-2017 Total, Residential Energy Management</t>
  </si>
  <si>
    <t>2014-2015 BCP</t>
  </si>
  <si>
    <t>2016-2017 Total, Business Energy Management</t>
  </si>
  <si>
    <t>2016-2017 Total, Pilots</t>
  </si>
  <si>
    <t>2016-2017 Total, Regional Efficiency Programs</t>
  </si>
  <si>
    <t>2016-2017 Total, Portfolio Support</t>
  </si>
  <si>
    <t>2016-2017 Total, Research &amp; Compliance</t>
  </si>
  <si>
    <t>2016-2017 Total, Other Electric Programs</t>
  </si>
  <si>
    <t>2016-2017 GRAND TOTAL, ELECTRIC PROGRAMS</t>
  </si>
  <si>
    <t>Lighting to Go--also referred to as Business Lighting Markdowns</t>
  </si>
  <si>
    <t>Commercial kitchen and laundry</t>
  </si>
  <si>
    <t>Commercial direct install (non-SBDI)</t>
  </si>
  <si>
    <t>Commercial HVAC</t>
  </si>
  <si>
    <t>Business Lighting Express</t>
  </si>
  <si>
    <t>Contractor Alliance Network (revenue + cost)</t>
  </si>
  <si>
    <t>Energy Efficiency 2016 Budgets, Sector View</t>
  </si>
  <si>
    <t>Energy Efficiency 2017 Budgets, Sector View</t>
  </si>
  <si>
    <t>Commercial Kitchen &amp; Laundry</t>
  </si>
  <si>
    <t>Commercial Direct Install (non-SBDI)</t>
  </si>
  <si>
    <t>1,571,214 kwh</t>
  </si>
  <si>
    <t>2015 budget (For comparison.  Source: Final 2015 ACP)</t>
  </si>
  <si>
    <t>3,009,000 kwh</t>
  </si>
  <si>
    <t>634,500 kwh</t>
  </si>
  <si>
    <t>2,315,959 kwh</t>
  </si>
  <si>
    <t>7,841,910 kwh</t>
  </si>
  <si>
    <t>11,386,446 kwh</t>
  </si>
  <si>
    <t>This table summarizes the subtotals in the detail table to the left and is used to populate 2016-2017 Sector views.</t>
  </si>
  <si>
    <t>4,138,680 kwh</t>
  </si>
  <si>
    <t>66,609,297 kwh</t>
  </si>
  <si>
    <t>4,665,981 kwh</t>
  </si>
  <si>
    <t>472,500 kwh</t>
  </si>
  <si>
    <t xml:space="preserve"> kwh</t>
  </si>
  <si>
    <t>2,062,500 kwh</t>
  </si>
  <si>
    <t>1,057,399 kwh</t>
  </si>
  <si>
    <t>18,815 therms</t>
  </si>
  <si>
    <t>432,015 therms</t>
  </si>
  <si>
    <t>531,650 therms</t>
  </si>
  <si>
    <t>145,116 therms</t>
  </si>
  <si>
    <t>32,736 therms</t>
  </si>
  <si>
    <t>54,000 therms</t>
  </si>
  <si>
    <t xml:space="preserve"> therms</t>
  </si>
  <si>
    <t>107,542 therms</t>
  </si>
  <si>
    <t>147,072 therms</t>
  </si>
  <si>
    <t xml:space="preserve"> $                    17,625</t>
  </si>
  <si>
    <t>26,009,600 kWh</t>
  </si>
  <si>
    <t>C/I Retrofit--Custom Lighting Grants</t>
  </si>
  <si>
    <t>Order Number: 18230724</t>
  </si>
  <si>
    <t xml:space="preserve"> $                    35,785</t>
  </si>
  <si>
    <t>36,250,000 kWh</t>
  </si>
  <si>
    <t>Lighting Design Lab</t>
  </si>
  <si>
    <t>Custom Lighting Grants</t>
  </si>
  <si>
    <t>9,350,000 kWh</t>
  </si>
  <si>
    <t xml:space="preserve">Lighting to Go
AKA Business Lighting Markdown
</t>
  </si>
  <si>
    <t>Lighting to Go</t>
  </si>
  <si>
    <t xml:space="preserve">AKA Business Lighting </t>
  </si>
  <si>
    <t>Markdowns</t>
  </si>
  <si>
    <t>Commercial Dir. Install (Non-SBDI)</t>
  </si>
  <si>
    <t xml:space="preserve">Commercial Dir. Install (non-SBDI) </t>
  </si>
  <si>
    <t>Small Business Direct Installs</t>
  </si>
  <si>
    <t>Commercial Kitchens &amp; Laundry</t>
  </si>
  <si>
    <t>Commercial Kitchens &amp;</t>
  </si>
  <si>
    <t>Laundry</t>
  </si>
  <si>
    <t>Commercial Dir Install (Non-SBDI)</t>
  </si>
  <si>
    <t>Commercial Dir Install</t>
  </si>
  <si>
    <t>(Non-SBDI)</t>
  </si>
  <si>
    <t>This table summarizes the subtotals in the detail table to the left and is used to populate 2016-2016 Sector views.</t>
  </si>
  <si>
    <t>Therm Savings Estimates</t>
  </si>
  <si>
    <t>No Schedule</t>
  </si>
  <si>
    <t>no Schedule</t>
  </si>
  <si>
    <t>Contractor Alliance Network</t>
  </si>
  <si>
    <t xml:space="preserve">Rebate </t>
  </si>
  <si>
    <t>Processing</t>
  </si>
  <si>
    <t>Data and Systems</t>
  </si>
  <si>
    <t>Services</t>
  </si>
  <si>
    <t>Schedule 195</t>
  </si>
  <si>
    <t>Electric Vehicle</t>
  </si>
  <si>
    <t>Charger Incentive</t>
  </si>
  <si>
    <t>2016 OH rate</t>
  </si>
  <si>
    <t>2017 OH rate</t>
  </si>
  <si>
    <r>
      <t xml:space="preserve">Description </t>
    </r>
    <r>
      <rPr>
        <sz val="10"/>
        <color rgb="FF0070C0"/>
        <rFont val="Arial"/>
        <family val="2"/>
      </rPr>
      <t>(Blue, indented text indicates a sub-total value)</t>
    </r>
  </si>
  <si>
    <r>
      <t>Description</t>
    </r>
    <r>
      <rPr>
        <sz val="10"/>
        <color rgb="FF0070C0"/>
        <rFont val="Arial"/>
        <family val="2"/>
      </rPr>
      <t xml:space="preserve"> (Blue, indented text indicates a sub-total value)</t>
    </r>
  </si>
  <si>
    <t>Comm Lgt Mkdn_E262 Elect</t>
  </si>
  <si>
    <t>Comm Kit-Laund_E262 Elect</t>
  </si>
  <si>
    <t>Comm DI_E262 Elect</t>
  </si>
  <si>
    <t>Comm HVAC_E262 Elect</t>
  </si>
  <si>
    <t>Comm ExpLgt_E262 Elect</t>
  </si>
  <si>
    <t>Sm Bus DI_E262 Elect</t>
  </si>
  <si>
    <t>BusLgtGrants_BEM E250 Elect</t>
  </si>
  <si>
    <t>Rebt Procg Detail_Elect</t>
  </si>
  <si>
    <t>Data &amp; Systm Svcs_Elect</t>
  </si>
  <si>
    <t>CAN_Elect</t>
  </si>
  <si>
    <t>ElecVehcl Chg Inctv_E195 Elect</t>
  </si>
  <si>
    <t>Comm Kit-Laund_G262 Gas</t>
  </si>
  <si>
    <t>Comm DI_G262 Gas</t>
  </si>
  <si>
    <t>Comm HVAC_G262 Gas</t>
  </si>
  <si>
    <t>Sm Bus DI_G262 Gas</t>
  </si>
  <si>
    <t>NEEA Gas MT_no Sched Gas</t>
  </si>
  <si>
    <t>Rebt Procg_Detail Gas</t>
  </si>
  <si>
    <t>Data &amp; Systm Svcs Detail Gas</t>
  </si>
  <si>
    <t>CAN_PS_Detail Gas</t>
  </si>
  <si>
    <t>Resource Conservation Management</t>
  </si>
  <si>
    <t>DSMC</t>
  </si>
  <si>
    <t>Customer Awareness Tools</t>
  </si>
  <si>
    <t>Opower High bill alerts, bill ready, seasonal preparedness</t>
  </si>
  <si>
    <t>bb</t>
  </si>
  <si>
    <t>bg</t>
  </si>
  <si>
    <t>bh</t>
  </si>
  <si>
    <t>Biennial Decoupling Commitment</t>
  </si>
  <si>
    <t>Electronic Media Tools &amp; Marketing</t>
  </si>
  <si>
    <t>Customer energy management tools</t>
  </si>
  <si>
    <t>D.C. = Decoupling Commitment</t>
  </si>
  <si>
    <t>t</t>
  </si>
  <si>
    <t>Penalty outlined in Stipulation Agreement, UG-011571 Section M43.</t>
  </si>
  <si>
    <t>EIA = Energy Independence Act; referencing RCW 19.285, or "I-937".</t>
  </si>
  <si>
    <r>
      <t xml:space="preserve">Total Biennial Potential
</t>
    </r>
    <r>
      <rPr>
        <i/>
        <sz val="9"/>
        <color theme="1"/>
        <rFont val="Arial"/>
        <family val="2"/>
      </rPr>
      <t>IRP Guidance</t>
    </r>
  </si>
  <si>
    <t>Bundle D + DE from IRP</t>
  </si>
  <si>
    <t>Sr. Market Analysts</t>
  </si>
  <si>
    <t>Program staff overhead</t>
  </si>
  <si>
    <t>RTF &amp; NEEA Mtgs - Portland</t>
  </si>
  <si>
    <t>Training / Conferences</t>
  </si>
  <si>
    <t>Supervisor, Applications IT</t>
  </si>
  <si>
    <t>Sr Market Analyst</t>
  </si>
  <si>
    <t>Sr. Business Analyst IT</t>
  </si>
  <si>
    <t>Market Analyst</t>
  </si>
  <si>
    <t>Sr.  Business Support Analyst</t>
  </si>
  <si>
    <t>Total Labor Overhead</t>
  </si>
  <si>
    <t>Training/Conferences</t>
  </si>
  <si>
    <t xml:space="preserve">E-Source: DSM Planning &amp; related </t>
  </si>
  <si>
    <t>Trade Ally Assoc annual member dues (Incl. AESP, BOMA, CEE, Electric League, ESC, and NEEC)</t>
  </si>
  <si>
    <t>ESource DSM Planning Svcs &amp; related</t>
  </si>
  <si>
    <t>Program Staff Overhead</t>
  </si>
  <si>
    <t>Marketing Staff Overhead</t>
  </si>
  <si>
    <t>2017</t>
  </si>
  <si>
    <t>Sr Resource Planning Analyst</t>
  </si>
  <si>
    <t>Conservation Potential Assessment</t>
  </si>
  <si>
    <t>Mgr Performance Excellence</t>
  </si>
  <si>
    <t>2014-15 BECAR</t>
  </si>
  <si>
    <t>2016-17 BECAR</t>
  </si>
  <si>
    <t>Customer Digital Experience</t>
  </si>
  <si>
    <t>MARKET MANAGER</t>
  </si>
  <si>
    <t>PROGRAM COORDINATOR</t>
  </si>
  <si>
    <t>PROGRAM MANAGER</t>
  </si>
  <si>
    <t>PROGRAM IMPLEMENTER</t>
  </si>
  <si>
    <t>Market Manager</t>
  </si>
  <si>
    <t>Program Manager</t>
  </si>
  <si>
    <t>Program Coordinator</t>
  </si>
  <si>
    <t>Program Implementer</t>
  </si>
  <si>
    <t>Customer Management Software</t>
  </si>
  <si>
    <t>Meter Placards</t>
  </si>
  <si>
    <t>SEPA Annual Dues</t>
  </si>
  <si>
    <t>Line Use Charge from 1999</t>
  </si>
  <si>
    <t>based on a UTC Order regarding accounting and ratemaking treatment  from Docket UE-990016.</t>
  </si>
  <si>
    <t>PSE filed the request on January 7, 1999 and the UTC issued the order in February, 1999. (</t>
  </si>
  <si>
    <t>Average of staff salaries</t>
  </si>
  <si>
    <t>Travel</t>
  </si>
  <si>
    <t>Meals</t>
  </si>
  <si>
    <t>Training</t>
  </si>
  <si>
    <t>Phone, Software, Misc. Assessments</t>
  </si>
  <si>
    <t>Customer Satisfaction Research</t>
  </si>
  <si>
    <t>Program Specific Market Research</t>
  </si>
  <si>
    <t>Residential Panel</t>
  </si>
  <si>
    <t>Market Research Data Resrouces (eg, Experian)</t>
  </si>
  <si>
    <t>Material, Tools, Office supply assessment</t>
  </si>
  <si>
    <t>Avg of staff salaries</t>
  </si>
  <si>
    <t>Phone, software, Misc. Assessments</t>
  </si>
  <si>
    <t>Market Research Data Resources eg. Experian</t>
  </si>
  <si>
    <t>Materials, tools, office supply assessment</t>
  </si>
  <si>
    <t>Source: NEEA gas market tranformation business case.  PSE share of total = 41.25%</t>
  </si>
  <si>
    <t>Various Expenses</t>
  </si>
  <si>
    <t>Training/Employee Development</t>
  </si>
  <si>
    <t>Events/Meals/Parking/Mileage</t>
  </si>
  <si>
    <t>Office &amp; Supply</t>
  </si>
  <si>
    <t>Phone Equipment</t>
  </si>
  <si>
    <t>Tableau, VPI</t>
  </si>
  <si>
    <t xml:space="preserve">Customer survey data access </t>
  </si>
  <si>
    <t xml:space="preserve">Increase level for training in order to adapt to market trends. </t>
  </si>
  <si>
    <t xml:space="preserve">Increase level for employee travel and meal expenses. </t>
  </si>
  <si>
    <t>Materials Purchase</t>
  </si>
  <si>
    <t>Events/Parking/Meals/Milage</t>
  </si>
  <si>
    <t>Phone equipment</t>
  </si>
  <si>
    <t>Web development</t>
  </si>
  <si>
    <t>Web content</t>
  </si>
  <si>
    <t>Online customer tools</t>
  </si>
  <si>
    <t>Communications Program Manager</t>
  </si>
  <si>
    <t>Communications Training</t>
  </si>
  <si>
    <t>Average of program staff salaries</t>
  </si>
  <si>
    <t>Printed Materials</t>
  </si>
  <si>
    <t>Online Ad Buy</t>
  </si>
  <si>
    <t>Employee and Office Expense</t>
  </si>
  <si>
    <t>Interval Meter Data</t>
  </si>
  <si>
    <t>Additional Data Collection Points</t>
  </si>
  <si>
    <t>Data Analysis</t>
  </si>
  <si>
    <t>Sr. Market Analyst</t>
  </si>
  <si>
    <t>Efficiency Outreach Manager</t>
  </si>
  <si>
    <t>Efficiency Outreach Coordinator</t>
  </si>
  <si>
    <t>Customer photos, social media presence</t>
  </si>
  <si>
    <t>Collateral for specific community initiatives</t>
  </si>
  <si>
    <t>Project funds to support strategic partnerships</t>
  </si>
  <si>
    <t>Training/Development</t>
  </si>
  <si>
    <t>Meals, professional associations, lodging</t>
  </si>
  <si>
    <t>Travel; Parking, tolls, fleet, mileage</t>
  </si>
  <si>
    <t>Contracts: outreach labor</t>
  </si>
  <si>
    <t>EE Community-specific Information materials</t>
  </si>
  <si>
    <t>EE Engagement Items</t>
  </si>
  <si>
    <t>Educational/demostration tools</t>
  </si>
  <si>
    <t>1 Program Coordinator</t>
  </si>
  <si>
    <t>3 Program Implementers</t>
  </si>
  <si>
    <t>Program Implementer OT</t>
  </si>
  <si>
    <t>Event Displays / Materials</t>
  </si>
  <si>
    <t>Training / Development</t>
  </si>
  <si>
    <t>Meals, lodging</t>
  </si>
  <si>
    <t>Travel - Parking, tolls, mileage</t>
  </si>
  <si>
    <t>Contract Event Staffing</t>
  </si>
  <si>
    <t>REM Booth Display Logistics</t>
  </si>
  <si>
    <t>BEM Booth Display Logistics</t>
  </si>
  <si>
    <t>EA's Outreach</t>
  </si>
  <si>
    <t>EME Outreach</t>
  </si>
  <si>
    <t>Event Supplies</t>
  </si>
  <si>
    <t>Office Displays</t>
  </si>
  <si>
    <t>Employee Engagement Collateral</t>
  </si>
  <si>
    <t>Regional Office Displays</t>
  </si>
  <si>
    <t>Independent Colleges of WA (ICW)</t>
  </si>
  <si>
    <t xml:space="preserve">Employee Engagement </t>
  </si>
  <si>
    <t>Independent Colleges of WA</t>
  </si>
  <si>
    <t>Services Brochures - REM</t>
  </si>
  <si>
    <t>Services Brochures- BEM</t>
  </si>
  <si>
    <t>Rebates Brochures</t>
  </si>
  <si>
    <t>Custom Photography</t>
  </si>
  <si>
    <t>Stock Photography</t>
  </si>
  <si>
    <t>REM Pieces</t>
  </si>
  <si>
    <t>BEM Pieces</t>
  </si>
  <si>
    <t>EA / BEM Contact Cards</t>
  </si>
  <si>
    <t>Case Study Collateral</t>
  </si>
  <si>
    <t>2-year pro rata, versus ramp rate in IRP</t>
  </si>
  <si>
    <t>Evaluation Consulting</t>
  </si>
  <si>
    <t>Office Supplies</t>
  </si>
  <si>
    <t>Training and Conferences</t>
  </si>
  <si>
    <t>Marketing labor</t>
  </si>
  <si>
    <t>Marketing Manager</t>
  </si>
  <si>
    <t>General Marketing</t>
  </si>
  <si>
    <t>Cross-Channel Marketing</t>
  </si>
  <si>
    <t>Employee Expense</t>
  </si>
  <si>
    <t>Field Services</t>
  </si>
  <si>
    <t>Incentive Processing</t>
  </si>
  <si>
    <t>Materials Budget</t>
  </si>
  <si>
    <t>Misc. Budget</t>
  </si>
  <si>
    <t>Showerhead - Engagement_C - Elec WH (E)</t>
  </si>
  <si>
    <t>Showerhead - Engagement_EO - Elec WH</t>
  </si>
  <si>
    <t>Showerhead - Retail_C - Any WH - 1.50 gpm and less (E)</t>
  </si>
  <si>
    <t>Showerhead - Retail_C - Any WH - 1.51 to 1.75 gpm (E)</t>
  </si>
  <si>
    <t>Showerhead - Retail_C - Any WH - 1.76 to 2.0 gpm (E)</t>
  </si>
  <si>
    <t>Showerhead - Retail_EO - Any WH - 1.50 gpm and less</t>
  </si>
  <si>
    <t>Showerhead - Retail_EO - Any WH - 1.51 to 1.75 gpm</t>
  </si>
  <si>
    <t>Showerhead - Retail_EO - Any WH - 1.76 to 2.0 gpm</t>
  </si>
  <si>
    <t>Showerhead - ShowerStart - 1.5 gpm (E)</t>
  </si>
  <si>
    <t>WaterSense Faucet - Any WH - 1.5 gpm or below EO</t>
  </si>
  <si>
    <t>WaterSense Faucet - Any WH - 1.5 gpm or below - C</t>
  </si>
  <si>
    <t>Annual Energy Savings 1.5 gpm, Electric Only Territory</t>
  </si>
  <si>
    <t>Annual Energy Savings 1.0 gpm, Electric Only Territory</t>
  </si>
  <si>
    <t>Annual Energy Savings 1.5 gpm, Combined Territory Electric</t>
  </si>
  <si>
    <t>Annual Energy Savings 1.0 gpm, Combined Territory Electric</t>
  </si>
  <si>
    <t>per unit</t>
  </si>
  <si>
    <t>Res Water Heat</t>
  </si>
  <si>
    <t>Showerhead - Engagement_C - Elec WH (G)</t>
  </si>
  <si>
    <t>Showerhead - Retail - Gas WH - 1.50 gpm and less</t>
  </si>
  <si>
    <t>Showerhead - Retail - Gas WH - 1.51 to 1.75 gpm</t>
  </si>
  <si>
    <t>Showerhead - Retail - Gas WH - 1.76 to 2.0 gpm</t>
  </si>
  <si>
    <t>Showerhead - Retail_C - Any WH - 1.50 gpm and less (G)</t>
  </si>
  <si>
    <t>Showerhead - Retail_C - Any WH - 1.51 to 1.75 gpm (G)</t>
  </si>
  <si>
    <t>Showerhead - Retail_C - Any WH - 1.76 to 2.0 gpm (G)</t>
  </si>
  <si>
    <t>Showerhead - Retail_GO - Any WH - 1.50 gpm and less</t>
  </si>
  <si>
    <t>Showerhead - Retail_GO - Any WH - 1.51 to 1.75 gpm</t>
  </si>
  <si>
    <t>Showerhead - Retail_GO - Any WH - 1.76 to 2.0 gpm</t>
  </si>
  <si>
    <t>Showerhead - ShowerStart - 1.5 gpm (G)</t>
  </si>
  <si>
    <t>WaterSense Faucet - Any WH - 1.5 gpm or below (G)</t>
  </si>
  <si>
    <t>Annual Energy Savings 1.5 gpm, NG Only Territory</t>
  </si>
  <si>
    <t>Annual Energy Savings 1.0 gpm, NG Only Territory</t>
  </si>
  <si>
    <t>Annual Energy Savings 1.5 gpm, Combined Territory NG</t>
  </si>
  <si>
    <t>Annual Energy Savings 1.0 gpm, Combined Territory NG</t>
  </si>
  <si>
    <t>Order #18230XXX</t>
  </si>
  <si>
    <t>2016-17 BCP Update Notes</t>
  </si>
  <si>
    <t>Each staff will be allocated .87 Electric/.13 Gas</t>
  </si>
  <si>
    <t>2016 Labor Avg w Assmts =</t>
  </si>
  <si>
    <t>per FTE</t>
  </si>
  <si>
    <t>2017 Labor Avg w Assmts =</t>
  </si>
  <si>
    <t xml:space="preserve">Marketing Manager </t>
  </si>
  <si>
    <t xml:space="preserve">Marketing Support </t>
  </si>
  <si>
    <t>Employee Expense Budget</t>
  </si>
  <si>
    <t>Advanced Power Strips</t>
  </si>
  <si>
    <t>Clothes Washer Replacement Electric WH / Electric Dryer - Frontload</t>
  </si>
  <si>
    <t>Freezer Decomm</t>
  </si>
  <si>
    <t>LED: Engagement - Appl Repl</t>
  </si>
  <si>
    <t>Refrigerator CEE Tier 1</t>
  </si>
  <si>
    <t xml:space="preserve">Refrigerator CEE Tier 2 </t>
  </si>
  <si>
    <t>Refrigerator CEE Tier 3</t>
  </si>
  <si>
    <t>Refrigerator Decomm</t>
  </si>
  <si>
    <t>Showerhead - Engagement_C - Appl Repl - 1.5 gpm (E)</t>
  </si>
  <si>
    <t>Showerhead - Engagement_EO - Appl Repl - 1.5 gpm</t>
  </si>
  <si>
    <t>Clothes Washer CEE Tier 1 Any WH/Any Dryer - Frontload</t>
  </si>
  <si>
    <t>Clothes Washer CEE Tier 2 Any WH/Any Dryer</t>
  </si>
  <si>
    <t>Clothes Washer CEE Tier 3 Any WH/Any Dryer</t>
  </si>
  <si>
    <t>HP Clothes Dryer - Vented</t>
  </si>
  <si>
    <t>HP Clothes Dryer - Ventless</t>
  </si>
  <si>
    <t>Energy Star Freezer</t>
  </si>
  <si>
    <t>Res Plug Load</t>
  </si>
  <si>
    <t>Res Refrigerator</t>
  </si>
  <si>
    <t>Res Lighting</t>
  </si>
  <si>
    <t>Cross - Channel Marketing</t>
  </si>
  <si>
    <t>Showerhead - Engagement_C - Appl Repl - 1.5 gpm (G)</t>
  </si>
  <si>
    <t>Clothes Washer AnyWH/Any Dryer - Topload</t>
  </si>
  <si>
    <t>Direct Program Labor</t>
  </si>
  <si>
    <t>Direct Marketing Labor</t>
  </si>
  <si>
    <t>Marketing Modules</t>
  </si>
  <si>
    <t>Phone expense, office supplies</t>
  </si>
  <si>
    <t>Materials Expense Budget</t>
  </si>
  <si>
    <t>Opower</t>
  </si>
  <si>
    <t>Misc, Expense Budget</t>
  </si>
  <si>
    <t>Home Energy Reports (Original) - Gas</t>
  </si>
  <si>
    <t>per home</t>
  </si>
  <si>
    <t>Energy Management Engineer</t>
  </si>
  <si>
    <t>Marketing Lead</t>
  </si>
  <si>
    <t>Shareholder</t>
  </si>
  <si>
    <t>Repairs</t>
  </si>
  <si>
    <t>Appliances: Refrigerator Replacement ~ TE, MF</t>
  </si>
  <si>
    <t>Appliances: Refrigerator Replacement ~ TE, MH</t>
  </si>
  <si>
    <t>Appliances: Refrigerator Replacement ~ TE, SF</t>
  </si>
  <si>
    <t>Furnace / Heating: Ductless Heat Pump ~ TE, SF</t>
  </si>
  <si>
    <t>Furnace / Heating: Ductless Heat Pump ~ TE, MH</t>
  </si>
  <si>
    <t>Water Heater: Electric Water Heater (.95 EF) ~ TE, MF</t>
  </si>
  <si>
    <t>Water Heater: Electric Water Heater (.95 EF) ~ TE, MH</t>
  </si>
  <si>
    <t>Water Heater: Electric Water Heater (.95 EF) ~ TE, SF</t>
  </si>
  <si>
    <t>Insulation, Ceiling: Attic Insulation (R0 to R19) ~ TE, MF</t>
  </si>
  <si>
    <t xml:space="preserve">Insulation, Ceiling: Attic Insulation (R0 to R19) ~ TE, MH </t>
  </si>
  <si>
    <t>Insulation, Ceiling: Attic Insulation (R0 to R19) ~ TE, SF</t>
  </si>
  <si>
    <t>Insulation, Attic: R0 to R30 ~ TE, MH</t>
  </si>
  <si>
    <t>Insulation, Ceiling: Attic Insulation (R0 to R38) ~ TE, MF</t>
  </si>
  <si>
    <t>Insulation, Ceiling: Attic Insulation (R0 to R38) ~ TE, SF</t>
  </si>
  <si>
    <t>Insulation, Attic: R11 to R30 ~ TE, MH</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</si>
  <si>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</si>
  <si>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</si>
  <si>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</si>
  <si>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</si>
  <si>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</si>
  <si>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</si>
  <si>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</si>
  <si>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</si>
  <si>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</si>
  <si>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</si>
  <si>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</si>
  <si>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</si>
  <si>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</si>
  <si>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</si>
  <si>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</si>
  <si>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</si>
  <si>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</si>
  <si>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</si>
  <si>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</si>
  <si>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</si>
  <si>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</si>
  <si>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</si>
  <si>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</si>
  <si>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</si>
  <si>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</si>
  <si>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MF Air Sealing~All Areas</t>
  </si>
  <si>
    <t>ENERGY STAR Whole House Ventilation w/Air Sealing~MF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</si>
  <si>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</si>
  <si>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</si>
  <si>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</si>
  <si>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</si>
  <si>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</si>
  <si>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</si>
  <si>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</si>
  <si>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</si>
  <si>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</si>
  <si>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</si>
  <si>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</si>
  <si>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</si>
  <si>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</si>
  <si>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</si>
  <si>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</si>
  <si>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</si>
  <si>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Thermostat: Electronic ~ TE, SF</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</si>
  <si>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</si>
  <si>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</si>
  <si>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</si>
  <si>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</si>
  <si>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</si>
  <si>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</si>
  <si>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</si>
  <si>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</si>
  <si>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</si>
  <si>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</si>
  <si>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</si>
  <si>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</si>
  <si>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</si>
  <si>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</si>
  <si>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</si>
  <si>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</si>
  <si>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</si>
  <si>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</si>
  <si>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</si>
  <si>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</si>
  <si>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</si>
  <si>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</si>
  <si>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</si>
  <si>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</si>
  <si>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</si>
  <si>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</si>
  <si>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</si>
  <si>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</si>
  <si>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</si>
  <si>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</si>
  <si>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</si>
  <si>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</si>
  <si>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</si>
  <si>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</si>
  <si>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</si>
  <si>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</si>
  <si>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calculated</t>
  </si>
  <si>
    <t>square foot</t>
  </si>
  <si>
    <t>linear foot</t>
  </si>
  <si>
    <t>SF Space Heat</t>
  </si>
  <si>
    <t>MF Space Heat</t>
  </si>
  <si>
    <t>Comm Lighting</t>
  </si>
  <si>
    <t>Comm Water Heat</t>
  </si>
  <si>
    <t>1st Year NEBs per Unit</t>
  </si>
  <si>
    <t>OPower</t>
  </si>
  <si>
    <t>Home Energy Reports (Original) - Electric</t>
  </si>
  <si>
    <t>Bill inserts, collateral, media</t>
  </si>
  <si>
    <t xml:space="preserve">Travel, tolls, meals, lodging, etc. </t>
  </si>
  <si>
    <t xml:space="preserve">Miscellaneous </t>
  </si>
  <si>
    <t>Efficient 95% Gas Furnace (Note:  Raised from 90%)</t>
  </si>
  <si>
    <t>Energy Star qualified Boilers (95% AFUE)</t>
  </si>
  <si>
    <t xml:space="preserve">High Efficiency Natural Gas Fireplace </t>
  </si>
  <si>
    <t>NEW Integrated Space &amp; Water Heating</t>
  </si>
  <si>
    <t>Web-Enabled Thermostat</t>
  </si>
  <si>
    <t>Res Space Heat</t>
  </si>
  <si>
    <t>Bill Inserts, Collateral, Media</t>
  </si>
  <si>
    <t xml:space="preserve">EE Initiatives </t>
  </si>
  <si>
    <t>Travel, tolls, meals, lodging, phone expense</t>
  </si>
  <si>
    <t>Program Implementation</t>
  </si>
  <si>
    <t xml:space="preserve">A-Lamp LED </t>
  </si>
  <si>
    <t>APS - Advanced Power Strip</t>
  </si>
  <si>
    <t>Globe LED - DI</t>
  </si>
  <si>
    <t>HEA - In-Home</t>
  </si>
  <si>
    <t>Reflector LED - BR30</t>
  </si>
  <si>
    <t>Showerhead - leave behind</t>
  </si>
  <si>
    <t xml:space="preserve">Candelabra LED </t>
  </si>
  <si>
    <t>HEA - Online</t>
  </si>
  <si>
    <t>Residentail Aerators 1 GPM</t>
  </si>
  <si>
    <t>Residentail Aerators 1.5 GPM</t>
  </si>
  <si>
    <t>Rental Assessment</t>
  </si>
  <si>
    <t>General Marketing Budget</t>
  </si>
  <si>
    <t>Campaigns/EE Tools</t>
  </si>
  <si>
    <t>Sports Marketing</t>
  </si>
  <si>
    <t>Pop-Up Retail Management</t>
  </si>
  <si>
    <t>ShopPSE Maintenance</t>
  </si>
  <si>
    <t>A-Lamp Induction</t>
  </si>
  <si>
    <t>A-Lamp LED</t>
  </si>
  <si>
    <t>Candelabra LED</t>
  </si>
  <si>
    <t>Globe LED</t>
  </si>
  <si>
    <t>Indoor LED Fixture</t>
  </si>
  <si>
    <t>MR-16 LED</t>
  </si>
  <si>
    <t>Outdoor LED Fixture</t>
  </si>
  <si>
    <t>Reflector LED</t>
  </si>
  <si>
    <t>Retrofit Kit LED</t>
  </si>
  <si>
    <t>Specialty CFL</t>
  </si>
  <si>
    <t>Standard CFL</t>
  </si>
  <si>
    <t>T8 Retrofit LED</t>
  </si>
  <si>
    <t>T8 Fixture LED</t>
  </si>
  <si>
    <t>1st Year</t>
  </si>
  <si>
    <t>NEBs/Unit</t>
  </si>
  <si>
    <t>DIM</t>
  </si>
  <si>
    <t>Elec - MHDS Direct Install LED A-Lamp</t>
  </si>
  <si>
    <t>Elec - MHDS Direct Install LED Globe</t>
  </si>
  <si>
    <t>Elec - MHDS Showerhead - Direct Install #1</t>
  </si>
  <si>
    <t>Elec - Manufactured Home Duct Sealing- Level 1 (In Park)</t>
  </si>
  <si>
    <t>Elec - Manufactured Home Duct Sealing- Level 1 (Out of Park)</t>
  </si>
  <si>
    <t>Elec - Manufactured Home Duct Sealing- Level 3 (In Park)</t>
  </si>
  <si>
    <t>Elec - Manufactured Home Duct Sealing- Level 3 (Out of Park)</t>
  </si>
  <si>
    <t>Mobile Home Floor Insulation R-0 to R-22</t>
  </si>
  <si>
    <t>Web-Enabled Thermostat (Retail)</t>
  </si>
  <si>
    <t>Web-Enabled Thermostat (Contractor Installed)</t>
  </si>
  <si>
    <t>NEBs per Unit</t>
  </si>
  <si>
    <t xml:space="preserve">Travel, meals, lodging, phone, etc. </t>
  </si>
  <si>
    <t>Ductless Heat Pump</t>
  </si>
  <si>
    <t>Ductless Heat Pump (Manufactured Homes)</t>
  </si>
  <si>
    <t>Energy Star Geothermal Heat Pump</t>
  </si>
  <si>
    <t>Energy Star Heat Pump - Tier 2 = 9.0 HSPF, 14 SEER</t>
  </si>
  <si>
    <t>Forced-air-furnace to Heat Pump Conversion (&gt;= 8.5 HSPF, 14 SEER)</t>
  </si>
  <si>
    <t>Heat Pump Sizing &amp; Lock out Controls</t>
  </si>
  <si>
    <t>NEW Energy Star Heat Pump - Tier 3 = 10.0 HSPF, 16 SEER</t>
  </si>
  <si>
    <t>SF Heat Pump</t>
  </si>
  <si>
    <t>High Efficiency Electric Water Heater (=&gt; .95 EF)</t>
  </si>
  <si>
    <t>NEEA Northern Climate Specs Heat Pump Water Heater - Tier 1</t>
  </si>
  <si>
    <t>NEEA Northern Climate Specs Heat Pump Water Heater - Tier 2</t>
  </si>
  <si>
    <t>NEEA Northern Climate Specs Heat Pump Water Heater- Tier 3</t>
  </si>
  <si>
    <t>EE Initiatives</t>
  </si>
  <si>
    <t>Phone, office supplies, equipment</t>
  </si>
  <si>
    <t>Air Sealing CFM50 - FAF</t>
  </si>
  <si>
    <t>Air Sealing CFM50 - HP</t>
  </si>
  <si>
    <t>Air Sealing CFM50 - Zonal</t>
  </si>
  <si>
    <t>Attic Insulation R-0 to R-49 FAF</t>
  </si>
  <si>
    <t>Attic Insulation R-0 to R-49 HP</t>
  </si>
  <si>
    <t>Attic Insulation R-0 to R-49 Zonal</t>
  </si>
  <si>
    <t>Attic Insulation R-11 to R-49 - FAF</t>
  </si>
  <si>
    <t>Attic Insulation R-11 to R-49 - HP</t>
  </si>
  <si>
    <t>Attic Insulation R-11 to R-49 - Zonal</t>
  </si>
  <si>
    <t>Energy Star Whole House Ventilation</t>
  </si>
  <si>
    <t>Floor Insulation R-0 to R-30 FAF</t>
  </si>
  <si>
    <t>Floor Insulation R-0 to R-30 HP</t>
  </si>
  <si>
    <t>Floor Insulation R-0 to R-30 Zonal</t>
  </si>
  <si>
    <t>Home Performance with Energy Star</t>
  </si>
  <si>
    <t>Prescriptive Duct Sealing and Insulation - Electric</t>
  </si>
  <si>
    <t>Wall Insulation R-0 to R-13 FAF</t>
  </si>
  <si>
    <t>Wall Insulation R-0 to R-13 HP</t>
  </si>
  <si>
    <t>Wall Insulation R-0 to R-13 Zonal</t>
  </si>
  <si>
    <t>Windows - Double Pane to U.30 - FAF</t>
  </si>
  <si>
    <t>Windows - Double Pane to U.30 - HP</t>
  </si>
  <si>
    <t>Windows - Double Pane to U.30 - Zonal</t>
  </si>
  <si>
    <t>Windows - Single Pane to U.30 - FAF</t>
  </si>
  <si>
    <t>Windows - Single Pane to U.30 - HP</t>
  </si>
  <si>
    <t>Windows - Single Pane to U.30 - Zonal</t>
  </si>
  <si>
    <t xml:space="preserve"> Insulated Door ENERGY STAR</t>
  </si>
  <si>
    <t>Prescriptive air sealing - attic / crawlspace</t>
  </si>
  <si>
    <t>Energy Star Whole House Ventilation with Air Sealing</t>
  </si>
  <si>
    <t>Low-e Storm Window Double Pane Metal Framed - FAF</t>
  </si>
  <si>
    <t>Low-e Storm Window Double Pane Metal Framed - HP</t>
  </si>
  <si>
    <t>Low-e Storm Window Double Pane Metal Framed - Zonal</t>
  </si>
  <si>
    <t>Marketing Manager/Coordinator</t>
  </si>
  <si>
    <t>Trainings, Bus Passes, Travel, Fleet</t>
  </si>
  <si>
    <t>New Home Trends Database</t>
  </si>
  <si>
    <t>Office Supplies, Printing, Phones, etc.</t>
  </si>
  <si>
    <t xml:space="preserve">Marketing Communications Budget </t>
  </si>
  <si>
    <t>Marketing Communications</t>
  </si>
  <si>
    <t>Travel, meals, lodging, phone</t>
  </si>
  <si>
    <t xml:space="preserve">Program Implementation </t>
  </si>
  <si>
    <t xml:space="preserve">E2G Fuel Conv - Space &amp; WH - BB </t>
  </si>
  <si>
    <t xml:space="preserve">E2G Fuel Conv - Space &amp; WH - FA </t>
  </si>
  <si>
    <t xml:space="preserve">E2G Fuel Conv - Space Heat Only - BB </t>
  </si>
  <si>
    <t xml:space="preserve">E2G Fuel Conv - Space Heat Only - FA </t>
  </si>
  <si>
    <t>E2G Fuel Conv - WH Only - Storage</t>
  </si>
  <si>
    <t>E2G Fuel Conv - WH Only - Tankless</t>
  </si>
  <si>
    <t xml:space="preserve">E2G Fuel Conv- Natural Gas Dryer </t>
  </si>
  <si>
    <t xml:space="preserve">E2G Fuel Conv- Natural Gas Range </t>
  </si>
  <si>
    <t>Marketing Support</t>
  </si>
  <si>
    <t>Marketing Events, material, mailings etc.</t>
  </si>
  <si>
    <t>Training, travel, lodging, phone expense</t>
  </si>
  <si>
    <t>Program Implementer Labor</t>
  </si>
  <si>
    <t>SEM Labor</t>
  </si>
  <si>
    <t>Advanced Power Strip (IR) - Direct Install</t>
  </si>
  <si>
    <t>Aerator - 1.5 gpm EWH - Direct Install</t>
  </si>
  <si>
    <t xml:space="preserve">Air Sealing </t>
  </si>
  <si>
    <t>Attic Insulation R0 to R38</t>
  </si>
  <si>
    <t>Attic Insulation R11 to R38</t>
  </si>
  <si>
    <t>Clothes Washer CEE Tier 3 (EWH/Edryer)</t>
  </si>
  <si>
    <t>Clothes Washer Replacement Electric WH / Electric Dryer</t>
  </si>
  <si>
    <t>Common Area Lighting (Calculated)</t>
  </si>
  <si>
    <t>Energy Star Heat Pump - Tier 3 = 10.0 HSPF, 16 SEER</t>
  </si>
  <si>
    <t>Energy Star LED Fixture</t>
  </si>
  <si>
    <t>Energy Star Ventilation Fan</t>
  </si>
  <si>
    <t>Energy Star Ventilation Fan with Air Sealing</t>
  </si>
  <si>
    <t>Floor Insulation R0 to R30</t>
  </si>
  <si>
    <t>Floor Insulation R11 to R30</t>
  </si>
  <si>
    <t>HRV/ERV</t>
  </si>
  <si>
    <t>Heat Pump Water Heater (Tier 1) - In Unit</t>
  </si>
  <si>
    <t>Heat Pump Water Heater (Tier 2) - In Unit</t>
  </si>
  <si>
    <t>LED - A-Lamp - Direct Install</t>
  </si>
  <si>
    <t>LED - Candelabra - Direct Install</t>
  </si>
  <si>
    <t>LED - MR-16 - Direct Install</t>
  </si>
  <si>
    <t>LED - PAR30 - Direct Install</t>
  </si>
  <si>
    <t>LED Globe - Direct Install</t>
  </si>
  <si>
    <t>LED Reflector - Direct Install</t>
  </si>
  <si>
    <t>Parking Garage CO Sensor (Calculated)</t>
  </si>
  <si>
    <t>Pool Heat Pump</t>
  </si>
  <si>
    <t>Refrigerator Decommissioning</t>
  </si>
  <si>
    <t>Refrigerator Replacement</t>
  </si>
  <si>
    <t>Showerhead - Max 1.5 gpm EWH - Direct Install</t>
  </si>
  <si>
    <t>Solar Pool Heater (Calculated)</t>
  </si>
  <si>
    <t>Thermostatic Restrictor Handheld Showerhead</t>
  </si>
  <si>
    <t>Thermostatic Restrictor Showerhead</t>
  </si>
  <si>
    <t>Thermostatic Restrictor Showerhead Adaptor</t>
  </si>
  <si>
    <t>Variable Speed Drive</t>
  </si>
  <si>
    <t>Wall Insulation R0 to R11</t>
  </si>
  <si>
    <t>Water Heater (0.95+) - In-unit</t>
  </si>
  <si>
    <t>Water Heater Pipewrap - Direct Install</t>
  </si>
  <si>
    <t>Windows (double to double paned) U= 0.6 to 0.30</t>
  </si>
  <si>
    <t>Windows (double to triple paned) U= 0.6 to 0.22</t>
  </si>
  <si>
    <t>Windows (single to double paned) U= 1.2 to 0.30</t>
  </si>
  <si>
    <t>Windows (single to triple paned) U= 1.2 to 0.22</t>
  </si>
  <si>
    <t>ENERGY STAR Doors</t>
  </si>
  <si>
    <t>Dishwashers CEE Tier 1 (EWH)</t>
  </si>
  <si>
    <t>LED - T8 - Tenant Controlled</t>
  </si>
  <si>
    <t>CBTU</t>
  </si>
  <si>
    <t>ELV Web-Enabled Thermostats</t>
  </si>
  <si>
    <t>ENERGY STAR Clothes Dryer (Ventless)</t>
  </si>
  <si>
    <t>ENERGY STAR Clothes Dryer (Vented)</t>
  </si>
  <si>
    <t>Envelope Bonus</t>
  </si>
  <si>
    <t>ELV Programmable Thermostats</t>
  </si>
  <si>
    <t>ELV Thermostats</t>
  </si>
  <si>
    <t>Aerator - 1.0 gpm EWH - Direct Install</t>
  </si>
  <si>
    <t>Comm Space Heat</t>
  </si>
  <si>
    <t>Clothes Washer 2.4+ MEF CEE Tier 3</t>
  </si>
  <si>
    <t>Corridor Lighting Power Density</t>
  </si>
  <si>
    <t>Garage Lighting Power Density</t>
  </si>
  <si>
    <t>Showerhead - Max 1.50 gpm EWH</t>
  </si>
  <si>
    <t>Showerhead - Max 1.75 gpm EWH</t>
  </si>
  <si>
    <t>Stairwell bi-level &gt;3 &lt;10 floors</t>
  </si>
  <si>
    <t>Stairwell bi-level &gt;= 10 floors</t>
  </si>
  <si>
    <t>Whole Building - Residential Electric</t>
  </si>
  <si>
    <t xml:space="preserve">Comm Water Heat </t>
  </si>
  <si>
    <t>Aerator - 1.5 gpm GWH - Direct Install</t>
  </si>
  <si>
    <t>Attic Insulation R-0 to R-38</t>
  </si>
  <si>
    <t>Attic Insulation R-11 to R-38</t>
  </si>
  <si>
    <t>Boiler (Domestic Water + Space Heating) Replacement (Calculated)</t>
  </si>
  <si>
    <t>Boiler (Domestic Water) Replacement (Calculated)</t>
  </si>
  <si>
    <t>Boiler (Pool Heating ) (Calculated)</t>
  </si>
  <si>
    <t>Boiler (Space Heating ) Replacement (Calculated)</t>
  </si>
  <si>
    <t>Floor Insulation R-0 to R-30</t>
  </si>
  <si>
    <t>High Efficiency Natural Gas Fireplace - In-unit</t>
  </si>
  <si>
    <t>Integrated Space &amp; Water Heating Natural Gas Boiler - In-unit</t>
  </si>
  <si>
    <t>Natural Gas Boiler (.95 AFUE) - In-unit</t>
  </si>
  <si>
    <t>Natural Gas Furnace (.95 AFUE) - In-unit</t>
  </si>
  <si>
    <t>Showerhead - Max 1.5 gpm GWH - Direct Install</t>
  </si>
  <si>
    <t>Variable Speed Drive - Gas</t>
  </si>
  <si>
    <t>Wall Insulation R-0 to R-11</t>
  </si>
  <si>
    <t>Aerator - 1.0 gpm GWH - Direct Install</t>
  </si>
  <si>
    <t>Third Party Administration</t>
  </si>
  <si>
    <t>Third Party Implementation</t>
  </si>
  <si>
    <t>G Aer (GAS) 0.50 GPM</t>
  </si>
  <si>
    <t>G Aer (GAS) 1.0 GPM</t>
  </si>
  <si>
    <t>Pre-rinse sprayer, SBO &gt;2.6 to 1.6 (GAS)</t>
  </si>
  <si>
    <t>Pre-rinse sprayer, SBO 1.6 to 1.6 (GAS)</t>
  </si>
  <si>
    <t>Pre-rinse sprayer, SBO 2.2 to 1.6 (GAS)</t>
  </si>
  <si>
    <t>Pre-rinse sprayer, SBO 2.6 to 1.6 (GAS)</t>
  </si>
  <si>
    <t>Super Low Flow Shwrhd Std (GAS)</t>
  </si>
  <si>
    <t>Retro commissioning and Calculated Measures</t>
  </si>
  <si>
    <t>Programmable Communicating Thermostat (Gas)</t>
  </si>
  <si>
    <t xml:space="preserve">Marketing Labor </t>
  </si>
  <si>
    <t>Travel, tolls, meals, lodging</t>
  </si>
  <si>
    <t>Program Administration Services</t>
  </si>
  <si>
    <t>Energy Savings Consulting Services</t>
  </si>
  <si>
    <t>LED: Hard Wired Recessed Can Retrofit Kit</t>
  </si>
  <si>
    <t>LED: Integral Decorative</t>
  </si>
  <si>
    <t xml:space="preserve">LED: Integral Omnidirectional </t>
  </si>
  <si>
    <t>LED: Integral, Replacing R/BR/PAR 20</t>
  </si>
  <si>
    <t>LED: Integral, Replacing R/BR/PAR 30</t>
  </si>
  <si>
    <t>LED: Integral, Replacing R/BR/PAR 38 &amp; 40</t>
  </si>
  <si>
    <t>LED: MR/PAR 16</t>
  </si>
  <si>
    <t>TLED 4'</t>
  </si>
  <si>
    <t>Other</t>
  </si>
  <si>
    <t>HVAC Demand Control Ventilation (Heat Pump)</t>
  </si>
  <si>
    <t>High Efficiency HVAC Retrofit</t>
  </si>
  <si>
    <t>HVAC Premium Service</t>
  </si>
  <si>
    <t xml:space="preserve">Web Enabled Thermostats </t>
  </si>
  <si>
    <t>HVAC Demand Control Ventilation (Gas Pack)</t>
  </si>
  <si>
    <t>Advanced Rooftop Controls 2000-4000 hours</t>
  </si>
  <si>
    <t>Advanced Rooftop Controls greater than 4000 hours</t>
  </si>
  <si>
    <t>Marketing program manager</t>
  </si>
  <si>
    <t>Sales Incentive - Dishwasher ST or MT - $50</t>
  </si>
  <si>
    <t>Commercial Washer - EWH / E Dryer</t>
  </si>
  <si>
    <t>Commercial Washer - EWH Only</t>
  </si>
  <si>
    <t>Commercial Washer - E Dryer Only</t>
  </si>
  <si>
    <t>Commercial Fryer</t>
  </si>
  <si>
    <t>Steam Cooker - 3 Pan - $250</t>
  </si>
  <si>
    <t>Steam Cooker - 4 Pan - $250</t>
  </si>
  <si>
    <t>Steam Cooker - 5 Pan - $250</t>
  </si>
  <si>
    <t>Steam Cooker - 6 Pan - $500</t>
  </si>
  <si>
    <t>Steam Cooker - 10 Pan - $500</t>
  </si>
  <si>
    <t>Ice Machine -  101 to 300 lbs Ice per Day</t>
  </si>
  <si>
    <t>Ice Machine - 301 to 500 lbs Ice per Day</t>
  </si>
  <si>
    <t>Ice Machine - 501 to 1000 lbs Ice per Day</t>
  </si>
  <si>
    <t>Ice Machine - 1001 to 1500 lbs Ice per Day</t>
  </si>
  <si>
    <t>Ice Machine -  Greater Than 1500 lbs Ice Per Day</t>
  </si>
  <si>
    <t>Convection Oven - Half Size - $500</t>
  </si>
  <si>
    <t>Convection Oven - Full Size - $1000</t>
  </si>
  <si>
    <t>Convection Oven - Double - $2000</t>
  </si>
  <si>
    <t>Combination Oven - $1000</t>
  </si>
  <si>
    <t>Dishwasher - Under Counter Low Temp - $150</t>
  </si>
  <si>
    <t>Dishwasher - Under Counter - High Temp - $150</t>
  </si>
  <si>
    <t>Dishwasher - Under Counter High Temp - Electric Booster</t>
  </si>
  <si>
    <t>Dishwasher - Door Type Low Temp - $750</t>
  </si>
  <si>
    <t>Dishwasher - Door Type High Temp - $750</t>
  </si>
  <si>
    <t>Dishwasher - Door Type High Temp - Electric Booster</t>
  </si>
  <si>
    <t>Dishwasher - ST Low Temp - $1000</t>
  </si>
  <si>
    <t>Dishwasher - ST Low Temp - Incidental Elec Savings</t>
  </si>
  <si>
    <t>Dishwasher - ST High Temp - $1000</t>
  </si>
  <si>
    <t>Dishwasher - ST High Temp - Electric Booster</t>
  </si>
  <si>
    <t>Dishwasher - MT Low Temp - $1500</t>
  </si>
  <si>
    <t>Dishwasher - MT High Temp - $1500</t>
  </si>
  <si>
    <t>Dishwasher - MT High Temp - Electric Booster</t>
  </si>
  <si>
    <t>Sales Incentive - Fryer - $30</t>
  </si>
  <si>
    <t>Sales Incentive - Steam Cooker - $30</t>
  </si>
  <si>
    <t>Sales Incentive - $30</t>
  </si>
  <si>
    <t>Sales Incentive - Comml Ovens - $50</t>
  </si>
  <si>
    <t>Sales Incentive - Dishwasher UC or DT - $30</t>
  </si>
  <si>
    <t>Comm Cooking</t>
  </si>
  <si>
    <t>Comm Refrigeration</t>
  </si>
  <si>
    <t>Marketing Materials &amp; Efforts</t>
  </si>
  <si>
    <t>Third Party Administrative Costs</t>
  </si>
  <si>
    <t>LED Open sign</t>
  </si>
  <si>
    <t>Load Sensing Smart Strip</t>
  </si>
  <si>
    <t>Activity Sensing Smart Controller</t>
  </si>
  <si>
    <t>Occupancy Sensors (&lt;100W)</t>
  </si>
  <si>
    <t>Occupancy Sensors (&gt;100W And &lt;150W)</t>
  </si>
  <si>
    <t>Occupancy Sensors (&gt;150W And &lt;200W)</t>
  </si>
  <si>
    <t>Occupancy Sensors (&gt;200W And &lt;450W)</t>
  </si>
  <si>
    <t>Occupancy Sensors (&gt;450)</t>
  </si>
  <si>
    <t>LED Exit Sign</t>
  </si>
  <si>
    <t>2' 1L T8 28w</t>
  </si>
  <si>
    <t xml:space="preserve"> 3' 1L T8 28w</t>
  </si>
  <si>
    <t>4' 1L T8 28w</t>
  </si>
  <si>
    <t>4' 1L LED</t>
  </si>
  <si>
    <t>4' 1L T8 to LED</t>
  </si>
  <si>
    <t>4' 2L T8 28w</t>
  </si>
  <si>
    <t>4' 2L LED</t>
  </si>
  <si>
    <t xml:space="preserve"> 4' 3L T8 28w</t>
  </si>
  <si>
    <t xml:space="preserve"> 4' 3L LED</t>
  </si>
  <si>
    <t>4' 2L T8 28w (delamp &amp; reflector)</t>
  </si>
  <si>
    <t>4' 2L LED (delamp &amp; reflector)</t>
  </si>
  <si>
    <t>4' 4L T8 28w</t>
  </si>
  <si>
    <t>4' 4L LED</t>
  </si>
  <si>
    <t>4' 3L T8 28w (delamp)</t>
  </si>
  <si>
    <t>4' 3L LED (delamp)</t>
  </si>
  <si>
    <t xml:space="preserve"> 4' 2L T8 28w (delamp &amp; reflector)</t>
  </si>
  <si>
    <t xml:space="preserve"> 4' 2L LED (delamp &amp; reflector)</t>
  </si>
  <si>
    <t>4' 2L T8 28W (retro kit 2L 8')</t>
  </si>
  <si>
    <t>4' 2L LED (retro kit 2L 8')</t>
  </si>
  <si>
    <t>4' 4L T8 28W (retro kit 4L 8')</t>
  </si>
  <si>
    <t>4' 4L LED (retro kit 4L 8')</t>
  </si>
  <si>
    <t>4' 4L T8 28W (retro kit 4L 8' NBF)</t>
  </si>
  <si>
    <t>4' 4L LED (retro kit 4L 8' NBF)</t>
  </si>
  <si>
    <t xml:space="preserve"> 4' 2L T8 28w (retro kit delamp)</t>
  </si>
  <si>
    <t xml:space="preserve"> 4' 2L LED (retro kit delamp)</t>
  </si>
  <si>
    <t>LED Fixture</t>
  </si>
  <si>
    <t>4' 6L T8 (NBF)</t>
  </si>
  <si>
    <t>80w LED Fixture</t>
  </si>
  <si>
    <t>2L F17T8 (NBF)</t>
  </si>
  <si>
    <t>2L F25T8 (NBF)</t>
  </si>
  <si>
    <t>2L F28T8 (NBF)</t>
  </si>
  <si>
    <t xml:space="preserve">Fixture LED, 35w Area (barn) w/ photo </t>
  </si>
  <si>
    <t>LED Canopy fixture</t>
  </si>
  <si>
    <t>Fixture LED, &lt;30w Wall pack (small) w/ photo</t>
  </si>
  <si>
    <t>Recessed Can 8" LED</t>
  </si>
  <si>
    <t>LED A Lamp 7W</t>
  </si>
  <si>
    <t>LED A Lamp 11W</t>
  </si>
  <si>
    <t>LED A Lamp 5W Globe</t>
  </si>
  <si>
    <t>LED MR 16</t>
  </si>
  <si>
    <t>LED Direction Par 20</t>
  </si>
  <si>
    <t>LED Direction Par 30</t>
  </si>
  <si>
    <t>LED Par 38 &amp; 40</t>
  </si>
  <si>
    <t>LED Decorative</t>
  </si>
  <si>
    <t>E Aer (ELEC) 0.5 GPM</t>
  </si>
  <si>
    <t>E Aer (ELEC) 1.0 GPM</t>
  </si>
  <si>
    <t>Pre-rinse sprayer, SBO &gt;2.6 to 1.6</t>
  </si>
  <si>
    <t>Pre-rinse sprayer, SBO 1.6 to 1.6</t>
  </si>
  <si>
    <t>Pre-rinse sprayer, SBO 2.2 to 1.6</t>
  </si>
  <si>
    <t>Pre-rinse sprayer, SBO 2.6 to 1.6</t>
  </si>
  <si>
    <t>Super Low Flow Shwrhd - Std (ELEC)</t>
  </si>
  <si>
    <t>Super Low Flow Shwrhd - Fitness Cntr (ELEC)</t>
  </si>
  <si>
    <t>Refrigerated DC 5' T12 to LED</t>
  </si>
  <si>
    <t>Refrigerated DC 5' T8 to LED</t>
  </si>
  <si>
    <t>Refrigerated DC 6' T12 to LED</t>
  </si>
  <si>
    <t>Refrigerated DC 6' T8 to LED</t>
  </si>
  <si>
    <t>Gaskets for Walk-In Freezer - Main Door</t>
  </si>
  <si>
    <t>Gaskets for Walk-In Cooler - Main Door</t>
  </si>
  <si>
    <t>Vending Cooler Miser</t>
  </si>
  <si>
    <t>Suction Line Insulation for Walk-In Refrigeration Units</t>
  </si>
  <si>
    <t>Suction Line Insulation for Walk-In Freezer Units</t>
  </si>
  <si>
    <t>Refrigeration - Food Service -Auto Closer for Main Cooler Doors</t>
  </si>
  <si>
    <t>Refrigeration - Food Service -Auto Closer for Main Freezer Doors</t>
  </si>
  <si>
    <t>Night Covers for Multi-deck and Horizontal Display Case</t>
  </si>
  <si>
    <t>Strip Curtains - G Store - Freezer</t>
  </si>
  <si>
    <t>Strip Curtains - G Store - Cooler</t>
  </si>
  <si>
    <t>Strip Curtains - C Store - Freezer</t>
  </si>
  <si>
    <t>Strip Curtains - Rest - Freezer</t>
  </si>
  <si>
    <t>Display Case ECM</t>
  </si>
  <si>
    <t>Walk-In ECM</t>
  </si>
  <si>
    <t>Case Lighting - Occupancy Sensor / Dimming Controls</t>
  </si>
  <si>
    <t>Controls - Anti-Sweat Heat (Low Temp)</t>
  </si>
  <si>
    <t>Controls - Anti-Sweat Heat (Med Temp)</t>
  </si>
  <si>
    <t>Cases - Add doors to Open Medium Temp Cases</t>
  </si>
  <si>
    <t>ECM Controller - High Temp</t>
  </si>
  <si>
    <t>ECM Controller- Low Temp</t>
  </si>
  <si>
    <t>Controls - Floating Head Pressure - Medium Temp</t>
  </si>
  <si>
    <t>Controls - Floating Head Pressure - Low Temp</t>
  </si>
  <si>
    <t>Andress Enpower HVAC Controller</t>
  </si>
  <si>
    <t>Small Pkg AC,  increase refrigerant charge from typical under-charge to factory specified level</t>
  </si>
  <si>
    <t>Small Pkg AC, increase refrigerant charge from high under-charge to factory specified level</t>
  </si>
  <si>
    <t>Small Pkg AC, decrease refrigerant charge from typical over-charge to factory specified level</t>
  </si>
  <si>
    <t>Small Pkg AC, decrease refrigerant charge from high over-charge to factory specified level</t>
  </si>
  <si>
    <t>Programmable Communicating Thermostat</t>
  </si>
  <si>
    <t>Packages Heat Pump (PTAC)</t>
  </si>
  <si>
    <t>Individual Energy Reports - Expansion - Electric Only</t>
  </si>
  <si>
    <t>Individual Energy Reports - Expansion - HRU</t>
  </si>
  <si>
    <t>Individual Energy Reports - Expansion - Rural</t>
  </si>
  <si>
    <t>Refill Year 1</t>
  </si>
  <si>
    <t>Employee training, travel, lodging</t>
  </si>
  <si>
    <t>Phone Expense, Office supplies</t>
  </si>
  <si>
    <t>Revenue (Enter as a negative value)</t>
  </si>
  <si>
    <t>Web-Enabled T-stat</t>
  </si>
  <si>
    <t>18230xxx</t>
  </si>
  <si>
    <t>Manufacturer Parnterhips</t>
  </si>
  <si>
    <t>Web-Enabled Thermostats (Retail)</t>
  </si>
  <si>
    <t>Web-Enabled Thermostats (Contractor Installed)</t>
  </si>
  <si>
    <t>Premium Service</t>
  </si>
  <si>
    <t>Web Enabled Thermostats No Electric Heat</t>
  </si>
  <si>
    <t>HVAC retrofit</t>
  </si>
  <si>
    <t>HVAC Demand Control Ventilation - G</t>
  </si>
  <si>
    <t>WRA Membership Dues</t>
  </si>
  <si>
    <t>Commercial Fryer - G</t>
  </si>
  <si>
    <t>Steam Cooker - 3 Pan - $250 - G</t>
  </si>
  <si>
    <t>Steam Cooker - 4 Pan - $250 - G</t>
  </si>
  <si>
    <t>Steam Cooker - 5 Pan - $250 - G</t>
  </si>
  <si>
    <t>Steam Cooker - 6 Pan - $500 - G</t>
  </si>
  <si>
    <t>Steam Cooker - 10 Pan - $500 - G</t>
  </si>
  <si>
    <t>Convection Oven - Full Size - $1000 - G</t>
  </si>
  <si>
    <t>Convection Oven - Double - $2000 - G</t>
  </si>
  <si>
    <t>Combination Oven - $2000 - G</t>
  </si>
  <si>
    <t>Double Rack Oven - $2000 - G</t>
  </si>
  <si>
    <t>Conveyer Oven - $2000 - G</t>
  </si>
  <si>
    <t>Conveyer Oven - $4000 - G</t>
  </si>
  <si>
    <t>Dishwasher - Under Counter Low Temp - $150 - G</t>
  </si>
  <si>
    <t>Dishwasher - Under Counter High Temp - $0 - G</t>
  </si>
  <si>
    <t>Dishwasher - Door Type Low Temp - $750 - G</t>
  </si>
  <si>
    <t>Dishwasher - Door Type High Temp - $250 - G</t>
  </si>
  <si>
    <t>Dishwasher - ST Low Temp - $1000 - G</t>
  </si>
  <si>
    <t>Dishwasher - ST High Temp - $250 - G</t>
  </si>
  <si>
    <t>Dishwasher - MT Low Temp - $1500 - G</t>
  </si>
  <si>
    <t>Dishwasher - MT High Temp - $500 - G</t>
  </si>
  <si>
    <t>Hot Water Heater- Kitchen - G</t>
  </si>
  <si>
    <t>Boiler - Kitchen - G</t>
  </si>
  <si>
    <t>Sales Incentive - Fryer - $30 - G</t>
  </si>
  <si>
    <t>Sales Incentive - Steam Cooker - $30 - G</t>
  </si>
  <si>
    <t>Sales Incentive Comml Oven - $50 - G</t>
  </si>
  <si>
    <t>Sales Incentive - Under Counter Or Door Type - $30 - G</t>
  </si>
  <si>
    <t>Sales Incentive - Single or Multi Tank - $50 - G</t>
  </si>
  <si>
    <t>Commercial Washer - GWH / G Dryer</t>
  </si>
  <si>
    <t>Commercial Washer - GWH Only</t>
  </si>
  <si>
    <t>Commercial Washer - G Dryer Only</t>
  </si>
  <si>
    <t>Hot Water Heater - Laundry - G</t>
  </si>
  <si>
    <t>Boiler - Laundry - G</t>
  </si>
  <si>
    <t>Employee Training, travel, lodging</t>
  </si>
  <si>
    <t>Small Agr. Direct Install</t>
  </si>
  <si>
    <t>Lodging Direct Install</t>
  </si>
  <si>
    <t>Small Agricultural Direct Install</t>
  </si>
  <si>
    <t>1823xxxx</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</si>
  <si>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</si>
  <si>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</si>
  <si>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</si>
  <si>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</si>
  <si>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</si>
  <si>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</si>
  <si>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</si>
  <si>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</si>
  <si>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</si>
  <si>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</si>
  <si>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</si>
  <si>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</si>
  <si>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</si>
  <si>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Freeze Resistant Stock Water Tanks/Fountains - Heating Zone 1</t>
  </si>
  <si>
    <t>Freeze Resistant Stock Water Tanks/Fountains - Heating Zone 2</t>
  </si>
  <si>
    <t>Variable Frequency Drive on Spud or Onion Shed Ventilation Fan - 5 HP</t>
  </si>
  <si>
    <t>Variable Frequency Drive on Spud or Onion Shed Ventilation Fan - 10 HP</t>
  </si>
  <si>
    <t>Variable Frequency Drive on Spud or Onion Shed Ventilation Fan - 15 HP</t>
  </si>
  <si>
    <t>Variable Frequency Drive on Spud or Onion Shed Ventilation Fan - 20 HP</t>
  </si>
  <si>
    <t>Variable Frequency Drive on Spud or Onion Shed Ventilation Fan - 25 HP</t>
  </si>
  <si>
    <t>Variable Frequency Drive on Spud or Onion Shed Ventilation Fan - 30 HP</t>
  </si>
  <si>
    <t>Variable Frequency Drive on Spud or Onion Shed Ventilation Fan - 35 HP</t>
  </si>
  <si>
    <t>Variable Frequency Drive on Spud or Onion Shed Ventilation Fan - 40 HP</t>
  </si>
  <si>
    <t>Variable Frequency Drive on Spud or Onion Shed Ventilation Fan - 45 HP</t>
  </si>
  <si>
    <t>Variable Frequency Drive on Spud or Onion Shed Ventilation Fan - 50 HP</t>
  </si>
  <si>
    <t>Evaporator Motor - Shaded Pole to ECM for Walk-ins &gt;23 Watt</t>
  </si>
  <si>
    <t>Evaporator Motor - Shaded Pole to ECM for Walk-ins ≤ 23 Watt</t>
  </si>
  <si>
    <t>Comm Flat</t>
  </si>
  <si>
    <t>Comm Cooling</t>
  </si>
  <si>
    <t>.05 FTE</t>
  </si>
  <si>
    <t>Revenue (enter as a negative amt)</t>
  </si>
  <si>
    <t>Occupancy Sensors (&gt;450W)</t>
  </si>
  <si>
    <t xml:space="preserve"> 4' 2L LED (retro kit delamp/)</t>
  </si>
  <si>
    <t>LED Pole Mount Fixture</t>
  </si>
  <si>
    <t>Int/Ext Recessed Can 8" LED</t>
  </si>
  <si>
    <t>Water Heater Line Insualtion (Elec)</t>
  </si>
  <si>
    <t>Packaged Terminal Heat Pump (PTHP)</t>
  </si>
  <si>
    <t>Kitchen Hood Vent Controlled/VFD (RETRO)</t>
  </si>
  <si>
    <t>Packaged Terminal Heat Pump (PTHP) occupancy control</t>
  </si>
  <si>
    <t>Pool Pump VFD</t>
  </si>
  <si>
    <t>Air Sealing CFM 50 - Gas</t>
  </si>
  <si>
    <t>Attic Insulation R-0 to R-49 - Gas</t>
  </si>
  <si>
    <t>Attic Insulation R-11 to R-49 - Gas</t>
  </si>
  <si>
    <t>CO Monitor</t>
  </si>
  <si>
    <t>Floor Insulation R-0 to R-30 - Gas</t>
  </si>
  <si>
    <t xml:space="preserve">HEA - Inhome - Gas </t>
  </si>
  <si>
    <t>Prescriptive Duct Sealing and Insulation - Gas</t>
  </si>
  <si>
    <t xml:space="preserve">Showerhead - leave behind </t>
  </si>
  <si>
    <t>Wall Insulation R-0 to R-13 - Gas</t>
  </si>
  <si>
    <t>Windows Double Pane to U.30 - Gas</t>
  </si>
  <si>
    <t>Windows Single Pane to U..30 - Gas</t>
  </si>
  <si>
    <t>Low-e Storm Window Double  Pane Metal Framed</t>
  </si>
  <si>
    <t>Condensing Boiler - Space Heat</t>
  </si>
  <si>
    <t>Condensing Boiler - DHW</t>
  </si>
  <si>
    <t>Condensing Water Heater - DHW</t>
  </si>
  <si>
    <t>Solar Thermal</t>
  </si>
  <si>
    <t>1.75 gpm max showerhead</t>
  </si>
  <si>
    <t>1.50 gpm max showerhead</t>
  </si>
  <si>
    <t>Material Purchases</t>
  </si>
  <si>
    <t>Avg. Staff Salaries</t>
  </si>
  <si>
    <t>Employee training, development, certifications</t>
  </si>
  <si>
    <t>Ferry pass, travel, mileage, parking, tolls, lodging, meals</t>
  </si>
  <si>
    <t>ECOVA</t>
  </si>
  <si>
    <t>Phone equipment, mifi's, field equipment</t>
  </si>
  <si>
    <t>Safety Gear, uniform/field gear</t>
  </si>
  <si>
    <t xml:space="preserve"> Avg. Staff Salaries</t>
  </si>
  <si>
    <t>Ferry pass, travel, mileage, parking, tolls, meals, lodging</t>
  </si>
  <si>
    <t>Safety gear, uniform/field gear</t>
  </si>
  <si>
    <t>Small Agriculture Direct Install</t>
  </si>
  <si>
    <t>Rebates Processing</t>
  </si>
  <si>
    <t>Average Staff Salaries</t>
  </si>
  <si>
    <t>Travel, mileage, parking, meals, lodging</t>
  </si>
  <si>
    <t>Office supplies</t>
  </si>
  <si>
    <t>Communications Contractor Support (.17)</t>
  </si>
  <si>
    <t>Water Heater Line Insualtion (Gas)</t>
  </si>
  <si>
    <t>AGENCY PAYMENTS</t>
  </si>
  <si>
    <t>Program Support Costs</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</si>
  <si>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</si>
  <si>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</si>
  <si>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</si>
  <si>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</si>
  <si>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</si>
  <si>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</si>
  <si>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</si>
  <si>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</si>
  <si>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</si>
  <si>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</si>
  <si>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</si>
  <si>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</si>
  <si>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</si>
  <si>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</si>
  <si>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</si>
  <si>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</si>
  <si>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</si>
  <si>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</si>
  <si>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</si>
  <si>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</si>
  <si>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</si>
  <si>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</si>
  <si>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</si>
  <si>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</si>
  <si>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</si>
  <si>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</si>
  <si>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</si>
  <si>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</si>
  <si>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</si>
  <si>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Common Area Measures: Combined Space and Water Heat TG. MF</t>
  </si>
  <si>
    <t>Integrated Space and Water Heat~SF</t>
  </si>
  <si>
    <t>Integrated Space and Water Heat~MF</t>
  </si>
  <si>
    <t>Aerator - 1.5 gpm GWH - Direct Install, SF</t>
  </si>
  <si>
    <t>Aerator - 1.5 gpm GWH - Direct Install, MF</t>
  </si>
  <si>
    <t>Aerator - 1.5 gpm GWH - Direct Install, MH</t>
  </si>
  <si>
    <t>Represented as DBtC</t>
  </si>
  <si>
    <t>Agency Payments</t>
  </si>
  <si>
    <t>IT Services</t>
  </si>
  <si>
    <t>IT Updates</t>
  </si>
  <si>
    <t>Web Tstat Detail_REM E214 Elec</t>
  </si>
  <si>
    <t>Lodging DI_E262 Elec</t>
  </si>
  <si>
    <t>Sm Agr DI_E262 Elect</t>
  </si>
  <si>
    <t>Sm Agr DI_G262 Gas</t>
  </si>
  <si>
    <t>1823nnnn</t>
  </si>
  <si>
    <t>_</t>
  </si>
  <si>
    <t>Lodging DI_G262_Gas</t>
  </si>
  <si>
    <t>Lodging DI_G262_gas</t>
  </si>
  <si>
    <t>1823yyyy</t>
  </si>
  <si>
    <t>Includes CTBU</t>
  </si>
  <si>
    <t xml:space="preserve">    Cellnet (Meter Data Collection Fees)</t>
  </si>
  <si>
    <t>IT for Resource Accounting Software</t>
  </si>
  <si>
    <t>449 Customers</t>
  </si>
  <si>
    <t>Non-449 Customers</t>
  </si>
  <si>
    <t>LPSD_Detail_Non-449 Elec</t>
  </si>
  <si>
    <t>LPSD_Detail_449_Elec</t>
  </si>
  <si>
    <t>Bellevue Urban Smart</t>
  </si>
  <si>
    <t>Bellevue Urban Smart (RCM)</t>
  </si>
  <si>
    <t>Order Number:</t>
  </si>
  <si>
    <t>Order Number: 18230414</t>
  </si>
  <si>
    <t>Contracted Services: EnerNOC + C+C</t>
  </si>
  <si>
    <t>IT Assistance</t>
  </si>
  <si>
    <t>RCM B-U-S Detail_E253 Elec</t>
  </si>
  <si>
    <t>Nexant DSM project costs</t>
  </si>
  <si>
    <t>Nexant DSM Ongoing support</t>
  </si>
  <si>
    <t>Automated Benchmarking System</t>
  </si>
  <si>
    <t>ResAcctSW Detail_PSWE_Elec</t>
  </si>
  <si>
    <t>ABS Detail_PSWE_Elec</t>
  </si>
  <si>
    <t>Resource Accounting Software</t>
  </si>
  <si>
    <t>ResAcctSW Detail_PSWE_Gas</t>
  </si>
  <si>
    <t>ABS Detail_PSWE_Gas</t>
  </si>
  <si>
    <r>
      <rPr>
        <sz val="10"/>
        <color theme="1"/>
        <rFont val="Arial"/>
        <family val="2"/>
      </rPr>
      <t>Business Rebates</t>
    </r>
  </si>
  <si>
    <t>2016-2017 GRAND TOTAL, GAS PROGRAMS</t>
  </si>
  <si>
    <t>DX Web Program Manager</t>
  </si>
  <si>
    <t>(DX=Digital Experience)</t>
  </si>
  <si>
    <t>Communications Contractor Support</t>
  </si>
  <si>
    <t xml:space="preserve">     Marketing Labor</t>
  </si>
  <si>
    <t>Annual meeting expenses and support for regional org.'s</t>
  </si>
  <si>
    <t>Covering cost of annual RCM meeting, support for related organizations</t>
  </si>
  <si>
    <t>IT for Resource Accounting Sortware</t>
  </si>
  <si>
    <t xml:space="preserve">Program Staff </t>
  </si>
  <si>
    <t xml:space="preserve">Marketing Staff </t>
  </si>
  <si>
    <t>EE Community-specific materials</t>
  </si>
  <si>
    <t>Employee engagement</t>
  </si>
  <si>
    <t>Home Energy Assessment</t>
  </si>
  <si>
    <t>Home Energy Assessments</t>
  </si>
  <si>
    <t xml:space="preserve">Budget amounts account for additional funding Per paragraph 178, page 76, Order 7 of Docket 130137  re: decoupling </t>
  </si>
  <si>
    <t>Natural Gas</t>
  </si>
  <si>
    <t>Executive Summary Table 1a</t>
  </si>
  <si>
    <t>Sector Introduction Tables</t>
  </si>
  <si>
    <t xml:space="preserve">Electric </t>
  </si>
  <si>
    <t>Targets</t>
  </si>
  <si>
    <t>Budgets</t>
  </si>
  <si>
    <r>
      <t>UC/</t>
    </r>
    <r>
      <rPr>
        <b/>
        <sz val="14"/>
        <color indexed="12"/>
        <rFont val="Arial"/>
        <family val="2"/>
      </rPr>
      <t>TRC</t>
    </r>
  </si>
  <si>
    <t>BEM</t>
  </si>
  <si>
    <t>UC &amp; TRC are hand-entered from Exhibit 2</t>
  </si>
  <si>
    <t>Portfolio Amounts</t>
  </si>
  <si>
    <t>TRC</t>
  </si>
  <si>
    <t>TRC figures are hand-entered from Exhibit 2.</t>
  </si>
  <si>
    <t>2016-2017 Energy Efficiency</t>
  </si>
  <si>
    <t>All lines in the Portfolio view are coded with a reference, such as "aa" or "f".  This makes conference discussions and data requests much easier.</t>
  </si>
  <si>
    <t>In all program detail pages, program names, order number, and fuel type are noted in both the horizontal and vertical margins, providing a quick reference</t>
  </si>
  <si>
    <t>HVAC-Duct Sealing Initiative</t>
  </si>
  <si>
    <t>(All DBtC/All Savings Programs)</t>
  </si>
  <si>
    <t>(All DBtC/All Electric Sectors)</t>
  </si>
  <si>
    <t>(All DBtC/All Gas Sectors)</t>
  </si>
  <si>
    <t>Readers will notice that, on the Sector View pages, the line for Commercial Direct Install (Non-SBDI) is hidden.  That's because the measures that</t>
  </si>
  <si>
    <t>Refrigerator Replacement Year 1-10</t>
  </si>
  <si>
    <t>Refrigerator Replacement Year 1-15</t>
  </si>
  <si>
    <t>Clothes Washer Replacement Electric WH / Electric Dryer - Top load</t>
  </si>
  <si>
    <t>Clothes Washer CEE Tier 1 Any WH/Any Dryer - Top load</t>
  </si>
  <si>
    <t>Adapter - ShowerStart (E)</t>
  </si>
  <si>
    <t>Adapter-ShowerStart - C_Electric Water Heat</t>
  </si>
  <si>
    <t>Showerhead-ShowerStart - C_Electric Water Heat</t>
  </si>
  <si>
    <t>Duct Pilot</t>
  </si>
  <si>
    <t>Performance HVAC Program</t>
  </si>
  <si>
    <t>Adapter - ShowerStart (G)</t>
  </si>
  <si>
    <t>Adapter-ShowerStart - C_Gas Water Heat</t>
  </si>
  <si>
    <t>Showerhead-ShowerStart - C_Gas Water Heat</t>
  </si>
  <si>
    <t xml:space="preserve">Whole Building </t>
  </si>
  <si>
    <t>Limited Time Offer Incentive Increases</t>
  </si>
  <si>
    <t>MH Air Source Heat Pump</t>
  </si>
  <si>
    <t>Additional Measures evaluated by Consultant (RFP)</t>
  </si>
  <si>
    <t>Premium Service Implementatin</t>
  </si>
  <si>
    <t>Energy Advisor</t>
  </si>
  <si>
    <t>2' 1L T12 to 2' 1L T8 2015</t>
  </si>
  <si>
    <t>3' 1L T12 to 3' 1L T8 2015</t>
  </si>
  <si>
    <t>4' 1L T12 to 4' 1L T8 2015</t>
  </si>
  <si>
    <t>4' 2L T12 HO to 4' 2L T8 2015</t>
  </si>
  <si>
    <t>4' 2L T12 to 4' 2L T8 2015</t>
  </si>
  <si>
    <t>4' 2L T12 to 4' 2L LED</t>
  </si>
  <si>
    <t>4' 2L T8 to 4' 2L LED</t>
  </si>
  <si>
    <t>4' 3L T12 HO to 4' 3L T8</t>
  </si>
  <si>
    <t xml:space="preserve"> 4' 3L T12 to 4' 3L LED</t>
  </si>
  <si>
    <t xml:space="preserve"> 4' 3L T8 to 4' 3L LED</t>
  </si>
  <si>
    <t>4' 4L T12 to 4' 2L T8 (delamp &amp; reflector)</t>
  </si>
  <si>
    <t xml:space="preserve">4' 4L T12 to 4' 4L T8 </t>
  </si>
  <si>
    <t>4' 4L T12 to 4' 3L T8 (delamp)</t>
  </si>
  <si>
    <t>4' 4L T12 HO to 4' 2L T8 (delamp &amp; reflector)</t>
  </si>
  <si>
    <t>8' 1L T12 HO F96 to 4' 2L 28W (retro kit 2L 8')</t>
  </si>
  <si>
    <t>8' 2L T12 HO F96 to 4' 4L 28W (retro kit 4L 8' NBF)</t>
  </si>
  <si>
    <t>8' 1L T8 F96 to 4' 2L 28W (retro kit 2L 8')</t>
  </si>
  <si>
    <t>8' 2L T8 F96 to 4' 4L 28W (retro kit 4L 8')</t>
  </si>
  <si>
    <t>8' 2L T12 Delamp to 4' 2L T8 (retro kit delamp)</t>
  </si>
  <si>
    <t>400W HID to 4' 6L T8 (HBF)</t>
  </si>
  <si>
    <t>80W Multi-Lamp Inc Fixture to 2L F17T8 (NBF)</t>
  </si>
  <si>
    <t>&lt;30W LED Wall Pack with Photocell</t>
  </si>
  <si>
    <t>Bi-Level</t>
  </si>
  <si>
    <t>2' 1L T12 HO To 2' 1L T8 2015</t>
  </si>
  <si>
    <t>custom incentives</t>
  </si>
  <si>
    <t>comprised this program are now offered through the Small Business, Agricultural, and Lodging Direct Install programs.  The lines (and corresponding</t>
  </si>
  <si>
    <t>detail pages--which now have red tabs) were not deleted, however, in case the program was brought out of hiatus in the future.</t>
  </si>
  <si>
    <t>EIA Penalty Target</t>
  </si>
  <si>
    <t xml:space="preserve">Plus Decoupling Commitment (5% add) </t>
  </si>
  <si>
    <t>2016-2017 Pilots</t>
  </si>
  <si>
    <t>Total 2016-2017 Portfolio Savings</t>
  </si>
  <si>
    <t>This figure is what Energy Efficiency is managing to.</t>
  </si>
  <si>
    <t>Exclude</t>
  </si>
  <si>
    <t>NEEA Savings</t>
  </si>
  <si>
    <t>Energy Report Pilots</t>
  </si>
  <si>
    <t>EIA Target + Decoupling Commitment. $50/MWh of shortfall.</t>
  </si>
  <si>
    <t>Add</t>
  </si>
  <si>
    <t>= a + b</t>
  </si>
  <si>
    <r>
      <t>= c * 0.05</t>
    </r>
    <r>
      <rPr>
        <sz val="8"/>
        <color theme="1"/>
        <rFont val="Arial"/>
        <family val="2"/>
      </rPr>
      <t xml:space="preserve"> </t>
    </r>
    <r>
      <rPr>
        <i/>
        <sz val="8"/>
        <color theme="1"/>
        <rFont val="Arial"/>
        <family val="2"/>
      </rPr>
      <t>("base" * 5%)</t>
    </r>
  </si>
  <si>
    <t>= e</t>
  </si>
  <si>
    <t>PSE added new navigation buttons to the detail pages.  Now, readers can navigate directly to a corresponding gas or electric detail page.</t>
  </si>
  <si>
    <t>(The exception, of course, are those programs that are gas-or electric-only, or retired [red tab] programs.)</t>
  </si>
  <si>
    <t>Customer Digital  Experience</t>
  </si>
  <si>
    <t>$50/MWh shortfall penalty</t>
  </si>
  <si>
    <t>Decoupling Commitment</t>
  </si>
  <si>
    <t>= d</t>
  </si>
  <si>
    <t>Energy Report Pilots without verified savings</t>
  </si>
  <si>
    <t>Total natural gas savings subject to penalty</t>
  </si>
  <si>
    <r>
      <t>Figure</t>
    </r>
    <r>
      <rPr>
        <b/>
        <i/>
        <sz val="10"/>
        <color rgb="FF5566E3"/>
        <rFont val="Arial"/>
        <family val="2"/>
      </rPr>
      <t xml:space="preserve"> 3</t>
    </r>
    <r>
      <rPr>
        <sz val="10"/>
        <color theme="1"/>
        <rFont val="Arial"/>
        <family val="2"/>
      </rPr>
      <t>, Exhibit i</t>
    </r>
  </si>
  <si>
    <r>
      <t xml:space="preserve">line </t>
    </r>
    <r>
      <rPr>
        <b/>
        <i/>
        <sz val="10"/>
        <color rgb="FF5566E3"/>
        <rFont val="Arial"/>
        <family val="2"/>
      </rPr>
      <t>z</t>
    </r>
    <r>
      <rPr>
        <sz val="10"/>
        <color theme="1"/>
        <rFont val="Arial"/>
        <family val="2"/>
      </rPr>
      <t xml:space="preserve"> of Exhibit 1 Portfolio View</t>
    </r>
  </si>
  <si>
    <r>
      <t>line</t>
    </r>
    <r>
      <rPr>
        <sz val="10"/>
        <color rgb="FF0070C0"/>
        <rFont val="Arial"/>
        <family val="2"/>
      </rPr>
      <t xml:space="preserve"> </t>
    </r>
    <r>
      <rPr>
        <b/>
        <i/>
        <sz val="10"/>
        <color rgb="FF0070C0"/>
        <rFont val="Arial"/>
        <family val="2"/>
      </rPr>
      <t xml:space="preserve">l </t>
    </r>
    <r>
      <rPr>
        <sz val="10"/>
        <color theme="1"/>
        <rFont val="Arial"/>
        <family val="2"/>
      </rPr>
      <t>of Exhibit 1 Portfolio View</t>
    </r>
  </si>
  <si>
    <r>
      <t>= c + d + e; lines</t>
    </r>
    <r>
      <rPr>
        <sz val="10"/>
        <color rgb="FF0070C0"/>
        <rFont val="Arial"/>
        <family val="2"/>
      </rPr>
      <t xml:space="preserve"> bb</t>
    </r>
    <r>
      <rPr>
        <sz val="10"/>
        <color theme="1"/>
        <rFont val="Arial"/>
        <family val="2"/>
      </rPr>
      <t xml:space="preserve"> </t>
    </r>
    <r>
      <rPr>
        <sz val="10"/>
        <color rgb="FF0070C0"/>
        <rFont val="Arial"/>
        <family val="2"/>
      </rPr>
      <t xml:space="preserve">&amp; bf </t>
    </r>
    <r>
      <rPr>
        <sz val="10"/>
        <color theme="1"/>
        <rFont val="Arial"/>
        <family val="2"/>
      </rPr>
      <t>of Exhibit 1 Portfolio View</t>
    </r>
  </si>
  <si>
    <r>
      <t xml:space="preserve">line </t>
    </r>
    <r>
      <rPr>
        <u/>
        <sz val="10"/>
        <color rgb="FF0070C0"/>
        <rFont val="Arial"/>
        <family val="2"/>
      </rPr>
      <t xml:space="preserve">aa </t>
    </r>
    <r>
      <rPr>
        <u/>
        <sz val="10"/>
        <color theme="1"/>
        <rFont val="Arial"/>
        <family val="2"/>
      </rPr>
      <t>of Exhibit 1</t>
    </r>
    <r>
      <rPr>
        <sz val="10"/>
        <color theme="1"/>
        <rFont val="Arial"/>
        <family val="2"/>
      </rPr>
      <t xml:space="preserve"> Portfolio View</t>
    </r>
  </si>
  <si>
    <r>
      <t>= c + d; line</t>
    </r>
    <r>
      <rPr>
        <sz val="10"/>
        <color rgb="FF0070C0"/>
        <rFont val="Arial"/>
        <family val="2"/>
      </rPr>
      <t xml:space="preserve"> bb</t>
    </r>
    <r>
      <rPr>
        <sz val="10"/>
        <color theme="1"/>
        <rFont val="Arial"/>
        <family val="2"/>
      </rPr>
      <t xml:space="preserve"> of Exhibit 1 Portfolio View</t>
    </r>
  </si>
  <si>
    <r>
      <t xml:space="preserve">line </t>
    </r>
    <r>
      <rPr>
        <sz val="10"/>
        <color rgb="FF0070C0"/>
        <rFont val="Arial"/>
        <family val="2"/>
      </rPr>
      <t xml:space="preserve">ab </t>
    </r>
    <r>
      <rPr>
        <sz val="10"/>
        <color theme="1"/>
        <rFont val="Arial"/>
        <family val="2"/>
      </rPr>
      <t>of Exhibit 1 Portfolio View</t>
    </r>
  </si>
  <si>
    <t>Page 24, July 16 CRAG meeting presentation</t>
  </si>
  <si>
    <t>2016-2017 Behavioral Pilots</t>
  </si>
  <si>
    <t>Totals by Sectors--Electric</t>
  </si>
  <si>
    <t>Savings, MWh</t>
  </si>
  <si>
    <t>Budget</t>
  </si>
  <si>
    <t>Sector</t>
  </si>
  <si>
    <t>Regional Programs</t>
  </si>
  <si>
    <t>Savings, Therms</t>
  </si>
  <si>
    <t>-</t>
  </si>
  <si>
    <t>Totals</t>
  </si>
  <si>
    <t>There are several new summary pages to enable easier reference; some for new programs, others to provide additional reference for existing programs</t>
  </si>
  <si>
    <t>Decoupling Commitment Amount</t>
  </si>
  <si>
    <t>Resultant Targets</t>
  </si>
  <si>
    <t>Total Exclusion</t>
  </si>
  <si>
    <t>= g + h + i</t>
  </si>
  <si>
    <t>= f + j</t>
  </si>
  <si>
    <t>Remove these elements in order to calculate the EIA penalty target.</t>
  </si>
  <si>
    <t>These are specific elements that comprise the Portfolio View of Exhibit 1.</t>
  </si>
  <si>
    <t>All prgrams contribute to the decoupling commitment.</t>
  </si>
  <si>
    <t>Portfolio titles clearly distinguish between two-and single-year views.</t>
  </si>
  <si>
    <t>Resultant Target</t>
  </si>
  <si>
    <t>These are specific elements that comprise the Portfolio View of Exhibit 1</t>
  </si>
  <si>
    <t>Remove these elements in order to calculate the penalty target.</t>
  </si>
  <si>
    <t>= e + h</t>
  </si>
  <si>
    <t>= f + g</t>
  </si>
  <si>
    <r>
      <t>Colored cells correspond to indicated lines in Exhibit 1:</t>
    </r>
    <r>
      <rPr>
        <i/>
        <sz val="10"/>
        <color theme="1"/>
        <rFont val="Arial"/>
        <family val="2"/>
      </rPr>
      <t xml:space="preserve"> Savings and Budgets, 2-Year Portfolio View</t>
    </r>
    <r>
      <rPr>
        <sz val="10"/>
        <color theme="1"/>
        <rFont val="Arial"/>
        <family val="2"/>
      </rPr>
      <t>.</t>
    </r>
  </si>
  <si>
    <t>Plus Legacy HER</t>
  </si>
  <si>
    <t>Total Base Savings</t>
  </si>
  <si>
    <t>Plus Energy Reports Pilots Without Verified Savings</t>
  </si>
  <si>
    <r>
      <t>2.62/</t>
    </r>
    <r>
      <rPr>
        <sz val="14"/>
        <color indexed="12"/>
        <rFont val="Arial"/>
        <family val="2"/>
      </rPr>
      <t>1.76</t>
    </r>
  </si>
  <si>
    <r>
      <t>2.33/</t>
    </r>
    <r>
      <rPr>
        <sz val="14"/>
        <color indexed="12"/>
        <rFont val="Arial"/>
        <family val="2"/>
      </rPr>
      <t>1.56</t>
    </r>
  </si>
  <si>
    <r>
      <t>2.47/</t>
    </r>
    <r>
      <rPr>
        <sz val="14"/>
        <color indexed="12"/>
        <rFont val="Arial"/>
        <family val="2"/>
      </rPr>
      <t>1.94</t>
    </r>
  </si>
  <si>
    <r>
      <t>2.01/</t>
    </r>
    <r>
      <rPr>
        <sz val="14"/>
        <color indexed="12"/>
        <rFont val="Arial"/>
        <family val="2"/>
      </rPr>
      <t>1.88</t>
    </r>
  </si>
  <si>
    <t xml:space="preserve">Please see Tables 1c and 1d, and their associated discussion starting on page 10 for additional target </t>
  </si>
  <si>
    <t xml:space="preserve">development details.  Indicated TRC figures include a 10 percent adder, consistent with condition (10)(a) </t>
  </si>
  <si>
    <t xml:space="preserve">Some programs in the Portfolio and Sector Views, (Single Family Existing and Electronic Media Tools &amp; Marketing, for instance) are comprised </t>
  </si>
  <si>
    <t>of sub-groupings.</t>
  </si>
  <si>
    <t>(IRP Guidance + HER Legacy) * 5%</t>
  </si>
  <si>
    <t>Total, All Programs, less (NEEA savings + Energy Report Pilots + Decoupling [Electric only])</t>
  </si>
  <si>
    <t>Total, All Programs, less (NEEA + Energy Report Pilots)</t>
  </si>
  <si>
    <t>EIA &amp; Natural Gas Penalty Target</t>
  </si>
  <si>
    <t>Puget Sound Energy 2016-2017 Electric Portfolio Savings</t>
  </si>
  <si>
    <t>Puget Sound Energy 2016-2017 Natual Gas Portfolio Savings</t>
  </si>
  <si>
    <t>Biennial EIA Penalty Target &amp; Natural Gas Penalty Target</t>
  </si>
  <si>
    <t>It is important to note that many specific natural gas program total values include decimals. Their aggregation may</t>
  </si>
  <si>
    <t>result in slight rounding differences between this table and the Portfolio View of Exhibit 1.</t>
  </si>
  <si>
    <t>2016-2017 BEM</t>
  </si>
  <si>
    <t>2016-2017 REM</t>
  </si>
  <si>
    <t>Totals by Sector--Gas</t>
  </si>
  <si>
    <t>and the Commission's Policy Statement on natural gas cost-effectiveness discussions in Docket No. UG-121207.</t>
  </si>
  <si>
    <t>It is important to note that rounding of individual Sector totals may cause discrepancies with the Portfolio</t>
  </si>
  <si>
    <t>totals noted in Table 1a.  Detailed totals are provided in the Portfolio View of Exhibit 1: Savings and Budgets.</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</si>
</sst>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 &quot;therms&quot;"/>
    <numFmt numFmtId="174" formatCode="General\ &quot;thms/unit&quot;"/>
    <numFmt numFmtId="175" formatCode="0.0"/>
    <numFmt numFmtId="176" formatCode="#,###\ &quot;kWh/yr&quot;"/>
    <numFmt numFmtId="177" formatCode="#,###\ &quot;Therms/yr&quot;"/>
    <numFmt numFmtId="178" formatCode="#,##0.0000"/>
    <numFmt numFmtId="179" formatCode="0.0000"/>
    <numFmt numFmtId="180" formatCode="_(&quot;$&quot;* #,##0_);_(&quot;$&quot;* \(#,##0\);_(&quot;$&quot;* &quot;-&quot;?_);_(@_)"/>
    <numFmt numFmtId="181" formatCode="#,###.0\ &quot;aMW&quot;"/>
    <numFmt numFmtId="182" formatCode="[$-F800]dddd\,\ mmmm\ dd\,\ yyyy"/>
    <numFmt numFmtId="183" formatCode="[$-409]m/d/yy\ h:mm\ AM/PM;@"/>
    <numFmt numFmtId="184" formatCode="##.0\ &quot;FTEs&quot;"/>
    <numFmt numFmtId="185" formatCode="###.0\ &quot;aMW&quot;"/>
    <numFmt numFmtId="186" formatCode="_(&quot;$&quot;* #,##0.000_);_(&quot;$&quot;* \(#,##0.000\);_(&quot;$&quot;* &quot;-&quot;??_);_(@_)"/>
    <numFmt numFmtId="187" formatCode="m/d/\ h:mm"/>
    <numFmt numFmtId="188" formatCode="#,##0.0_);\(#,##0.0\)"/>
    <numFmt numFmtId="189" formatCode="#,###\ &quot;MWh&quot;"/>
    <numFmt numFmtId="190" formatCode="#,##0.0"/>
    <numFmt numFmtId="191" formatCode="#,###\ &quot;Therms&quot;"/>
  </numFmts>
  <fonts count="222">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sz val="10"/>
      <color indexed="8"/>
      <name val="Tahoma"/>
      <family val="2"/>
    </font>
    <font>
      <b/>
      <sz val="10"/>
      <name val="Arial"/>
      <family val="2"/>
    </font>
    <font>
      <b/>
      <sz val="12"/>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9"/>
      <name val="Arial"/>
      <family val="2"/>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sz val="10"/>
      <color indexed="8"/>
      <name val="Arial"/>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theme="1"/>
      <name val="Arial"/>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i/>
      <sz val="9"/>
      <name val="Arial"/>
      <family val="2"/>
    </font>
    <font>
      <b/>
      <sz val="10"/>
      <color rgb="FFFF0000"/>
      <name val="Arial"/>
      <family val="2"/>
    </font>
    <font>
      <strike/>
      <sz val="10"/>
      <color rgb="FFFF0000"/>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2"/>
      <color indexed="20"/>
      <name val="Arial"/>
      <family val="2"/>
    </font>
    <font>
      <sz val="8"/>
      <color indexed="9"/>
      <name val="Arial"/>
      <family val="2"/>
    </font>
    <font>
      <sz val="10"/>
      <color theme="1"/>
      <name val="Calibri"/>
      <family val="2"/>
    </font>
    <font>
      <sz val="10"/>
      <name val="Arial"/>
      <family val="2"/>
    </font>
    <font>
      <sz val="10"/>
      <name val="Tahoma"/>
      <family val="2"/>
    </font>
    <font>
      <b/>
      <strike/>
      <sz val="12"/>
      <color indexed="8"/>
      <name val="Calibri"/>
      <family val="2"/>
    </font>
    <font>
      <sz val="10"/>
      <name val="Tahoma"/>
      <family val="2"/>
    </font>
    <font>
      <u/>
      <sz val="10"/>
      <name val="Tahoma"/>
      <family val="2"/>
    </font>
    <font>
      <b/>
      <strike/>
      <sz val="12"/>
      <color rgb="FFFF0000"/>
      <name val="Calibri"/>
      <family val="2"/>
    </font>
    <font>
      <u/>
      <sz val="12"/>
      <color theme="10"/>
      <name val="Calibri"/>
      <family val="2"/>
    </font>
    <font>
      <i/>
      <sz val="10"/>
      <color theme="1"/>
      <name val="Arial"/>
      <family val="2"/>
    </font>
    <font>
      <sz val="9"/>
      <color theme="1"/>
      <name val="Arial"/>
      <family val="2"/>
    </font>
    <font>
      <b/>
      <strike/>
      <sz val="12"/>
      <color indexed="8"/>
      <name val="Arial"/>
      <family val="2"/>
    </font>
    <font>
      <b/>
      <sz val="12"/>
      <color theme="1"/>
      <name val="Calibri"/>
      <family val="2"/>
      <scheme val="minor"/>
    </font>
    <font>
      <sz val="12"/>
      <color indexed="8"/>
      <name val="Calibri"/>
      <family val="2"/>
    </font>
    <font>
      <u/>
      <sz val="10"/>
      <color indexed="12"/>
      <name val="Calibri"/>
      <family val="2"/>
    </font>
    <font>
      <sz val="11"/>
      <color indexed="8"/>
      <name val="Calibri"/>
      <family val="2"/>
    </font>
    <font>
      <u/>
      <sz val="10"/>
      <color indexed="12"/>
      <name val="Arial"/>
      <family val="2"/>
    </font>
    <font>
      <sz val="12"/>
      <name val="Times New Roman"/>
      <family val="1"/>
    </font>
    <font>
      <b/>
      <sz val="12"/>
      <name val="Times New Roman"/>
      <family val="1"/>
    </font>
    <font>
      <u/>
      <sz val="7"/>
      <color indexed="12"/>
      <name val="Arial"/>
      <family val="2"/>
    </font>
    <font>
      <b/>
      <sz val="12"/>
      <color rgb="FFFF0000"/>
      <name val="Calibri"/>
      <family val="2"/>
    </font>
    <font>
      <sz val="10"/>
      <color rgb="FFFF0000"/>
      <name val="Calibri"/>
      <family val="2"/>
    </font>
    <font>
      <u/>
      <sz val="12"/>
      <color indexed="12"/>
      <name val="Calibri"/>
      <family val="2"/>
    </font>
    <font>
      <b/>
      <sz val="12"/>
      <color theme="1"/>
      <name val="Calibri"/>
      <family val="2"/>
    </font>
    <font>
      <sz val="10"/>
      <color rgb="FFFF0000"/>
      <name val="Tahoma"/>
      <family val="2"/>
    </font>
    <font>
      <b/>
      <sz val="10"/>
      <color theme="1"/>
      <name val="Calibri"/>
      <family val="2"/>
      <scheme val="minor"/>
    </font>
    <font>
      <u/>
      <sz val="12"/>
      <color theme="1"/>
      <name val="Calibri"/>
      <family val="2"/>
    </font>
    <font>
      <sz val="10"/>
      <color theme="1"/>
      <name val="Tahoma"/>
      <family val="2"/>
    </font>
    <font>
      <sz val="10"/>
      <color theme="1"/>
      <name val="Franklin Gothic Book"/>
      <family val="2"/>
    </font>
    <font>
      <b/>
      <sz val="10"/>
      <color theme="0"/>
      <name val="Franklin Gothic Book"/>
      <family val="2"/>
    </font>
    <font>
      <sz val="9"/>
      <color theme="1"/>
      <name val="Franklin Gothic Book"/>
      <family val="2"/>
    </font>
    <font>
      <sz val="10"/>
      <color theme="0"/>
      <name val="Franklin Gothic Book"/>
      <family val="2"/>
    </font>
    <font>
      <sz val="10"/>
      <name val="Franklin Gothic Book"/>
      <family val="2"/>
    </font>
    <font>
      <sz val="10"/>
      <color rgb="FFC00000"/>
      <name val="Wingdings 3"/>
      <family val="1"/>
      <charset val="2"/>
    </font>
    <font>
      <sz val="9"/>
      <name val="Franklin Gothic Book"/>
      <family val="2"/>
    </font>
    <font>
      <sz val="10"/>
      <color theme="0"/>
      <name val="Wingdings 3"/>
      <family val="1"/>
      <charset val="2"/>
    </font>
    <font>
      <u/>
      <sz val="10"/>
      <color theme="10"/>
      <name val="Franklin Gothic Book"/>
      <family val="2"/>
    </font>
    <font>
      <b/>
      <sz val="12"/>
      <color theme="0"/>
      <name val="Arial"/>
      <family val="2"/>
    </font>
    <font>
      <u val="singleAccounting"/>
      <sz val="10"/>
      <name val="Tahoma"/>
      <family val="2"/>
    </font>
    <font>
      <sz val="11"/>
      <color theme="1"/>
      <name val="Arial"/>
      <family val="2"/>
    </font>
    <font>
      <b/>
      <sz val="11"/>
      <color theme="0"/>
      <name val="Calibri"/>
      <family val="2"/>
      <scheme val="minor"/>
    </font>
    <font>
      <b/>
      <sz val="11"/>
      <color theme="1"/>
      <name val="Calibri"/>
      <family val="2"/>
      <scheme val="minor"/>
    </font>
    <font>
      <strike/>
      <u/>
      <sz val="10"/>
      <color rgb="FFFF0000"/>
      <name val="Calibri"/>
      <family val="2"/>
    </font>
    <font>
      <sz val="8"/>
      <color indexed="81"/>
      <name val="Tahoma"/>
      <family val="2"/>
    </font>
    <font>
      <sz val="10"/>
      <name val="Calibri"/>
      <family val="2"/>
      <scheme val="minor"/>
    </font>
    <font>
      <strike/>
      <sz val="8"/>
      <color rgb="FFFF0000"/>
      <name val="Arial"/>
      <family val="2"/>
    </font>
    <font>
      <b/>
      <sz val="8"/>
      <name val="Arial"/>
      <family val="2"/>
    </font>
    <font>
      <b/>
      <sz val="8"/>
      <color indexed="9"/>
      <name val="Arial"/>
      <family val="2"/>
    </font>
    <font>
      <b/>
      <sz val="10"/>
      <color theme="0"/>
      <name val="Arial"/>
      <family val="2"/>
    </font>
    <font>
      <b/>
      <sz val="8"/>
      <color indexed="20"/>
      <name val="Arial"/>
      <family val="2"/>
    </font>
    <font>
      <u/>
      <sz val="9.9"/>
      <color theme="10"/>
      <name val="Calibri"/>
      <family val="2"/>
    </font>
    <font>
      <sz val="10"/>
      <name val="Arial"/>
      <family val="2"/>
    </font>
    <font>
      <u val="singleAccounting"/>
      <sz val="10"/>
      <name val="Cambria"/>
      <family val="1"/>
    </font>
    <font>
      <u val="singleAccounting"/>
      <sz val="9"/>
      <name val="Arial"/>
      <family val="2"/>
    </font>
    <font>
      <u val="singleAccounting"/>
      <sz val="9"/>
      <name val="Cambria"/>
      <family val="1"/>
    </font>
    <font>
      <b/>
      <sz val="9"/>
      <color theme="1"/>
      <name val="Franklin Gothic Book"/>
      <family val="2"/>
    </font>
    <font>
      <sz val="10"/>
      <color rgb="FFFF0000"/>
      <name val="Wingdings 3"/>
      <family val="1"/>
      <charset val="2"/>
    </font>
    <font>
      <sz val="10"/>
      <color rgb="FF0430AC"/>
      <name val="Arial"/>
      <family val="2"/>
    </font>
    <font>
      <sz val="8"/>
      <color rgb="FF0430AC"/>
      <name val="Arial"/>
      <family val="2"/>
    </font>
    <font>
      <i/>
      <sz val="9"/>
      <color rgb="FF0430AC"/>
      <name val="Arial"/>
      <family val="2"/>
    </font>
    <font>
      <i/>
      <sz val="10"/>
      <color rgb="FF0430AC"/>
      <name val="Arial"/>
      <family val="2"/>
    </font>
    <font>
      <i/>
      <sz val="8"/>
      <color rgb="FF0430AC"/>
      <name val="Arial"/>
      <family val="2"/>
    </font>
    <font>
      <u/>
      <sz val="8"/>
      <name val="Arial"/>
      <family val="2"/>
    </font>
    <font>
      <b/>
      <sz val="14"/>
      <color rgb="FF0000FF"/>
      <name val="Arial"/>
      <family val="2"/>
    </font>
    <font>
      <sz val="16"/>
      <color rgb="FF0430AC"/>
      <name val="Arial"/>
      <family val="2"/>
    </font>
    <font>
      <b/>
      <sz val="12"/>
      <color rgb="FF0430AC"/>
      <name val="Arial"/>
      <family val="2"/>
    </font>
    <font>
      <sz val="10"/>
      <color rgb="FF063FE0"/>
      <name val="Arial"/>
      <family val="2"/>
    </font>
    <font>
      <b/>
      <sz val="12"/>
      <color rgb="FF063FE0"/>
      <name val="Calibri"/>
      <family val="2"/>
    </font>
    <font>
      <sz val="8"/>
      <color rgb="FF00B050"/>
      <name val="Arial"/>
      <family val="2"/>
    </font>
    <font>
      <b/>
      <sz val="16"/>
      <color theme="0"/>
      <name val="Arial"/>
      <family val="2"/>
    </font>
    <font>
      <u val="singleAccounting"/>
      <sz val="10"/>
      <color theme="1"/>
      <name val="Arial"/>
      <family val="2"/>
    </font>
    <font>
      <sz val="10"/>
      <color rgb="FF0070C0"/>
      <name val="Arial"/>
      <family val="2"/>
    </font>
    <font>
      <b/>
      <i/>
      <sz val="10"/>
      <color rgb="FF0070C0"/>
      <name val="Arial"/>
      <family val="2"/>
    </font>
    <font>
      <i/>
      <sz val="8"/>
      <color theme="1"/>
      <name val="Arial"/>
      <family val="2"/>
    </font>
    <font>
      <b/>
      <u val="doubleAccounting"/>
      <sz val="10"/>
      <color theme="0"/>
      <name val="Arial"/>
      <family val="2"/>
    </font>
    <font>
      <i/>
      <sz val="9"/>
      <color theme="1"/>
      <name val="Arial"/>
      <family val="2"/>
    </font>
    <font>
      <sz val="8"/>
      <color rgb="FF0070C0"/>
      <name val="Arial"/>
      <family val="2"/>
    </font>
    <font>
      <u/>
      <sz val="10"/>
      <color rgb="FF0070C0"/>
      <name val="Calibri"/>
      <family val="2"/>
    </font>
    <font>
      <sz val="6"/>
      <color theme="1"/>
      <name val="Arial"/>
      <family val="2"/>
    </font>
    <font>
      <b/>
      <sz val="6"/>
      <color theme="1"/>
      <name val="Arial"/>
      <family val="2"/>
    </font>
    <font>
      <sz val="10"/>
      <color theme="0"/>
      <name val="Arial"/>
      <family val="2"/>
    </font>
    <font>
      <b/>
      <i/>
      <sz val="10"/>
      <color rgb="FF5566E3"/>
      <name val="Arial"/>
      <family val="2"/>
    </font>
    <font>
      <b/>
      <sz val="9"/>
      <color indexed="81"/>
      <name val="Tahoma"/>
      <family val="2"/>
    </font>
    <font>
      <sz val="9"/>
      <color indexed="81"/>
      <name val="Tahoma"/>
      <family val="2"/>
    </font>
    <font>
      <sz val="9"/>
      <color theme="1"/>
      <name val="Franklin Gothic Book"/>
    </font>
    <font>
      <sz val="9"/>
      <name val="Franklin Gothic Book"/>
    </font>
    <font>
      <sz val="10"/>
      <color rgb="FFDCDDDE"/>
      <name val="Arial"/>
      <family val="2"/>
    </font>
    <font>
      <strike/>
      <sz val="9"/>
      <color theme="1"/>
      <name val="Franklin Gothic Book"/>
      <family val="2"/>
    </font>
    <font>
      <strike/>
      <sz val="9"/>
      <name val="Franklin Gothic Book"/>
      <family val="2"/>
    </font>
    <font>
      <b/>
      <sz val="9"/>
      <color theme="1"/>
      <name val="Arial"/>
      <family val="2"/>
    </font>
    <font>
      <sz val="10"/>
      <color theme="1"/>
      <name val="Franklin Gothic Book"/>
    </font>
    <font>
      <sz val="10"/>
      <color theme="0"/>
      <name val="Franklin Gothic Book"/>
    </font>
    <font>
      <b/>
      <sz val="10"/>
      <color theme="0"/>
      <name val="Franklin Gothic Book"/>
    </font>
    <font>
      <i/>
      <sz val="9"/>
      <color theme="1"/>
      <name val="Franklin Gothic Book"/>
    </font>
    <font>
      <sz val="10"/>
      <color theme="7" tint="-0.249977111117893"/>
      <name val="Arial"/>
      <family val="2"/>
    </font>
    <font>
      <i/>
      <sz val="9"/>
      <color rgb="FF00B050"/>
      <name val="Franklin Gothic Book"/>
    </font>
    <font>
      <u/>
      <sz val="10"/>
      <color theme="1"/>
      <name val="Calibri"/>
      <family val="2"/>
    </font>
    <font>
      <sz val="9"/>
      <color rgb="FFFF0000"/>
      <name val="Arial"/>
      <family val="2"/>
    </font>
    <font>
      <i/>
      <sz val="10"/>
      <color rgb="FFFF0000"/>
      <name val="Arial"/>
      <family val="2"/>
    </font>
    <font>
      <b/>
      <sz val="11"/>
      <color theme="1"/>
      <name val="Arial"/>
      <family val="2"/>
    </font>
    <font>
      <b/>
      <sz val="16"/>
      <color indexed="9"/>
      <name val="Arial"/>
      <family val="2"/>
    </font>
    <font>
      <b/>
      <sz val="14"/>
      <color rgb="FF21314D"/>
      <name val="Arial"/>
      <family val="2"/>
    </font>
    <font>
      <i/>
      <sz val="10"/>
      <color rgb="FF005960"/>
      <name val="Arial"/>
      <family val="2"/>
    </font>
    <font>
      <b/>
      <sz val="14"/>
      <color indexed="12"/>
      <name val="Arial"/>
      <family val="2"/>
    </font>
    <font>
      <sz val="14"/>
      <color indexed="12"/>
      <name val="Arial"/>
      <family val="2"/>
    </font>
    <font>
      <i/>
      <sz val="14"/>
      <color rgb="FF005960"/>
      <name val="Arial"/>
      <family val="2"/>
    </font>
    <font>
      <sz val="14"/>
      <color rgb="FF21314D"/>
      <name val="Arial"/>
      <family val="2"/>
    </font>
    <font>
      <b/>
      <i/>
      <sz val="14"/>
      <color rgb="FF21314D"/>
      <name val="Arial"/>
      <family val="2"/>
    </font>
    <font>
      <b/>
      <i/>
      <sz val="10"/>
      <color rgb="FF21314D"/>
      <name val="Arial"/>
      <family val="2"/>
    </font>
    <font>
      <b/>
      <sz val="14"/>
      <color indexed="9"/>
      <name val="Arial"/>
      <family val="2"/>
    </font>
    <font>
      <b/>
      <sz val="14"/>
      <color theme="0"/>
      <name val="Arial"/>
      <family val="2"/>
    </font>
    <font>
      <u val="singleAccounting"/>
      <sz val="14"/>
      <color theme="1"/>
      <name val="Arial"/>
      <family val="2"/>
    </font>
    <font>
      <b/>
      <sz val="20"/>
      <color indexed="9"/>
      <name val="Arial"/>
      <family val="2"/>
    </font>
    <font>
      <i/>
      <sz val="10"/>
      <color rgb="FF00B050"/>
      <name val="Arial"/>
      <family val="2"/>
    </font>
    <font>
      <b/>
      <sz val="9"/>
      <color rgb="FFFF0000"/>
      <name val="Franklin Gothic Book"/>
      <family val="2"/>
    </font>
    <font>
      <b/>
      <sz val="9"/>
      <name val="Franklin Gothic Book"/>
      <family val="2"/>
    </font>
    <font>
      <strike/>
      <sz val="9"/>
      <color rgb="FF00B050"/>
      <name val="Franklin Gothic Book"/>
      <family val="2"/>
    </font>
    <font>
      <b/>
      <i/>
      <sz val="9"/>
      <name val="Franklin Gothic Book"/>
      <family val="2"/>
    </font>
    <font>
      <sz val="9"/>
      <color rgb="FFFF0000"/>
      <name val="Franklin Gothic Book"/>
      <family val="2"/>
    </font>
    <font>
      <b/>
      <i/>
      <sz val="9"/>
      <name val="Arial"/>
      <family val="2"/>
    </font>
    <font>
      <sz val="9"/>
      <color rgb="FF00B050"/>
      <name val="Franklin Gothic Book"/>
      <family val="2"/>
    </font>
    <font>
      <sz val="9"/>
      <color rgb="FFFF0000"/>
      <name val="Franklin Gothic Book"/>
    </font>
    <font>
      <sz val="14"/>
      <color rgb="FFFF0000"/>
      <name val="Arial"/>
      <family val="2"/>
    </font>
    <font>
      <b/>
      <i/>
      <sz val="10"/>
      <color theme="1"/>
      <name val="Arial"/>
      <family val="2"/>
    </font>
    <font>
      <u/>
      <sz val="10"/>
      <color theme="1"/>
      <name val="Arial"/>
      <family val="2"/>
    </font>
    <font>
      <u/>
      <sz val="10"/>
      <color rgb="FF0070C0"/>
      <name val="Arial"/>
      <family val="2"/>
    </font>
    <font>
      <b/>
      <sz val="14"/>
      <color theme="1"/>
      <name val="Arial"/>
      <family val="2"/>
    </font>
    <font>
      <b/>
      <sz val="16"/>
      <color theme="1"/>
      <name val="Arial"/>
      <family val="2"/>
    </font>
    <font>
      <b/>
      <i/>
      <u/>
      <sz val="10"/>
      <color theme="1"/>
      <name val="Arial"/>
      <family val="2"/>
    </font>
    <font>
      <sz val="9"/>
      <color indexed="8"/>
      <name val="Arial"/>
      <family val="2"/>
    </font>
    <font>
      <b/>
      <sz val="11"/>
      <color theme="0"/>
      <name val="Arial"/>
      <family val="2"/>
    </font>
    <font>
      <sz val="12"/>
      <color theme="0"/>
      <name val="Arial"/>
      <family val="2"/>
    </font>
  </fonts>
  <fills count="71">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47"/>
        <bgColor indexed="64"/>
      </patternFill>
    </fill>
    <fill>
      <patternFill patternType="solid">
        <fgColor indexed="31"/>
        <bgColor indexed="64"/>
      </patternFill>
    </fill>
    <fill>
      <patternFill patternType="solid">
        <fgColor indexed="4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5B3D7"/>
        <bgColor indexed="64"/>
      </patternFill>
    </fill>
    <fill>
      <patternFill patternType="solid">
        <fgColor rgb="FFB8CCE4"/>
        <bgColor indexed="64"/>
      </patternFill>
    </fill>
    <fill>
      <patternFill patternType="solid">
        <fgColor theme="0"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DBC500"/>
        <bgColor indexed="64"/>
      </patternFill>
    </fill>
    <fill>
      <patternFill patternType="solid">
        <fgColor theme="3" tint="0.59999389629810485"/>
        <bgColor indexed="64"/>
      </patternFill>
    </fill>
    <fill>
      <patternFill patternType="solid">
        <fgColor rgb="FF538ED5"/>
        <bgColor indexed="64"/>
      </patternFill>
    </fill>
    <fill>
      <patternFill patternType="solid">
        <fgColor rgb="FF8DB4E3"/>
        <bgColor indexed="64"/>
      </patternFill>
    </fill>
    <fill>
      <patternFill patternType="solid">
        <fgColor rgb="FFA7A7FF"/>
        <bgColor indexed="64"/>
      </patternFill>
    </fill>
    <fill>
      <patternFill patternType="solid">
        <fgColor rgb="FFFD6035"/>
        <bgColor indexed="64"/>
      </patternFill>
    </fill>
    <fill>
      <patternFill patternType="solid">
        <fgColor rgb="FF506DE8"/>
        <bgColor indexed="64"/>
      </patternFill>
    </fill>
    <fill>
      <patternFill patternType="solid">
        <fgColor rgb="FFFFE811"/>
        <bgColor indexed="64"/>
      </patternFill>
    </fill>
    <fill>
      <patternFill patternType="solid">
        <fgColor rgb="FF156570"/>
        <bgColor indexed="64"/>
      </patternFill>
    </fill>
    <fill>
      <patternFill patternType="solid">
        <fgColor rgb="FFFFFFCC"/>
        <bgColor indexed="64"/>
      </patternFill>
    </fill>
    <fill>
      <patternFill patternType="solid">
        <fgColor theme="1" tint="0.499984740745262"/>
        <bgColor indexed="64"/>
      </patternFill>
    </fill>
    <fill>
      <patternFill patternType="solid">
        <fgColor rgb="FFFFFF66"/>
        <bgColor indexed="64"/>
      </patternFill>
    </fill>
    <fill>
      <patternFill patternType="solid">
        <fgColor theme="8" tint="-0.499984740745262"/>
        <bgColor indexed="64"/>
      </patternFill>
    </fill>
    <fill>
      <patternFill patternType="solid">
        <fgColor rgb="FF8DB4E2"/>
        <bgColor indexed="64"/>
      </patternFill>
    </fill>
  </fills>
  <borders count="51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medium">
        <color auto="1"/>
      </top>
      <bottom style="medium">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style="medium">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s>
  <cellStyleXfs count="54773">
    <xf numFmtId="0" fontId="0" fillId="0" borderId="0"/>
    <xf numFmtId="44" fontId="6"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44" fontId="12" fillId="0" borderId="0" applyFont="0" applyFill="0" applyBorder="0" applyAlignment="0" applyProtection="0"/>
    <xf numFmtId="0" fontId="12" fillId="0" borderId="0"/>
    <xf numFmtId="43" fontId="6" fillId="0" borderId="0" applyFont="0" applyFill="0" applyBorder="0" applyAlignment="0" applyProtection="0"/>
    <xf numFmtId="9" fontId="6" fillId="0" borderId="0" applyFont="0" applyFill="0" applyBorder="0" applyAlignment="0" applyProtection="0"/>
    <xf numFmtId="0" fontId="2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9" fontId="27" fillId="0" borderId="0" applyFont="0" applyFill="0" applyBorder="0" applyAlignment="0" applyProtection="0"/>
    <xf numFmtId="0" fontId="40" fillId="0" borderId="0"/>
    <xf numFmtId="43" fontId="40" fillId="0" borderId="0" applyFont="0" applyFill="0" applyBorder="0" applyAlignment="0" applyProtection="0"/>
    <xf numFmtId="43" fontId="12" fillId="0" borderId="0" applyFont="0" applyFill="0" applyBorder="0" applyAlignment="0" applyProtection="0"/>
    <xf numFmtId="44" fontId="40" fillId="0" borderId="0" applyFont="0" applyFill="0" applyBorder="0" applyAlignment="0" applyProtection="0"/>
    <xf numFmtId="44" fontId="12" fillId="0" borderId="0" applyFont="0" applyFill="0" applyBorder="0" applyAlignment="0" applyProtection="0"/>
    <xf numFmtId="38" fontId="47" fillId="0" borderId="0"/>
    <xf numFmtId="9" fontId="40" fillId="0" borderId="0" applyFont="0" applyFill="0" applyBorder="0" applyAlignment="0" applyProtection="0"/>
    <xf numFmtId="9" fontId="12"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38" fontId="12" fillId="0" borderId="0"/>
    <xf numFmtId="43" fontId="15" fillId="0" borderId="0" applyFont="0" applyFill="0" applyBorder="0" applyAlignment="0" applyProtection="0"/>
    <xf numFmtId="44" fontId="12" fillId="0" borderId="0" applyFont="0" applyFill="0" applyBorder="0" applyAlignment="0" applyProtection="0"/>
    <xf numFmtId="0" fontId="12" fillId="0" borderId="0"/>
    <xf numFmtId="0" fontId="6" fillId="0" borderId="0"/>
    <xf numFmtId="0" fontId="58" fillId="0" borderId="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0" fontId="12" fillId="0" borderId="0"/>
    <xf numFmtId="0" fontId="12" fillId="0" borderId="0"/>
    <xf numFmtId="0" fontId="61" fillId="0" borderId="0"/>
    <xf numFmtId="0" fontId="61" fillId="0" borderId="0"/>
    <xf numFmtId="0" fontId="12" fillId="0" borderId="0"/>
    <xf numFmtId="0" fontId="12" fillId="0" borderId="0"/>
    <xf numFmtId="0" fontId="12" fillId="0" borderId="0"/>
    <xf numFmtId="0" fontId="12" fillId="0" borderId="0"/>
    <xf numFmtId="0" fontId="61" fillId="0" borderId="0"/>
    <xf numFmtId="0" fontId="60" fillId="0" borderId="0"/>
    <xf numFmtId="0" fontId="12" fillId="0" borderId="0"/>
    <xf numFmtId="0" fontId="12" fillId="0" borderId="0"/>
    <xf numFmtId="0" fontId="60" fillId="0" borderId="0"/>
    <xf numFmtId="0" fontId="61" fillId="0" borderId="0"/>
    <xf numFmtId="0" fontId="61" fillId="0" borderId="0"/>
    <xf numFmtId="0" fontId="12" fillId="0" borderId="0"/>
    <xf numFmtId="0" fontId="12" fillId="0" borderId="0"/>
    <xf numFmtId="0" fontId="12" fillId="0" borderId="0"/>
    <xf numFmtId="0" fontId="12" fillId="0" borderId="0"/>
    <xf numFmtId="0" fontId="61" fillId="0" borderId="0"/>
    <xf numFmtId="0" fontId="61" fillId="0" borderId="0"/>
    <xf numFmtId="0" fontId="12" fillId="0" borderId="0"/>
    <xf numFmtId="0" fontId="12" fillId="0" borderId="0"/>
    <xf numFmtId="0" fontId="47"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76" fillId="0" borderId="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9" fillId="34" borderId="66" applyNumberFormat="0" applyAlignment="0" applyProtection="0"/>
    <xf numFmtId="0" fontId="79" fillId="34" borderId="66" applyNumberFormat="0" applyAlignment="0" applyProtection="0"/>
    <xf numFmtId="0" fontId="3" fillId="35" borderId="67" applyNumberFormat="0" applyAlignment="0" applyProtection="0"/>
    <xf numFmtId="0" fontId="3" fillId="35" borderId="67" applyNumberFormat="0" applyAlignment="0" applyProtection="0"/>
    <xf numFmtId="44" fontId="76" fillId="0" borderId="0" applyFont="0" applyFill="0" applyBorder="0" applyAlignment="0" applyProtection="0"/>
    <xf numFmtId="44" fontId="76"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81" fillId="0" borderId="68" applyNumberFormat="0" applyFill="0" applyAlignment="0" applyProtection="0"/>
    <xf numFmtId="0" fontId="81" fillId="0" borderId="68" applyNumberFormat="0" applyFill="0" applyAlignment="0" applyProtection="0"/>
    <xf numFmtId="0" fontId="82" fillId="0" borderId="69" applyNumberFormat="0" applyFill="0" applyAlignment="0" applyProtection="0"/>
    <xf numFmtId="0" fontId="82" fillId="0" borderId="69" applyNumberFormat="0" applyFill="0" applyAlignment="0" applyProtection="0"/>
    <xf numFmtId="0" fontId="83" fillId="0" borderId="70" applyNumberFormat="0" applyFill="0" applyAlignment="0" applyProtection="0"/>
    <xf numFmtId="0" fontId="83" fillId="0" borderId="70"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21" borderId="66" applyNumberFormat="0" applyAlignment="0" applyProtection="0"/>
    <xf numFmtId="0" fontId="84" fillId="21" borderId="66" applyNumberFormat="0" applyAlignment="0" applyProtection="0"/>
    <xf numFmtId="0" fontId="85" fillId="0" borderId="71" applyNumberFormat="0" applyFill="0" applyAlignment="0" applyProtection="0"/>
    <xf numFmtId="0" fontId="85" fillId="0" borderId="71" applyNumberFormat="0" applyFill="0" applyAlignment="0" applyProtection="0"/>
    <xf numFmtId="0" fontId="86" fillId="36" borderId="0" applyNumberFormat="0" applyBorder="0" applyAlignment="0" applyProtection="0"/>
    <xf numFmtId="0" fontId="86" fillId="36" borderId="0" applyNumberFormat="0" applyBorder="0" applyAlignment="0" applyProtection="0"/>
    <xf numFmtId="0" fontId="76" fillId="0" borderId="0"/>
    <xf numFmtId="0" fontId="6" fillId="0" borderId="0"/>
    <xf numFmtId="0" fontId="47" fillId="0" borderId="0"/>
    <xf numFmtId="0" fontId="47" fillId="37" borderId="35" applyNumberFormat="0" applyFont="0" applyAlignment="0" applyProtection="0"/>
    <xf numFmtId="0" fontId="47" fillId="37" borderId="35" applyNumberFormat="0" applyFont="0" applyAlignment="0" applyProtection="0"/>
    <xf numFmtId="0" fontId="87" fillId="34" borderId="72" applyNumberFormat="0" applyAlignment="0" applyProtection="0"/>
    <xf numFmtId="0" fontId="87" fillId="34" borderId="72" applyNumberFormat="0" applyAlignment="0" applyProtection="0"/>
    <xf numFmtId="9" fontId="76"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 fillId="0" borderId="73" applyNumberFormat="0" applyFill="0" applyAlignment="0" applyProtection="0"/>
    <xf numFmtId="0" fontId="5" fillId="0" borderId="73"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5" fillId="0" borderId="0" applyFont="0" applyFill="0" applyBorder="0" applyAlignment="0" applyProtection="0"/>
    <xf numFmtId="0" fontId="12" fillId="37" borderId="35" applyNumberFormat="0" applyFont="0" applyAlignment="0" applyProtection="0"/>
    <xf numFmtId="0" fontId="12" fillId="37" borderId="35" applyNumberFormat="0" applyFont="0" applyAlignment="0" applyProtection="0"/>
    <xf numFmtId="0" fontId="12"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2" fillId="0" borderId="0"/>
    <xf numFmtId="0" fontId="93" fillId="0" borderId="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2" fillId="0" borderId="0" applyFont="0" applyFill="0" applyBorder="0" applyAlignment="0" applyProtection="0"/>
    <xf numFmtId="9" fontId="92" fillId="0" borderId="0" applyFont="0" applyFill="0" applyBorder="0" applyAlignment="0" applyProtection="0"/>
    <xf numFmtId="0" fontId="15" fillId="0" borderId="0"/>
    <xf numFmtId="0" fontId="95" fillId="0" borderId="0"/>
    <xf numFmtId="43" fontId="95" fillId="0" borderId="0" applyFont="0" applyFill="0" applyBorder="0" applyAlignment="0" applyProtection="0"/>
    <xf numFmtId="44" fontId="95" fillId="0" borderId="0" applyFont="0" applyFill="0" applyBorder="0" applyAlignment="0" applyProtection="0"/>
    <xf numFmtId="9" fontId="9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5" applyNumberFormat="0" applyAlignment="0" applyProtection="0"/>
    <xf numFmtId="43" fontId="1"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35" fillId="0" borderId="0" applyFont="0" applyFill="0" applyBorder="0" applyAlignment="0" applyProtection="0"/>
    <xf numFmtId="44" fontId="12" fillId="0" borderId="0" applyFont="0" applyFill="0" applyBorder="0" applyAlignment="0" applyProtection="0"/>
    <xf numFmtId="44" fontId="35" fillId="0" borderId="0" applyFont="0" applyFill="0" applyBorder="0" applyAlignment="0" applyProtection="0"/>
    <xf numFmtId="0" fontId="3" fillId="35" borderId="86" applyNumberFormat="0" applyAlignment="0" applyProtection="0"/>
    <xf numFmtId="0" fontId="35" fillId="0" borderId="0"/>
    <xf numFmtId="0" fontId="12" fillId="0" borderId="0"/>
    <xf numFmtId="0" fontId="35" fillId="0" borderId="0"/>
    <xf numFmtId="0" fontId="15" fillId="0" borderId="0"/>
    <xf numFmtId="0" fontId="12" fillId="37" borderId="35"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0" fontId="3" fillId="35" borderId="85" applyNumberFormat="0" applyAlignment="0" applyProtection="0"/>
    <xf numFmtId="0" fontId="3" fillId="35" borderId="86" applyNumberFormat="0" applyAlignment="0" applyProtection="0"/>
    <xf numFmtId="0" fontId="12" fillId="37" borderId="95" applyNumberFormat="0" applyFont="0" applyAlignment="0" applyProtection="0"/>
    <xf numFmtId="0" fontId="84" fillId="21" borderId="96" applyNumberFormat="0" applyAlignment="0" applyProtection="0"/>
    <xf numFmtId="0" fontId="87" fillId="34" borderId="97" applyNumberFormat="0" applyAlignment="0" applyProtection="0"/>
    <xf numFmtId="0" fontId="79" fillId="34" borderId="100" applyNumberFormat="0" applyAlignment="0" applyProtection="0"/>
    <xf numFmtId="0" fontId="84" fillId="21" borderId="100" applyNumberForma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84" fillId="21" borderId="100" applyNumberFormat="0" applyAlignment="0" applyProtection="0"/>
    <xf numFmtId="0" fontId="79" fillId="34" borderId="100" applyNumberFormat="0" applyAlignment="0" applyProtection="0"/>
    <xf numFmtId="0" fontId="15" fillId="0" borderId="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4" fillId="21" borderId="96" applyNumberFormat="0" applyAlignment="0" applyProtection="0"/>
    <xf numFmtId="0" fontId="5" fillId="0" borderId="98" applyNumberFormat="0" applyFill="0" applyAlignment="0" applyProtection="0"/>
    <xf numFmtId="0" fontId="84" fillId="21" borderId="96" applyNumberFormat="0" applyAlignment="0" applyProtection="0"/>
    <xf numFmtId="0" fontId="79" fillId="34" borderId="96" applyNumberFormat="0" applyAlignment="0" applyProtection="0"/>
    <xf numFmtId="0" fontId="12" fillId="37" borderId="99" applyNumberFormat="0" applyFont="0" applyAlignment="0" applyProtection="0"/>
    <xf numFmtId="0" fontId="79" fillId="34" borderId="100" applyNumberFormat="0" applyAlignment="0" applyProtection="0"/>
    <xf numFmtId="0" fontId="5" fillId="0" borderId="102" applyNumberFormat="0" applyFill="0" applyAlignment="0" applyProtection="0"/>
    <xf numFmtId="0" fontId="15" fillId="0" borderId="0"/>
    <xf numFmtId="0" fontId="79" fillId="34" borderId="96"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3" fillId="35" borderId="86" applyNumberFormat="0" applyAlignment="0" applyProtection="0"/>
    <xf numFmtId="0" fontId="87" fillId="34" borderId="97"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79" fillId="34" borderId="88" applyNumberFormat="0" applyAlignment="0" applyProtection="0"/>
    <xf numFmtId="0" fontId="79" fillId="34" borderId="88" applyNumberFormat="0" applyAlignment="0" applyProtection="0"/>
    <xf numFmtId="0" fontId="84" fillId="21" borderId="88" applyNumberFormat="0" applyAlignment="0" applyProtection="0"/>
    <xf numFmtId="0" fontId="84" fillId="21"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2" fillId="37" borderId="87" applyNumberFormat="0" applyFont="0" applyAlignment="0" applyProtection="0"/>
    <xf numFmtId="0" fontId="3" fillId="35" borderId="8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7" borderId="0" applyNumberFormat="0" applyAlignment="0">
      <alignment horizontal="right"/>
    </xf>
    <xf numFmtId="0" fontId="12" fillId="7" borderId="0" applyNumberFormat="0" applyAlignment="0">
      <alignment horizontal="right"/>
    </xf>
    <xf numFmtId="0" fontId="12" fillId="5" borderId="0" applyNumberFormat="0" applyAlignment="0"/>
    <xf numFmtId="0" fontId="12" fillId="5" borderId="0" applyNumberFormat="0" applyAlignment="0"/>
    <xf numFmtId="187" fontId="107" fillId="0" borderId="0"/>
    <xf numFmtId="0" fontId="108" fillId="0" borderId="0">
      <alignment horizontal="center" wrapText="1"/>
    </xf>
    <xf numFmtId="0" fontId="83" fillId="0" borderId="70" applyNumberFormat="0" applyFill="0" applyAlignment="0" applyProtection="0"/>
    <xf numFmtId="0" fontId="83" fillId="0" borderId="70" applyNumberFormat="0" applyFill="0" applyAlignment="0" applyProtection="0"/>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27" fillId="0" borderId="0"/>
    <xf numFmtId="0" fontId="58" fillId="0" borderId="0"/>
    <xf numFmtId="0" fontId="12" fillId="0" borderId="0"/>
    <xf numFmtId="0" fontId="12" fillId="0" borderId="0"/>
    <xf numFmtId="0" fontId="15"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6" fillId="0" borderId="0"/>
    <xf numFmtId="0" fontId="12" fillId="0" borderId="0">
      <alignment readingOrder="1"/>
    </xf>
    <xf numFmtId="0" fontId="12" fillId="0" borderId="0">
      <alignment readingOrder="1"/>
    </xf>
    <xf numFmtId="0" fontId="12" fillId="0" borderId="0"/>
    <xf numFmtId="0" fontId="12" fillId="0" borderId="0"/>
    <xf numFmtId="0" fontId="61" fillId="0" borderId="0"/>
    <xf numFmtId="0" fontId="12" fillId="0" borderId="0"/>
    <xf numFmtId="0" fontId="12" fillId="0" borderId="0"/>
    <xf numFmtId="0" fontId="105" fillId="0" borderId="0"/>
    <xf numFmtId="0" fontId="61" fillId="0" borderId="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2" fillId="0" borderId="0"/>
    <xf numFmtId="0" fontId="12" fillId="0" borderId="0"/>
    <xf numFmtId="0" fontId="61" fillId="0" borderId="0"/>
    <xf numFmtId="0" fontId="61"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 fillId="0" borderId="0"/>
    <xf numFmtId="0" fontId="6" fillId="0" borderId="0"/>
    <xf numFmtId="0" fontId="15" fillId="0" borderId="0"/>
    <xf numFmtId="0" fontId="60"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2" fillId="0" borderId="0"/>
    <xf numFmtId="0" fontId="12" fillId="0" borderId="0"/>
    <xf numFmtId="0" fontId="12" fillId="0" borderId="0"/>
    <xf numFmtId="0" fontId="12"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 fillId="0" borderId="0"/>
    <xf numFmtId="0" fontId="6" fillId="0" borderId="0"/>
    <xf numFmtId="0" fontId="105" fillId="0" borderId="0"/>
    <xf numFmtId="0" fontId="105" fillId="0" borderId="0"/>
    <xf numFmtId="0" fontId="61"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05" fillId="0" borderId="0"/>
    <xf numFmtId="0" fontId="61" fillId="0" borderId="0"/>
    <xf numFmtId="0" fontId="61" fillId="0" borderId="0"/>
    <xf numFmtId="0" fontId="61" fillId="0" borderId="0"/>
    <xf numFmtId="0" fontId="10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5" fillId="0" borderId="0"/>
    <xf numFmtId="0" fontId="15" fillId="0" borderId="0"/>
    <xf numFmtId="0" fontId="15" fillId="0" borderId="0"/>
    <xf numFmtId="0" fontId="15" fillId="0" borderId="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15" fillId="0" borderId="0"/>
    <xf numFmtId="0" fontId="15" fillId="0" borderId="0"/>
    <xf numFmtId="0" fontId="87" fillId="34" borderId="89" applyNumberFormat="0" applyAlignment="0" applyProtection="0"/>
    <xf numFmtId="0" fontId="84" fillId="21" borderId="88" applyNumberFormat="0" applyAlignment="0" applyProtection="0"/>
    <xf numFmtId="0" fontId="15" fillId="0" borderId="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3" fillId="35" borderId="86" applyNumberFormat="0" applyAlignment="0" applyProtection="0"/>
    <xf numFmtId="0" fontId="83" fillId="0" borderId="70" applyNumberFormat="0" applyFill="0" applyAlignment="0" applyProtection="0"/>
    <xf numFmtId="0" fontId="83" fillId="0" borderId="70" applyNumberFormat="0" applyFill="0" applyAlignment="0" applyProtection="0"/>
    <xf numFmtId="0" fontId="15" fillId="0" borderId="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79" fillId="34"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5" fillId="0" borderId="90" applyNumberFormat="0" applyFill="0" applyAlignment="0" applyProtection="0"/>
    <xf numFmtId="0" fontId="84" fillId="21" borderId="88" applyNumberFormat="0" applyAlignment="0" applyProtection="0"/>
    <xf numFmtId="0" fontId="12" fillId="37" borderId="87" applyNumberFormat="0" applyFont="0" applyAlignment="0" applyProtection="0"/>
    <xf numFmtId="0" fontId="84" fillId="21" borderId="88" applyNumberFormat="0" applyAlignment="0" applyProtection="0"/>
    <xf numFmtId="0" fontId="84" fillId="21" borderId="88" applyNumberFormat="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87" fillId="34" borderId="89"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83" fillId="0" borderId="70" applyNumberFormat="0" applyFill="0" applyAlignment="0" applyProtection="0"/>
    <xf numFmtId="0" fontId="79" fillId="34" borderId="88" applyNumberFormat="0" applyAlignment="0" applyProtection="0"/>
    <xf numFmtId="0" fontId="87" fillId="34" borderId="89" applyNumberFormat="0" applyAlignment="0" applyProtection="0"/>
    <xf numFmtId="0" fontId="12" fillId="37" borderId="87" applyNumberFormat="0" applyFont="0" applyAlignment="0" applyProtection="0"/>
    <xf numFmtId="0" fontId="84" fillId="21" borderId="88" applyNumberFormat="0" applyAlignment="0" applyProtection="0"/>
    <xf numFmtId="0" fontId="79" fillId="34" borderId="88" applyNumberFormat="0" applyAlignment="0" applyProtection="0"/>
    <xf numFmtId="0" fontId="79" fillId="34" borderId="88" applyNumberFormat="0" applyAlignment="0" applyProtection="0"/>
    <xf numFmtId="0" fontId="79" fillId="34" borderId="88" applyNumberFormat="0" applyAlignment="0" applyProtection="0"/>
    <xf numFmtId="0" fontId="84" fillId="21" borderId="88" applyNumberFormat="0" applyAlignment="0" applyProtection="0"/>
    <xf numFmtId="0" fontId="84" fillId="21"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5" fillId="0" borderId="9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12" fillId="37" borderId="87" applyNumberFormat="0" applyFont="0" applyAlignment="0" applyProtection="0"/>
    <xf numFmtId="0" fontId="79" fillId="34" borderId="88" applyNumberFormat="0" applyAlignment="0" applyProtection="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7" fillId="34" borderId="89" applyNumberFormat="0" applyAlignment="0" applyProtection="0"/>
    <xf numFmtId="0" fontId="12" fillId="37" borderId="87" applyNumberFormat="0" applyFont="0" applyAlignment="0" applyProtection="0"/>
    <xf numFmtId="0" fontId="84" fillId="21" borderId="88" applyNumberForma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7" fillId="34" borderId="89" applyNumberFormat="0" applyAlignment="0" applyProtection="0"/>
    <xf numFmtId="0" fontId="83" fillId="0" borderId="70" applyNumberFormat="0" applyFill="0" applyAlignment="0" applyProtection="0"/>
    <xf numFmtId="0" fontId="83" fillId="0" borderId="7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12" fillId="37" borderId="87" applyNumberFormat="0" applyFont="0" applyAlignment="0" applyProtection="0"/>
    <xf numFmtId="0" fontId="79" fillId="34" borderId="88"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5" fillId="0" borderId="90" applyNumberFormat="0" applyFill="0" applyAlignment="0" applyProtection="0"/>
    <xf numFmtId="0" fontId="87" fillId="34" borderId="89" applyNumberFormat="0" applyAlignment="0" applyProtection="0"/>
    <xf numFmtId="0" fontId="87" fillId="34" borderId="89" applyNumberFormat="0" applyAlignment="0" applyProtection="0"/>
    <xf numFmtId="0" fontId="12" fillId="37" borderId="87" applyNumberFormat="0" applyFont="0" applyAlignment="0" applyProtection="0"/>
    <xf numFmtId="0" fontId="12" fillId="37" borderId="87" applyNumberFormat="0" applyFont="0" applyAlignment="0" applyProtection="0"/>
    <xf numFmtId="0" fontId="84" fillId="21" borderId="88" applyNumberFormat="0" applyAlignment="0" applyProtection="0"/>
    <xf numFmtId="0" fontId="84" fillId="21" borderId="88" applyNumberFormat="0" applyAlignment="0" applyProtection="0"/>
    <xf numFmtId="0" fontId="79" fillId="34" borderId="88" applyNumberFormat="0" applyAlignment="0" applyProtection="0"/>
    <xf numFmtId="0" fontId="79" fillId="34" borderId="88" applyNumberFormat="0" applyAlignment="0" applyProtection="0"/>
    <xf numFmtId="0" fontId="87" fillId="34" borderId="89" applyNumberFormat="0" applyAlignment="0" applyProtection="0"/>
    <xf numFmtId="0" fontId="5" fillId="0" borderId="90" applyNumberFormat="0" applyFill="0" applyAlignment="0" applyProtection="0"/>
    <xf numFmtId="0" fontId="83" fillId="0" borderId="70" applyNumberFormat="0" applyFill="0" applyAlignment="0" applyProtection="0"/>
    <xf numFmtId="0" fontId="5" fillId="0" borderId="90" applyNumberFormat="0" applyFill="0" applyAlignment="0" applyProtection="0"/>
    <xf numFmtId="0" fontId="12" fillId="37" borderId="87" applyNumberFormat="0" applyFont="0" applyAlignment="0" applyProtection="0"/>
    <xf numFmtId="0" fontId="5" fillId="0" borderId="90" applyNumberFormat="0" applyFill="0" applyAlignment="0" applyProtection="0"/>
    <xf numFmtId="0" fontId="12" fillId="37" borderId="87" applyNumberFormat="0" applyFont="0" applyAlignment="0" applyProtection="0"/>
    <xf numFmtId="0" fontId="84" fillId="21" borderId="88" applyNumberFormat="0" applyAlignment="0" applyProtection="0"/>
    <xf numFmtId="0" fontId="12" fillId="37" borderId="87" applyNumberFormat="0" applyFont="0" applyAlignment="0" applyProtection="0"/>
    <xf numFmtId="0" fontId="79" fillId="34" borderId="88" applyNumberFormat="0" applyAlignment="0" applyProtection="0"/>
    <xf numFmtId="0" fontId="84" fillId="21" borderId="88" applyNumberFormat="0" applyAlignment="0" applyProtection="0"/>
    <xf numFmtId="0" fontId="83" fillId="0" borderId="70" applyNumberFormat="0" applyFill="0" applyAlignment="0" applyProtection="0"/>
    <xf numFmtId="0" fontId="84" fillId="21" borderId="88" applyNumberFormat="0" applyAlignment="0" applyProtection="0"/>
    <xf numFmtId="0" fontId="83" fillId="0" borderId="70" applyNumberFormat="0" applyFill="0" applyAlignment="0" applyProtection="0"/>
    <xf numFmtId="0" fontId="5" fillId="0" borderId="90" applyNumberFormat="0" applyFill="0" applyAlignment="0" applyProtection="0"/>
    <xf numFmtId="0" fontId="84" fillId="21" borderId="88" applyNumberFormat="0" applyAlignment="0" applyProtection="0"/>
    <xf numFmtId="0" fontId="87" fillId="34" borderId="89" applyNumberFormat="0" applyAlignment="0" applyProtection="0"/>
    <xf numFmtId="0" fontId="83" fillId="0" borderId="70" applyNumberFormat="0" applyFill="0" applyAlignment="0" applyProtection="0"/>
    <xf numFmtId="0" fontId="79" fillId="34" borderId="88" applyNumberFormat="0" applyAlignment="0" applyProtection="0"/>
    <xf numFmtId="0" fontId="83" fillId="0" borderId="70" applyNumberFormat="0" applyFill="0" applyAlignment="0" applyProtection="0"/>
    <xf numFmtId="0" fontId="12" fillId="37" borderId="87" applyNumberFormat="0" applyFont="0" applyAlignment="0" applyProtection="0"/>
    <xf numFmtId="0" fontId="87" fillId="34" borderId="89" applyNumberFormat="0" applyAlignment="0" applyProtection="0"/>
    <xf numFmtId="0" fontId="79" fillId="34" borderId="88" applyNumberFormat="0" applyAlignment="0" applyProtection="0"/>
    <xf numFmtId="0" fontId="87" fillId="34" borderId="97" applyNumberFormat="0" applyAlignment="0" applyProtection="0"/>
    <xf numFmtId="0" fontId="79" fillId="34" borderId="92" applyNumberForma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9"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12" fillId="37" borderId="95" applyNumberFormat="0" applyFont="0" applyAlignment="0" applyProtection="0"/>
    <xf numFmtId="0" fontId="87" fillId="34" borderId="93" applyNumberFormat="0" applyAlignment="0" applyProtection="0"/>
    <xf numFmtId="0" fontId="84" fillId="21" borderId="92" applyNumberFormat="0" applyAlignment="0" applyProtection="0"/>
    <xf numFmtId="0" fontId="12" fillId="37" borderId="95" applyNumberFormat="0" applyFon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87" fillId="34" borderId="93" applyNumberFormat="0" applyAlignment="0" applyProtection="0"/>
    <xf numFmtId="0" fontId="5" fillId="0" borderId="94" applyNumberFormat="0" applyFill="0" applyAlignment="0" applyProtection="0"/>
    <xf numFmtId="0" fontId="84" fillId="21" borderId="92" applyNumberFormat="0" applyAlignment="0" applyProtection="0"/>
    <xf numFmtId="0" fontId="12" fillId="37" borderId="91" applyNumberFormat="0" applyFont="0" applyAlignment="0" applyProtection="0"/>
    <xf numFmtId="0" fontId="84" fillId="21" borderId="92" applyNumberFormat="0" applyAlignment="0" applyProtection="0"/>
    <xf numFmtId="0" fontId="84" fillId="21" borderId="92" applyNumberFormat="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87" fillId="34" borderId="93"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87" fillId="34" borderId="93" applyNumberFormat="0" applyAlignment="0" applyProtection="0"/>
    <xf numFmtId="0" fontId="12" fillId="37" borderId="91" applyNumberFormat="0" applyFont="0" applyAlignment="0" applyProtection="0"/>
    <xf numFmtId="0" fontId="84" fillId="21" borderId="92" applyNumberFormat="0" applyAlignment="0" applyProtection="0"/>
    <xf numFmtId="0" fontId="79" fillId="34" borderId="92" applyNumberFormat="0" applyAlignment="0" applyProtection="0"/>
    <xf numFmtId="0" fontId="79" fillId="34" borderId="92" applyNumberForma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12" fillId="37" borderId="91" applyNumberFormat="0" applyFont="0" applyAlignment="0" applyProtection="0"/>
    <xf numFmtId="0" fontId="79" fillId="34" borderId="92" applyNumberForma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87" fillId="34" borderId="93" applyNumberFormat="0" applyAlignment="0" applyProtection="0"/>
    <xf numFmtId="0" fontId="12" fillId="37" borderId="91" applyNumberFormat="0" applyFont="0" applyAlignment="0" applyProtection="0"/>
    <xf numFmtId="0" fontId="84" fillId="21" borderId="92" applyNumberForma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7" fillId="34" borderId="93" applyNumberFormat="0" applyAlignment="0" applyProtection="0"/>
    <xf numFmtId="0" fontId="12" fillId="37" borderId="91" applyNumberFormat="0" applyFont="0" applyAlignment="0" applyProtection="0"/>
    <xf numFmtId="0" fontId="87" fillId="34" borderId="93" applyNumberFormat="0" applyAlignment="0" applyProtection="0"/>
    <xf numFmtId="0" fontId="12" fillId="37" borderId="91" applyNumberFormat="0" applyFont="0" applyAlignment="0" applyProtection="0"/>
    <xf numFmtId="0" fontId="79" fillId="34" borderId="92"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5" fillId="0" borderId="94" applyNumberFormat="0" applyFill="0" applyAlignment="0" applyProtection="0"/>
    <xf numFmtId="0" fontId="87" fillId="34" borderId="93" applyNumberFormat="0" applyAlignment="0" applyProtection="0"/>
    <xf numFmtId="0" fontId="87" fillId="34" borderId="93" applyNumberFormat="0" applyAlignment="0" applyProtection="0"/>
    <xf numFmtId="0" fontId="12" fillId="37" borderId="91" applyNumberFormat="0" applyFont="0" applyAlignment="0" applyProtection="0"/>
    <xf numFmtId="0" fontId="12" fillId="37" borderId="91" applyNumberFormat="0" applyFont="0" applyAlignment="0" applyProtection="0"/>
    <xf numFmtId="0" fontId="84" fillId="21" borderId="92" applyNumberFormat="0" applyAlignment="0" applyProtection="0"/>
    <xf numFmtId="0" fontId="84" fillId="21" borderId="92" applyNumberFormat="0" applyAlignment="0" applyProtection="0"/>
    <xf numFmtId="0" fontId="79" fillId="34" borderId="92" applyNumberFormat="0" applyAlignment="0" applyProtection="0"/>
    <xf numFmtId="0" fontId="79" fillId="34" borderId="92" applyNumberFormat="0" applyAlignment="0" applyProtection="0"/>
    <xf numFmtId="0" fontId="87" fillId="34" borderId="93" applyNumberFormat="0" applyAlignment="0" applyProtection="0"/>
    <xf numFmtId="0" fontId="5" fillId="0" borderId="94" applyNumberFormat="0" applyFill="0" applyAlignment="0" applyProtection="0"/>
    <xf numFmtId="0" fontId="5" fillId="0" borderId="94" applyNumberFormat="0" applyFill="0" applyAlignment="0" applyProtection="0"/>
    <xf numFmtId="0" fontId="12" fillId="37" borderId="91" applyNumberFormat="0" applyFont="0" applyAlignment="0" applyProtection="0"/>
    <xf numFmtId="0" fontId="5" fillId="0" borderId="94" applyNumberFormat="0" applyFill="0" applyAlignment="0" applyProtection="0"/>
    <xf numFmtId="0" fontId="12" fillId="37" borderId="91" applyNumberFormat="0" applyFont="0" applyAlignment="0" applyProtection="0"/>
    <xf numFmtId="0" fontId="84" fillId="21" borderId="92" applyNumberFormat="0" applyAlignment="0" applyProtection="0"/>
    <xf numFmtId="0" fontId="12" fillId="37" borderId="91" applyNumberFormat="0" applyFont="0" applyAlignment="0" applyProtection="0"/>
    <xf numFmtId="0" fontId="79" fillId="34" borderId="92" applyNumberFormat="0" applyAlignment="0" applyProtection="0"/>
    <xf numFmtId="0" fontId="84" fillId="21" borderId="92" applyNumberFormat="0" applyAlignment="0" applyProtection="0"/>
    <xf numFmtId="0" fontId="84" fillId="21" borderId="92" applyNumberFormat="0" applyAlignment="0" applyProtection="0"/>
    <xf numFmtId="0" fontId="5" fillId="0" borderId="94" applyNumberFormat="0" applyFill="0" applyAlignment="0" applyProtection="0"/>
    <xf numFmtId="0" fontId="84" fillId="21" borderId="92" applyNumberFormat="0" applyAlignment="0" applyProtection="0"/>
    <xf numFmtId="0" fontId="87" fillId="34" borderId="93" applyNumberFormat="0" applyAlignment="0" applyProtection="0"/>
    <xf numFmtId="0" fontId="79" fillId="34" borderId="92" applyNumberFormat="0" applyAlignment="0" applyProtection="0"/>
    <xf numFmtId="0" fontId="12" fillId="37" borderId="91" applyNumberFormat="0" applyFont="0" applyAlignment="0" applyProtection="0"/>
    <xf numFmtId="0" fontId="87" fillId="34" borderId="93" applyNumberFormat="0" applyAlignment="0" applyProtection="0"/>
    <xf numFmtId="0" fontId="79" fillId="34" borderId="92" applyNumberFormat="0" applyAlignment="0" applyProtection="0"/>
    <xf numFmtId="0" fontId="5" fillId="0" borderId="102" applyNumberFormat="0" applyFill="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79" fillId="34"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87" fillId="34" borderId="97" applyNumberFormat="0" applyAlignment="0" applyProtection="0"/>
    <xf numFmtId="0" fontId="5" fillId="0" borderId="98" applyNumberFormat="0" applyFill="0" applyAlignment="0" applyProtection="0"/>
    <xf numFmtId="0" fontId="84" fillId="21" borderId="96" applyNumberFormat="0" applyAlignment="0" applyProtection="0"/>
    <xf numFmtId="0" fontId="12" fillId="37" borderId="95" applyNumberFormat="0" applyFont="0" applyAlignment="0" applyProtection="0"/>
    <xf numFmtId="0" fontId="84" fillId="21" borderId="96" applyNumberFormat="0" applyAlignment="0" applyProtection="0"/>
    <xf numFmtId="0" fontId="84" fillId="21" borderId="96" applyNumberFormat="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87" fillId="34" borderId="97"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102" applyNumberFormat="0" applyFill="0" applyAlignment="0" applyProtection="0"/>
    <xf numFmtId="0" fontId="79" fillId="34" borderId="96"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79" fillId="34" borderId="96" applyNumberFormat="0" applyAlignment="0" applyProtection="0"/>
    <xf numFmtId="0" fontId="84" fillId="21" borderId="96" applyNumberFormat="0" applyAlignment="0" applyProtection="0"/>
    <xf numFmtId="0" fontId="84" fillId="21"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12" fillId="37" borderId="95" applyNumberFormat="0" applyFont="0" applyAlignment="0" applyProtection="0"/>
    <xf numFmtId="0" fontId="79" fillId="34" borderId="96" applyNumberFormat="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84" fillId="21" borderId="96" applyNumberForma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12" fillId="37" borderId="99" applyNumberFormat="0" applyFont="0" applyAlignment="0" applyProtection="0"/>
    <xf numFmtId="0" fontId="12" fillId="37" borderId="95" applyNumberFormat="0" applyFont="0" applyAlignment="0" applyProtection="0"/>
    <xf numFmtId="0" fontId="87" fillId="34" borderId="97" applyNumberFormat="0" applyAlignment="0" applyProtection="0"/>
    <xf numFmtId="0" fontId="12" fillId="37" borderId="95" applyNumberFormat="0" applyFont="0" applyAlignment="0" applyProtection="0"/>
    <xf numFmtId="0" fontId="79" fillId="34" borderId="96"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5" fillId="0" borderId="98" applyNumberFormat="0" applyFill="0" applyAlignment="0" applyProtection="0"/>
    <xf numFmtId="0" fontId="87" fillId="34" borderId="97" applyNumberFormat="0" applyAlignment="0" applyProtection="0"/>
    <xf numFmtId="0" fontId="87" fillId="34" borderId="97" applyNumberFormat="0" applyAlignment="0" applyProtection="0"/>
    <xf numFmtId="0" fontId="12" fillId="37" borderId="95" applyNumberFormat="0" applyFont="0" applyAlignment="0" applyProtection="0"/>
    <xf numFmtId="0" fontId="12" fillId="37" borderId="95" applyNumberFormat="0" applyFont="0" applyAlignment="0" applyProtection="0"/>
    <xf numFmtId="0" fontId="84" fillId="21" borderId="96" applyNumberFormat="0" applyAlignment="0" applyProtection="0"/>
    <xf numFmtId="0" fontId="84" fillId="21" borderId="96" applyNumberFormat="0" applyAlignment="0" applyProtection="0"/>
    <xf numFmtId="0" fontId="79" fillId="34" borderId="96" applyNumberFormat="0" applyAlignment="0" applyProtection="0"/>
    <xf numFmtId="0" fontId="79" fillId="34" borderId="96" applyNumberFormat="0" applyAlignment="0" applyProtection="0"/>
    <xf numFmtId="0" fontId="87" fillId="34" borderId="97" applyNumberFormat="0" applyAlignment="0" applyProtection="0"/>
    <xf numFmtId="0" fontId="5" fillId="0" borderId="98" applyNumberFormat="0" applyFill="0" applyAlignment="0" applyProtection="0"/>
    <xf numFmtId="0" fontId="5" fillId="0" borderId="98" applyNumberFormat="0" applyFill="0" applyAlignment="0" applyProtection="0"/>
    <xf numFmtId="0" fontId="12" fillId="37" borderId="95" applyNumberFormat="0" applyFont="0" applyAlignment="0" applyProtection="0"/>
    <xf numFmtId="0" fontId="5" fillId="0" borderId="98" applyNumberFormat="0" applyFill="0" applyAlignment="0" applyProtection="0"/>
    <xf numFmtId="0" fontId="12" fillId="37" borderId="95" applyNumberFormat="0" applyFont="0" applyAlignment="0" applyProtection="0"/>
    <xf numFmtId="0" fontId="84" fillId="21" borderId="96" applyNumberFormat="0" applyAlignment="0" applyProtection="0"/>
    <xf numFmtId="0" fontId="12" fillId="37" borderId="95" applyNumberFormat="0" applyFont="0" applyAlignment="0" applyProtection="0"/>
    <xf numFmtId="0" fontId="79" fillId="34" borderId="96" applyNumberFormat="0" applyAlignment="0" applyProtection="0"/>
    <xf numFmtId="0" fontId="84" fillId="21" borderId="96" applyNumberFormat="0" applyAlignment="0" applyProtection="0"/>
    <xf numFmtId="0" fontId="84" fillId="21" borderId="96" applyNumberFormat="0" applyAlignment="0" applyProtection="0"/>
    <xf numFmtId="0" fontId="87" fillId="34" borderId="101" applyNumberFormat="0" applyAlignment="0" applyProtection="0"/>
    <xf numFmtId="0" fontId="5" fillId="0" borderId="98" applyNumberFormat="0" applyFill="0" applyAlignment="0" applyProtection="0"/>
    <xf numFmtId="0" fontId="84" fillId="21" borderId="96" applyNumberFormat="0" applyAlignment="0" applyProtection="0"/>
    <xf numFmtId="0" fontId="87" fillId="34" borderId="97" applyNumberFormat="0" applyAlignment="0" applyProtection="0"/>
    <xf numFmtId="0" fontId="79" fillId="34" borderId="96" applyNumberFormat="0" applyAlignment="0" applyProtection="0"/>
    <xf numFmtId="0" fontId="87" fillId="34" borderId="101" applyNumberFormat="0" applyAlignment="0" applyProtection="0"/>
    <xf numFmtId="0" fontId="12" fillId="37" borderId="95" applyNumberFormat="0" applyFont="0" applyAlignment="0" applyProtection="0"/>
    <xf numFmtId="0" fontId="87" fillId="34" borderId="97" applyNumberFormat="0" applyAlignment="0" applyProtection="0"/>
    <xf numFmtId="0" fontId="79" fillId="34" borderId="96" applyNumberFormat="0" applyAlignment="0" applyProtection="0"/>
    <xf numFmtId="0" fontId="87" fillId="34" borderId="101" applyNumberFormat="0" applyAlignment="0" applyProtection="0"/>
    <xf numFmtId="0" fontId="84" fillId="21" borderId="100" applyNumberForma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7" fillId="34" borderId="101" applyNumberFormat="0" applyAlignment="0" applyProtection="0"/>
    <xf numFmtId="0" fontId="5" fillId="0" borderId="102" applyNumberFormat="0" applyFill="0" applyAlignment="0" applyProtection="0"/>
    <xf numFmtId="0" fontId="84" fillId="21" borderId="100" applyNumberForma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87" fillId="34" borderId="101"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87" fillId="34" borderId="101" applyNumberFormat="0" applyAlignment="0" applyProtection="0"/>
    <xf numFmtId="0" fontId="12" fillId="37" borderId="99" applyNumberFormat="0" applyFont="0" applyAlignment="0" applyProtection="0"/>
    <xf numFmtId="0" fontId="84" fillId="21" borderId="100" applyNumberFormat="0" applyAlignment="0" applyProtection="0"/>
    <xf numFmtId="0" fontId="79" fillId="34" borderId="100" applyNumberFormat="0" applyAlignment="0" applyProtection="0"/>
    <xf numFmtId="0" fontId="79" fillId="34" borderId="100" applyNumberFormat="0" applyAlignment="0" applyProtection="0"/>
    <xf numFmtId="0" fontId="79" fillId="34" borderId="100" applyNumberFormat="0" applyAlignment="0" applyProtection="0"/>
    <xf numFmtId="0" fontId="84" fillId="21" borderId="100" applyNumberFormat="0" applyAlignment="0" applyProtection="0"/>
    <xf numFmtId="0" fontId="84" fillId="21"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12" fillId="37" borderId="99" applyNumberFormat="0" applyFont="0" applyAlignment="0" applyProtection="0"/>
    <xf numFmtId="0" fontId="79" fillId="34" borderId="100" applyNumberForma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87" fillId="34" borderId="101" applyNumberFormat="0" applyAlignment="0" applyProtection="0"/>
    <xf numFmtId="0" fontId="12" fillId="37" borderId="99" applyNumberFormat="0" applyFont="0" applyAlignment="0" applyProtection="0"/>
    <xf numFmtId="0" fontId="84" fillId="21" borderId="100" applyNumberForma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7" fillId="34" borderId="101" applyNumberFormat="0" applyAlignment="0" applyProtection="0"/>
    <xf numFmtId="0" fontId="12" fillId="37" borderId="99" applyNumberFormat="0" applyFont="0" applyAlignment="0" applyProtection="0"/>
    <xf numFmtId="0" fontId="87" fillId="34" borderId="101" applyNumberFormat="0" applyAlignment="0" applyProtection="0"/>
    <xf numFmtId="0" fontId="12" fillId="37" borderId="99" applyNumberFormat="0" applyFont="0" applyAlignment="0" applyProtection="0"/>
    <xf numFmtId="0" fontId="79" fillId="34" borderId="100"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5" fillId="0" borderId="102" applyNumberFormat="0" applyFill="0" applyAlignment="0" applyProtection="0"/>
    <xf numFmtId="0" fontId="87" fillId="34" borderId="101" applyNumberFormat="0" applyAlignment="0" applyProtection="0"/>
    <xf numFmtId="0" fontId="87" fillId="34" borderId="101" applyNumberFormat="0" applyAlignment="0" applyProtection="0"/>
    <xf numFmtId="0" fontId="12" fillId="37" borderId="99" applyNumberFormat="0" applyFont="0" applyAlignment="0" applyProtection="0"/>
    <xf numFmtId="0" fontId="12" fillId="37" borderId="99" applyNumberFormat="0" applyFont="0" applyAlignment="0" applyProtection="0"/>
    <xf numFmtId="0" fontId="84" fillId="21" borderId="100" applyNumberFormat="0" applyAlignment="0" applyProtection="0"/>
    <xf numFmtId="0" fontId="84" fillId="21" borderId="100" applyNumberFormat="0" applyAlignment="0" applyProtection="0"/>
    <xf numFmtId="0" fontId="79" fillId="34" borderId="100" applyNumberFormat="0" applyAlignment="0" applyProtection="0"/>
    <xf numFmtId="0" fontId="79" fillId="34" borderId="100" applyNumberFormat="0" applyAlignment="0" applyProtection="0"/>
    <xf numFmtId="0" fontId="87" fillId="34" borderId="101" applyNumberFormat="0" applyAlignment="0" applyProtection="0"/>
    <xf numFmtId="0" fontId="5" fillId="0" borderId="102" applyNumberFormat="0" applyFill="0" applyAlignment="0" applyProtection="0"/>
    <xf numFmtId="0" fontId="5" fillId="0" borderId="102" applyNumberFormat="0" applyFill="0" applyAlignment="0" applyProtection="0"/>
    <xf numFmtId="0" fontId="12" fillId="37" borderId="99" applyNumberFormat="0" applyFont="0" applyAlignment="0" applyProtection="0"/>
    <xf numFmtId="0" fontId="5" fillId="0" borderId="102" applyNumberFormat="0" applyFill="0" applyAlignment="0" applyProtection="0"/>
    <xf numFmtId="0" fontId="12" fillId="37" borderId="99" applyNumberFormat="0" applyFont="0" applyAlignment="0" applyProtection="0"/>
    <xf numFmtId="0" fontId="84" fillId="21" borderId="100" applyNumberFormat="0" applyAlignment="0" applyProtection="0"/>
    <xf numFmtId="0" fontId="12" fillId="37" borderId="99" applyNumberFormat="0" applyFont="0" applyAlignment="0" applyProtection="0"/>
    <xf numFmtId="0" fontId="79" fillId="34" borderId="100" applyNumberFormat="0" applyAlignment="0" applyProtection="0"/>
    <xf numFmtId="0" fontId="84" fillId="21" borderId="100" applyNumberFormat="0" applyAlignment="0" applyProtection="0"/>
    <xf numFmtId="0" fontId="84" fillId="21" borderId="100" applyNumberFormat="0" applyAlignment="0" applyProtection="0"/>
    <xf numFmtId="0" fontId="5" fillId="0" borderId="102" applyNumberFormat="0" applyFill="0" applyAlignment="0" applyProtection="0"/>
    <xf numFmtId="0" fontId="84" fillId="21" borderId="100" applyNumberFormat="0" applyAlignment="0" applyProtection="0"/>
    <xf numFmtId="0" fontId="87" fillId="34" borderId="101" applyNumberFormat="0" applyAlignment="0" applyProtection="0"/>
    <xf numFmtId="0" fontId="79" fillId="34" borderId="100" applyNumberFormat="0" applyAlignment="0" applyProtection="0"/>
    <xf numFmtId="0" fontId="12" fillId="37" borderId="99" applyNumberFormat="0" applyFont="0" applyAlignment="0" applyProtection="0"/>
    <xf numFmtId="0" fontId="87" fillId="34" borderId="101" applyNumberFormat="0" applyAlignment="0" applyProtection="0"/>
    <xf numFmtId="0" fontId="79" fillId="34" borderId="100" applyNumberFormat="0" applyAlignment="0" applyProtection="0"/>
    <xf numFmtId="0" fontId="79" fillId="34" borderId="181" applyNumberFormat="0" applyAlignment="0" applyProtection="0"/>
    <xf numFmtId="0" fontId="87" fillId="34" borderId="129" applyNumberFormat="0" applyAlignment="0" applyProtection="0"/>
    <xf numFmtId="0" fontId="12" fillId="37" borderId="159" applyNumberFormat="0" applyFont="0" applyAlignment="0" applyProtection="0"/>
    <xf numFmtId="0" fontId="12" fillId="37" borderId="155" applyNumberFormat="0" applyFont="0" applyAlignment="0" applyProtection="0"/>
    <xf numFmtId="0" fontId="87" fillId="34" borderId="129" applyNumberFormat="0" applyAlignment="0" applyProtection="0"/>
    <xf numFmtId="0" fontId="87" fillId="34" borderId="121" applyNumberFormat="0" applyAlignment="0" applyProtection="0"/>
    <xf numFmtId="0" fontId="87" fillId="34" borderId="121" applyNumberFormat="0" applyAlignment="0" applyProtection="0"/>
    <xf numFmtId="0" fontId="87" fillId="34" borderId="161" applyNumberFormat="0" applyAlignment="0" applyProtection="0"/>
    <xf numFmtId="0" fontId="12" fillId="37" borderId="167" applyNumberFormat="0" applyFont="0" applyAlignment="0" applyProtection="0"/>
    <xf numFmtId="0" fontId="12" fillId="37" borderId="155" applyNumberFormat="0" applyFont="0" applyAlignment="0" applyProtection="0"/>
    <xf numFmtId="0" fontId="12" fillId="37" borderId="127" applyNumberFormat="0" applyFont="0" applyAlignment="0" applyProtection="0"/>
    <xf numFmtId="0" fontId="5" fillId="0" borderId="191" applyNumberFormat="0" applyFill="0" applyAlignment="0" applyProtection="0"/>
    <xf numFmtId="0" fontId="5" fillId="0" borderId="130" applyNumberFormat="0" applyFill="0" applyAlignment="0" applyProtection="0"/>
    <xf numFmtId="0" fontId="87" fillId="34" borderId="169" applyNumberFormat="0" applyAlignment="0" applyProtection="0"/>
    <xf numFmtId="0" fontId="5" fillId="0" borderId="154" applyNumberFormat="0" applyFill="0" applyAlignment="0" applyProtection="0"/>
    <xf numFmtId="0" fontId="12" fillId="37" borderId="159" applyNumberFormat="0" applyFont="0" applyAlignment="0" applyProtection="0"/>
    <xf numFmtId="0" fontId="5" fillId="0" borderId="162" applyNumberFormat="0" applyFill="0" applyAlignment="0" applyProtection="0"/>
    <xf numFmtId="0" fontId="84" fillId="21" borderId="160" applyNumberFormat="0" applyAlignment="0" applyProtection="0"/>
    <xf numFmtId="0" fontId="12" fillId="37" borderId="188" applyNumberFormat="0" applyFont="0" applyAlignment="0" applyProtection="0"/>
    <xf numFmtId="0" fontId="87" fillId="34" borderId="169" applyNumberFormat="0" applyAlignment="0" applyProtection="0"/>
    <xf numFmtId="0" fontId="12" fillId="37" borderId="159" applyNumberFormat="0" applyFont="0" applyAlignment="0" applyProtection="0"/>
    <xf numFmtId="0" fontId="79" fillId="34" borderId="168" applyNumberFormat="0" applyAlignment="0" applyProtection="0"/>
    <xf numFmtId="0" fontId="12" fillId="37" borderId="127" applyNumberFormat="0" applyFont="0" applyAlignment="0" applyProtection="0"/>
    <xf numFmtId="0" fontId="87" fillId="34" borderId="129" applyNumberFormat="0" applyAlignment="0" applyProtection="0"/>
    <xf numFmtId="0" fontId="12" fillId="37" borderId="159" applyNumberFormat="0" applyFont="0" applyAlignment="0" applyProtection="0"/>
    <xf numFmtId="0" fontId="12" fillId="37" borderId="131" applyNumberFormat="0" applyFont="0" applyAlignment="0" applyProtection="0"/>
    <xf numFmtId="0" fontId="79" fillId="34" borderId="124" applyNumberFormat="0" applyAlignment="0" applyProtection="0"/>
    <xf numFmtId="0" fontId="79" fillId="34" borderId="185" applyNumberFormat="0" applyAlignment="0" applyProtection="0"/>
    <xf numFmtId="0" fontId="12" fillId="37" borderId="167" applyNumberFormat="0" applyFont="0" applyAlignment="0" applyProtection="0"/>
    <xf numFmtId="0" fontId="5" fillId="0" borderId="174" applyNumberFormat="0" applyFill="0" applyAlignment="0" applyProtection="0"/>
    <xf numFmtId="0" fontId="12" fillId="37" borderId="167" applyNumberFormat="0" applyFont="0" applyAlignment="0" applyProtection="0"/>
    <xf numFmtId="0" fontId="84" fillId="21" borderId="156" applyNumberFormat="0" applyAlignment="0" applyProtection="0"/>
    <xf numFmtId="0" fontId="87" fillId="34" borderId="129" applyNumberFormat="0" applyAlignment="0" applyProtection="0"/>
    <xf numFmtId="0" fontId="12" fillId="37" borderId="127" applyNumberFormat="0" applyFont="0" applyAlignment="0" applyProtection="0"/>
    <xf numFmtId="0" fontId="79" fillId="34" borderId="144" applyNumberFormat="0" applyAlignment="0" applyProtection="0"/>
    <xf numFmtId="0" fontId="12" fillId="37" borderId="127" applyNumberFormat="0" applyFont="0" applyAlignment="0" applyProtection="0"/>
    <xf numFmtId="0" fontId="12" fillId="37" borderId="159" applyNumberFormat="0" applyFont="0" applyAlignment="0" applyProtection="0"/>
    <xf numFmtId="0" fontId="79" fillId="34" borderId="160" applyNumberFormat="0" applyAlignment="0" applyProtection="0"/>
    <xf numFmtId="0" fontId="5" fillId="0" borderId="146" applyNumberFormat="0" applyFill="0" applyAlignment="0" applyProtection="0"/>
    <xf numFmtId="0" fontId="5" fillId="0" borderId="150" applyNumberFormat="0" applyFill="0" applyAlignment="0" applyProtection="0"/>
    <xf numFmtId="0" fontId="12" fillId="37" borderId="167" applyNumberFormat="0" applyFont="0" applyAlignment="0" applyProtection="0"/>
    <xf numFmtId="0" fontId="87" fillId="34" borderId="182" applyNumberFormat="0" applyAlignment="0" applyProtection="0"/>
    <xf numFmtId="0" fontId="12" fillId="37" borderId="147" applyNumberFormat="0" applyFont="0" applyAlignment="0" applyProtection="0"/>
    <xf numFmtId="0" fontId="12" fillId="37" borderId="159"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84" fillId="21" borderId="168" applyNumberForma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59" applyNumberFormat="0" applyFont="0" applyAlignment="0" applyProtection="0"/>
    <xf numFmtId="0" fontId="12" fillId="37" borderId="123" applyNumberFormat="0" applyFont="0" applyAlignment="0" applyProtection="0"/>
    <xf numFmtId="0" fontId="84" fillId="21" borderId="168" applyNumberFormat="0" applyAlignment="0" applyProtection="0"/>
    <xf numFmtId="0" fontId="87" fillId="34" borderId="165" applyNumberFormat="0" applyAlignment="0" applyProtection="0"/>
    <xf numFmtId="0" fontId="84" fillId="21" borderId="124" applyNumberFormat="0" applyAlignment="0" applyProtection="0"/>
    <xf numFmtId="0" fontId="12" fillId="37" borderId="131" applyNumberFormat="0" applyFont="0" applyAlignment="0" applyProtection="0"/>
    <xf numFmtId="0" fontId="12" fillId="37" borderId="159" applyNumberFormat="0" applyFont="0" applyAlignment="0" applyProtection="0"/>
    <xf numFmtId="0" fontId="5" fillId="0" borderId="130" applyNumberFormat="0" applyFill="0" applyAlignment="0" applyProtection="0"/>
    <xf numFmtId="0" fontId="12" fillId="37" borderId="175" applyNumberFormat="0" applyFont="0" applyAlignment="0" applyProtection="0"/>
    <xf numFmtId="0" fontId="12" fillId="37" borderId="139" applyNumberFormat="0" applyFont="0" applyAlignment="0" applyProtection="0"/>
    <xf numFmtId="0" fontId="12" fillId="37" borderId="159" applyNumberFormat="0" applyFont="0" applyAlignment="0" applyProtection="0"/>
    <xf numFmtId="0" fontId="84" fillId="21" borderId="185" applyNumberFormat="0" applyAlignment="0" applyProtection="0"/>
    <xf numFmtId="0" fontId="5" fillId="0" borderId="146" applyNumberFormat="0" applyFill="0" applyAlignment="0" applyProtection="0"/>
    <xf numFmtId="0" fontId="79" fillId="34" borderId="124" applyNumberFormat="0" applyAlignment="0" applyProtection="0"/>
    <xf numFmtId="0" fontId="87" fillId="34" borderId="161" applyNumberFormat="0" applyAlignment="0" applyProtection="0"/>
    <xf numFmtId="0" fontId="87" fillId="34" borderId="121" applyNumberFormat="0" applyAlignment="0" applyProtection="0"/>
    <xf numFmtId="0" fontId="79" fillId="34" borderId="128" applyNumberFormat="0" applyAlignment="0" applyProtection="0"/>
    <xf numFmtId="0" fontId="5" fillId="0" borderId="162" applyNumberFormat="0" applyFill="0" applyAlignment="0" applyProtection="0"/>
    <xf numFmtId="0" fontId="5" fillId="0" borderId="170" applyNumberFormat="0" applyFill="0" applyAlignment="0" applyProtection="0"/>
    <xf numFmtId="0" fontId="5" fillId="0" borderId="166" applyNumberFormat="0" applyFill="0" applyAlignment="0" applyProtection="0"/>
    <xf numFmtId="0" fontId="87" fillId="34" borderId="186" applyNumberFormat="0" applyAlignment="0" applyProtection="0"/>
    <xf numFmtId="0" fontId="12" fillId="37" borderId="184" applyNumberFormat="0" applyFont="0" applyAlignment="0" applyProtection="0"/>
    <xf numFmtId="0" fontId="5" fillId="0" borderId="142" applyNumberFormat="0" applyFill="0" applyAlignment="0" applyProtection="0"/>
    <xf numFmtId="0" fontId="12" fillId="37" borderId="184" applyNumberFormat="0" applyFont="0" applyAlignment="0" applyProtection="0"/>
    <xf numFmtId="0" fontId="79" fillId="34" borderId="168" applyNumberFormat="0" applyAlignment="0" applyProtection="0"/>
    <xf numFmtId="0" fontId="12" fillId="37" borderId="167"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7" fillId="34" borderId="161" applyNumberFormat="0" applyAlignment="0" applyProtection="0"/>
    <xf numFmtId="0" fontId="87" fillId="34" borderId="182" applyNumberFormat="0" applyAlignment="0" applyProtection="0"/>
    <xf numFmtId="0" fontId="5" fillId="0" borderId="170" applyNumberFormat="0" applyFill="0" applyAlignment="0" applyProtection="0"/>
    <xf numFmtId="0" fontId="79" fillId="34" borderId="168" applyNumberFormat="0" applyAlignment="0" applyProtection="0"/>
    <xf numFmtId="0" fontId="84" fillId="21" borderId="168" applyNumberFormat="0" applyAlignment="0" applyProtection="0"/>
    <xf numFmtId="0" fontId="79" fillId="34" borderId="128" applyNumberFormat="0" applyAlignment="0" applyProtection="0"/>
    <xf numFmtId="0" fontId="79" fillId="34" borderId="148" applyNumberFormat="0" applyAlignment="0" applyProtection="0"/>
    <xf numFmtId="0" fontId="84" fillId="21" borderId="168" applyNumberFormat="0" applyAlignment="0" applyProtection="0"/>
    <xf numFmtId="0" fontId="12" fillId="37" borderId="184" applyNumberFormat="0" applyFont="0" applyAlignment="0" applyProtection="0"/>
    <xf numFmtId="0" fontId="84" fillId="21" borderId="160" applyNumberFormat="0" applyAlignment="0" applyProtection="0"/>
    <xf numFmtId="0" fontId="12" fillId="37" borderId="143" applyNumberFormat="0" applyFont="0" applyAlignment="0" applyProtection="0"/>
    <xf numFmtId="0" fontId="87" fillId="34" borderId="129"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63" applyNumberFormat="0" applyFont="0" applyAlignment="0" applyProtection="0"/>
    <xf numFmtId="0" fontId="87" fillId="34" borderId="129" applyNumberFormat="0" applyAlignment="0" applyProtection="0"/>
    <xf numFmtId="0" fontId="87" fillId="34" borderId="173" applyNumberFormat="0" applyAlignment="0" applyProtection="0"/>
    <xf numFmtId="0" fontId="79" fillId="34" borderId="160" applyNumberFormat="0" applyAlignment="0" applyProtection="0"/>
    <xf numFmtId="0" fontId="87" fillId="34" borderId="125" applyNumberFormat="0" applyAlignment="0" applyProtection="0"/>
    <xf numFmtId="0" fontId="5" fillId="0" borderId="158" applyNumberFormat="0" applyFill="0" applyAlignment="0" applyProtection="0"/>
    <xf numFmtId="0" fontId="5" fillId="0" borderId="134" applyNumberFormat="0" applyFill="0" applyAlignment="0" applyProtection="0"/>
    <xf numFmtId="0" fontId="87" fillId="34" borderId="161" applyNumberFormat="0" applyAlignment="0" applyProtection="0"/>
    <xf numFmtId="0" fontId="12" fillId="37" borderId="127" applyNumberFormat="0" applyFont="0" applyAlignment="0" applyProtection="0"/>
    <xf numFmtId="0" fontId="87" fillId="34" borderId="137" applyNumberFormat="0" applyAlignment="0" applyProtection="0"/>
    <xf numFmtId="0" fontId="84" fillId="21" borderId="164" applyNumberFormat="0" applyAlignment="0" applyProtection="0"/>
    <xf numFmtId="0" fontId="12" fillId="37" borderId="163" applyNumberFormat="0" applyFont="0" applyAlignment="0" applyProtection="0"/>
    <xf numFmtId="0" fontId="79" fillId="34" borderId="185"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63" applyNumberFormat="0" applyFont="0" applyAlignment="0" applyProtection="0"/>
    <xf numFmtId="0" fontId="12" fillId="37" borderId="127" applyNumberFormat="0" applyFon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23" applyNumberFormat="0" applyFont="0" applyAlignment="0" applyProtection="0"/>
    <xf numFmtId="0" fontId="79" fillId="34" borderId="120" applyNumberFormat="0" applyAlignment="0" applyProtection="0"/>
    <xf numFmtId="0" fontId="79" fillId="34" borderId="168" applyNumberFormat="0" applyAlignment="0" applyProtection="0"/>
    <xf numFmtId="0" fontId="84" fillId="21" borderId="168" applyNumberFormat="0" applyAlignment="0" applyProtection="0"/>
    <xf numFmtId="0" fontId="12" fillId="37" borderId="159" applyNumberFormat="0" applyFont="0" applyAlignment="0" applyProtection="0"/>
    <xf numFmtId="0" fontId="12" fillId="37" borderId="115" applyNumberFormat="0" applyFont="0" applyAlignment="0" applyProtection="0"/>
    <xf numFmtId="0" fontId="79" fillId="34" borderId="116" applyNumberFormat="0" applyAlignment="0" applyProtection="0"/>
    <xf numFmtId="0" fontId="12" fillId="37" borderId="159" applyNumberFormat="0" applyFont="0" applyAlignment="0" applyProtection="0"/>
    <xf numFmtId="0" fontId="5" fillId="0" borderId="166" applyNumberFormat="0" applyFill="0" applyAlignment="0" applyProtection="0"/>
    <xf numFmtId="0" fontId="5" fillId="0" borderId="166" applyNumberFormat="0" applyFill="0" applyAlignment="0" applyProtection="0"/>
    <xf numFmtId="0" fontId="12" fillId="37" borderId="127" applyNumberFormat="0" applyFont="0" applyAlignment="0" applyProtection="0"/>
    <xf numFmtId="0" fontId="84" fillId="21" borderId="128" applyNumberFormat="0" applyAlignment="0" applyProtection="0"/>
    <xf numFmtId="0" fontId="12" fillId="37" borderId="167" applyNumberFormat="0" applyFont="0" applyAlignment="0" applyProtection="0"/>
    <xf numFmtId="0" fontId="84" fillId="21" borderId="185" applyNumberFormat="0" applyAlignment="0" applyProtection="0"/>
    <xf numFmtId="0" fontId="79" fillId="34" borderId="160" applyNumberFormat="0" applyAlignment="0" applyProtection="0"/>
    <xf numFmtId="0" fontId="84" fillId="21" borderId="144" applyNumberFormat="0" applyAlignment="0" applyProtection="0"/>
    <xf numFmtId="0" fontId="84" fillId="21" borderId="152" applyNumberFormat="0" applyAlignment="0" applyProtection="0"/>
    <xf numFmtId="0" fontId="12" fillId="37" borderId="159" applyNumberFormat="0" applyFont="0" applyAlignment="0" applyProtection="0"/>
    <xf numFmtId="0" fontId="87" fillId="34" borderId="169" applyNumberFormat="0" applyAlignment="0" applyProtection="0"/>
    <xf numFmtId="0" fontId="5" fillId="0" borderId="179" applyNumberFormat="0" applyFill="0" applyAlignment="0" applyProtection="0"/>
    <xf numFmtId="0" fontId="87" fillId="34" borderId="145" applyNumberFormat="0" applyAlignment="0" applyProtection="0"/>
    <xf numFmtId="0" fontId="12" fillId="37" borderId="163" applyNumberFormat="0" applyFont="0" applyAlignment="0" applyProtection="0"/>
    <xf numFmtId="0" fontId="12" fillId="37" borderId="155" applyNumberFormat="0" applyFont="0" applyAlignment="0" applyProtection="0"/>
    <xf numFmtId="0" fontId="79" fillId="34" borderId="136" applyNumberFormat="0" applyAlignment="0" applyProtection="0"/>
    <xf numFmtId="0" fontId="12" fillId="37" borderId="159" applyNumberFormat="0" applyFont="0" applyAlignment="0" applyProtection="0"/>
    <xf numFmtId="0" fontId="84" fillId="21" borderId="185" applyNumberFormat="0" applyAlignment="0" applyProtection="0"/>
    <xf numFmtId="0" fontId="79" fillId="34" borderId="148" applyNumberFormat="0" applyAlignment="0" applyProtection="0"/>
    <xf numFmtId="0" fontId="84" fillId="21" borderId="185" applyNumberFormat="0" applyAlignment="0" applyProtection="0"/>
    <xf numFmtId="0" fontId="12" fillId="37" borderId="127" applyNumberFormat="0" applyFont="0" applyAlignment="0" applyProtection="0"/>
    <xf numFmtId="0" fontId="87" fillId="34" borderId="178" applyNumberFormat="0" applyAlignment="0" applyProtection="0"/>
    <xf numFmtId="0" fontId="12" fillId="37" borderId="127" applyNumberFormat="0" applyFont="0" applyAlignment="0" applyProtection="0"/>
    <xf numFmtId="0" fontId="84" fillId="21" borderId="128" applyNumberFormat="0" applyAlignment="0" applyProtection="0"/>
    <xf numFmtId="0" fontId="79" fillId="34" borderId="128" applyNumberFormat="0" applyAlignment="0" applyProtection="0"/>
    <xf numFmtId="0" fontId="12" fillId="37" borderId="184" applyNumberFormat="0" applyFont="0" applyAlignment="0" applyProtection="0"/>
    <xf numFmtId="0" fontId="79" fillId="34" borderId="168" applyNumberFormat="0" applyAlignment="0" applyProtection="0"/>
    <xf numFmtId="0" fontId="5" fillId="0" borderId="187" applyNumberFormat="0" applyFill="0" applyAlignment="0" applyProtection="0"/>
    <xf numFmtId="0" fontId="12" fillId="37" borderId="159" applyNumberFormat="0" applyFont="0" applyAlignment="0" applyProtection="0"/>
    <xf numFmtId="0" fontId="84" fillId="21" borderId="128" applyNumberFormat="0" applyAlignment="0" applyProtection="0"/>
    <xf numFmtId="0" fontId="79" fillId="34" borderId="132" applyNumberFormat="0" applyAlignment="0" applyProtection="0"/>
    <xf numFmtId="0" fontId="12" fillId="37" borderId="176" applyNumberFormat="0" applyFont="0" applyAlignment="0" applyProtection="0"/>
    <xf numFmtId="0" fontId="12" fillId="37" borderId="115" applyNumberFormat="0" applyFont="0" applyAlignment="0" applyProtection="0"/>
    <xf numFmtId="0" fontId="84" fillId="21" borderId="148" applyNumberFormat="0" applyAlignment="0" applyProtection="0"/>
    <xf numFmtId="0" fontId="79" fillId="34" borderId="140" applyNumberFormat="0" applyAlignment="0" applyProtection="0"/>
    <xf numFmtId="0" fontId="12" fillId="37" borderId="159" applyNumberFormat="0" applyFont="0" applyAlignment="0" applyProtection="0"/>
    <xf numFmtId="0" fontId="84" fillId="21" borderId="144" applyNumberFormat="0" applyAlignment="0" applyProtection="0"/>
    <xf numFmtId="0" fontId="84" fillId="21" borderId="140" applyNumberFormat="0" applyAlignment="0" applyProtection="0"/>
    <xf numFmtId="0" fontId="5" fillId="0" borderId="162" applyNumberFormat="0" applyFill="0" applyAlignment="0" applyProtection="0"/>
    <xf numFmtId="0" fontId="84" fillId="21" borderId="128" applyNumberFormat="0" applyAlignment="0" applyProtection="0"/>
    <xf numFmtId="0" fontId="12" fillId="37" borderId="127" applyNumberFormat="0" applyFont="0" applyAlignment="0" applyProtection="0"/>
    <xf numFmtId="0" fontId="104" fillId="0" borderId="0" applyNumberFormat="0" applyFill="0" applyBorder="0" applyAlignment="0" applyProtection="0">
      <alignment vertical="top"/>
      <protection locked="0"/>
    </xf>
    <xf numFmtId="0" fontId="87" fillId="34" borderId="129" applyNumberFormat="0" applyAlignment="0" applyProtection="0"/>
    <xf numFmtId="0" fontId="5" fillId="0" borderId="130" applyNumberFormat="0" applyFill="0" applyAlignment="0" applyProtection="0"/>
    <xf numFmtId="0" fontId="79" fillId="34" borderId="128" applyNumberFormat="0" applyAlignment="0" applyProtection="0"/>
    <xf numFmtId="0" fontId="84" fillId="21" borderId="128" applyNumberFormat="0" applyAlignment="0" applyProtection="0"/>
    <xf numFmtId="0" fontId="87" fillId="34" borderId="129" applyNumberFormat="0" applyAlignment="0" applyProtection="0"/>
    <xf numFmtId="0" fontId="84" fillId="21" borderId="128" applyNumberFormat="0" applyAlignment="0" applyProtection="0"/>
    <xf numFmtId="0" fontId="79" fillId="34" borderId="111" applyNumberFormat="0" applyAlignment="0" applyProtection="0"/>
    <xf numFmtId="0" fontId="79" fillId="34" borderId="111" applyNumberFormat="0" applyAlignment="0" applyProtection="0"/>
    <xf numFmtId="0" fontId="84" fillId="21" borderId="111" applyNumberFormat="0" applyAlignment="0" applyProtection="0"/>
    <xf numFmtId="0" fontId="84" fillId="21"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30" applyNumberFormat="0" applyFill="0" applyAlignment="0" applyProtection="0"/>
    <xf numFmtId="0" fontId="79" fillId="34" borderId="164" applyNumberFormat="0" applyAlignment="0" applyProtection="0"/>
    <xf numFmtId="0" fontId="12" fillId="37" borderId="135" applyNumberFormat="0" applyFont="0" applyAlignment="0" applyProtection="0"/>
    <xf numFmtId="0" fontId="12" fillId="37" borderId="151" applyNumberFormat="0" applyFont="0" applyAlignment="0" applyProtection="0"/>
    <xf numFmtId="0" fontId="84" fillId="21" borderId="124" applyNumberFormat="0" applyAlignment="0" applyProtection="0"/>
    <xf numFmtId="0" fontId="5" fillId="0" borderId="130" applyNumberFormat="0" applyFill="0" applyAlignment="0" applyProtection="0"/>
    <xf numFmtId="0" fontId="87" fillId="34" borderId="129" applyNumberFormat="0" applyAlignment="0" applyProtection="0"/>
    <xf numFmtId="0" fontId="12" fillId="37" borderId="110" applyNumberFormat="0" applyFont="0" applyAlignment="0" applyProtection="0"/>
    <xf numFmtId="0" fontId="87" fillId="34" borderId="129"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84" fillId="21" borderId="128" applyNumberFormat="0" applyAlignment="0" applyProtection="0"/>
    <xf numFmtId="0" fontId="12" fillId="37" borderId="155" applyNumberFormat="0" applyFont="0" applyAlignment="0" applyProtection="0"/>
    <xf numFmtId="0" fontId="12" fillId="37" borderId="131" applyNumberFormat="0" applyFont="0" applyAlignment="0" applyProtection="0"/>
    <xf numFmtId="0" fontId="79" fillId="34" borderId="164" applyNumberFormat="0" applyAlignment="0" applyProtection="0"/>
    <xf numFmtId="0" fontId="84" fillId="21" borderId="177" applyNumberFormat="0" applyAlignment="0" applyProtection="0"/>
    <xf numFmtId="0" fontId="5" fillId="0" borderId="162" applyNumberFormat="0" applyFill="0" applyAlignment="0" applyProtection="0"/>
    <xf numFmtId="0" fontId="12" fillId="37" borderId="167" applyNumberFormat="0" applyFont="0" applyAlignment="0" applyProtection="0"/>
    <xf numFmtId="0" fontId="84" fillId="21" borderId="164" applyNumberFormat="0" applyAlignment="0" applyProtection="0"/>
    <xf numFmtId="0" fontId="5" fillId="0" borderId="170" applyNumberFormat="0" applyFill="0" applyAlignment="0" applyProtection="0"/>
    <xf numFmtId="0" fontId="87" fillId="34" borderId="161" applyNumberFormat="0" applyAlignment="0" applyProtection="0"/>
    <xf numFmtId="0" fontId="84" fillId="21" borderId="132" applyNumberFormat="0" applyAlignment="0" applyProtection="0"/>
    <xf numFmtId="0" fontId="5" fillId="0" borderId="162" applyNumberFormat="0" applyFill="0" applyAlignment="0" applyProtection="0"/>
    <xf numFmtId="0" fontId="5" fillId="0" borderId="170" applyNumberFormat="0" applyFill="0" applyAlignment="0" applyProtection="0"/>
    <xf numFmtId="0" fontId="87" fillId="34" borderId="165" applyNumberFormat="0" applyAlignment="0" applyProtection="0"/>
    <xf numFmtId="0" fontId="5" fillId="0" borderId="130" applyNumberFormat="0" applyFill="0" applyAlignment="0" applyProtection="0"/>
    <xf numFmtId="0" fontId="5" fillId="0" borderId="130" applyNumberFormat="0" applyFill="0" applyAlignment="0" applyProtection="0"/>
    <xf numFmtId="0" fontId="5" fillId="0" borderId="150" applyNumberFormat="0" applyFill="0" applyAlignment="0" applyProtection="0"/>
    <xf numFmtId="0" fontId="79" fillId="34" borderId="168" applyNumberFormat="0" applyAlignment="0" applyProtection="0"/>
    <xf numFmtId="0" fontId="12" fillId="37" borderId="127" applyNumberFormat="0" applyFont="0" applyAlignment="0" applyProtection="0"/>
    <xf numFmtId="0" fontId="84" fillId="21" borderId="128"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5" fillId="0" borderId="138" applyNumberFormat="0" applyFill="0" applyAlignment="0" applyProtection="0"/>
    <xf numFmtId="0" fontId="84" fillId="21" borderId="132" applyNumberFormat="0" applyAlignment="0" applyProtection="0"/>
    <xf numFmtId="0" fontId="87" fillId="34" borderId="157" applyNumberFormat="0" applyAlignment="0" applyProtection="0"/>
    <xf numFmtId="0" fontId="5" fillId="0" borderId="170" applyNumberFormat="0" applyFill="0" applyAlignment="0" applyProtection="0"/>
    <xf numFmtId="0" fontId="84" fillId="21" borderId="152" applyNumberFormat="0" applyAlignment="0" applyProtection="0"/>
    <xf numFmtId="0" fontId="79" fillId="34" borderId="168" applyNumberFormat="0" applyAlignment="0" applyProtection="0"/>
    <xf numFmtId="0" fontId="12" fillId="37" borderId="159" applyNumberFormat="0" applyFont="0" applyAlignment="0" applyProtection="0"/>
    <xf numFmtId="0" fontId="79" fillId="34" borderId="185" applyNumberFormat="0" applyAlignment="0" applyProtection="0"/>
    <xf numFmtId="0" fontId="12" fillId="37" borderId="159" applyNumberFormat="0" applyFont="0" applyAlignment="0" applyProtection="0"/>
    <xf numFmtId="0" fontId="87" fillId="34" borderId="153" applyNumberFormat="0" applyAlignment="0" applyProtection="0"/>
    <xf numFmtId="0" fontId="12" fillId="37" borderId="167" applyNumberFormat="0" applyFont="0" applyAlignment="0" applyProtection="0"/>
    <xf numFmtId="0" fontId="84" fillId="21" borderId="144" applyNumberFormat="0" applyAlignment="0" applyProtection="0"/>
    <xf numFmtId="0" fontId="12" fillId="37" borderId="127" applyNumberFormat="0" applyFont="0" applyAlignment="0" applyProtection="0"/>
    <xf numFmtId="0" fontId="87" fillId="34" borderId="19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79" fillId="34" borderId="120" applyNumberFormat="0" applyAlignment="0" applyProtection="0"/>
    <xf numFmtId="0" fontId="79" fillId="34" borderId="152" applyNumberFormat="0" applyAlignment="0" applyProtection="0"/>
    <xf numFmtId="0" fontId="12" fillId="37" borderId="127" applyNumberFormat="0" applyFont="0" applyAlignment="0" applyProtection="0"/>
    <xf numFmtId="0" fontId="87" fillId="34" borderId="169" applyNumberFormat="0" applyAlignment="0" applyProtection="0"/>
    <xf numFmtId="0" fontId="12" fillId="37" borderId="115" applyNumberFormat="0" applyFont="0" applyAlignment="0" applyProtection="0"/>
    <xf numFmtId="0" fontId="79" fillId="34" borderId="164" applyNumberFormat="0" applyAlignment="0" applyProtection="0"/>
    <xf numFmtId="0" fontId="87" fillId="34" borderId="129" applyNumberFormat="0" applyAlignment="0" applyProtection="0"/>
    <xf numFmtId="0" fontId="12" fillId="37" borderId="159" applyNumberFormat="0" applyFont="0" applyAlignment="0" applyProtection="0"/>
    <xf numFmtId="0" fontId="87" fillId="34" borderId="161" applyNumberFormat="0" applyAlignment="0" applyProtection="0"/>
    <xf numFmtId="0" fontId="84" fillId="21" borderId="136" applyNumberFormat="0" applyAlignment="0" applyProtection="0"/>
    <xf numFmtId="0" fontId="12" fillId="37" borderId="167" applyNumberFormat="0" applyFont="0" applyAlignment="0" applyProtection="0"/>
    <xf numFmtId="0" fontId="84" fillId="21" borderId="128" applyNumberForma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12" fillId="37" borderId="151" applyNumberFormat="0" applyFont="0" applyAlignment="0" applyProtection="0"/>
    <xf numFmtId="0" fontId="12" fillId="37" borderId="127" applyNumberFormat="0" applyFont="0" applyAlignment="0" applyProtection="0"/>
    <xf numFmtId="0" fontId="79" fillId="34" borderId="185" applyNumberFormat="0" applyAlignment="0" applyProtection="0"/>
    <xf numFmtId="0" fontId="79" fillId="34" borderId="136" applyNumberFormat="0" applyAlignment="0" applyProtection="0"/>
    <xf numFmtId="0" fontId="87" fillId="34" borderId="169" applyNumberFormat="0" applyAlignment="0" applyProtection="0"/>
    <xf numFmtId="0" fontId="84" fillId="21" borderId="160" applyNumberFormat="0" applyAlignment="0" applyProtection="0"/>
    <xf numFmtId="0" fontId="84" fillId="21" borderId="128" applyNumberFormat="0" applyAlignment="0" applyProtection="0"/>
    <xf numFmtId="0" fontId="12" fillId="37" borderId="167" applyNumberFormat="0" applyFont="0" applyAlignment="0" applyProtection="0"/>
    <xf numFmtId="0" fontId="12" fillId="37" borderId="115" applyNumberFormat="0" applyFont="0" applyAlignment="0" applyProtection="0"/>
    <xf numFmtId="0" fontId="12" fillId="37" borderId="115" applyNumberFormat="0" applyFont="0" applyAlignment="0" applyProtection="0"/>
    <xf numFmtId="0" fontId="87" fillId="34" borderId="161" applyNumberFormat="0" applyAlignment="0" applyProtection="0"/>
    <xf numFmtId="0" fontId="87" fillId="34" borderId="117" applyNumberFormat="0" applyAlignment="0" applyProtection="0"/>
    <xf numFmtId="0" fontId="5" fillId="0" borderId="118" applyNumberFormat="0" applyFill="0" applyAlignment="0" applyProtection="0"/>
    <xf numFmtId="0" fontId="5" fillId="0" borderId="118" applyNumberFormat="0" applyFill="0" applyAlignment="0" applyProtection="0"/>
    <xf numFmtId="0" fontId="87" fillId="34" borderId="157" applyNumberFormat="0" applyAlignment="0" applyProtection="0"/>
    <xf numFmtId="0" fontId="5" fillId="0" borderId="166" applyNumberFormat="0" applyFill="0" applyAlignment="0" applyProtection="0"/>
    <xf numFmtId="0" fontId="79" fillId="34" borderId="160" applyNumberFormat="0" applyAlignment="0" applyProtection="0"/>
    <xf numFmtId="0" fontId="87" fillId="34" borderId="117" applyNumberFormat="0" applyAlignment="0" applyProtection="0"/>
    <xf numFmtId="0" fontId="84" fillId="21" borderId="128" applyNumberFormat="0" applyAlignment="0" applyProtection="0"/>
    <xf numFmtId="0" fontId="12" fillId="37" borderId="159" applyNumberFormat="0" applyFont="0" applyAlignment="0" applyProtection="0"/>
    <xf numFmtId="0" fontId="12" fillId="37" borderId="127" applyNumberFormat="0" applyFont="0" applyAlignment="0" applyProtection="0"/>
    <xf numFmtId="0" fontId="79" fillId="34" borderId="128" applyNumberFormat="0" applyAlignment="0" applyProtection="0"/>
    <xf numFmtId="0" fontId="87" fillId="34" borderId="129" applyNumberFormat="0" applyAlignment="0" applyProtection="0"/>
    <xf numFmtId="0" fontId="79" fillId="34" borderId="128" applyNumberFormat="0" applyAlignment="0" applyProtection="0"/>
    <xf numFmtId="0" fontId="84" fillId="21" borderId="185" applyNumberFormat="0" applyAlignment="0" applyProtection="0"/>
    <xf numFmtId="0" fontId="84" fillId="21" borderId="128" applyNumberFormat="0" applyAlignment="0" applyProtection="0"/>
    <xf numFmtId="0" fontId="5" fillId="0" borderId="130" applyNumberFormat="0" applyFill="0" applyAlignment="0" applyProtection="0"/>
    <xf numFmtId="0" fontId="12" fillId="37" borderId="155" applyNumberFormat="0" applyFont="0" applyAlignment="0" applyProtection="0"/>
    <xf numFmtId="0" fontId="79" fillId="34" borderId="116" applyNumberFormat="0" applyAlignment="0" applyProtection="0"/>
    <xf numFmtId="0" fontId="79" fillId="34" borderId="168" applyNumberFormat="0" applyAlignment="0" applyProtection="0"/>
    <xf numFmtId="0" fontId="12" fillId="37" borderId="123" applyNumberFormat="0" applyFont="0" applyAlignment="0" applyProtection="0"/>
    <xf numFmtId="0" fontId="84" fillId="21" borderId="168" applyNumberFormat="0" applyAlignment="0" applyProtection="0"/>
    <xf numFmtId="0" fontId="84" fillId="21" borderId="160" applyNumberFormat="0" applyAlignment="0" applyProtection="0"/>
    <xf numFmtId="0" fontId="87" fillId="34" borderId="125" applyNumberFormat="0" applyAlignment="0" applyProtection="0"/>
    <xf numFmtId="0" fontId="87" fillId="34" borderId="161" applyNumberFormat="0" applyAlignment="0" applyProtection="0"/>
    <xf numFmtId="0" fontId="5" fillId="0" borderId="126" applyNumberFormat="0" applyFill="0" applyAlignment="0" applyProtection="0"/>
    <xf numFmtId="0" fontId="5" fillId="0" borderId="126" applyNumberFormat="0" applyFill="0" applyAlignment="0" applyProtection="0"/>
    <xf numFmtId="0" fontId="12" fillId="37" borderId="123" applyNumberFormat="0" applyFont="0" applyAlignment="0" applyProtection="0"/>
    <xf numFmtId="0" fontId="12" fillId="37" borderId="123" applyNumberFormat="0" applyFont="0" applyAlignment="0" applyProtection="0"/>
    <xf numFmtId="0" fontId="5" fillId="0" borderId="162" applyNumberFormat="0" applyFill="0" applyAlignment="0" applyProtection="0"/>
    <xf numFmtId="0" fontId="12" fillId="37" borderId="167" applyNumberFormat="0" applyFont="0" applyAlignment="0" applyProtection="0"/>
    <xf numFmtId="0" fontId="12" fillId="37" borderId="135" applyNumberFormat="0" applyFont="0" applyAlignment="0" applyProtection="0"/>
    <xf numFmtId="0" fontId="5" fillId="0" borderId="187" applyNumberFormat="0" applyFill="0" applyAlignment="0" applyProtection="0"/>
    <xf numFmtId="0" fontId="5" fillId="0" borderId="170" applyNumberFormat="0" applyFill="0" applyAlignment="0" applyProtection="0"/>
    <xf numFmtId="0" fontId="87" fillId="34" borderId="165" applyNumberFormat="0" applyAlignment="0" applyProtection="0"/>
    <xf numFmtId="0" fontId="12" fillId="37" borderId="184" applyNumberFormat="0" applyFont="0" applyAlignment="0" applyProtection="0"/>
    <xf numFmtId="0" fontId="5" fillId="0" borderId="162" applyNumberFormat="0" applyFill="0" applyAlignment="0" applyProtection="0"/>
    <xf numFmtId="0" fontId="12" fillId="37" borderId="139" applyNumberFormat="0" applyFont="0" applyAlignment="0" applyProtection="0"/>
    <xf numFmtId="0" fontId="5" fillId="0" borderId="166" applyNumberFormat="0" applyFill="0" applyAlignment="0" applyProtection="0"/>
    <xf numFmtId="0" fontId="87" fillId="34" borderId="145" applyNumberFormat="0" applyAlignment="0" applyProtection="0"/>
    <xf numFmtId="0" fontId="87" fillId="34" borderId="169" applyNumberFormat="0" applyAlignment="0" applyProtection="0"/>
    <xf numFmtId="0" fontId="12" fillId="37" borderId="127" applyNumberFormat="0" applyFont="0" applyAlignment="0" applyProtection="0"/>
    <xf numFmtId="0" fontId="12" fillId="37" borderId="176" applyNumberFormat="0" applyFont="0" applyAlignment="0" applyProtection="0"/>
    <xf numFmtId="0" fontId="12" fillId="37" borderId="167" applyNumberFormat="0" applyFont="0" applyAlignment="0" applyProtection="0"/>
    <xf numFmtId="0" fontId="5" fillId="0" borderId="130" applyNumberFormat="0" applyFill="0" applyAlignment="0" applyProtection="0"/>
    <xf numFmtId="0" fontId="5" fillId="0" borderId="158" applyNumberFormat="0" applyFill="0" applyAlignment="0" applyProtection="0"/>
    <xf numFmtId="0" fontId="12" fillId="37" borderId="167" applyNumberFormat="0" applyFont="0" applyAlignment="0" applyProtection="0"/>
    <xf numFmtId="0" fontId="79" fillId="34" borderId="185"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84" fillId="21" borderId="160" applyNumberFormat="0" applyAlignment="0" applyProtection="0"/>
    <xf numFmtId="0" fontId="79" fillId="34" borderId="128" applyNumberFormat="0" applyAlignment="0" applyProtection="0"/>
    <xf numFmtId="0" fontId="87" fillId="34" borderId="129" applyNumberFormat="0" applyAlignment="0" applyProtection="0"/>
    <xf numFmtId="0" fontId="12" fillId="37" borderId="159"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84" applyNumberFormat="0" applyFont="0" applyAlignment="0" applyProtection="0"/>
    <xf numFmtId="0" fontId="84" fillId="21" borderId="164" applyNumberFormat="0" applyAlignment="0" applyProtection="0"/>
    <xf numFmtId="0" fontId="79" fillId="34" borderId="128" applyNumberFormat="0" applyAlignment="0" applyProtection="0"/>
    <xf numFmtId="0" fontId="12" fillId="37" borderId="175"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87" fillId="34" borderId="169" applyNumberFormat="0" applyAlignment="0" applyProtection="0"/>
    <xf numFmtId="0" fontId="5" fillId="0" borderId="170" applyNumberFormat="0" applyFill="0" applyAlignment="0" applyProtection="0"/>
    <xf numFmtId="0" fontId="5" fillId="0" borderId="162" applyNumberFormat="0" applyFill="0" applyAlignment="0" applyProtection="0"/>
    <xf numFmtId="0" fontId="12" fillId="37" borderId="143" applyNumberFormat="0" applyFont="0" applyAlignment="0" applyProtection="0"/>
    <xf numFmtId="0" fontId="87" fillId="34" borderId="186" applyNumberFormat="0" applyAlignment="0" applyProtection="0"/>
    <xf numFmtId="0" fontId="87" fillId="34" borderId="137" applyNumberFormat="0" applyAlignment="0" applyProtection="0"/>
    <xf numFmtId="0" fontId="12" fillId="37" borderId="135" applyNumberFormat="0" applyFon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12" fillId="37" borderId="127" applyNumberFormat="0" applyFont="0" applyAlignment="0" applyProtection="0"/>
    <xf numFmtId="0" fontId="79" fillId="34" borderId="128" applyNumberFormat="0" applyAlignment="0" applyProtection="0"/>
    <xf numFmtId="0" fontId="12" fillId="37" borderId="135" applyNumberFormat="0" applyFont="0" applyAlignment="0" applyProtection="0"/>
    <xf numFmtId="0" fontId="84" fillId="21" borderId="160" applyNumberFormat="0" applyAlignment="0" applyProtection="0"/>
    <xf numFmtId="0" fontId="79" fillId="34" borderId="168" applyNumberFormat="0" applyAlignment="0" applyProtection="0"/>
    <xf numFmtId="0" fontId="87" fillId="34" borderId="161" applyNumberFormat="0" applyAlignment="0" applyProtection="0"/>
    <xf numFmtId="0" fontId="84" fillId="21" borderId="116" applyNumberFormat="0" applyAlignment="0" applyProtection="0"/>
    <xf numFmtId="0" fontId="79" fillId="34" borderId="128" applyNumberFormat="0" applyAlignment="0" applyProtection="0"/>
    <xf numFmtId="0" fontId="12" fillId="37" borderId="127" applyNumberFormat="0" applyFont="0" applyAlignment="0" applyProtection="0"/>
    <xf numFmtId="0" fontId="79" fillId="34" borderId="128" applyNumberFormat="0" applyAlignment="0" applyProtection="0"/>
    <xf numFmtId="0" fontId="12" fillId="37" borderId="127" applyNumberFormat="0" applyFont="0" applyAlignment="0" applyProtection="0"/>
    <xf numFmtId="0" fontId="87" fillId="34" borderId="129" applyNumberFormat="0" applyAlignment="0" applyProtection="0"/>
    <xf numFmtId="0" fontId="87" fillId="34" borderId="133" applyNumberFormat="0" applyAlignment="0" applyProtection="0"/>
    <xf numFmtId="0" fontId="5" fillId="0" borderId="170" applyNumberFormat="0" applyFill="0" applyAlignment="0" applyProtection="0"/>
    <xf numFmtId="0" fontId="87" fillId="34" borderId="112" applyNumberFormat="0" applyAlignment="0" applyProtection="0"/>
    <xf numFmtId="0" fontId="84" fillId="21" borderId="111" applyNumberFormat="0" applyAlignment="0" applyProtection="0"/>
    <xf numFmtId="0" fontId="84" fillId="21" borderId="168" applyNumberFormat="0" applyAlignment="0" applyProtection="0"/>
    <xf numFmtId="0" fontId="12" fillId="37" borderId="127" applyNumberFormat="0" applyFont="0" applyAlignment="0" applyProtection="0"/>
    <xf numFmtId="0" fontId="84" fillId="21" borderId="128" applyNumberFormat="0" applyAlignment="0" applyProtection="0"/>
    <xf numFmtId="0" fontId="5" fillId="0" borderId="130" applyNumberFormat="0" applyFill="0" applyAlignment="0" applyProtection="0"/>
    <xf numFmtId="0" fontId="12" fillId="37" borderId="127" applyNumberFormat="0" applyFont="0" applyAlignment="0" applyProtection="0"/>
    <xf numFmtId="0" fontId="12" fillId="37" borderId="143" applyNumberFormat="0" applyFont="0" applyAlignment="0" applyProtection="0"/>
    <xf numFmtId="0" fontId="79" fillId="34" borderId="128" applyNumberFormat="0" applyAlignment="0" applyProtection="0"/>
    <xf numFmtId="0" fontId="79" fillId="34" borderId="128" applyNumberFormat="0" applyAlignment="0" applyProtection="0"/>
    <xf numFmtId="0" fontId="12" fillId="37" borderId="176" applyNumberFormat="0" applyFont="0" applyAlignment="0" applyProtection="0"/>
    <xf numFmtId="0" fontId="5" fillId="0" borderId="138" applyNumberFormat="0" applyFill="0" applyAlignment="0" applyProtection="0"/>
    <xf numFmtId="0" fontId="12" fillId="37" borderId="127" applyNumberFormat="0" applyFont="0" applyAlignment="0" applyProtection="0"/>
    <xf numFmtId="0" fontId="12" fillId="37" borderId="119" applyNumberFormat="0" applyFont="0" applyAlignment="0" applyProtection="0"/>
    <xf numFmtId="0" fontId="87" fillId="34" borderId="186" applyNumberFormat="0" applyAlignment="0" applyProtection="0"/>
    <xf numFmtId="0" fontId="84" fillId="21" borderId="116" applyNumberForma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79" fillId="34"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87" fillId="34" borderId="112" applyNumberFormat="0" applyAlignment="0" applyProtection="0"/>
    <xf numFmtId="0" fontId="5" fillId="0" borderId="113" applyNumberFormat="0" applyFill="0" applyAlignment="0" applyProtection="0"/>
    <xf numFmtId="0" fontId="84" fillId="21" borderId="111" applyNumberFormat="0" applyAlignment="0" applyProtection="0"/>
    <xf numFmtId="0" fontId="12" fillId="37" borderId="110" applyNumberFormat="0" applyFont="0" applyAlignment="0" applyProtection="0"/>
    <xf numFmtId="0" fontId="84" fillId="21" borderId="111" applyNumberFormat="0" applyAlignment="0" applyProtection="0"/>
    <xf numFmtId="0" fontId="84" fillId="21" borderId="111" applyNumberFormat="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87" fillId="34" borderId="112"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84" fillId="21" borderId="164" applyNumberFormat="0" applyAlignment="0" applyProtection="0"/>
    <xf numFmtId="0" fontId="79" fillId="34" borderId="111" applyNumberFormat="0" applyAlignment="0" applyProtection="0"/>
    <xf numFmtId="0" fontId="87" fillId="34" borderId="112" applyNumberFormat="0" applyAlignment="0" applyProtection="0"/>
    <xf numFmtId="0" fontId="12" fillId="37" borderId="110" applyNumberFormat="0" applyFont="0" applyAlignment="0" applyProtection="0"/>
    <xf numFmtId="0" fontId="84" fillId="21" borderId="111" applyNumberFormat="0" applyAlignment="0" applyProtection="0"/>
    <xf numFmtId="0" fontId="79" fillId="34" borderId="111" applyNumberFormat="0" applyAlignment="0" applyProtection="0"/>
    <xf numFmtId="0" fontId="79" fillId="34" borderId="111" applyNumberFormat="0" applyAlignment="0" applyProtection="0"/>
    <xf numFmtId="0" fontId="79" fillId="34" borderId="111" applyNumberFormat="0" applyAlignment="0" applyProtection="0"/>
    <xf numFmtId="0" fontId="84" fillId="21" borderId="111" applyNumberFormat="0" applyAlignment="0" applyProtection="0"/>
    <xf numFmtId="0" fontId="84" fillId="21"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12" fillId="37" borderId="110" applyNumberFormat="0" applyFont="0" applyAlignment="0" applyProtection="0"/>
    <xf numFmtId="0" fontId="79" fillId="34" borderId="111" applyNumberForma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87" fillId="34" borderId="112" applyNumberFormat="0" applyAlignment="0" applyProtection="0"/>
    <xf numFmtId="0" fontId="12" fillId="37" borderId="110" applyNumberFormat="0" applyFont="0" applyAlignment="0" applyProtection="0"/>
    <xf numFmtId="0" fontId="84" fillId="21" borderId="111" applyNumberForma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79" fillId="34" borderId="128" applyNumberFormat="0" applyAlignment="0" applyProtection="0"/>
    <xf numFmtId="0" fontId="84" fillId="21" borderId="156" applyNumberFormat="0" applyAlignment="0" applyProtection="0"/>
    <xf numFmtId="0" fontId="12" fillId="37" borderId="110" applyNumberFormat="0" applyFont="0" applyAlignment="0" applyProtection="0"/>
    <xf numFmtId="0" fontId="87" fillId="34" borderId="112" applyNumberFormat="0" applyAlignment="0" applyProtection="0"/>
    <xf numFmtId="0" fontId="12" fillId="37" borderId="110" applyNumberFormat="0" applyFont="0" applyAlignment="0" applyProtection="0"/>
    <xf numFmtId="0" fontId="79" fillId="34" borderId="111"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5" fillId="0" borderId="113" applyNumberFormat="0" applyFill="0" applyAlignment="0" applyProtection="0"/>
    <xf numFmtId="0" fontId="87" fillId="34" borderId="112" applyNumberFormat="0" applyAlignment="0" applyProtection="0"/>
    <xf numFmtId="0" fontId="87" fillId="34" borderId="112" applyNumberFormat="0" applyAlignment="0" applyProtection="0"/>
    <xf numFmtId="0" fontId="12" fillId="37" borderId="110" applyNumberFormat="0" applyFont="0" applyAlignment="0" applyProtection="0"/>
    <xf numFmtId="0" fontId="12" fillId="37" borderId="110" applyNumberFormat="0" applyFont="0" applyAlignment="0" applyProtection="0"/>
    <xf numFmtId="0" fontId="84" fillId="21" borderId="111" applyNumberFormat="0" applyAlignment="0" applyProtection="0"/>
    <xf numFmtId="0" fontId="84" fillId="21" borderId="111" applyNumberFormat="0" applyAlignment="0" applyProtection="0"/>
    <xf numFmtId="0" fontId="79" fillId="34" borderId="111" applyNumberFormat="0" applyAlignment="0" applyProtection="0"/>
    <xf numFmtId="0" fontId="79" fillId="34" borderId="111" applyNumberFormat="0" applyAlignment="0" applyProtection="0"/>
    <xf numFmtId="0" fontId="87" fillId="34" borderId="112" applyNumberFormat="0" applyAlignment="0" applyProtection="0"/>
    <xf numFmtId="0" fontId="5" fillId="0" borderId="113" applyNumberFormat="0" applyFill="0" applyAlignment="0" applyProtection="0"/>
    <xf numFmtId="0" fontId="5" fillId="0" borderId="113" applyNumberFormat="0" applyFill="0" applyAlignment="0" applyProtection="0"/>
    <xf numFmtId="0" fontId="12" fillId="37" borderId="110" applyNumberFormat="0" applyFont="0" applyAlignment="0" applyProtection="0"/>
    <xf numFmtId="0" fontId="5" fillId="0" borderId="113" applyNumberFormat="0" applyFill="0" applyAlignment="0" applyProtection="0"/>
    <xf numFmtId="0" fontId="12" fillId="37" borderId="110" applyNumberFormat="0" applyFont="0" applyAlignment="0" applyProtection="0"/>
    <xf numFmtId="0" fontId="84" fillId="21" borderId="111" applyNumberFormat="0" applyAlignment="0" applyProtection="0"/>
    <xf numFmtId="0" fontId="12" fillId="37" borderId="110" applyNumberFormat="0" applyFont="0" applyAlignment="0" applyProtection="0"/>
    <xf numFmtId="0" fontId="79" fillId="34" borderId="111" applyNumberFormat="0" applyAlignment="0" applyProtection="0"/>
    <xf numFmtId="0" fontId="84" fillId="21" borderId="111" applyNumberFormat="0" applyAlignment="0" applyProtection="0"/>
    <xf numFmtId="0" fontId="87" fillId="34" borderId="145" applyNumberFormat="0" applyAlignment="0" applyProtection="0"/>
    <xf numFmtId="0" fontId="84" fillId="21" borderId="111" applyNumberFormat="0" applyAlignment="0" applyProtection="0"/>
    <xf numFmtId="0" fontId="12" fillId="37" borderId="119" applyNumberFormat="0" applyFont="0" applyAlignment="0" applyProtection="0"/>
    <xf numFmtId="0" fontId="5" fillId="0" borderId="113" applyNumberFormat="0" applyFill="0" applyAlignment="0" applyProtection="0"/>
    <xf numFmtId="0" fontId="84" fillId="21" borderId="111" applyNumberFormat="0" applyAlignment="0" applyProtection="0"/>
    <xf numFmtId="0" fontId="87" fillId="34" borderId="112" applyNumberFormat="0" applyAlignment="0" applyProtection="0"/>
    <xf numFmtId="0" fontId="12" fillId="37" borderId="131" applyNumberFormat="0" applyFont="0" applyAlignment="0" applyProtection="0"/>
    <xf numFmtId="0" fontId="79" fillId="34" borderId="111" applyNumberFormat="0" applyAlignment="0" applyProtection="0"/>
    <xf numFmtId="0" fontId="12" fillId="37" borderId="119" applyNumberFormat="0" applyFont="0" applyAlignment="0" applyProtection="0"/>
    <xf numFmtId="0" fontId="12" fillId="37" borderId="110" applyNumberFormat="0" applyFont="0" applyAlignment="0" applyProtection="0"/>
    <xf numFmtId="0" fontId="87" fillId="34" borderId="112" applyNumberFormat="0" applyAlignment="0" applyProtection="0"/>
    <xf numFmtId="0" fontId="79" fillId="34" borderId="111" applyNumberFormat="0" applyAlignment="0" applyProtection="0"/>
    <xf numFmtId="0" fontId="84" fillId="21" borderId="120" applyNumberFormat="0" applyAlignment="0" applyProtection="0"/>
    <xf numFmtId="0" fontId="84" fillId="21" borderId="164" applyNumberFormat="0" applyAlignment="0" applyProtection="0"/>
    <xf numFmtId="0" fontId="12" fillId="37" borderId="159" applyNumberFormat="0" applyFont="0" applyAlignment="0" applyProtection="0"/>
    <xf numFmtId="0" fontId="12" fillId="37" borderId="163" applyNumberFormat="0" applyFont="0" applyAlignment="0" applyProtection="0"/>
    <xf numFmtId="0" fontId="5" fillId="0" borderId="187" applyNumberFormat="0" applyFill="0" applyAlignment="0" applyProtection="0"/>
    <xf numFmtId="0" fontId="5" fillId="0" borderId="162" applyNumberFormat="0" applyFill="0" applyAlignment="0" applyProtection="0"/>
    <xf numFmtId="0" fontId="12" fillId="37" borderId="167" applyNumberFormat="0" applyFont="0" applyAlignment="0" applyProtection="0"/>
    <xf numFmtId="0" fontId="12" fillId="37" borderId="167" applyNumberFormat="0" applyFont="0" applyAlignment="0" applyProtection="0"/>
    <xf numFmtId="0" fontId="5" fillId="0" borderId="170" applyNumberFormat="0" applyFill="0" applyAlignment="0" applyProtection="0"/>
    <xf numFmtId="0" fontId="84" fillId="21" borderId="156" applyNumberForma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79" fillId="34"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87" fillId="34" borderId="121" applyNumberFormat="0" applyAlignment="0" applyProtection="0"/>
    <xf numFmtId="0" fontId="5" fillId="0" borderId="122" applyNumberFormat="0" applyFill="0" applyAlignment="0" applyProtection="0"/>
    <xf numFmtId="0" fontId="84" fillId="21" borderId="120" applyNumberForma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87" fillId="34" borderId="121"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84" applyNumberFormat="0" applyFont="0" applyAlignment="0" applyProtection="0"/>
    <xf numFmtId="0" fontId="79" fillId="34" borderId="120" applyNumberFormat="0" applyAlignment="0" applyProtection="0"/>
    <xf numFmtId="0" fontId="87" fillId="34" borderId="121" applyNumberFormat="0" applyAlignment="0" applyProtection="0"/>
    <xf numFmtId="0" fontId="12" fillId="37" borderId="119" applyNumberFormat="0" applyFont="0" applyAlignment="0" applyProtection="0"/>
    <xf numFmtId="0" fontId="84" fillId="21" borderId="120" applyNumberFormat="0" applyAlignment="0" applyProtection="0"/>
    <xf numFmtId="0" fontId="79" fillId="34" borderId="120" applyNumberFormat="0" applyAlignment="0" applyProtection="0"/>
    <xf numFmtId="0" fontId="79" fillId="34" borderId="120" applyNumberFormat="0" applyAlignment="0" applyProtection="0"/>
    <xf numFmtId="0" fontId="79" fillId="34" borderId="120" applyNumberFormat="0" applyAlignment="0" applyProtection="0"/>
    <xf numFmtId="0" fontId="84" fillId="21" borderId="120" applyNumberFormat="0" applyAlignment="0" applyProtection="0"/>
    <xf numFmtId="0" fontId="84" fillId="21"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12" fillId="37" borderId="119" applyNumberFormat="0" applyFont="0" applyAlignment="0" applyProtection="0"/>
    <xf numFmtId="0" fontId="79" fillId="34" borderId="120" applyNumberForma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87" fillId="34" borderId="121" applyNumberFormat="0" applyAlignment="0" applyProtection="0"/>
    <xf numFmtId="0" fontId="12" fillId="37" borderId="119" applyNumberFormat="0" applyFont="0" applyAlignment="0" applyProtection="0"/>
    <xf numFmtId="0" fontId="84" fillId="21" borderId="120" applyNumberForma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12" fillId="37" borderId="159" applyNumberFormat="0" applyFont="0" applyAlignment="0" applyProtection="0"/>
    <xf numFmtId="0" fontId="12" fillId="37" borderId="143" applyNumberFormat="0" applyFont="0" applyAlignment="0" applyProtection="0"/>
    <xf numFmtId="0" fontId="12" fillId="37" borderId="119" applyNumberFormat="0" applyFont="0" applyAlignment="0" applyProtection="0"/>
    <xf numFmtId="0" fontId="87" fillId="34" borderId="121" applyNumberFormat="0" applyAlignment="0" applyProtection="0"/>
    <xf numFmtId="0" fontId="12" fillId="37" borderId="119" applyNumberFormat="0" applyFont="0" applyAlignment="0" applyProtection="0"/>
    <xf numFmtId="0" fontId="79" fillId="34" borderId="120"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5" fillId="0" borderId="122" applyNumberFormat="0" applyFill="0" applyAlignment="0" applyProtection="0"/>
    <xf numFmtId="0" fontId="87" fillId="34" borderId="121" applyNumberFormat="0" applyAlignment="0" applyProtection="0"/>
    <xf numFmtId="0" fontId="87" fillId="34" borderId="121" applyNumberFormat="0" applyAlignment="0" applyProtection="0"/>
    <xf numFmtId="0" fontId="12" fillId="37" borderId="119" applyNumberFormat="0" applyFont="0" applyAlignment="0" applyProtection="0"/>
    <xf numFmtId="0" fontId="12" fillId="37" borderId="119" applyNumberFormat="0" applyFont="0" applyAlignment="0" applyProtection="0"/>
    <xf numFmtId="0" fontId="84" fillId="21" borderId="120" applyNumberFormat="0" applyAlignment="0" applyProtection="0"/>
    <xf numFmtId="0" fontId="84" fillId="21" borderId="120" applyNumberFormat="0" applyAlignment="0" applyProtection="0"/>
    <xf numFmtId="0" fontId="79" fillId="34" borderId="120" applyNumberFormat="0" applyAlignment="0" applyProtection="0"/>
    <xf numFmtId="0" fontId="79" fillId="34" borderId="120" applyNumberFormat="0" applyAlignment="0" applyProtection="0"/>
    <xf numFmtId="0" fontId="87" fillId="34" borderId="121" applyNumberFormat="0" applyAlignment="0" applyProtection="0"/>
    <xf numFmtId="0" fontId="5" fillId="0" borderId="122" applyNumberFormat="0" applyFill="0" applyAlignment="0" applyProtection="0"/>
    <xf numFmtId="0" fontId="5" fillId="0" borderId="122" applyNumberFormat="0" applyFill="0" applyAlignment="0" applyProtection="0"/>
    <xf numFmtId="0" fontId="12" fillId="37" borderId="119" applyNumberFormat="0" applyFont="0" applyAlignment="0" applyProtection="0"/>
    <xf numFmtId="0" fontId="5" fillId="0" borderId="122" applyNumberFormat="0" applyFill="0" applyAlignment="0" applyProtection="0"/>
    <xf numFmtId="0" fontId="12" fillId="37" borderId="119" applyNumberFormat="0" applyFont="0" applyAlignment="0" applyProtection="0"/>
    <xf numFmtId="0" fontId="84" fillId="21" borderId="120" applyNumberFormat="0" applyAlignment="0" applyProtection="0"/>
    <xf numFmtId="0" fontId="12" fillId="37" borderId="119" applyNumberFormat="0" applyFont="0" applyAlignment="0" applyProtection="0"/>
    <xf numFmtId="0" fontId="79" fillId="34" borderId="120" applyNumberFormat="0" applyAlignment="0" applyProtection="0"/>
    <xf numFmtId="0" fontId="84" fillId="21" borderId="120" applyNumberFormat="0" applyAlignment="0" applyProtection="0"/>
    <xf numFmtId="0" fontId="79" fillId="34" borderId="164" applyNumberFormat="0" applyAlignment="0" applyProtection="0"/>
    <xf numFmtId="0" fontId="84" fillId="21" borderId="120" applyNumberFormat="0" applyAlignment="0" applyProtection="0"/>
    <xf numFmtId="0" fontId="79" fillId="34" borderId="160" applyNumberFormat="0" applyAlignment="0" applyProtection="0"/>
    <xf numFmtId="0" fontId="5" fillId="0" borderId="122" applyNumberFormat="0" applyFill="0" applyAlignment="0" applyProtection="0"/>
    <xf numFmtId="0" fontId="84" fillId="21" borderId="120" applyNumberFormat="0" applyAlignment="0" applyProtection="0"/>
    <xf numFmtId="0" fontId="87" fillId="34" borderId="121" applyNumberFormat="0" applyAlignment="0" applyProtection="0"/>
    <xf numFmtId="0" fontId="79" fillId="34" borderId="120" applyNumberFormat="0" applyAlignment="0" applyProtection="0"/>
    <xf numFmtId="0" fontId="84" fillId="21" borderId="185" applyNumberFormat="0" applyAlignment="0" applyProtection="0"/>
    <xf numFmtId="0" fontId="12" fillId="37" borderId="119" applyNumberFormat="0" applyFont="0" applyAlignment="0" applyProtection="0"/>
    <xf numFmtId="0" fontId="87" fillId="34" borderId="121" applyNumberFormat="0" applyAlignment="0" applyProtection="0"/>
    <xf numFmtId="0" fontId="79" fillId="34" borderId="120"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12" fillId="37" borderId="127" applyNumberFormat="0" applyFont="0" applyAlignment="0" applyProtection="0"/>
    <xf numFmtId="0" fontId="87" fillId="34" borderId="178" applyNumberFormat="0" applyAlignment="0" applyProtection="0"/>
    <xf numFmtId="0" fontId="5" fillId="0" borderId="170" applyNumberFormat="0" applyFill="0" applyAlignment="0" applyProtection="0"/>
    <xf numFmtId="0" fontId="12" fillId="37" borderId="131" applyNumberFormat="0" applyFont="0" applyAlignment="0" applyProtection="0"/>
    <xf numFmtId="0" fontId="79" fillId="34" borderId="185"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5" fillId="0" borderId="130" applyNumberFormat="0" applyFill="0" applyAlignment="0" applyProtection="0"/>
    <xf numFmtId="0" fontId="84" fillId="21" borderId="128"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27" applyNumberFormat="0" applyFont="0" applyAlignment="0" applyProtection="0"/>
    <xf numFmtId="0" fontId="12" fillId="37" borderId="127" applyNumberFormat="0" applyFont="0" applyAlignment="0" applyProtection="0"/>
    <xf numFmtId="0" fontId="87" fillId="34" borderId="129" applyNumberFormat="0" applyAlignment="0" applyProtection="0"/>
    <xf numFmtId="0" fontId="12" fillId="37" borderId="127" applyNumberFormat="0" applyFont="0" applyAlignment="0" applyProtection="0"/>
    <xf numFmtId="0" fontId="87" fillId="34" borderId="169" applyNumberFormat="0" applyAlignment="0" applyProtection="0"/>
    <xf numFmtId="0" fontId="79" fillId="34" borderId="168" applyNumberFormat="0" applyAlignment="0" applyProtection="0"/>
    <xf numFmtId="0" fontId="79" fillId="34" borderId="128" applyNumberFormat="0" applyAlignment="0" applyProtection="0"/>
    <xf numFmtId="0" fontId="12" fillId="37" borderId="147" applyNumberFormat="0" applyFont="0" applyAlignment="0" applyProtection="0"/>
    <xf numFmtId="0" fontId="12" fillId="37" borderId="159" applyNumberFormat="0" applyFont="0" applyAlignment="0" applyProtection="0"/>
    <xf numFmtId="0" fontId="84" fillId="21" borderId="168" applyNumberFormat="0" applyAlignment="0" applyProtection="0"/>
    <xf numFmtId="0" fontId="79" fillId="34" borderId="160" applyNumberFormat="0" applyAlignment="0" applyProtection="0"/>
    <xf numFmtId="0" fontId="5" fillId="0" borderId="162" applyNumberFormat="0" applyFill="0" applyAlignment="0" applyProtection="0"/>
    <xf numFmtId="0" fontId="84" fillId="21" borderId="181" applyNumberFormat="0" applyAlignment="0" applyProtection="0"/>
    <xf numFmtId="0" fontId="12" fillId="37" borderId="159" applyNumberFormat="0" applyFont="0" applyAlignment="0" applyProtection="0"/>
    <xf numFmtId="0" fontId="84" fillId="21" borderId="168" applyNumberFormat="0" applyAlignment="0" applyProtection="0"/>
    <xf numFmtId="0" fontId="12" fillId="37" borderId="159" applyNumberFormat="0" applyFont="0" applyAlignment="0" applyProtection="0"/>
    <xf numFmtId="0" fontId="12" fillId="37" borderId="147" applyNumberFormat="0" applyFont="0" applyAlignment="0" applyProtection="0"/>
    <xf numFmtId="0" fontId="5" fillId="0" borderId="187" applyNumberFormat="0" applyFill="0" applyAlignment="0" applyProtection="0"/>
    <xf numFmtId="0" fontId="5" fillId="0" borderId="162" applyNumberFormat="0" applyFill="0" applyAlignment="0" applyProtection="0"/>
    <xf numFmtId="0" fontId="84" fillId="21" borderId="128" applyNumberFormat="0" applyAlignment="0" applyProtection="0"/>
    <xf numFmtId="0" fontId="5" fillId="0" borderId="130" applyNumberFormat="0" applyFill="0" applyAlignment="0" applyProtection="0"/>
    <xf numFmtId="0" fontId="84" fillId="21" borderId="160" applyNumberFormat="0" applyAlignment="0" applyProtection="0"/>
    <xf numFmtId="0" fontId="84" fillId="21" borderId="160" applyNumberFormat="0" applyAlignment="0" applyProtection="0"/>
    <xf numFmtId="0" fontId="79" fillId="34" borderId="160" applyNumberFormat="0" applyAlignment="0" applyProtection="0"/>
    <xf numFmtId="0" fontId="12" fillId="37" borderId="184" applyNumberFormat="0" applyFont="0" applyAlignment="0" applyProtection="0"/>
    <xf numFmtId="0" fontId="12" fillId="37" borderId="163" applyNumberFormat="0" applyFont="0" applyAlignment="0" applyProtection="0"/>
    <xf numFmtId="0" fontId="87" fillId="34" borderId="169" applyNumberFormat="0" applyAlignment="0" applyProtection="0"/>
    <xf numFmtId="0" fontId="5" fillId="0" borderId="134" applyNumberFormat="0" applyFill="0" applyAlignment="0" applyProtection="0"/>
    <xf numFmtId="0" fontId="12" fillId="37" borderId="163" applyNumberFormat="0" applyFont="0" applyAlignment="0" applyProtection="0"/>
    <xf numFmtId="0" fontId="79" fillId="34" borderId="168" applyNumberFormat="0" applyAlignment="0" applyProtection="0"/>
    <xf numFmtId="0" fontId="12" fillId="37" borderId="163" applyNumberFormat="0" applyFont="0" applyAlignment="0" applyProtection="0"/>
    <xf numFmtId="0" fontId="84" fillId="21" borderId="168" applyNumberFormat="0" applyAlignment="0" applyProtection="0"/>
    <xf numFmtId="0" fontId="87" fillId="34" borderId="161" applyNumberFormat="0" applyAlignment="0" applyProtection="0"/>
    <xf numFmtId="0" fontId="87" fillId="34" borderId="169" applyNumberFormat="0" applyAlignment="0" applyProtection="0"/>
    <xf numFmtId="0" fontId="5" fillId="0" borderId="162" applyNumberFormat="0" applyFill="0" applyAlignment="0" applyProtection="0"/>
    <xf numFmtId="0" fontId="87" fillId="34" borderId="165" applyNumberFormat="0" applyAlignment="0" applyProtection="0"/>
    <xf numFmtId="0" fontId="84" fillId="21" borderId="177" applyNumberFormat="0" applyAlignment="0" applyProtection="0"/>
    <xf numFmtId="0" fontId="5" fillId="0" borderId="162" applyNumberFormat="0" applyFill="0" applyAlignment="0" applyProtection="0"/>
    <xf numFmtId="0" fontId="12" fillId="37" borderId="127" applyNumberFormat="0" applyFont="0" applyAlignment="0" applyProtection="0"/>
    <xf numFmtId="0" fontId="12" fillId="37" borderId="155" applyNumberFormat="0" applyFont="0" applyAlignment="0" applyProtection="0"/>
    <xf numFmtId="0" fontId="12" fillId="37" borderId="159" applyNumberFormat="0" applyFont="0" applyAlignment="0" applyProtection="0"/>
    <xf numFmtId="0" fontId="87" fillId="34" borderId="129" applyNumberFormat="0" applyAlignment="0" applyProtection="0"/>
    <xf numFmtId="0" fontId="84" fillId="21" borderId="128" applyNumberFormat="0" applyAlignment="0" applyProtection="0"/>
    <xf numFmtId="0" fontId="84" fillId="21" borderId="128" applyNumberFormat="0" applyAlignment="0" applyProtection="0"/>
    <xf numFmtId="0" fontId="79" fillId="34" borderId="185" applyNumberFormat="0" applyAlignment="0" applyProtection="0"/>
    <xf numFmtId="0" fontId="87" fillId="34" borderId="133" applyNumberFormat="0" applyAlignment="0" applyProtection="0"/>
    <xf numFmtId="0" fontId="12" fillId="37" borderId="159" applyNumberFormat="0" applyFont="0" applyAlignment="0" applyProtection="0"/>
    <xf numFmtId="0" fontId="87" fillId="34" borderId="161" applyNumberFormat="0" applyAlignment="0" applyProtection="0"/>
    <xf numFmtId="0" fontId="87" fillId="34" borderId="161" applyNumberFormat="0" applyAlignment="0" applyProtection="0"/>
    <xf numFmtId="0" fontId="5" fillId="0" borderId="170" applyNumberFormat="0" applyFill="0" applyAlignment="0" applyProtection="0"/>
    <xf numFmtId="0" fontId="79" fillId="34" borderId="185"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79" fillId="34" borderId="128" applyNumberFormat="0" applyAlignment="0" applyProtection="0"/>
    <xf numFmtId="0" fontId="87" fillId="34" borderId="129" applyNumberFormat="0" applyAlignment="0" applyProtection="0"/>
    <xf numFmtId="0" fontId="12" fillId="37" borderId="163" applyNumberFormat="0" applyFont="0" applyAlignment="0" applyProtection="0"/>
    <xf numFmtId="0" fontId="87" fillId="34" borderId="165" applyNumberFormat="0" applyAlignment="0" applyProtection="0"/>
    <xf numFmtId="0" fontId="12" fillId="37" borderId="167" applyNumberFormat="0" applyFont="0" applyAlignment="0" applyProtection="0"/>
    <xf numFmtId="0" fontId="12" fillId="37" borderId="127" applyNumberFormat="0" applyFont="0" applyAlignment="0" applyProtection="0"/>
    <xf numFmtId="0" fontId="5" fillId="0" borderId="162" applyNumberFormat="0" applyFill="0" applyAlignment="0" applyProtection="0"/>
    <xf numFmtId="0" fontId="84" fillId="21" borderId="168" applyNumberFormat="0" applyAlignment="0" applyProtection="0"/>
    <xf numFmtId="0" fontId="87" fillId="34" borderId="149" applyNumberFormat="0" applyAlignment="0" applyProtection="0"/>
    <xf numFmtId="0" fontId="5" fillId="0" borderId="170" applyNumberFormat="0" applyFill="0" applyAlignment="0" applyProtection="0"/>
    <xf numFmtId="0" fontId="12" fillId="37" borderId="163" applyNumberFormat="0" applyFont="0" applyAlignment="0" applyProtection="0"/>
    <xf numFmtId="0" fontId="79" fillId="34" borderId="152" applyNumberFormat="0" applyAlignment="0" applyProtection="0"/>
    <xf numFmtId="0" fontId="12" fillId="37" borderId="147" applyNumberFormat="0" applyFont="0" applyAlignment="0" applyProtection="0"/>
    <xf numFmtId="0" fontId="84" fillId="21" borderId="128" applyNumberFormat="0" applyAlignment="0" applyProtection="0"/>
    <xf numFmtId="0" fontId="87" fillId="34" borderId="157" applyNumberFormat="0" applyAlignment="0" applyProtection="0"/>
    <xf numFmtId="0" fontId="5" fillId="0" borderId="162" applyNumberFormat="0" applyFill="0" applyAlignment="0" applyProtection="0"/>
    <xf numFmtId="0" fontId="79" fillId="34" borderId="160" applyNumberFormat="0" applyAlignment="0" applyProtection="0"/>
    <xf numFmtId="0" fontId="12" fillId="37" borderId="159" applyNumberFormat="0" applyFont="0" applyAlignment="0" applyProtection="0"/>
    <xf numFmtId="0" fontId="12" fillId="37" borderId="167"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29" applyNumberFormat="0" applyAlignment="0" applyProtection="0"/>
    <xf numFmtId="0" fontId="12" fillId="37" borderId="127" applyNumberFormat="0" applyFont="0" applyAlignment="0" applyProtection="0"/>
    <xf numFmtId="0" fontId="12" fillId="37" borderId="135" applyNumberFormat="0" applyFont="0" applyAlignment="0" applyProtection="0"/>
    <xf numFmtId="0" fontId="5" fillId="0" borderId="174" applyNumberFormat="0" applyFill="0" applyAlignment="0" applyProtection="0"/>
    <xf numFmtId="0" fontId="12" fillId="37" borderId="167" applyNumberFormat="0" applyFont="0" applyAlignment="0" applyProtection="0"/>
    <xf numFmtId="0" fontId="87" fillId="34" borderId="153" applyNumberFormat="0" applyAlignment="0" applyProtection="0"/>
    <xf numFmtId="0" fontId="87" fillId="34" borderId="149" applyNumberFormat="0" applyAlignment="0" applyProtection="0"/>
    <xf numFmtId="0" fontId="79" fillId="34" borderId="144" applyNumberFormat="0" applyAlignment="0" applyProtection="0"/>
    <xf numFmtId="0" fontId="5" fillId="0" borderId="130" applyNumberFormat="0" applyFill="0" applyAlignment="0" applyProtection="0"/>
    <xf numFmtId="0" fontId="5" fillId="0" borderId="162" applyNumberFormat="0" applyFill="0" applyAlignment="0" applyProtection="0"/>
    <xf numFmtId="0" fontId="79" fillId="34" borderId="132" applyNumberFormat="0" applyAlignment="0" applyProtection="0"/>
    <xf numFmtId="0" fontId="84" fillId="21" borderId="136" applyNumberFormat="0" applyAlignment="0" applyProtection="0"/>
    <xf numFmtId="0" fontId="87" fillId="34" borderId="165" applyNumberFormat="0" applyAlignment="0" applyProtection="0"/>
    <xf numFmtId="0" fontId="84" fillId="21" borderId="160" applyNumberFormat="0" applyAlignment="0" applyProtection="0"/>
    <xf numFmtId="0" fontId="12" fillId="37" borderId="159" applyNumberFormat="0" applyFont="0" applyAlignment="0" applyProtection="0"/>
    <xf numFmtId="0" fontId="79" fillId="34" borderId="128" applyNumberFormat="0" applyAlignment="0" applyProtection="0"/>
    <xf numFmtId="0" fontId="84" fillId="21" borderId="160" applyNumberFormat="0" applyAlignment="0" applyProtection="0"/>
    <xf numFmtId="0" fontId="12" fillId="37" borderId="151" applyNumberFormat="0" applyFont="0" applyAlignment="0" applyProtection="0"/>
    <xf numFmtId="0" fontId="79" fillId="34" borderId="128" applyNumberFormat="0" applyAlignment="0" applyProtection="0"/>
    <xf numFmtId="0" fontId="79" fillId="34" borderId="156" applyNumberFormat="0" applyAlignment="0" applyProtection="0"/>
    <xf numFmtId="0" fontId="12" fillId="37" borderId="163" applyNumberFormat="0" applyFont="0" applyAlignment="0" applyProtection="0"/>
    <xf numFmtId="0" fontId="12" fillId="37" borderId="155" applyNumberFormat="0" applyFont="0" applyAlignment="0" applyProtection="0"/>
    <xf numFmtId="0" fontId="87" fillId="34" borderId="137" applyNumberFormat="0" applyAlignment="0" applyProtection="0"/>
    <xf numFmtId="0" fontId="84" fillId="21" borderId="136" applyNumberFormat="0" applyAlignment="0" applyProtection="0"/>
    <xf numFmtId="0" fontId="12" fillId="37" borderId="151" applyNumberFormat="0" applyFont="0" applyAlignment="0" applyProtection="0"/>
    <xf numFmtId="0" fontId="84" fillId="21" borderId="160" applyNumberFormat="0" applyAlignment="0" applyProtection="0"/>
    <xf numFmtId="0" fontId="87" fillId="34" borderId="149" applyNumberFormat="0" applyAlignment="0" applyProtection="0"/>
    <xf numFmtId="0" fontId="79" fillId="34" borderId="160" applyNumberFormat="0" applyAlignment="0" applyProtection="0"/>
    <xf numFmtId="0" fontId="12" fillId="37" borderId="159" applyNumberFormat="0" applyFont="0" applyAlignment="0" applyProtection="0"/>
    <xf numFmtId="0" fontId="5" fillId="0" borderId="154" applyNumberFormat="0" applyFill="0" applyAlignment="0" applyProtection="0"/>
    <xf numFmtId="0" fontId="5" fillId="0" borderId="183" applyNumberFormat="0" applyFill="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39" applyNumberFormat="0" applyFont="0" applyAlignment="0" applyProtection="0"/>
    <xf numFmtId="0" fontId="12" fillId="37" borderId="163" applyNumberFormat="0" applyFont="0" applyAlignment="0" applyProtection="0"/>
    <xf numFmtId="0" fontId="87" fillId="34" borderId="157" applyNumberForma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5" fillId="0" borderId="138" applyNumberFormat="0" applyFill="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79" fillId="34"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87" fillId="34" borderId="137" applyNumberFormat="0" applyAlignment="0" applyProtection="0"/>
    <xf numFmtId="0" fontId="5" fillId="0" borderId="138" applyNumberFormat="0" applyFill="0" applyAlignment="0" applyProtection="0"/>
    <xf numFmtId="0" fontId="84" fillId="21" borderId="136" applyNumberFormat="0" applyAlignment="0" applyProtection="0"/>
    <xf numFmtId="0" fontId="12" fillId="37" borderId="135" applyNumberFormat="0" applyFont="0" applyAlignment="0" applyProtection="0"/>
    <xf numFmtId="0" fontId="84" fillId="21" borderId="136" applyNumberFormat="0" applyAlignment="0" applyProtection="0"/>
    <xf numFmtId="0" fontId="84" fillId="21" borderId="136" applyNumberFormat="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87" fillId="34" borderId="137" applyNumberFormat="0" applyAlignment="0" applyProtection="0"/>
    <xf numFmtId="0" fontId="5" fillId="0" borderId="138" applyNumberFormat="0" applyFill="0" applyAlignment="0" applyProtection="0"/>
    <xf numFmtId="0" fontId="5" fillId="0" borderId="138" applyNumberFormat="0" applyFill="0" applyAlignment="0" applyProtection="0"/>
    <xf numFmtId="0" fontId="87" fillId="34" borderId="137"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63" applyNumberFormat="0" applyFont="0" applyAlignment="0" applyProtection="0"/>
    <xf numFmtId="0" fontId="79" fillId="34" borderId="136" applyNumberFormat="0" applyAlignment="0" applyProtection="0"/>
    <xf numFmtId="0" fontId="87" fillId="34" borderId="137" applyNumberFormat="0" applyAlignment="0" applyProtection="0"/>
    <xf numFmtId="0" fontId="12" fillId="37" borderId="135" applyNumberFormat="0" applyFont="0" applyAlignment="0" applyProtection="0"/>
    <xf numFmtId="0" fontId="84" fillId="21" borderId="136" applyNumberFormat="0" applyAlignment="0" applyProtection="0"/>
    <xf numFmtId="0" fontId="79" fillId="34" borderId="136" applyNumberFormat="0" applyAlignment="0" applyProtection="0"/>
    <xf numFmtId="0" fontId="79" fillId="34" borderId="136" applyNumberFormat="0" applyAlignment="0" applyProtection="0"/>
    <xf numFmtId="0" fontId="79" fillId="34" borderId="136" applyNumberFormat="0" applyAlignment="0" applyProtection="0"/>
    <xf numFmtId="0" fontId="84" fillId="21" borderId="136" applyNumberFormat="0" applyAlignment="0" applyProtection="0"/>
    <xf numFmtId="0" fontId="84" fillId="21"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5" fillId="0" borderId="138" applyNumberFormat="0" applyFill="0" applyAlignment="0" applyProtection="0"/>
    <xf numFmtId="0" fontId="5" fillId="0" borderId="138" applyNumberFormat="0" applyFill="0" applyAlignment="0" applyProtection="0"/>
    <xf numFmtId="0" fontId="12" fillId="37" borderId="135" applyNumberFormat="0" applyFont="0" applyAlignment="0" applyProtection="0"/>
    <xf numFmtId="0" fontId="12" fillId="37" borderId="135" applyNumberFormat="0" applyFont="0" applyAlignment="0" applyProtection="0"/>
    <xf numFmtId="0" fontId="79" fillId="34" borderId="136" applyNumberForma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37" applyNumberFormat="0" applyAlignment="0" applyProtection="0"/>
    <xf numFmtId="0" fontId="12" fillId="37" borderId="135" applyNumberFormat="0" applyFont="0" applyAlignment="0" applyProtection="0"/>
    <xf numFmtId="0" fontId="84" fillId="21" borderId="136" applyNumberForma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87" fillId="34" borderId="141" applyNumberFormat="0" applyAlignment="0" applyProtection="0"/>
    <xf numFmtId="0" fontId="79" fillId="34" borderId="140" applyNumberFormat="0" applyAlignment="0" applyProtection="0"/>
    <xf numFmtId="0" fontId="12" fillId="37" borderId="135" applyNumberFormat="0" applyFont="0" applyAlignment="0" applyProtection="0"/>
    <xf numFmtId="0" fontId="87" fillId="34" borderId="137" applyNumberFormat="0" applyAlignment="0" applyProtection="0"/>
    <xf numFmtId="0" fontId="12" fillId="37" borderId="135" applyNumberFormat="0" applyFont="0" applyAlignment="0" applyProtection="0"/>
    <xf numFmtId="0" fontId="79" fillId="34" borderId="136"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5" fillId="0" borderId="138" applyNumberFormat="0" applyFill="0" applyAlignment="0" applyProtection="0"/>
    <xf numFmtId="0" fontId="87" fillId="34" borderId="137" applyNumberFormat="0" applyAlignment="0" applyProtection="0"/>
    <xf numFmtId="0" fontId="87" fillId="34" borderId="137" applyNumberFormat="0" applyAlignment="0" applyProtection="0"/>
    <xf numFmtId="0" fontId="12" fillId="37" borderId="135" applyNumberFormat="0" applyFont="0" applyAlignment="0" applyProtection="0"/>
    <xf numFmtId="0" fontId="12" fillId="37" borderId="135" applyNumberFormat="0" applyFont="0" applyAlignment="0" applyProtection="0"/>
    <xf numFmtId="0" fontId="84" fillId="21" borderId="136" applyNumberFormat="0" applyAlignment="0" applyProtection="0"/>
    <xf numFmtId="0" fontId="84" fillId="21" borderId="136" applyNumberFormat="0" applyAlignment="0" applyProtection="0"/>
    <xf numFmtId="0" fontId="79" fillId="34" borderId="136" applyNumberFormat="0" applyAlignment="0" applyProtection="0"/>
    <xf numFmtId="0" fontId="79" fillId="34" borderId="136" applyNumberFormat="0" applyAlignment="0" applyProtection="0"/>
    <xf numFmtId="0" fontId="87" fillId="34" borderId="137" applyNumberFormat="0" applyAlignment="0" applyProtection="0"/>
    <xf numFmtId="0" fontId="5" fillId="0" borderId="138" applyNumberFormat="0" applyFill="0" applyAlignment="0" applyProtection="0"/>
    <xf numFmtId="0" fontId="87" fillId="34" borderId="141" applyNumberFormat="0" applyAlignment="0" applyProtection="0"/>
    <xf numFmtId="0" fontId="5" fillId="0" borderId="138" applyNumberFormat="0" applyFill="0" applyAlignment="0" applyProtection="0"/>
    <xf numFmtId="0" fontId="12" fillId="37" borderId="135" applyNumberFormat="0" applyFont="0" applyAlignment="0" applyProtection="0"/>
    <xf numFmtId="0" fontId="5" fillId="0" borderId="138" applyNumberFormat="0" applyFill="0" applyAlignment="0" applyProtection="0"/>
    <xf numFmtId="0" fontId="12" fillId="37" borderId="135" applyNumberFormat="0" applyFont="0" applyAlignment="0" applyProtection="0"/>
    <xf numFmtId="0" fontId="84" fillId="21" borderId="136" applyNumberFormat="0" applyAlignment="0" applyProtection="0"/>
    <xf numFmtId="0" fontId="12" fillId="37" borderId="135" applyNumberFormat="0" applyFont="0" applyAlignment="0" applyProtection="0"/>
    <xf numFmtId="0" fontId="79" fillId="34" borderId="136" applyNumberFormat="0" applyAlignment="0" applyProtection="0"/>
    <xf numFmtId="0" fontId="84" fillId="21" borderId="136" applyNumberFormat="0" applyAlignment="0" applyProtection="0"/>
    <xf numFmtId="0" fontId="12" fillId="37" borderId="139" applyNumberFormat="0" applyFont="0" applyAlignment="0" applyProtection="0"/>
    <xf numFmtId="0" fontId="84" fillId="21" borderId="136" applyNumberFormat="0" applyAlignment="0" applyProtection="0"/>
    <xf numFmtId="0" fontId="79" fillId="34" borderId="168" applyNumberFormat="0" applyAlignment="0" applyProtection="0"/>
    <xf numFmtId="0" fontId="5" fillId="0" borderId="138" applyNumberFormat="0" applyFill="0" applyAlignment="0" applyProtection="0"/>
    <xf numFmtId="0" fontId="84" fillId="21" borderId="136" applyNumberFormat="0" applyAlignment="0" applyProtection="0"/>
    <xf numFmtId="0" fontId="87" fillId="34" borderId="137" applyNumberFormat="0" applyAlignment="0" applyProtection="0"/>
    <xf numFmtId="0" fontId="84" fillId="21" borderId="140" applyNumberFormat="0" applyAlignment="0" applyProtection="0"/>
    <xf numFmtId="0" fontId="79" fillId="34" borderId="136" applyNumberFormat="0" applyAlignment="0" applyProtection="0"/>
    <xf numFmtId="0" fontId="12" fillId="37" borderId="159" applyNumberFormat="0" applyFont="0" applyAlignment="0" applyProtection="0"/>
    <xf numFmtId="0" fontId="12" fillId="37" borderId="135" applyNumberFormat="0" applyFont="0" applyAlignment="0" applyProtection="0"/>
    <xf numFmtId="0" fontId="87" fillId="34" borderId="137" applyNumberFormat="0" applyAlignment="0" applyProtection="0"/>
    <xf numFmtId="0" fontId="79" fillId="34" borderId="136" applyNumberFormat="0" applyAlignment="0" applyProtection="0"/>
    <xf numFmtId="0" fontId="79" fillId="34" borderId="168" applyNumberFormat="0" applyAlignment="0" applyProtection="0"/>
    <xf numFmtId="0" fontId="12" fillId="37" borderId="159" applyNumberFormat="0" applyFont="0" applyAlignment="0" applyProtection="0"/>
    <xf numFmtId="0" fontId="5" fillId="0" borderId="162" applyNumberFormat="0" applyFill="0" applyAlignment="0" applyProtection="0"/>
    <xf numFmtId="0" fontId="5" fillId="0" borderId="166" applyNumberFormat="0" applyFill="0" applyAlignment="0" applyProtection="0"/>
    <xf numFmtId="0" fontId="87" fillId="34" borderId="186" applyNumberFormat="0" applyAlignment="0" applyProtection="0"/>
    <xf numFmtId="0" fontId="87" fillId="34" borderId="165" applyNumberFormat="0" applyAlignment="0" applyProtection="0"/>
    <xf numFmtId="0" fontId="79" fillId="34" borderId="156" applyNumberFormat="0" applyAlignment="0" applyProtection="0"/>
    <xf numFmtId="0" fontId="84" fillId="21" borderId="164" applyNumberFormat="0" applyAlignment="0" applyProtection="0"/>
    <xf numFmtId="0" fontId="12" fillId="37" borderId="163" applyNumberFormat="0" applyFont="0" applyAlignment="0" applyProtection="0"/>
    <xf numFmtId="0" fontId="84" fillId="21" borderId="148" applyNumberFormat="0" applyAlignment="0" applyProtection="0"/>
    <xf numFmtId="0" fontId="84" fillId="21" borderId="148" applyNumberFormat="0" applyAlignment="0" applyProtection="0"/>
    <xf numFmtId="0" fontId="87" fillId="34" borderId="141" applyNumberFormat="0" applyAlignment="0" applyProtection="0"/>
    <xf numFmtId="0" fontId="84" fillId="21" borderId="140" applyNumberFormat="0" applyAlignment="0" applyProtection="0"/>
    <xf numFmtId="0" fontId="12" fillId="37" borderId="155" applyNumberFormat="0" applyFont="0" applyAlignment="0" applyProtection="0"/>
    <xf numFmtId="0" fontId="87" fillId="34" borderId="153" applyNumberFormat="0" applyAlignment="0" applyProtection="0"/>
    <xf numFmtId="0" fontId="84" fillId="21" borderId="152" applyNumberFormat="0" applyAlignment="0" applyProtection="0"/>
    <xf numFmtId="0" fontId="79" fillId="34" borderId="160" applyNumberFormat="0" applyAlignment="0" applyProtection="0"/>
    <xf numFmtId="0" fontId="79" fillId="34" borderId="177" applyNumberFormat="0" applyAlignment="0" applyProtection="0"/>
    <xf numFmtId="0" fontId="12" fillId="37" borderId="143" applyNumberFormat="0" applyFont="0" applyAlignment="0" applyProtection="0"/>
    <xf numFmtId="0" fontId="12" fillId="37" borderId="163" applyNumberFormat="0" applyFon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5" fillId="0" borderId="142"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79" fillId="34"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7" fillId="34" borderId="141" applyNumberFormat="0" applyAlignment="0" applyProtection="0"/>
    <xf numFmtId="0" fontId="5" fillId="0" borderId="142" applyNumberFormat="0" applyFill="0" applyAlignment="0" applyProtection="0"/>
    <xf numFmtId="0" fontId="84" fillId="21" borderId="140" applyNumberFormat="0" applyAlignment="0" applyProtection="0"/>
    <xf numFmtId="0" fontId="12" fillId="37" borderId="139" applyNumberFormat="0" applyFont="0" applyAlignment="0" applyProtection="0"/>
    <xf numFmtId="0" fontId="84" fillId="21" borderId="140" applyNumberFormat="0" applyAlignment="0" applyProtection="0"/>
    <xf numFmtId="0" fontId="84" fillId="21" borderId="140" applyNumberFormat="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42" applyNumberFormat="0" applyFill="0" applyAlignment="0" applyProtection="0"/>
    <xf numFmtId="0" fontId="87" fillId="34" borderId="141"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87" applyNumberFormat="0" applyFill="0" applyAlignment="0" applyProtection="0"/>
    <xf numFmtId="0" fontId="79" fillId="34" borderId="140" applyNumberFormat="0" applyAlignment="0" applyProtection="0"/>
    <xf numFmtId="0" fontId="87" fillId="34" borderId="141" applyNumberFormat="0" applyAlignment="0" applyProtection="0"/>
    <xf numFmtId="0" fontId="12" fillId="37" borderId="139" applyNumberFormat="0" applyFont="0" applyAlignment="0" applyProtection="0"/>
    <xf numFmtId="0" fontId="84" fillId="21" borderId="140" applyNumberFormat="0" applyAlignment="0" applyProtection="0"/>
    <xf numFmtId="0" fontId="79" fillId="34" borderId="140" applyNumberFormat="0" applyAlignment="0" applyProtection="0"/>
    <xf numFmtId="0" fontId="79" fillId="34" borderId="140" applyNumberFormat="0" applyAlignment="0" applyProtection="0"/>
    <xf numFmtId="0" fontId="79" fillId="34" borderId="140" applyNumberFormat="0" applyAlignment="0" applyProtection="0"/>
    <xf numFmtId="0" fontId="84" fillId="21" borderId="140" applyNumberFormat="0" applyAlignment="0" applyProtection="0"/>
    <xf numFmtId="0" fontId="84" fillId="21"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12" fillId="37" borderId="139" applyNumberFormat="0" applyFont="0" applyAlignment="0" applyProtection="0"/>
    <xf numFmtId="0" fontId="79" fillId="34" borderId="140" applyNumberForma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87" fillId="34" borderId="141" applyNumberFormat="0" applyAlignment="0" applyProtection="0"/>
    <xf numFmtId="0" fontId="12" fillId="37" borderId="139" applyNumberFormat="0" applyFont="0" applyAlignment="0" applyProtection="0"/>
    <xf numFmtId="0" fontId="84" fillId="21" borderId="140" applyNumberForma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12" fillId="37" borderId="167" applyNumberFormat="0" applyFont="0" applyAlignment="0" applyProtection="0"/>
    <xf numFmtId="0" fontId="12" fillId="37" borderId="139" applyNumberFormat="0" applyFont="0" applyAlignment="0" applyProtection="0"/>
    <xf numFmtId="0" fontId="87" fillId="34" borderId="141" applyNumberFormat="0" applyAlignment="0" applyProtection="0"/>
    <xf numFmtId="0" fontId="12" fillId="37" borderId="139" applyNumberFormat="0" applyFont="0" applyAlignment="0" applyProtection="0"/>
    <xf numFmtId="0" fontId="79" fillId="34" borderId="140"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5" fillId="0" borderId="142" applyNumberFormat="0" applyFill="0" applyAlignment="0" applyProtection="0"/>
    <xf numFmtId="0" fontId="87" fillId="34" borderId="141" applyNumberFormat="0" applyAlignment="0" applyProtection="0"/>
    <xf numFmtId="0" fontId="87" fillId="34" borderId="141" applyNumberFormat="0" applyAlignment="0" applyProtection="0"/>
    <xf numFmtId="0" fontId="12" fillId="37" borderId="139" applyNumberFormat="0" applyFont="0" applyAlignment="0" applyProtection="0"/>
    <xf numFmtId="0" fontId="12" fillId="37" borderId="139" applyNumberFormat="0" applyFont="0" applyAlignment="0" applyProtection="0"/>
    <xf numFmtId="0" fontId="84" fillId="21" borderId="140" applyNumberFormat="0" applyAlignment="0" applyProtection="0"/>
    <xf numFmtId="0" fontId="84" fillId="21" borderId="140" applyNumberFormat="0" applyAlignment="0" applyProtection="0"/>
    <xf numFmtId="0" fontId="79" fillId="34" borderId="140" applyNumberFormat="0" applyAlignment="0" applyProtection="0"/>
    <xf numFmtId="0" fontId="79" fillId="34" borderId="140" applyNumberFormat="0" applyAlignment="0" applyProtection="0"/>
    <xf numFmtId="0" fontId="87" fillId="34" borderId="141" applyNumberFormat="0" applyAlignment="0" applyProtection="0"/>
    <xf numFmtId="0" fontId="5" fillId="0" borderId="142" applyNumberFormat="0" applyFill="0" applyAlignment="0" applyProtection="0"/>
    <xf numFmtId="0" fontId="5" fillId="0" borderId="158" applyNumberFormat="0" applyFill="0" applyAlignment="0" applyProtection="0"/>
    <xf numFmtId="0" fontId="5" fillId="0" borderId="142" applyNumberFormat="0" applyFill="0" applyAlignment="0" applyProtection="0"/>
    <xf numFmtId="0" fontId="12" fillId="37" borderId="139" applyNumberFormat="0" applyFont="0" applyAlignment="0" applyProtection="0"/>
    <xf numFmtId="0" fontId="5" fillId="0" borderId="142" applyNumberFormat="0" applyFill="0" applyAlignment="0" applyProtection="0"/>
    <xf numFmtId="0" fontId="12" fillId="37" borderId="139" applyNumberFormat="0" applyFont="0" applyAlignment="0" applyProtection="0"/>
    <xf numFmtId="0" fontId="84" fillId="21" borderId="140" applyNumberFormat="0" applyAlignment="0" applyProtection="0"/>
    <xf numFmtId="0" fontId="12" fillId="37" borderId="139" applyNumberFormat="0" applyFont="0" applyAlignment="0" applyProtection="0"/>
    <xf numFmtId="0" fontId="79" fillId="34" borderId="140" applyNumberFormat="0" applyAlignment="0" applyProtection="0"/>
    <xf numFmtId="0" fontId="84" fillId="21" borderId="140" applyNumberFormat="0" applyAlignment="0" applyProtection="0"/>
    <xf numFmtId="0" fontId="12" fillId="37" borderId="163" applyNumberFormat="0" applyFont="0" applyAlignment="0" applyProtection="0"/>
    <xf numFmtId="0" fontId="84" fillId="21" borderId="140" applyNumberFormat="0" applyAlignment="0" applyProtection="0"/>
    <xf numFmtId="0" fontId="5" fillId="0" borderId="142" applyNumberFormat="0" applyFill="0" applyAlignment="0" applyProtection="0"/>
    <xf numFmtId="0" fontId="84" fillId="21" borderId="140" applyNumberFormat="0" applyAlignment="0" applyProtection="0"/>
    <xf numFmtId="0" fontId="87" fillId="34" borderId="141" applyNumberFormat="0" applyAlignment="0" applyProtection="0"/>
    <xf numFmtId="0" fontId="12" fillId="37" borderId="167" applyNumberFormat="0" applyFont="0" applyAlignment="0" applyProtection="0"/>
    <xf numFmtId="0" fontId="79" fillId="34" borderId="140" applyNumberFormat="0" applyAlignment="0" applyProtection="0"/>
    <xf numFmtId="0" fontId="87" fillId="34" borderId="178" applyNumberFormat="0" applyAlignment="0" applyProtection="0"/>
    <xf numFmtId="0" fontId="12" fillId="37" borderId="139" applyNumberFormat="0" applyFont="0" applyAlignment="0" applyProtection="0"/>
    <xf numFmtId="0" fontId="87" fillId="34" borderId="141" applyNumberFormat="0" applyAlignment="0" applyProtection="0"/>
    <xf numFmtId="0" fontId="79" fillId="34" borderId="140" applyNumberFormat="0" applyAlignment="0" applyProtection="0"/>
    <xf numFmtId="0" fontId="87" fillId="34" borderId="161" applyNumberFormat="0" applyAlignment="0" applyProtection="0"/>
    <xf numFmtId="0" fontId="12" fillId="37" borderId="159" applyNumberFormat="0" applyFont="0" applyAlignment="0" applyProtection="0"/>
    <xf numFmtId="0" fontId="5" fillId="0" borderId="166" applyNumberFormat="0" applyFill="0" applyAlignment="0" applyProtection="0"/>
    <xf numFmtId="0" fontId="12" fillId="37" borderId="167" applyNumberFormat="0" applyFont="0" applyAlignment="0" applyProtection="0"/>
    <xf numFmtId="0" fontId="5" fillId="0" borderId="170" applyNumberFormat="0" applyFill="0" applyAlignment="0" applyProtection="0"/>
    <xf numFmtId="0" fontId="12" fillId="37" borderId="159" applyNumberFormat="0" applyFon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5" fillId="0" borderId="146" applyNumberFormat="0" applyFill="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87" fillId="34" borderId="145" applyNumberFormat="0" applyAlignment="0" applyProtection="0"/>
    <xf numFmtId="0" fontId="5" fillId="0" borderId="146" applyNumberFormat="0" applyFill="0" applyAlignment="0" applyProtection="0"/>
    <xf numFmtId="0" fontId="84" fillId="21" borderId="144" applyNumberFormat="0" applyAlignment="0" applyProtection="0"/>
    <xf numFmtId="0" fontId="12" fillId="37" borderId="143" applyNumberFormat="0" applyFont="0" applyAlignment="0" applyProtection="0"/>
    <xf numFmtId="0" fontId="84" fillId="21" borderId="144" applyNumberFormat="0" applyAlignment="0" applyProtection="0"/>
    <xf numFmtId="0" fontId="84" fillId="21" borderId="144" applyNumberFormat="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87" fillId="34" borderId="145" applyNumberFormat="0" applyAlignment="0" applyProtection="0"/>
    <xf numFmtId="0" fontId="5" fillId="0" borderId="146" applyNumberFormat="0" applyFill="0" applyAlignment="0" applyProtection="0"/>
    <xf numFmtId="0" fontId="5" fillId="0" borderId="146" applyNumberFormat="0" applyFill="0" applyAlignment="0" applyProtection="0"/>
    <xf numFmtId="0" fontId="87" fillId="34" borderId="145"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60" applyNumberFormat="0" applyAlignment="0" applyProtection="0"/>
    <xf numFmtId="0" fontId="79" fillId="34" borderId="144" applyNumberFormat="0" applyAlignment="0" applyProtection="0"/>
    <xf numFmtId="0" fontId="87" fillId="34" borderId="145" applyNumberFormat="0" applyAlignment="0" applyProtection="0"/>
    <xf numFmtId="0" fontId="12" fillId="37" borderId="143" applyNumberFormat="0" applyFont="0" applyAlignment="0" applyProtection="0"/>
    <xf numFmtId="0" fontId="84" fillId="21" borderId="144" applyNumberFormat="0" applyAlignment="0" applyProtection="0"/>
    <xf numFmtId="0" fontId="79" fillId="34" borderId="144" applyNumberFormat="0" applyAlignment="0" applyProtection="0"/>
    <xf numFmtId="0" fontId="79" fillId="34" borderId="144" applyNumberFormat="0" applyAlignment="0" applyProtection="0"/>
    <xf numFmtId="0" fontId="79" fillId="34" borderId="144" applyNumberFormat="0" applyAlignment="0" applyProtection="0"/>
    <xf numFmtId="0" fontId="84" fillId="21" borderId="144" applyNumberFormat="0" applyAlignment="0" applyProtection="0"/>
    <xf numFmtId="0" fontId="84" fillId="21"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5" fillId="0" borderId="146" applyNumberFormat="0" applyFill="0" applyAlignment="0" applyProtection="0"/>
    <xf numFmtId="0" fontId="5" fillId="0" borderId="146" applyNumberFormat="0" applyFill="0" applyAlignment="0" applyProtection="0"/>
    <xf numFmtId="0" fontId="12" fillId="37" borderId="143" applyNumberFormat="0" applyFont="0" applyAlignment="0" applyProtection="0"/>
    <xf numFmtId="0" fontId="12" fillId="37" borderId="143" applyNumberFormat="0" applyFont="0" applyAlignment="0" applyProtection="0"/>
    <xf numFmtId="0" fontId="79" fillId="34" borderId="144" applyNumberForma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87" fillId="34" borderId="145" applyNumberFormat="0" applyAlignment="0" applyProtection="0"/>
    <xf numFmtId="0" fontId="12" fillId="37" borderId="143" applyNumberFormat="0" applyFont="0" applyAlignment="0" applyProtection="0"/>
    <xf numFmtId="0" fontId="84" fillId="21" borderId="144" applyNumberForma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7" fillId="34" borderId="145" applyNumberFormat="0" applyAlignment="0" applyProtection="0"/>
    <xf numFmtId="0" fontId="12" fillId="37" borderId="167" applyNumberFormat="0" applyFont="0" applyAlignment="0" applyProtection="0"/>
    <xf numFmtId="0" fontId="87" fillId="34" borderId="161" applyNumberFormat="0" applyAlignment="0" applyProtection="0"/>
    <xf numFmtId="0" fontId="12" fillId="37" borderId="143" applyNumberFormat="0" applyFont="0" applyAlignment="0" applyProtection="0"/>
    <xf numFmtId="0" fontId="87" fillId="34" borderId="145" applyNumberFormat="0" applyAlignment="0" applyProtection="0"/>
    <xf numFmtId="0" fontId="12" fillId="37" borderId="143" applyNumberFormat="0" applyFont="0" applyAlignment="0" applyProtection="0"/>
    <xf numFmtId="0" fontId="79" fillId="34" borderId="144"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5" fillId="0" borderId="146" applyNumberFormat="0" applyFill="0" applyAlignment="0" applyProtection="0"/>
    <xf numFmtId="0" fontId="87" fillId="34" borderId="145" applyNumberFormat="0" applyAlignment="0" applyProtection="0"/>
    <xf numFmtId="0" fontId="87" fillId="34" borderId="145" applyNumberFormat="0" applyAlignment="0" applyProtection="0"/>
    <xf numFmtId="0" fontId="12" fillId="37" borderId="143" applyNumberFormat="0" applyFont="0" applyAlignment="0" applyProtection="0"/>
    <xf numFmtId="0" fontId="12" fillId="37" borderId="143" applyNumberFormat="0" applyFont="0" applyAlignment="0" applyProtection="0"/>
    <xf numFmtId="0" fontId="84" fillId="21" borderId="144" applyNumberFormat="0" applyAlignment="0" applyProtection="0"/>
    <xf numFmtId="0" fontId="84" fillId="21" borderId="144" applyNumberFormat="0" applyAlignment="0" applyProtection="0"/>
    <xf numFmtId="0" fontId="79" fillId="34" borderId="144" applyNumberFormat="0" applyAlignment="0" applyProtection="0"/>
    <xf numFmtId="0" fontId="79" fillId="34" borderId="144" applyNumberFormat="0" applyAlignment="0" applyProtection="0"/>
    <xf numFmtId="0" fontId="87" fillId="34" borderId="145" applyNumberFormat="0" applyAlignment="0" applyProtection="0"/>
    <xf numFmtId="0" fontId="5" fillId="0" borderId="146" applyNumberFormat="0" applyFill="0" applyAlignment="0" applyProtection="0"/>
    <xf numFmtId="0" fontId="12" fillId="37" borderId="167"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5" fillId="0" borderId="146" applyNumberFormat="0" applyFill="0" applyAlignment="0" applyProtection="0"/>
    <xf numFmtId="0" fontId="12" fillId="37" borderId="143" applyNumberFormat="0" applyFont="0" applyAlignment="0" applyProtection="0"/>
    <xf numFmtId="0" fontId="84" fillId="21" borderId="144" applyNumberFormat="0" applyAlignment="0" applyProtection="0"/>
    <xf numFmtId="0" fontId="12" fillId="37" borderId="143" applyNumberFormat="0" applyFont="0" applyAlignment="0" applyProtection="0"/>
    <xf numFmtId="0" fontId="79" fillId="34" borderId="144" applyNumberFormat="0" applyAlignment="0" applyProtection="0"/>
    <xf numFmtId="0" fontId="84" fillId="21" borderId="144" applyNumberFormat="0" applyAlignment="0" applyProtection="0"/>
    <xf numFmtId="0" fontId="84" fillId="21" borderId="144" applyNumberFormat="0" applyAlignment="0" applyProtection="0"/>
    <xf numFmtId="0" fontId="12" fillId="37" borderId="147" applyNumberFormat="0" applyFont="0" applyAlignment="0" applyProtection="0"/>
    <xf numFmtId="0" fontId="5" fillId="0" borderId="146" applyNumberFormat="0" applyFill="0" applyAlignment="0" applyProtection="0"/>
    <xf numFmtId="0" fontId="84" fillId="21" borderId="144" applyNumberFormat="0" applyAlignment="0" applyProtection="0"/>
    <xf numFmtId="0" fontId="87" fillId="34" borderId="145" applyNumberFormat="0" applyAlignment="0" applyProtection="0"/>
    <xf numFmtId="0" fontId="79" fillId="34" borderId="160" applyNumberFormat="0" applyAlignment="0" applyProtection="0"/>
    <xf numFmtId="0" fontId="79" fillId="34" borderId="144" applyNumberFormat="0" applyAlignment="0" applyProtection="0"/>
    <xf numFmtId="0" fontId="79" fillId="34" borderId="160" applyNumberFormat="0" applyAlignment="0" applyProtection="0"/>
    <xf numFmtId="0" fontId="12" fillId="37" borderId="143" applyNumberFormat="0" applyFont="0" applyAlignment="0" applyProtection="0"/>
    <xf numFmtId="0" fontId="87" fillId="34" borderId="145" applyNumberFormat="0" applyAlignment="0" applyProtection="0"/>
    <xf numFmtId="0" fontId="79" fillId="34" borderId="144" applyNumberFormat="0" applyAlignment="0" applyProtection="0"/>
    <xf numFmtId="0" fontId="84" fillId="21" borderId="160" applyNumberFormat="0" applyAlignment="0" applyProtection="0"/>
    <xf numFmtId="0" fontId="12" fillId="37" borderId="159" applyNumberFormat="0" applyFont="0" applyAlignment="0" applyProtection="0"/>
    <xf numFmtId="0" fontId="84" fillId="21" borderId="160" applyNumberFormat="0" applyAlignment="0" applyProtection="0"/>
    <xf numFmtId="0" fontId="12" fillId="37" borderId="159" applyNumberFormat="0" applyFont="0" applyAlignment="0" applyProtection="0"/>
    <xf numFmtId="0" fontId="5" fillId="0" borderId="187" applyNumberFormat="0" applyFill="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79" fillId="34"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87" fillId="34" borderId="149" applyNumberFormat="0" applyAlignment="0" applyProtection="0"/>
    <xf numFmtId="0" fontId="5" fillId="0" borderId="150" applyNumberFormat="0" applyFill="0" applyAlignment="0" applyProtection="0"/>
    <xf numFmtId="0" fontId="84" fillId="21" borderId="148" applyNumberFormat="0" applyAlignment="0" applyProtection="0"/>
    <xf numFmtId="0" fontId="12" fillId="37" borderId="147" applyNumberFormat="0" applyFont="0" applyAlignment="0" applyProtection="0"/>
    <xf numFmtId="0" fontId="84" fillId="21" borderId="148" applyNumberFormat="0" applyAlignment="0" applyProtection="0"/>
    <xf numFmtId="0" fontId="84" fillId="21" borderId="148" applyNumberFormat="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87" fillId="34" borderId="149"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51" applyNumberFormat="0" applyFont="0" applyAlignment="0" applyProtection="0"/>
    <xf numFmtId="0" fontId="79" fillId="34" borderId="148" applyNumberFormat="0" applyAlignment="0" applyProtection="0"/>
    <xf numFmtId="0" fontId="87" fillId="34" borderId="149" applyNumberFormat="0" applyAlignment="0" applyProtection="0"/>
    <xf numFmtId="0" fontId="12" fillId="37" borderId="147" applyNumberFormat="0" applyFont="0" applyAlignment="0" applyProtection="0"/>
    <xf numFmtId="0" fontId="84" fillId="21" borderId="148" applyNumberFormat="0" applyAlignment="0" applyProtection="0"/>
    <xf numFmtId="0" fontId="79" fillId="34" borderId="148" applyNumberFormat="0" applyAlignment="0" applyProtection="0"/>
    <xf numFmtId="0" fontId="79" fillId="34" borderId="148" applyNumberFormat="0" applyAlignment="0" applyProtection="0"/>
    <xf numFmtId="0" fontId="79" fillId="34" borderId="148" applyNumberFormat="0" applyAlignment="0" applyProtection="0"/>
    <xf numFmtId="0" fontId="84" fillId="21" borderId="148" applyNumberFormat="0" applyAlignment="0" applyProtection="0"/>
    <xf numFmtId="0" fontId="84" fillId="21"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12" fillId="37" borderId="147" applyNumberFormat="0" applyFont="0" applyAlignment="0" applyProtection="0"/>
    <xf numFmtId="0" fontId="79" fillId="34" borderId="148" applyNumberFormat="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87" fillId="34" borderId="149" applyNumberFormat="0" applyAlignment="0" applyProtection="0"/>
    <xf numFmtId="0" fontId="12" fillId="37" borderId="147" applyNumberFormat="0" applyFont="0" applyAlignment="0" applyProtection="0"/>
    <xf numFmtId="0" fontId="84" fillId="21" borderId="148" applyNumberForma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12" fillId="37" borderId="155" applyNumberFormat="0" applyFont="0" applyAlignment="0" applyProtection="0"/>
    <xf numFmtId="0" fontId="12" fillId="37" borderId="147" applyNumberFormat="0" applyFont="0" applyAlignment="0" applyProtection="0"/>
    <xf numFmtId="0" fontId="87" fillId="34" borderId="149" applyNumberFormat="0" applyAlignment="0" applyProtection="0"/>
    <xf numFmtId="0" fontId="12" fillId="37" borderId="147" applyNumberFormat="0" applyFont="0" applyAlignment="0" applyProtection="0"/>
    <xf numFmtId="0" fontId="79" fillId="34" borderId="148"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5" fillId="0" borderId="150" applyNumberFormat="0" applyFill="0" applyAlignment="0" applyProtection="0"/>
    <xf numFmtId="0" fontId="87" fillId="34" borderId="149" applyNumberFormat="0" applyAlignment="0" applyProtection="0"/>
    <xf numFmtId="0" fontId="87" fillId="34" borderId="149" applyNumberFormat="0" applyAlignment="0" applyProtection="0"/>
    <xf numFmtId="0" fontId="12" fillId="37" borderId="147" applyNumberFormat="0" applyFont="0" applyAlignment="0" applyProtection="0"/>
    <xf numFmtId="0" fontId="12" fillId="37" borderId="147" applyNumberFormat="0" applyFont="0" applyAlignment="0" applyProtection="0"/>
    <xf numFmtId="0" fontId="84" fillId="21" borderId="148" applyNumberFormat="0" applyAlignment="0" applyProtection="0"/>
    <xf numFmtId="0" fontId="84" fillId="21" borderId="148" applyNumberFormat="0" applyAlignment="0" applyProtection="0"/>
    <xf numFmtId="0" fontId="79" fillId="34" borderId="148" applyNumberFormat="0" applyAlignment="0" applyProtection="0"/>
    <xf numFmtId="0" fontId="79" fillId="34" borderId="148" applyNumberFormat="0" applyAlignment="0" applyProtection="0"/>
    <xf numFmtId="0" fontId="87" fillId="34" borderId="149" applyNumberFormat="0" applyAlignment="0" applyProtection="0"/>
    <xf numFmtId="0" fontId="5" fillId="0" borderId="150" applyNumberFormat="0" applyFill="0" applyAlignment="0" applyProtection="0"/>
    <xf numFmtId="0" fontId="5" fillId="0" borderId="150" applyNumberFormat="0" applyFill="0" applyAlignment="0" applyProtection="0"/>
    <xf numFmtId="0" fontId="12" fillId="37" borderId="147" applyNumberFormat="0" applyFont="0" applyAlignment="0" applyProtection="0"/>
    <xf numFmtId="0" fontId="5" fillId="0" borderId="150" applyNumberFormat="0" applyFill="0" applyAlignment="0" applyProtection="0"/>
    <xf numFmtId="0" fontId="12" fillId="37" borderId="147" applyNumberFormat="0" applyFont="0" applyAlignment="0" applyProtection="0"/>
    <xf numFmtId="0" fontId="84" fillId="21" borderId="148" applyNumberFormat="0" applyAlignment="0" applyProtection="0"/>
    <xf numFmtId="0" fontId="12" fillId="37" borderId="147" applyNumberFormat="0" applyFont="0" applyAlignment="0" applyProtection="0"/>
    <xf numFmtId="0" fontId="79" fillId="34" borderId="148" applyNumberFormat="0" applyAlignment="0" applyProtection="0"/>
    <xf numFmtId="0" fontId="84" fillId="21" borderId="148" applyNumberFormat="0" applyAlignment="0" applyProtection="0"/>
    <xf numFmtId="0" fontId="12" fillId="37" borderId="163" applyNumberFormat="0" applyFont="0" applyAlignment="0" applyProtection="0"/>
    <xf numFmtId="0" fontId="84" fillId="21" borderId="148" applyNumberFormat="0" applyAlignment="0" applyProtection="0"/>
    <xf numFmtId="0" fontId="5" fillId="0" borderId="150" applyNumberFormat="0" applyFill="0" applyAlignment="0" applyProtection="0"/>
    <xf numFmtId="0" fontId="84" fillId="21" borderId="148" applyNumberFormat="0" applyAlignment="0" applyProtection="0"/>
    <xf numFmtId="0" fontId="87" fillId="34" borderId="149" applyNumberFormat="0" applyAlignment="0" applyProtection="0"/>
    <xf numFmtId="0" fontId="79" fillId="34" borderId="148" applyNumberFormat="0" applyAlignment="0" applyProtection="0"/>
    <xf numFmtId="0" fontId="12" fillId="37" borderId="147" applyNumberFormat="0" applyFont="0" applyAlignment="0" applyProtection="0"/>
    <xf numFmtId="0" fontId="87" fillId="34" borderId="149" applyNumberFormat="0" applyAlignment="0" applyProtection="0"/>
    <xf numFmtId="0" fontId="79" fillId="34" borderId="148"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79" fillId="34" borderId="172" applyNumberFormat="0" applyAlignment="0" applyProtection="0"/>
    <xf numFmtId="0" fontId="79" fillId="34" borderId="160" applyNumberForma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79" fillId="34"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87" fillId="34" borderId="153" applyNumberFormat="0" applyAlignment="0" applyProtection="0"/>
    <xf numFmtId="0" fontId="5" fillId="0" borderId="154" applyNumberFormat="0" applyFill="0" applyAlignment="0" applyProtection="0"/>
    <xf numFmtId="0" fontId="84" fillId="21" borderId="152" applyNumberFormat="0" applyAlignment="0" applyProtection="0"/>
    <xf numFmtId="0" fontId="12" fillId="37" borderId="151" applyNumberFormat="0" applyFont="0" applyAlignment="0" applyProtection="0"/>
    <xf numFmtId="0" fontId="84" fillId="21" borderId="152" applyNumberFormat="0" applyAlignment="0" applyProtection="0"/>
    <xf numFmtId="0" fontId="84" fillId="21" borderId="152" applyNumberFormat="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87" fillId="34" borderId="153"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9" applyNumberFormat="0" applyFont="0" applyAlignment="0" applyProtection="0"/>
    <xf numFmtId="0" fontId="79" fillId="34" borderId="152" applyNumberFormat="0" applyAlignment="0" applyProtection="0"/>
    <xf numFmtId="0" fontId="87" fillId="34" borderId="153" applyNumberFormat="0" applyAlignment="0" applyProtection="0"/>
    <xf numFmtId="0" fontId="12" fillId="37" borderId="151" applyNumberFormat="0" applyFont="0" applyAlignment="0" applyProtection="0"/>
    <xf numFmtId="0" fontId="84" fillId="21" borderId="152" applyNumberFormat="0" applyAlignment="0" applyProtection="0"/>
    <xf numFmtId="0" fontId="79" fillId="34" borderId="152" applyNumberFormat="0" applyAlignment="0" applyProtection="0"/>
    <xf numFmtId="0" fontId="79" fillId="34" borderId="152" applyNumberFormat="0" applyAlignment="0" applyProtection="0"/>
    <xf numFmtId="0" fontId="79" fillId="34" borderId="152" applyNumberFormat="0" applyAlignment="0" applyProtection="0"/>
    <xf numFmtId="0" fontId="84" fillId="21" borderId="152" applyNumberFormat="0" applyAlignment="0" applyProtection="0"/>
    <xf numFmtId="0" fontId="84" fillId="21"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12" fillId="37" borderId="151" applyNumberFormat="0" applyFont="0" applyAlignment="0" applyProtection="0"/>
    <xf numFmtId="0" fontId="79" fillId="34" borderId="152" applyNumberForma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87" fillId="34" borderId="153" applyNumberFormat="0" applyAlignment="0" applyProtection="0"/>
    <xf numFmtId="0" fontId="12" fillId="37" borderId="151" applyNumberFormat="0" applyFont="0" applyAlignment="0" applyProtection="0"/>
    <xf numFmtId="0" fontId="84" fillId="21" borderId="152" applyNumberForma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12" fillId="37" borderId="184" applyNumberFormat="0" applyFont="0" applyAlignment="0" applyProtection="0"/>
    <xf numFmtId="0" fontId="12" fillId="37" borderId="159" applyNumberFormat="0" applyFont="0" applyAlignment="0" applyProtection="0"/>
    <xf numFmtId="0" fontId="12" fillId="37" borderId="151" applyNumberFormat="0" applyFont="0" applyAlignment="0" applyProtection="0"/>
    <xf numFmtId="0" fontId="87" fillId="34" borderId="153" applyNumberFormat="0" applyAlignment="0" applyProtection="0"/>
    <xf numFmtId="0" fontId="12" fillId="37" borderId="151" applyNumberFormat="0" applyFont="0" applyAlignment="0" applyProtection="0"/>
    <xf numFmtId="0" fontId="79" fillId="34" borderId="152"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5" fillId="0" borderId="154" applyNumberFormat="0" applyFill="0" applyAlignment="0" applyProtection="0"/>
    <xf numFmtId="0" fontId="87" fillId="34" borderId="153" applyNumberFormat="0" applyAlignment="0" applyProtection="0"/>
    <xf numFmtId="0" fontId="87" fillId="34" borderId="153" applyNumberFormat="0" applyAlignment="0" applyProtection="0"/>
    <xf numFmtId="0" fontId="12" fillId="37" borderId="151" applyNumberFormat="0" applyFont="0" applyAlignment="0" applyProtection="0"/>
    <xf numFmtId="0" fontId="12" fillId="37" borderId="151" applyNumberFormat="0" applyFont="0" applyAlignment="0" applyProtection="0"/>
    <xf numFmtId="0" fontId="84" fillId="21" borderId="152" applyNumberFormat="0" applyAlignment="0" applyProtection="0"/>
    <xf numFmtId="0" fontId="84" fillId="21" borderId="152" applyNumberFormat="0" applyAlignment="0" applyProtection="0"/>
    <xf numFmtId="0" fontId="79" fillId="34" borderId="152" applyNumberFormat="0" applyAlignment="0" applyProtection="0"/>
    <xf numFmtId="0" fontId="79" fillId="34" borderId="152" applyNumberFormat="0" applyAlignment="0" applyProtection="0"/>
    <xf numFmtId="0" fontId="87" fillId="34" borderId="153" applyNumberFormat="0" applyAlignment="0" applyProtection="0"/>
    <xf numFmtId="0" fontId="5" fillId="0" borderId="154" applyNumberFormat="0" applyFill="0" applyAlignment="0" applyProtection="0"/>
    <xf numFmtId="0" fontId="5" fillId="0" borderId="154" applyNumberFormat="0" applyFill="0" applyAlignment="0" applyProtection="0"/>
    <xf numFmtId="0" fontId="12" fillId="37" borderId="151" applyNumberFormat="0" applyFont="0" applyAlignment="0" applyProtection="0"/>
    <xf numFmtId="0" fontId="5" fillId="0" borderId="154" applyNumberFormat="0" applyFill="0" applyAlignment="0" applyProtection="0"/>
    <xf numFmtId="0" fontId="12" fillId="37" borderId="151" applyNumberFormat="0" applyFont="0" applyAlignment="0" applyProtection="0"/>
    <xf numFmtId="0" fontId="84" fillId="21" borderId="152" applyNumberFormat="0" applyAlignment="0" applyProtection="0"/>
    <xf numFmtId="0" fontId="12" fillId="37" borderId="151" applyNumberFormat="0" applyFont="0" applyAlignment="0" applyProtection="0"/>
    <xf numFmtId="0" fontId="79" fillId="34" borderId="152" applyNumberFormat="0" applyAlignment="0" applyProtection="0"/>
    <xf numFmtId="0" fontId="84" fillId="21" borderId="152" applyNumberFormat="0" applyAlignment="0" applyProtection="0"/>
    <xf numFmtId="0" fontId="84" fillId="21" borderId="160" applyNumberFormat="0" applyAlignment="0" applyProtection="0"/>
    <xf numFmtId="0" fontId="84" fillId="21" borderId="152" applyNumberFormat="0" applyAlignment="0" applyProtection="0"/>
    <xf numFmtId="0" fontId="12" fillId="37" borderId="171" applyNumberFormat="0" applyFont="0" applyAlignment="0" applyProtection="0"/>
    <xf numFmtId="0" fontId="5" fillId="0" borderId="154" applyNumberFormat="0" applyFill="0" applyAlignment="0" applyProtection="0"/>
    <xf numFmtId="0" fontId="84" fillId="21" borderId="152" applyNumberFormat="0" applyAlignment="0" applyProtection="0"/>
    <xf numFmtId="0" fontId="87" fillId="34" borderId="153" applyNumberFormat="0" applyAlignment="0" applyProtection="0"/>
    <xf numFmtId="0" fontId="5" fillId="0" borderId="162" applyNumberFormat="0" applyFill="0" applyAlignment="0" applyProtection="0"/>
    <xf numFmtId="0" fontId="79" fillId="34" borderId="152" applyNumberFormat="0" applyAlignment="0" applyProtection="0"/>
    <xf numFmtId="0" fontId="87" fillId="34" borderId="161" applyNumberFormat="0" applyAlignment="0" applyProtection="0"/>
    <xf numFmtId="0" fontId="12" fillId="37" borderId="151" applyNumberFormat="0" applyFont="0" applyAlignment="0" applyProtection="0"/>
    <xf numFmtId="0" fontId="87" fillId="34" borderId="153" applyNumberFormat="0" applyAlignment="0" applyProtection="0"/>
    <xf numFmtId="0" fontId="79" fillId="34" borderId="152" applyNumberFormat="0" applyAlignment="0" applyProtection="0"/>
    <xf numFmtId="0" fontId="12" fillId="37" borderId="159" applyNumberFormat="0" applyFont="0" applyAlignment="0" applyProtection="0"/>
    <xf numFmtId="0" fontId="12" fillId="37" borderId="159"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5" fillId="0" borderId="187" applyNumberFormat="0" applyFill="0" applyAlignment="0" applyProtection="0"/>
    <xf numFmtId="0" fontId="12" fillId="37" borderId="167" applyNumberFormat="0" applyFont="0" applyAlignment="0" applyProtection="0"/>
    <xf numFmtId="0" fontId="79" fillId="34" borderId="160" applyNumberFormat="0" applyAlignment="0" applyProtection="0"/>
    <xf numFmtId="0" fontId="84" fillId="21" borderId="164" applyNumberFormat="0" applyAlignment="0" applyProtection="0"/>
    <xf numFmtId="0" fontId="5" fillId="0" borderId="166" applyNumberFormat="0" applyFill="0" applyAlignment="0" applyProtection="0"/>
    <xf numFmtId="0" fontId="87" fillId="34" borderId="186" applyNumberFormat="0" applyAlignment="0" applyProtection="0"/>
    <xf numFmtId="0" fontId="87" fillId="34" borderId="165" applyNumberFormat="0" applyAlignment="0" applyProtection="0"/>
    <xf numFmtId="0" fontId="87" fillId="34" borderId="165" applyNumberFormat="0" applyAlignment="0" applyProtection="0"/>
    <xf numFmtId="0" fontId="12" fillId="37" borderId="163" applyNumberFormat="0" applyFont="0" applyAlignment="0" applyProtection="0"/>
    <xf numFmtId="0" fontId="12" fillId="37" borderId="167" applyNumberFormat="0" applyFon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65" applyNumberFormat="0" applyAlignment="0" applyProtection="0"/>
    <xf numFmtId="0" fontId="79" fillId="34" borderId="164" applyNumberFormat="0" applyAlignment="0" applyProtection="0"/>
    <xf numFmtId="0" fontId="12" fillId="37" borderId="175" applyNumberFormat="0" applyFont="0" applyAlignment="0" applyProtection="0"/>
    <xf numFmtId="0" fontId="84" fillId="21" borderId="160" applyNumberFormat="0" applyAlignment="0" applyProtection="0"/>
    <xf numFmtId="0" fontId="5" fillId="0" borderId="162" applyNumberFormat="0" applyFill="0" applyAlignment="0" applyProtection="0"/>
    <xf numFmtId="0" fontId="84" fillId="21" borderId="185" applyNumberFormat="0" applyAlignment="0" applyProtection="0"/>
    <xf numFmtId="0" fontId="87" fillId="34" borderId="186" applyNumberFormat="0" applyAlignment="0" applyProtection="0"/>
    <xf numFmtId="0" fontId="79" fillId="34" borderId="185" applyNumberFormat="0" applyAlignment="0" applyProtection="0"/>
    <xf numFmtId="0" fontId="79" fillId="34" borderId="168" applyNumberFormat="0" applyAlignment="0" applyProtection="0"/>
    <xf numFmtId="0" fontId="5" fillId="0" borderId="179" applyNumberFormat="0" applyFill="0" applyAlignment="0" applyProtection="0"/>
    <xf numFmtId="0" fontId="84" fillId="21" borderId="189"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71" applyNumberFormat="0" applyFont="0" applyAlignment="0" applyProtection="0"/>
    <xf numFmtId="0" fontId="87" fillId="34" borderId="169" applyNumberFormat="0" applyAlignment="0" applyProtection="0"/>
    <xf numFmtId="0" fontId="84" fillId="21" borderId="164" applyNumberFormat="0" applyAlignment="0" applyProtection="0"/>
    <xf numFmtId="0" fontId="12" fillId="37" borderId="184" applyNumberFormat="0" applyFont="0" applyAlignment="0" applyProtection="0"/>
    <xf numFmtId="0" fontId="87" fillId="34" borderId="169" applyNumberFormat="0" applyAlignment="0" applyProtection="0"/>
    <xf numFmtId="0" fontId="12" fillId="37" borderId="159" applyNumberFormat="0" applyFont="0" applyAlignment="0" applyProtection="0"/>
    <xf numFmtId="0" fontId="12" fillId="37" borderId="167" applyNumberFormat="0" applyFont="0" applyAlignment="0" applyProtection="0"/>
    <xf numFmtId="0" fontId="87" fillId="34" borderId="161" applyNumberFormat="0" applyAlignment="0" applyProtection="0"/>
    <xf numFmtId="0" fontId="84" fillId="21" borderId="160" applyNumberFormat="0" applyAlignment="0" applyProtection="0"/>
    <xf numFmtId="0" fontId="84" fillId="21" borderId="160" applyNumberFormat="0" applyAlignment="0" applyProtection="0"/>
    <xf numFmtId="0" fontId="84" fillId="21" borderId="164" applyNumberFormat="0" applyAlignment="0" applyProtection="0"/>
    <xf numFmtId="0" fontId="5" fillId="0" borderId="166" applyNumberFormat="0" applyFill="0" applyAlignment="0" applyProtection="0"/>
    <xf numFmtId="0" fontId="5" fillId="0" borderId="166" applyNumberFormat="0" applyFill="0" applyAlignment="0" applyProtection="0"/>
    <xf numFmtId="0" fontId="84" fillId="21" borderId="168" applyNumberFormat="0" applyAlignment="0" applyProtection="0"/>
    <xf numFmtId="0" fontId="12" fillId="37" borderId="163" applyNumberFormat="0" applyFont="0" applyAlignment="0" applyProtection="0"/>
    <xf numFmtId="0" fontId="79" fillId="34" borderId="160" applyNumberFormat="0" applyAlignment="0" applyProtection="0"/>
    <xf numFmtId="0" fontId="87" fillId="34" borderId="161" applyNumberFormat="0" applyAlignment="0" applyProtection="0"/>
    <xf numFmtId="0" fontId="84" fillId="21" borderId="164" applyNumberFormat="0" applyAlignment="0" applyProtection="0"/>
    <xf numFmtId="0" fontId="12" fillId="37" borderId="180" applyNumberFormat="0" applyFont="0" applyAlignment="0" applyProtection="0"/>
    <xf numFmtId="0" fontId="84" fillId="21" borderId="185" applyNumberFormat="0" applyAlignment="0" applyProtection="0"/>
    <xf numFmtId="0" fontId="87" fillId="34" borderId="169" applyNumberFormat="0" applyAlignment="0" applyProtection="0"/>
    <xf numFmtId="0" fontId="5" fillId="0" borderId="170" applyNumberFormat="0" applyFill="0" applyAlignment="0" applyProtection="0"/>
    <xf numFmtId="0" fontId="12" fillId="37" borderId="159" applyNumberFormat="0" applyFont="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87" fillId="34" borderId="169" applyNumberFormat="0" applyAlignment="0" applyProtection="0"/>
    <xf numFmtId="0" fontId="12" fillId="37" borderId="176" applyNumberFormat="0" applyFont="0" applyAlignment="0" applyProtection="0"/>
    <xf numFmtId="0" fontId="5" fillId="0" borderId="166" applyNumberFormat="0" applyFill="0" applyAlignment="0" applyProtection="0"/>
    <xf numFmtId="0" fontId="84" fillId="21" borderId="160" applyNumberFormat="0" applyAlignment="0" applyProtection="0"/>
    <xf numFmtId="0" fontId="12" fillId="37" borderId="184" applyNumberFormat="0" applyFont="0" applyAlignment="0" applyProtection="0"/>
    <xf numFmtId="0" fontId="12" fillId="37" borderId="167" applyNumberFormat="0" applyFont="0" applyAlignment="0" applyProtection="0"/>
    <xf numFmtId="0" fontId="12" fillId="37" borderId="184" applyNumberFormat="0" applyFont="0" applyAlignment="0" applyProtection="0"/>
    <xf numFmtId="0" fontId="84" fillId="21" borderId="164" applyNumberFormat="0" applyAlignment="0" applyProtection="0"/>
    <xf numFmtId="0" fontId="12" fillId="37" borderId="184" applyNumberFormat="0" applyFont="0" applyAlignment="0" applyProtection="0"/>
    <xf numFmtId="0" fontId="87" fillId="34" borderId="161" applyNumberFormat="0" applyAlignment="0" applyProtection="0"/>
    <xf numFmtId="0" fontId="12" fillId="37" borderId="159" applyNumberFormat="0" applyFont="0" applyAlignment="0" applyProtection="0"/>
    <xf numFmtId="0" fontId="79" fillId="34" borderId="164" applyNumberFormat="0" applyAlignment="0" applyProtection="0"/>
    <xf numFmtId="0" fontId="87" fillId="34" borderId="169" applyNumberFormat="0" applyAlignment="0" applyProtection="0"/>
    <xf numFmtId="0" fontId="84" fillId="21" borderId="156" applyNumberFormat="0" applyAlignment="0" applyProtection="0"/>
    <xf numFmtId="0" fontId="5" fillId="0" borderId="166" applyNumberFormat="0" applyFill="0" applyAlignment="0" applyProtection="0"/>
    <xf numFmtId="0" fontId="12" fillId="37" borderId="163" applyNumberFormat="0" applyFont="0" applyAlignment="0" applyProtection="0"/>
    <xf numFmtId="0" fontId="5" fillId="0" borderId="162" applyNumberFormat="0" applyFill="0" applyAlignment="0" applyProtection="0"/>
    <xf numFmtId="0" fontId="12" fillId="37" borderId="163"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12" fillId="37" borderId="184" applyNumberFormat="0" applyFont="0" applyAlignment="0" applyProtection="0"/>
    <xf numFmtId="0" fontId="84" fillId="21" borderId="185" applyNumberFormat="0" applyAlignment="0" applyProtection="0"/>
    <xf numFmtId="0" fontId="12" fillId="37" borderId="167" applyNumberFormat="0" applyFont="0" applyAlignment="0" applyProtection="0"/>
    <xf numFmtId="0" fontId="79" fillId="34" borderId="160" applyNumberFormat="0" applyAlignment="0" applyProtection="0"/>
    <xf numFmtId="0" fontId="84" fillId="21" borderId="168" applyNumberFormat="0" applyAlignment="0" applyProtection="0"/>
    <xf numFmtId="0" fontId="79" fillId="34" borderId="160" applyNumberFormat="0" applyAlignment="0" applyProtection="0"/>
    <xf numFmtId="0" fontId="5" fillId="0" borderId="170" applyNumberFormat="0" applyFill="0" applyAlignment="0" applyProtection="0"/>
    <xf numFmtId="0" fontId="12" fillId="37" borderId="167" applyNumberFormat="0" applyFont="0" applyAlignment="0" applyProtection="0"/>
    <xf numFmtId="0" fontId="87" fillId="34" borderId="157" applyNumberFormat="0" applyAlignment="0" applyProtection="0"/>
    <xf numFmtId="0" fontId="12" fillId="37" borderId="175" applyNumberFormat="0" applyFont="0" applyAlignment="0" applyProtection="0"/>
    <xf numFmtId="0" fontId="79" fillId="34" borderId="189" applyNumberFormat="0" applyAlignment="0" applyProtection="0"/>
    <xf numFmtId="0" fontId="12" fillId="37" borderId="167" applyNumberFormat="0" applyFont="0" applyAlignment="0" applyProtection="0"/>
    <xf numFmtId="0" fontId="12" fillId="37" borderId="167" applyNumberFormat="0" applyFont="0" applyAlignment="0" applyProtection="0"/>
    <xf numFmtId="0" fontId="5" fillId="0" borderId="170" applyNumberFormat="0" applyFill="0" applyAlignment="0" applyProtection="0"/>
    <xf numFmtId="0" fontId="84" fillId="21" borderId="168" applyNumberFormat="0" applyAlignment="0" applyProtection="0"/>
    <xf numFmtId="0" fontId="87" fillId="34" borderId="169" applyNumberFormat="0" applyAlignment="0" applyProtection="0"/>
    <xf numFmtId="0" fontId="12" fillId="37" borderId="167" applyNumberFormat="0" applyFont="0" applyAlignment="0" applyProtection="0"/>
    <xf numFmtId="0" fontId="12" fillId="37" borderId="167" applyNumberFormat="0" applyFont="0" applyAlignment="0" applyProtection="0"/>
    <xf numFmtId="0" fontId="12" fillId="37" borderId="167" applyNumberFormat="0" applyFont="0" applyAlignment="0" applyProtection="0"/>
    <xf numFmtId="0" fontId="87" fillId="34" borderId="169" applyNumberFormat="0" applyAlignment="0" applyProtection="0"/>
    <xf numFmtId="0" fontId="12" fillId="37" borderId="167" applyNumberFormat="0" applyFont="0" applyAlignment="0" applyProtection="0"/>
    <xf numFmtId="0" fontId="79" fillId="34" borderId="185" applyNumberFormat="0" applyAlignment="0" applyProtection="0"/>
    <xf numFmtId="0" fontId="79" fillId="34" borderId="168" applyNumberFormat="0" applyAlignment="0" applyProtection="0"/>
    <xf numFmtId="0" fontId="12" fillId="37" borderId="184" applyNumberFormat="0" applyFont="0" applyAlignment="0" applyProtection="0"/>
    <xf numFmtId="0" fontId="84" fillId="21" borderId="185" applyNumberFormat="0" applyAlignment="0" applyProtection="0"/>
    <xf numFmtId="0" fontId="5" fillId="0" borderId="166" applyNumberFormat="0" applyFill="0" applyAlignment="0" applyProtection="0"/>
    <xf numFmtId="0" fontId="5" fillId="0" borderId="166" applyNumberFormat="0" applyFill="0" applyAlignment="0" applyProtection="0"/>
    <xf numFmtId="0" fontId="79" fillId="34" borderId="156" applyNumberFormat="0" applyAlignment="0" applyProtection="0"/>
    <xf numFmtId="0" fontId="12" fillId="37" borderId="163" applyNumberFormat="0" applyFont="0" applyAlignment="0" applyProtection="0"/>
    <xf numFmtId="0" fontId="79" fillId="34" borderId="164" applyNumberFormat="0" applyAlignment="0" applyProtection="0"/>
    <xf numFmtId="0" fontId="12" fillId="37" borderId="163" applyNumberFormat="0" applyFont="0" applyAlignment="0" applyProtection="0"/>
    <xf numFmtId="0" fontId="5" fillId="0" borderId="187" applyNumberFormat="0" applyFill="0" applyAlignment="0" applyProtection="0"/>
    <xf numFmtId="0" fontId="12" fillId="37" borderId="163" applyNumberFormat="0" applyFont="0" applyAlignment="0" applyProtection="0"/>
    <xf numFmtId="0" fontId="84" fillId="21" borderId="168" applyNumberFormat="0" applyAlignment="0" applyProtection="0"/>
    <xf numFmtId="0" fontId="5" fillId="0" borderId="170" applyNumberFormat="0" applyFill="0" applyAlignment="0" applyProtection="0"/>
    <xf numFmtId="0" fontId="12" fillId="37" borderId="163" applyNumberFormat="0" applyFont="0" applyAlignment="0" applyProtection="0"/>
    <xf numFmtId="0" fontId="79" fillId="34" borderId="164" applyNumberFormat="0" applyAlignment="0" applyProtection="0"/>
    <xf numFmtId="0" fontId="12" fillId="37" borderId="184" applyNumberFormat="0" applyFont="0" applyAlignment="0" applyProtection="0"/>
    <xf numFmtId="0" fontId="87" fillId="34" borderId="165" applyNumberFormat="0" applyAlignment="0" applyProtection="0"/>
    <xf numFmtId="0" fontId="5" fillId="0" borderId="187" applyNumberFormat="0" applyFill="0" applyAlignment="0" applyProtection="0"/>
    <xf numFmtId="0" fontId="87" fillId="34" borderId="186" applyNumberFormat="0" applyAlignment="0" applyProtection="0"/>
    <xf numFmtId="0" fontId="12" fillId="37" borderId="184" applyNumberFormat="0" applyFont="0" applyAlignment="0" applyProtection="0"/>
    <xf numFmtId="0" fontId="87" fillId="34" borderId="165" applyNumberForma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90" applyNumberFormat="0" applyAlignment="0" applyProtection="0"/>
    <xf numFmtId="0" fontId="87" fillId="34" borderId="186" applyNumberFormat="0" applyAlignment="0" applyProtection="0"/>
    <xf numFmtId="0" fontId="12" fillId="37" borderId="180" applyNumberFormat="0" applyFont="0" applyAlignment="0" applyProtection="0"/>
    <xf numFmtId="0" fontId="87" fillId="34" borderId="186" applyNumberFormat="0" applyAlignment="0" applyProtection="0"/>
    <xf numFmtId="0" fontId="5" fillId="0" borderId="187" applyNumberFormat="0" applyFill="0" applyAlignment="0" applyProtection="0"/>
    <xf numFmtId="0" fontId="12" fillId="37" borderId="163" applyNumberFormat="0" applyFont="0" applyAlignment="0" applyProtection="0"/>
    <xf numFmtId="0" fontId="12" fillId="37" borderId="167" applyNumberFormat="0" applyFont="0" applyAlignment="0" applyProtection="0"/>
    <xf numFmtId="0" fontId="5" fillId="0" borderId="166" applyNumberFormat="0" applyFill="0" applyAlignment="0" applyProtection="0"/>
    <xf numFmtId="0" fontId="79" fillId="34" borderId="164" applyNumberFormat="0" applyAlignment="0" applyProtection="0"/>
    <xf numFmtId="0" fontId="87" fillId="34" borderId="169" applyNumberFormat="0" applyAlignment="0" applyProtection="0"/>
    <xf numFmtId="0" fontId="84" fillId="21" borderId="168" applyNumberFormat="0" applyAlignment="0" applyProtection="0"/>
    <xf numFmtId="0" fontId="84" fillId="21" borderId="168" applyNumberFormat="0" applyAlignment="0" applyProtection="0"/>
    <xf numFmtId="0" fontId="5" fillId="0" borderId="166" applyNumberFormat="0" applyFill="0" applyAlignment="0" applyProtection="0"/>
    <xf numFmtId="0" fontId="12" fillId="37" borderId="184" applyNumberFormat="0" applyFont="0" applyAlignment="0" applyProtection="0"/>
    <xf numFmtId="0" fontId="84" fillId="21" borderId="177" applyNumberFormat="0" applyAlignment="0" applyProtection="0"/>
    <xf numFmtId="0" fontId="79" fillId="34" borderId="168" applyNumberFormat="0" applyAlignment="0" applyProtection="0"/>
    <xf numFmtId="0" fontId="87" fillId="34" borderId="169" applyNumberFormat="0" applyAlignment="0" applyProtection="0"/>
    <xf numFmtId="0" fontId="12" fillId="37" borderId="163" applyNumberFormat="0" applyFont="0" applyAlignment="0" applyProtection="0"/>
    <xf numFmtId="0" fontId="12" fillId="37" borderId="180" applyNumberFormat="0" applyFont="0" applyAlignment="0" applyProtection="0"/>
    <xf numFmtId="0" fontId="84" fillId="21" borderId="164" applyNumberFormat="0" applyAlignment="0" applyProtection="0"/>
    <xf numFmtId="0" fontId="87" fillId="34" borderId="186" applyNumberFormat="0" applyAlignment="0" applyProtection="0"/>
    <xf numFmtId="0" fontId="12" fillId="37" borderId="167" applyNumberFormat="0" applyFont="0" applyAlignment="0" applyProtection="0"/>
    <xf numFmtId="0" fontId="12" fillId="37" borderId="175" applyNumberFormat="0" applyFont="0" applyAlignment="0" applyProtection="0"/>
    <xf numFmtId="0" fontId="87" fillId="34" borderId="165" applyNumberFormat="0" applyAlignment="0" applyProtection="0"/>
    <xf numFmtId="0" fontId="84" fillId="21" borderId="168" applyNumberFormat="0" applyAlignment="0" applyProtection="0"/>
    <xf numFmtId="0" fontId="79" fillId="34" borderId="164" applyNumberFormat="0" applyAlignment="0" applyProtection="0"/>
    <xf numFmtId="0" fontId="12" fillId="37" borderId="188" applyNumberFormat="0" applyFont="0" applyAlignment="0" applyProtection="0"/>
    <xf numFmtId="0" fontId="5" fillId="0" borderId="166" applyNumberFormat="0" applyFill="0" applyAlignment="0" applyProtection="0"/>
    <xf numFmtId="0" fontId="5" fillId="0" borderId="187" applyNumberFormat="0" applyFill="0" applyAlignment="0" applyProtection="0"/>
    <xf numFmtId="0" fontId="79" fillId="34" borderId="164" applyNumberFormat="0" applyAlignment="0" applyProtection="0"/>
    <xf numFmtId="0" fontId="5" fillId="0" borderId="183" applyNumberFormat="0" applyFill="0" applyAlignment="0" applyProtection="0"/>
    <xf numFmtId="0" fontId="87" fillId="34" borderId="169" applyNumberFormat="0" applyAlignment="0" applyProtection="0"/>
    <xf numFmtId="0" fontId="12" fillId="37" borderId="167" applyNumberFormat="0" applyFont="0" applyAlignment="0" applyProtection="0"/>
    <xf numFmtId="0" fontId="12" fillId="37" borderId="171" applyNumberFormat="0" applyFont="0" applyAlignment="0" applyProtection="0"/>
    <xf numFmtId="0" fontId="5" fillId="0" borderId="191" applyNumberFormat="0" applyFill="0" applyAlignment="0" applyProtection="0"/>
    <xf numFmtId="0" fontId="12" fillId="37" borderId="163" applyNumberFormat="0" applyFont="0" applyAlignment="0" applyProtection="0"/>
    <xf numFmtId="0" fontId="79" fillId="34" borderId="185" applyNumberFormat="0" applyAlignment="0" applyProtection="0"/>
    <xf numFmtId="0" fontId="12" fillId="37" borderId="184" applyNumberFormat="0" applyFont="0" applyAlignment="0" applyProtection="0"/>
    <xf numFmtId="0" fontId="5" fillId="0" borderId="170" applyNumberFormat="0" applyFill="0" applyAlignment="0" applyProtection="0"/>
    <xf numFmtId="0" fontId="87" fillId="34" borderId="165" applyNumberFormat="0" applyAlignment="0" applyProtection="0"/>
    <xf numFmtId="0" fontId="87" fillId="34" borderId="186" applyNumberFormat="0" applyAlignment="0" applyProtection="0"/>
    <xf numFmtId="0" fontId="84" fillId="21" borderId="172" applyNumberFormat="0" applyAlignment="0" applyProtection="0"/>
    <xf numFmtId="0" fontId="79" fillId="34" borderId="177" applyNumberFormat="0" applyAlignment="0" applyProtection="0"/>
    <xf numFmtId="0" fontId="79" fillId="34" borderId="168" applyNumberFormat="0" applyAlignment="0" applyProtection="0"/>
    <xf numFmtId="0" fontId="12" fillId="37" borderId="163" applyNumberFormat="0" applyFont="0" applyAlignment="0" applyProtection="0"/>
    <xf numFmtId="0" fontId="79" fillId="34" borderId="185" applyNumberFormat="0" applyAlignment="0" applyProtection="0"/>
    <xf numFmtId="0" fontId="79" fillId="34" borderId="168" applyNumberFormat="0" applyAlignment="0" applyProtection="0"/>
    <xf numFmtId="0" fontId="87" fillId="34" borderId="165" applyNumberFormat="0" applyAlignment="0" applyProtection="0"/>
    <xf numFmtId="0" fontId="79" fillId="34" borderId="164" applyNumberFormat="0" applyAlignment="0" applyProtection="0"/>
    <xf numFmtId="0" fontId="12" fillId="37" borderId="184" applyNumberFormat="0" applyFont="0" applyAlignment="0" applyProtection="0"/>
    <xf numFmtId="0" fontId="12" fillId="37" borderId="163" applyNumberFormat="0" applyFont="0" applyAlignment="0" applyProtection="0"/>
    <xf numFmtId="0" fontId="87" fillId="34" borderId="173" applyNumberFormat="0" applyAlignment="0" applyProtection="0"/>
    <xf numFmtId="0" fontId="84" fillId="21" borderId="172" applyNumberFormat="0" applyAlignment="0" applyProtection="0"/>
    <xf numFmtId="0" fontId="87" fillId="34" borderId="165" applyNumberFormat="0" applyAlignment="0" applyProtection="0"/>
    <xf numFmtId="0" fontId="12" fillId="37" borderId="163" applyNumberFormat="0" applyFont="0" applyAlignment="0" applyProtection="0"/>
    <xf numFmtId="0" fontId="84" fillId="21" borderId="164" applyNumberFormat="0" applyAlignment="0" applyProtection="0"/>
    <xf numFmtId="0" fontId="79" fillId="34" borderId="164" applyNumberFormat="0" applyAlignment="0" applyProtection="0"/>
    <xf numFmtId="0" fontId="87" fillId="34" borderId="186" applyNumberFormat="0" applyAlignment="0" applyProtection="0"/>
    <xf numFmtId="0" fontId="12" fillId="37" borderId="163" applyNumberFormat="0" applyFont="0" applyAlignment="0" applyProtection="0"/>
    <xf numFmtId="0" fontId="79" fillId="34" borderId="164"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84" fillId="21" borderId="164" applyNumberForma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5" fillId="0" borderId="174" applyNumberFormat="0" applyFill="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79" fillId="34"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87" fillId="34" borderId="173" applyNumberFormat="0" applyAlignment="0" applyProtection="0"/>
    <xf numFmtId="0" fontId="5" fillId="0" borderId="174" applyNumberFormat="0" applyFill="0" applyAlignment="0" applyProtection="0"/>
    <xf numFmtId="0" fontId="84" fillId="21" borderId="172" applyNumberFormat="0" applyAlignment="0" applyProtection="0"/>
    <xf numFmtId="0" fontId="12" fillId="37" borderId="171" applyNumberFormat="0" applyFont="0" applyAlignment="0" applyProtection="0"/>
    <xf numFmtId="0" fontId="84" fillId="21" borderId="172" applyNumberFormat="0" applyAlignment="0" applyProtection="0"/>
    <xf numFmtId="0" fontId="84" fillId="21" borderId="172" applyNumberFormat="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87" fillId="34" borderId="173" applyNumberFormat="0" applyAlignment="0" applyProtection="0"/>
    <xf numFmtId="0" fontId="5" fillId="0" borderId="174" applyNumberFormat="0" applyFill="0" applyAlignment="0" applyProtection="0"/>
    <xf numFmtId="0" fontId="5" fillId="0" borderId="174" applyNumberFormat="0" applyFill="0" applyAlignment="0" applyProtection="0"/>
    <xf numFmtId="0" fontId="87" fillId="34" borderId="173"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80" applyNumberFormat="0" applyFont="0" applyAlignment="0" applyProtection="0"/>
    <xf numFmtId="0" fontId="79" fillId="34" borderId="172" applyNumberFormat="0" applyAlignment="0" applyProtection="0"/>
    <xf numFmtId="0" fontId="87" fillId="34" borderId="173" applyNumberForma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79" fillId="34" borderId="172" applyNumberFormat="0" applyAlignment="0" applyProtection="0"/>
    <xf numFmtId="0" fontId="79" fillId="34" borderId="172" applyNumberFormat="0" applyAlignment="0" applyProtection="0"/>
    <xf numFmtId="0" fontId="84" fillId="21" borderId="172" applyNumberFormat="0" applyAlignment="0" applyProtection="0"/>
    <xf numFmtId="0" fontId="84" fillId="21"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5" fillId="0" borderId="174" applyNumberFormat="0" applyFill="0" applyAlignment="0" applyProtection="0"/>
    <xf numFmtId="0" fontId="5" fillId="0" borderId="174" applyNumberFormat="0" applyFill="0" applyAlignment="0" applyProtection="0"/>
    <xf numFmtId="0" fontId="12" fillId="37" borderId="171" applyNumberFormat="0" applyFont="0" applyAlignment="0" applyProtection="0"/>
    <xf numFmtId="0" fontId="12" fillId="37" borderId="171" applyNumberFormat="0" applyFont="0" applyAlignment="0" applyProtection="0"/>
    <xf numFmtId="0" fontId="79" fillId="34" borderId="172" applyNumberForma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87" fillId="34" borderId="173" applyNumberFormat="0" applyAlignment="0" applyProtection="0"/>
    <xf numFmtId="0" fontId="12" fillId="37" borderId="171" applyNumberFormat="0" applyFont="0" applyAlignment="0" applyProtection="0"/>
    <xf numFmtId="0" fontId="84" fillId="21" borderId="172" applyNumberForma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12" fillId="37" borderId="163" applyNumberFormat="0" applyFont="0" applyAlignment="0" applyProtection="0"/>
    <xf numFmtId="0" fontId="12" fillId="37" borderId="171" applyNumberFormat="0" applyFont="0" applyAlignment="0" applyProtection="0"/>
    <xf numFmtId="0" fontId="87" fillId="34" borderId="173" applyNumberFormat="0" applyAlignment="0" applyProtection="0"/>
    <xf numFmtId="0" fontId="12" fillId="37" borderId="171" applyNumberFormat="0" applyFont="0" applyAlignment="0" applyProtection="0"/>
    <xf numFmtId="0" fontId="79" fillId="34" borderId="172"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5" fillId="0" borderId="174" applyNumberFormat="0" applyFill="0" applyAlignment="0" applyProtection="0"/>
    <xf numFmtId="0" fontId="87" fillId="34" borderId="173" applyNumberFormat="0" applyAlignment="0" applyProtection="0"/>
    <xf numFmtId="0" fontId="87" fillId="34" borderId="173" applyNumberFormat="0" applyAlignment="0" applyProtection="0"/>
    <xf numFmtId="0" fontId="12" fillId="37" borderId="171" applyNumberFormat="0" applyFont="0" applyAlignment="0" applyProtection="0"/>
    <xf numFmtId="0" fontId="12" fillId="37" borderId="171" applyNumberFormat="0" applyFont="0" applyAlignment="0" applyProtection="0"/>
    <xf numFmtId="0" fontId="84" fillId="21" borderId="172" applyNumberFormat="0" applyAlignment="0" applyProtection="0"/>
    <xf numFmtId="0" fontId="84" fillId="21" borderId="172" applyNumberFormat="0" applyAlignment="0" applyProtection="0"/>
    <xf numFmtId="0" fontId="79" fillId="34" borderId="172" applyNumberFormat="0" applyAlignment="0" applyProtection="0"/>
    <xf numFmtId="0" fontId="79" fillId="34" borderId="172" applyNumberFormat="0" applyAlignment="0" applyProtection="0"/>
    <xf numFmtId="0" fontId="87" fillId="34" borderId="173" applyNumberFormat="0" applyAlignment="0" applyProtection="0"/>
    <xf numFmtId="0" fontId="5" fillId="0" borderId="174" applyNumberFormat="0" applyFill="0" applyAlignment="0" applyProtection="0"/>
    <xf numFmtId="0" fontId="79" fillId="34" borderId="164" applyNumberFormat="0" applyAlignment="0" applyProtection="0"/>
    <xf numFmtId="0" fontId="5" fillId="0" borderId="174" applyNumberFormat="0" applyFill="0" applyAlignment="0" applyProtection="0"/>
    <xf numFmtId="0" fontId="12" fillId="37" borderId="171" applyNumberFormat="0" applyFont="0" applyAlignment="0" applyProtection="0"/>
    <xf numFmtId="0" fontId="5" fillId="0" borderId="174" applyNumberFormat="0" applyFill="0" applyAlignment="0" applyProtection="0"/>
    <xf numFmtId="0" fontId="12" fillId="37" borderId="171" applyNumberFormat="0" applyFont="0" applyAlignment="0" applyProtection="0"/>
    <xf numFmtId="0" fontId="84" fillId="21" borderId="172" applyNumberFormat="0" applyAlignment="0" applyProtection="0"/>
    <xf numFmtId="0" fontId="12" fillId="37" borderId="171" applyNumberFormat="0" applyFont="0" applyAlignment="0" applyProtection="0"/>
    <xf numFmtId="0" fontId="79" fillId="34" borderId="172" applyNumberFormat="0" applyAlignment="0" applyProtection="0"/>
    <xf numFmtId="0" fontId="84" fillId="21" borderId="172" applyNumberFormat="0" applyAlignment="0" applyProtection="0"/>
    <xf numFmtId="0" fontId="84" fillId="21" borderId="164" applyNumberFormat="0" applyAlignment="0" applyProtection="0"/>
    <xf numFmtId="0" fontId="84" fillId="21" borderId="172" applyNumberFormat="0" applyAlignment="0" applyProtection="0"/>
    <xf numFmtId="0" fontId="12" fillId="37" borderId="176" applyNumberFormat="0" applyFont="0" applyAlignment="0" applyProtection="0"/>
    <xf numFmtId="0" fontId="5" fillId="0" borderId="174" applyNumberFormat="0" applyFill="0" applyAlignment="0" applyProtection="0"/>
    <xf numFmtId="0" fontId="84" fillId="21" borderId="172" applyNumberFormat="0" applyAlignment="0" applyProtection="0"/>
    <xf numFmtId="0" fontId="87" fillId="34" borderId="173" applyNumberFormat="0" applyAlignment="0" applyProtection="0"/>
    <xf numFmtId="0" fontId="79" fillId="34" borderId="172" applyNumberFormat="0" applyAlignment="0" applyProtection="0"/>
    <xf numFmtId="0" fontId="12" fillId="37" borderId="171" applyNumberFormat="0" applyFont="0" applyAlignment="0" applyProtection="0"/>
    <xf numFmtId="0" fontId="87" fillId="34" borderId="173" applyNumberFormat="0" applyAlignment="0" applyProtection="0"/>
    <xf numFmtId="0" fontId="79" fillId="34" borderId="172" applyNumberFormat="0" applyAlignment="0" applyProtection="0"/>
    <xf numFmtId="0" fontId="12" fillId="37" borderId="163" applyNumberFormat="0" applyFont="0" applyAlignment="0" applyProtection="0"/>
    <xf numFmtId="0" fontId="5" fillId="0" borderId="187" applyNumberFormat="0" applyFill="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5" fillId="0" borderId="179"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79" fillId="34"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87" fillId="34" borderId="178" applyNumberFormat="0" applyAlignment="0" applyProtection="0"/>
    <xf numFmtId="0" fontId="5" fillId="0" borderId="179" applyNumberFormat="0" applyFill="0" applyAlignment="0" applyProtection="0"/>
    <xf numFmtId="0" fontId="84" fillId="21" borderId="177" applyNumberFormat="0" applyAlignment="0" applyProtection="0"/>
    <xf numFmtId="0" fontId="12" fillId="37" borderId="176" applyNumberFormat="0" applyFont="0" applyAlignment="0" applyProtection="0"/>
    <xf numFmtId="0" fontId="84" fillId="21" borderId="177" applyNumberFormat="0" applyAlignment="0" applyProtection="0"/>
    <xf numFmtId="0" fontId="84" fillId="21" borderId="177" applyNumberFormat="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79" applyNumberFormat="0" applyFill="0" applyAlignment="0" applyProtection="0"/>
    <xf numFmtId="0" fontId="87" fillId="34" borderId="178"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63" applyNumberFormat="0" applyFont="0" applyAlignment="0" applyProtection="0"/>
    <xf numFmtId="0" fontId="79" fillId="34" borderId="177" applyNumberFormat="0" applyAlignment="0" applyProtection="0"/>
    <xf numFmtId="0" fontId="87" fillId="34" borderId="178" applyNumberFormat="0" applyAlignment="0" applyProtection="0"/>
    <xf numFmtId="0" fontId="12" fillId="37" borderId="176" applyNumberFormat="0" applyFont="0" applyAlignment="0" applyProtection="0"/>
    <xf numFmtId="0" fontId="84" fillId="21" borderId="177" applyNumberFormat="0" applyAlignment="0" applyProtection="0"/>
    <xf numFmtId="0" fontId="79" fillId="34" borderId="177" applyNumberFormat="0" applyAlignment="0" applyProtection="0"/>
    <xf numFmtId="0" fontId="79" fillId="34" borderId="177" applyNumberFormat="0" applyAlignment="0" applyProtection="0"/>
    <xf numFmtId="0" fontId="79" fillId="34" borderId="177" applyNumberFormat="0" applyAlignment="0" applyProtection="0"/>
    <xf numFmtId="0" fontId="84" fillId="21" borderId="177" applyNumberFormat="0" applyAlignment="0" applyProtection="0"/>
    <xf numFmtId="0" fontId="84" fillId="21"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12" fillId="37" borderId="176" applyNumberFormat="0" applyFont="0" applyAlignment="0" applyProtection="0"/>
    <xf numFmtId="0" fontId="79" fillId="34" borderId="177" applyNumberFormat="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87" fillId="34" borderId="178" applyNumberFormat="0" applyAlignment="0" applyProtection="0"/>
    <xf numFmtId="0" fontId="12" fillId="37" borderId="176" applyNumberFormat="0" applyFont="0" applyAlignment="0" applyProtection="0"/>
    <xf numFmtId="0" fontId="84" fillId="21" borderId="177" applyNumberForma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7" fillId="34" borderId="178" applyNumberFormat="0" applyAlignment="0" applyProtection="0"/>
    <xf numFmtId="0" fontId="5" fillId="0" borderId="166" applyNumberFormat="0" applyFill="0" applyAlignment="0" applyProtection="0"/>
    <xf numFmtId="0" fontId="87" fillId="34" borderId="165" applyNumberFormat="0" applyAlignment="0" applyProtection="0"/>
    <xf numFmtId="0" fontId="12" fillId="37" borderId="176" applyNumberFormat="0" applyFont="0" applyAlignment="0" applyProtection="0"/>
    <xf numFmtId="0" fontId="87" fillId="34" borderId="178" applyNumberFormat="0" applyAlignment="0" applyProtection="0"/>
    <xf numFmtId="0" fontId="12" fillId="37" borderId="176" applyNumberFormat="0" applyFont="0" applyAlignment="0" applyProtection="0"/>
    <xf numFmtId="0" fontId="79" fillId="34" borderId="177"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5" fillId="0" borderId="179" applyNumberFormat="0" applyFill="0" applyAlignment="0" applyProtection="0"/>
    <xf numFmtId="0" fontId="87" fillId="34" borderId="178" applyNumberFormat="0" applyAlignment="0" applyProtection="0"/>
    <xf numFmtId="0" fontId="87" fillId="34" borderId="178" applyNumberFormat="0" applyAlignment="0" applyProtection="0"/>
    <xf numFmtId="0" fontId="12" fillId="37" borderId="176" applyNumberFormat="0" applyFont="0" applyAlignment="0" applyProtection="0"/>
    <xf numFmtId="0" fontId="12" fillId="37" borderId="176" applyNumberFormat="0" applyFont="0" applyAlignment="0" applyProtection="0"/>
    <xf numFmtId="0" fontId="84" fillId="21" borderId="177" applyNumberFormat="0" applyAlignment="0" applyProtection="0"/>
    <xf numFmtId="0" fontId="84" fillId="21" borderId="177" applyNumberFormat="0" applyAlignment="0" applyProtection="0"/>
    <xf numFmtId="0" fontId="79" fillId="34" borderId="177" applyNumberFormat="0" applyAlignment="0" applyProtection="0"/>
    <xf numFmtId="0" fontId="79" fillId="34" borderId="177" applyNumberFormat="0" applyAlignment="0" applyProtection="0"/>
    <xf numFmtId="0" fontId="87" fillId="34" borderId="178" applyNumberFormat="0" applyAlignment="0" applyProtection="0"/>
    <xf numFmtId="0" fontId="5" fillId="0" borderId="179" applyNumberFormat="0" applyFill="0" applyAlignment="0" applyProtection="0"/>
    <xf numFmtId="0" fontId="5" fillId="0" borderId="166" applyNumberFormat="0" applyFill="0" applyAlignment="0" applyProtection="0"/>
    <xf numFmtId="0" fontId="5" fillId="0" borderId="179" applyNumberFormat="0" applyFill="0" applyAlignment="0" applyProtection="0"/>
    <xf numFmtId="0" fontId="12" fillId="37" borderId="176" applyNumberFormat="0" applyFont="0" applyAlignment="0" applyProtection="0"/>
    <xf numFmtId="0" fontId="5" fillId="0" borderId="179" applyNumberFormat="0" applyFill="0" applyAlignment="0" applyProtection="0"/>
    <xf numFmtId="0" fontId="12" fillId="37" borderId="176" applyNumberFormat="0" applyFont="0" applyAlignment="0" applyProtection="0"/>
    <xf numFmtId="0" fontId="84" fillId="21" borderId="177" applyNumberFormat="0" applyAlignment="0" applyProtection="0"/>
    <xf numFmtId="0" fontId="12" fillId="37" borderId="176" applyNumberFormat="0" applyFont="0" applyAlignment="0" applyProtection="0"/>
    <xf numFmtId="0" fontId="79" fillId="34" borderId="177" applyNumberFormat="0" applyAlignment="0" applyProtection="0"/>
    <xf numFmtId="0" fontId="84" fillId="21" borderId="177" applyNumberFormat="0" applyAlignment="0" applyProtection="0"/>
    <xf numFmtId="0" fontId="12" fillId="37" borderId="163" applyNumberFormat="0" applyFont="0" applyAlignment="0" applyProtection="0"/>
    <xf numFmtId="0" fontId="84" fillId="21" borderId="177" applyNumberFormat="0" applyAlignment="0" applyProtection="0"/>
    <xf numFmtId="0" fontId="5" fillId="0" borderId="179" applyNumberFormat="0" applyFill="0" applyAlignment="0" applyProtection="0"/>
    <xf numFmtId="0" fontId="84" fillId="21" borderId="177" applyNumberFormat="0" applyAlignment="0" applyProtection="0"/>
    <xf numFmtId="0" fontId="87" fillId="34" borderId="178" applyNumberFormat="0" applyAlignment="0" applyProtection="0"/>
    <xf numFmtId="0" fontId="79" fillId="34" borderId="164" applyNumberFormat="0" applyAlignment="0" applyProtection="0"/>
    <xf numFmtId="0" fontId="79" fillId="34" borderId="177" applyNumberFormat="0" applyAlignment="0" applyProtection="0"/>
    <xf numFmtId="0" fontId="12" fillId="37" borderId="176" applyNumberFormat="0" applyFont="0" applyAlignment="0" applyProtection="0"/>
    <xf numFmtId="0" fontId="87" fillId="34" borderId="178" applyNumberFormat="0" applyAlignment="0" applyProtection="0"/>
    <xf numFmtId="0" fontId="79" fillId="34" borderId="177" applyNumberFormat="0" applyAlignment="0" applyProtection="0"/>
    <xf numFmtId="0" fontId="12" fillId="37" borderId="163" applyNumberFormat="0" applyFont="0" applyAlignment="0" applyProtection="0"/>
    <xf numFmtId="0" fontId="5" fillId="0" borderId="166" applyNumberFormat="0" applyFill="0" applyAlignment="0" applyProtection="0"/>
    <xf numFmtId="0" fontId="84" fillId="21" borderId="164" applyNumberFormat="0" applyAlignment="0" applyProtection="0"/>
    <xf numFmtId="0" fontId="87" fillId="34" borderId="165" applyNumberFormat="0" applyAlignment="0" applyProtection="0"/>
    <xf numFmtId="0" fontId="12" fillId="37" borderId="163" applyNumberFormat="0" applyFont="0" applyAlignment="0" applyProtection="0"/>
    <xf numFmtId="0" fontId="12" fillId="37" borderId="163" applyNumberFormat="0" applyFont="0" applyAlignment="0" applyProtection="0"/>
    <xf numFmtId="0" fontId="12" fillId="37" borderId="163" applyNumberFormat="0" applyFont="0" applyAlignment="0" applyProtection="0"/>
    <xf numFmtId="0" fontId="87" fillId="34" borderId="165" applyNumberFormat="0" applyAlignment="0" applyProtection="0"/>
    <xf numFmtId="0" fontId="12" fillId="37" borderId="163" applyNumberFormat="0" applyFont="0" applyAlignment="0" applyProtection="0"/>
    <xf numFmtId="0" fontId="87" fillId="34" borderId="186" applyNumberFormat="0" applyAlignment="0" applyProtection="0"/>
    <xf numFmtId="0" fontId="79" fillId="34" borderId="164" applyNumberFormat="0" applyAlignment="0" applyProtection="0"/>
    <xf numFmtId="0" fontId="12" fillId="37" borderId="188" applyNumberFormat="0" applyFont="0" applyAlignment="0" applyProtection="0"/>
    <xf numFmtId="0" fontId="84" fillId="21" borderId="185"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4" fillId="21" borderId="164" applyNumberFormat="0" applyAlignment="0" applyProtection="0"/>
    <xf numFmtId="0" fontId="5" fillId="0" borderId="166" applyNumberFormat="0" applyFill="0" applyAlignment="0" applyProtection="0"/>
    <xf numFmtId="0" fontId="12" fillId="37" borderId="184" applyNumberFormat="0" applyFon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4" fillId="21" borderId="181"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12" fillId="37" borderId="163" applyNumberFormat="0" applyFont="0" applyAlignment="0" applyProtection="0"/>
    <xf numFmtId="0" fontId="12" fillId="37" borderId="188" applyNumberFormat="0" applyFont="0" applyAlignment="0" applyProtection="0"/>
    <xf numFmtId="0" fontId="87" fillId="34" borderId="165" applyNumberFormat="0" applyAlignment="0" applyProtection="0"/>
    <xf numFmtId="0" fontId="84" fillId="21" borderId="164" applyNumberFormat="0" applyAlignment="0" applyProtection="0"/>
    <xf numFmtId="0" fontId="84" fillId="21" borderId="164" applyNumberFormat="0" applyAlignment="0" applyProtection="0"/>
    <xf numFmtId="0" fontId="79" fillId="34" borderId="181" applyNumberFormat="0" applyAlignment="0" applyProtection="0"/>
    <xf numFmtId="0" fontId="5" fillId="0" borderId="187" applyNumberFormat="0" applyFill="0" applyAlignment="0" applyProtection="0"/>
    <xf numFmtId="0" fontId="84" fillId="21" borderId="185" applyNumberFormat="0" applyAlignment="0" applyProtection="0"/>
    <xf numFmtId="0" fontId="12" fillId="37" borderId="184" applyNumberFormat="0" applyFont="0" applyAlignment="0" applyProtection="0"/>
    <xf numFmtId="0" fontId="12" fillId="37" borderId="180" applyNumberFormat="0" applyFont="0" applyAlignment="0" applyProtection="0"/>
    <xf numFmtId="0" fontId="79" fillId="34" borderId="164" applyNumberFormat="0" applyAlignment="0" applyProtection="0"/>
    <xf numFmtId="0" fontId="87" fillId="34" borderId="165" applyNumberFormat="0" applyAlignment="0" applyProtection="0"/>
    <xf numFmtId="0" fontId="12" fillId="37" borderId="184" applyNumberFormat="0" applyFont="0" applyAlignment="0" applyProtection="0"/>
    <xf numFmtId="0" fontId="5" fillId="0" borderId="187" applyNumberFormat="0" applyFill="0" applyAlignment="0" applyProtection="0"/>
    <xf numFmtId="0" fontId="12" fillId="37" borderId="163" applyNumberFormat="0" applyFont="0" applyAlignment="0" applyProtection="0"/>
    <xf numFmtId="0" fontId="79" fillId="34" borderId="185" applyNumberFormat="0" applyAlignment="0" applyProtection="0"/>
    <xf numFmtId="0" fontId="84" fillId="21" borderId="185" applyNumberFormat="0" applyAlignment="0" applyProtection="0"/>
    <xf numFmtId="0" fontId="84" fillId="21" borderId="164" applyNumberFormat="0" applyAlignment="0" applyProtection="0"/>
    <xf numFmtId="0" fontId="84" fillId="21" borderId="185" applyNumberFormat="0" applyAlignment="0" applyProtection="0"/>
    <xf numFmtId="0" fontId="5" fillId="0" borderId="187" applyNumberFormat="0" applyFill="0" applyAlignment="0" applyProtection="0"/>
    <xf numFmtId="0" fontId="87" fillId="34" borderId="165" applyNumberFormat="0" applyAlignment="0" applyProtection="0"/>
    <xf numFmtId="0" fontId="12" fillId="37" borderId="163" applyNumberFormat="0" applyFont="0" applyAlignment="0" applyProtection="0"/>
    <xf numFmtId="0" fontId="87" fillId="34" borderId="186" applyNumberFormat="0" applyAlignment="0" applyProtection="0"/>
    <xf numFmtId="0" fontId="5" fillId="0" borderId="187" applyNumberFormat="0" applyFill="0" applyAlignment="0" applyProtection="0"/>
    <xf numFmtId="0" fontId="5" fillId="0" borderId="166" applyNumberFormat="0" applyFill="0" applyAlignment="0" applyProtection="0"/>
    <xf numFmtId="0" fontId="79" fillId="34" borderId="185" applyNumberFormat="0" applyAlignment="0" applyProtection="0"/>
    <xf numFmtId="0" fontId="79" fillId="34" borderId="189" applyNumberFormat="0" applyAlignment="0" applyProtection="0"/>
    <xf numFmtId="0" fontId="12" fillId="37" borderId="184" applyNumberFormat="0" applyFont="0" applyAlignment="0" applyProtection="0"/>
    <xf numFmtId="0" fontId="79" fillId="34" borderId="164" applyNumberFormat="0" applyAlignment="0" applyProtection="0"/>
    <xf numFmtId="0" fontId="5" fillId="0" borderId="158" applyNumberFormat="0" applyFill="0" applyAlignment="0" applyProtection="0"/>
    <xf numFmtId="0" fontId="79" fillId="34" borderId="164" applyNumberFormat="0" applyAlignment="0" applyProtection="0"/>
    <xf numFmtId="0" fontId="12" fillId="37" borderId="184" applyNumberFormat="0" applyFont="0" applyAlignment="0" applyProtection="0"/>
    <xf numFmtId="0" fontId="12" fillId="37" borderId="184" applyNumberFormat="0" applyFont="0" applyAlignment="0" applyProtection="0"/>
    <xf numFmtId="0" fontId="87" fillId="34" borderId="186" applyNumberFormat="0" applyAlignment="0" applyProtection="0"/>
    <xf numFmtId="0" fontId="12" fillId="37" borderId="184" applyNumberFormat="0" applyFont="0" applyAlignment="0" applyProtection="0"/>
    <xf numFmtId="0" fontId="79" fillId="34" borderId="185" applyNumberFormat="0" applyAlignment="0" applyProtection="0"/>
    <xf numFmtId="0" fontId="84" fillId="21" borderId="185" applyNumberFormat="0" applyAlignment="0" applyProtection="0"/>
    <xf numFmtId="0" fontId="5" fillId="0" borderId="187" applyNumberFormat="0" applyFill="0" applyAlignment="0" applyProtection="0"/>
    <xf numFmtId="0" fontId="12" fillId="37" borderId="184" applyNumberFormat="0" applyFont="0" applyAlignment="0" applyProtection="0"/>
    <xf numFmtId="0" fontId="87" fillId="34" borderId="186" applyNumberFormat="0" applyAlignment="0" applyProtection="0"/>
    <xf numFmtId="0" fontId="84" fillId="21" borderId="185" applyNumberFormat="0" applyAlignment="0" applyProtection="0"/>
    <xf numFmtId="0" fontId="84" fillId="21" borderId="185" applyNumberFormat="0" applyAlignment="0" applyProtection="0"/>
    <xf numFmtId="0" fontId="84" fillId="21" borderId="156" applyNumberFormat="0" applyAlignment="0" applyProtection="0"/>
    <xf numFmtId="0" fontId="79" fillId="34" borderId="185" applyNumberFormat="0" applyAlignment="0" applyProtection="0"/>
    <xf numFmtId="0" fontId="87" fillId="34" borderId="186" applyNumberFormat="0" applyAlignment="0" applyProtection="0"/>
    <xf numFmtId="0" fontId="12" fillId="37" borderId="184" applyNumberFormat="0" applyFont="0" applyAlignment="0" applyProtection="0"/>
    <xf numFmtId="0" fontId="84" fillId="21" borderId="185" applyNumberFormat="0" applyAlignment="0" applyProtection="0"/>
    <xf numFmtId="0" fontId="87" fillId="34" borderId="186" applyNumberFormat="0" applyAlignment="0" applyProtection="0"/>
    <xf numFmtId="0" fontId="12" fillId="37" borderId="184" applyNumberFormat="0" applyFont="0" applyAlignment="0" applyProtection="0"/>
    <xf numFmtId="0" fontId="12" fillId="37" borderId="188" applyNumberFormat="0" applyFont="0" applyAlignment="0" applyProtection="0"/>
    <xf numFmtId="0" fontId="5" fillId="0" borderId="187" applyNumberFormat="0" applyFill="0" applyAlignment="0" applyProtection="0"/>
    <xf numFmtId="0" fontId="84" fillId="21" borderId="189" applyNumberFormat="0" applyAlignment="0" applyProtection="0"/>
    <xf numFmtId="0" fontId="79" fillId="34" borderId="156" applyNumberFormat="0" applyAlignment="0" applyProtection="0"/>
    <xf numFmtId="0" fontId="79" fillId="34" borderId="185" applyNumberFormat="0" applyAlignment="0" applyProtection="0"/>
    <xf numFmtId="0" fontId="79" fillId="34" borderId="185" applyNumberFormat="0" applyAlignment="0" applyProtection="0"/>
    <xf numFmtId="0" fontId="87" fillId="34" borderId="190" applyNumberFormat="0" applyAlignment="0" applyProtection="0"/>
    <xf numFmtId="0" fontId="84" fillId="21" borderId="189" applyNumberForma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87" fillId="34" borderId="190" applyNumberFormat="0" applyAlignment="0" applyProtection="0"/>
    <xf numFmtId="0" fontId="5" fillId="0" borderId="191" applyNumberFormat="0" applyFill="0" applyAlignment="0" applyProtection="0"/>
    <xf numFmtId="0" fontId="84" fillId="21" borderId="189" applyNumberFormat="0" applyAlignment="0" applyProtection="0"/>
    <xf numFmtId="0" fontId="12" fillId="37" borderId="188" applyNumberFormat="0" applyFont="0" applyAlignment="0" applyProtection="0"/>
    <xf numFmtId="0" fontId="84" fillId="21" borderId="189" applyNumberFormat="0" applyAlignment="0" applyProtection="0"/>
    <xf numFmtId="0" fontId="84" fillId="21" borderId="189" applyNumberFormat="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87" fillId="34" borderId="190"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87" fillId="34" borderId="190" applyNumberFormat="0" applyAlignment="0" applyProtection="0"/>
    <xf numFmtId="0" fontId="12" fillId="37" borderId="188" applyNumberFormat="0" applyFont="0" applyAlignment="0" applyProtection="0"/>
    <xf numFmtId="0" fontId="84" fillId="21" borderId="189" applyNumberFormat="0" applyAlignment="0" applyProtection="0"/>
    <xf numFmtId="0" fontId="79" fillId="34" borderId="189" applyNumberFormat="0" applyAlignment="0" applyProtection="0"/>
    <xf numFmtId="0" fontId="79" fillId="34" borderId="189" applyNumberFormat="0" applyAlignment="0" applyProtection="0"/>
    <xf numFmtId="0" fontId="79" fillId="34" borderId="189" applyNumberFormat="0" applyAlignment="0" applyProtection="0"/>
    <xf numFmtId="0" fontId="84" fillId="21" borderId="189" applyNumberFormat="0" applyAlignment="0" applyProtection="0"/>
    <xf numFmtId="0" fontId="84" fillId="21"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12" fillId="37" borderId="188" applyNumberFormat="0" applyFont="0" applyAlignment="0" applyProtection="0"/>
    <xf numFmtId="0" fontId="79" fillId="34" borderId="189" applyNumberForma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87" fillId="34" borderId="190" applyNumberFormat="0" applyAlignment="0" applyProtection="0"/>
    <xf numFmtId="0" fontId="12" fillId="37" borderId="188" applyNumberFormat="0" applyFont="0" applyAlignment="0" applyProtection="0"/>
    <xf numFmtId="0" fontId="84" fillId="21" borderId="189" applyNumberForma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7" fillId="34" borderId="190" applyNumberFormat="0" applyAlignment="0" applyProtection="0"/>
    <xf numFmtId="0" fontId="12" fillId="37" borderId="188" applyNumberFormat="0" applyFont="0" applyAlignment="0" applyProtection="0"/>
    <xf numFmtId="0" fontId="87" fillId="34" borderId="190" applyNumberFormat="0" applyAlignment="0" applyProtection="0"/>
    <xf numFmtId="0" fontId="12" fillId="37" borderId="188" applyNumberFormat="0" applyFont="0" applyAlignment="0" applyProtection="0"/>
    <xf numFmtId="0" fontId="79" fillId="34" borderId="189"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5" fillId="0" borderId="191" applyNumberFormat="0" applyFill="0" applyAlignment="0" applyProtection="0"/>
    <xf numFmtId="0" fontId="87" fillId="34" borderId="190" applyNumberFormat="0" applyAlignment="0" applyProtection="0"/>
    <xf numFmtId="0" fontId="87" fillId="34" borderId="190" applyNumberFormat="0" applyAlignment="0" applyProtection="0"/>
    <xf numFmtId="0" fontId="12" fillId="37" borderId="188" applyNumberFormat="0" applyFont="0" applyAlignment="0" applyProtection="0"/>
    <xf numFmtId="0" fontId="12" fillId="37" borderId="188" applyNumberFormat="0" applyFont="0" applyAlignment="0" applyProtection="0"/>
    <xf numFmtId="0" fontId="84" fillId="21" borderId="189" applyNumberFormat="0" applyAlignment="0" applyProtection="0"/>
    <xf numFmtId="0" fontId="84" fillId="21" borderId="189" applyNumberFormat="0" applyAlignment="0" applyProtection="0"/>
    <xf numFmtId="0" fontId="79" fillId="34" borderId="189" applyNumberFormat="0" applyAlignment="0" applyProtection="0"/>
    <xf numFmtId="0" fontId="79" fillId="34" borderId="189" applyNumberFormat="0" applyAlignment="0" applyProtection="0"/>
    <xf numFmtId="0" fontId="87" fillId="34" borderId="190" applyNumberFormat="0" applyAlignment="0" applyProtection="0"/>
    <xf numFmtId="0" fontId="5" fillId="0" borderId="191" applyNumberFormat="0" applyFill="0" applyAlignment="0" applyProtection="0"/>
    <xf numFmtId="0" fontId="5" fillId="0" borderId="191" applyNumberFormat="0" applyFill="0" applyAlignment="0" applyProtection="0"/>
    <xf numFmtId="0" fontId="12" fillId="37" borderId="188" applyNumberFormat="0" applyFont="0" applyAlignment="0" applyProtection="0"/>
    <xf numFmtId="0" fontId="5" fillId="0" borderId="191" applyNumberFormat="0" applyFill="0" applyAlignment="0" applyProtection="0"/>
    <xf numFmtId="0" fontId="12" fillId="37" borderId="188" applyNumberFormat="0" applyFont="0" applyAlignment="0" applyProtection="0"/>
    <xf numFmtId="0" fontId="84" fillId="21" borderId="189" applyNumberFormat="0" applyAlignment="0" applyProtection="0"/>
    <xf numFmtId="0" fontId="12" fillId="37" borderId="188" applyNumberFormat="0" applyFont="0" applyAlignment="0" applyProtection="0"/>
    <xf numFmtId="0" fontId="79" fillId="34" borderId="189" applyNumberFormat="0" applyAlignment="0" applyProtection="0"/>
    <xf numFmtId="0" fontId="84" fillId="21" borderId="189" applyNumberFormat="0" applyAlignment="0" applyProtection="0"/>
    <xf numFmtId="0" fontId="84" fillId="21" borderId="189" applyNumberFormat="0" applyAlignment="0" applyProtection="0"/>
    <xf numFmtId="0" fontId="12" fillId="37" borderId="155" applyNumberFormat="0" applyFont="0" applyAlignment="0" applyProtection="0"/>
    <xf numFmtId="0" fontId="5" fillId="0" borderId="191" applyNumberFormat="0" applyFill="0" applyAlignment="0" applyProtection="0"/>
    <xf numFmtId="0" fontId="84" fillId="21" borderId="189" applyNumberFormat="0" applyAlignment="0" applyProtection="0"/>
    <xf numFmtId="0" fontId="87" fillId="34" borderId="190" applyNumberFormat="0" applyAlignment="0" applyProtection="0"/>
    <xf numFmtId="0" fontId="79" fillId="34" borderId="189" applyNumberFormat="0" applyAlignment="0" applyProtection="0"/>
    <xf numFmtId="0" fontId="12" fillId="37" borderId="188" applyNumberFormat="0" applyFont="0" applyAlignment="0" applyProtection="0"/>
    <xf numFmtId="0" fontId="87" fillId="34" borderId="190" applyNumberFormat="0" applyAlignment="0" applyProtection="0"/>
    <xf numFmtId="0" fontId="79" fillId="34" borderId="189" applyNumberForma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87" fillId="34" borderId="157" applyNumberFormat="0" applyAlignment="0" applyProtection="0"/>
    <xf numFmtId="0" fontId="5" fillId="0" borderId="158" applyNumberFormat="0" applyFill="0" applyAlignment="0" applyProtection="0"/>
    <xf numFmtId="0" fontId="84" fillId="21" borderId="156" applyNumberFormat="0" applyAlignment="0" applyProtection="0"/>
    <xf numFmtId="0" fontId="12" fillId="37" borderId="155" applyNumberFormat="0" applyFont="0" applyAlignment="0" applyProtection="0"/>
    <xf numFmtId="0" fontId="84" fillId="21" borderId="156" applyNumberFormat="0" applyAlignment="0" applyProtection="0"/>
    <xf numFmtId="0" fontId="84" fillId="21" borderId="156" applyNumberFormat="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87" fillId="34" borderId="157"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87" fillId="34" borderId="157" applyNumberFormat="0" applyAlignment="0" applyProtection="0"/>
    <xf numFmtId="0" fontId="12" fillId="37" borderId="155" applyNumberFormat="0" applyFont="0" applyAlignment="0" applyProtection="0"/>
    <xf numFmtId="0" fontId="84" fillId="21" borderId="156" applyNumberFormat="0" applyAlignment="0" applyProtection="0"/>
    <xf numFmtId="0" fontId="79" fillId="34" borderId="156" applyNumberFormat="0" applyAlignment="0" applyProtection="0"/>
    <xf numFmtId="0" fontId="79" fillId="34" borderId="156" applyNumberFormat="0" applyAlignment="0" applyProtection="0"/>
    <xf numFmtId="0" fontId="79" fillId="34" borderId="156" applyNumberFormat="0" applyAlignment="0" applyProtection="0"/>
    <xf numFmtId="0" fontId="84" fillId="21" borderId="156" applyNumberFormat="0" applyAlignment="0" applyProtection="0"/>
    <xf numFmtId="0" fontId="84" fillId="21"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12" fillId="37" borderId="155" applyNumberFormat="0" applyFont="0" applyAlignment="0" applyProtection="0"/>
    <xf numFmtId="0" fontId="79" fillId="34" borderId="156" applyNumberForma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87" fillId="34" borderId="157" applyNumberFormat="0" applyAlignment="0" applyProtection="0"/>
    <xf numFmtId="0" fontId="12" fillId="37" borderId="155" applyNumberFormat="0" applyFont="0" applyAlignment="0" applyProtection="0"/>
    <xf numFmtId="0" fontId="84" fillId="21" borderId="156" applyNumberForma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7" fillId="34" borderId="157" applyNumberFormat="0" applyAlignment="0" applyProtection="0"/>
    <xf numFmtId="0" fontId="12" fillId="37" borderId="155" applyNumberFormat="0" applyFont="0" applyAlignment="0" applyProtection="0"/>
    <xf numFmtId="0" fontId="87" fillId="34" borderId="157" applyNumberFormat="0" applyAlignment="0" applyProtection="0"/>
    <xf numFmtId="0" fontId="12" fillId="37" borderId="155" applyNumberFormat="0" applyFont="0" applyAlignment="0" applyProtection="0"/>
    <xf numFmtId="0" fontId="79" fillId="34" borderId="156"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5" fillId="0" borderId="158" applyNumberFormat="0" applyFill="0" applyAlignment="0" applyProtection="0"/>
    <xf numFmtId="0" fontId="87" fillId="34" borderId="157" applyNumberFormat="0" applyAlignment="0" applyProtection="0"/>
    <xf numFmtId="0" fontId="87" fillId="34" borderId="157" applyNumberFormat="0" applyAlignment="0" applyProtection="0"/>
    <xf numFmtId="0" fontId="12" fillId="37" borderId="155" applyNumberFormat="0" applyFont="0" applyAlignment="0" applyProtection="0"/>
    <xf numFmtId="0" fontId="12" fillId="37" borderId="155" applyNumberFormat="0" applyFont="0" applyAlignment="0" applyProtection="0"/>
    <xf numFmtId="0" fontId="84" fillId="21" borderId="156" applyNumberFormat="0" applyAlignment="0" applyProtection="0"/>
    <xf numFmtId="0" fontId="84" fillId="21" borderId="156" applyNumberFormat="0" applyAlignment="0" applyProtection="0"/>
    <xf numFmtId="0" fontId="79" fillId="34" borderId="156" applyNumberFormat="0" applyAlignment="0" applyProtection="0"/>
    <xf numFmtId="0" fontId="79" fillId="34" borderId="156" applyNumberFormat="0" applyAlignment="0" applyProtection="0"/>
    <xf numFmtId="0" fontId="87" fillId="34" borderId="157" applyNumberFormat="0" applyAlignment="0" applyProtection="0"/>
    <xf numFmtId="0" fontId="5" fillId="0" borderId="158" applyNumberFormat="0" applyFill="0" applyAlignment="0" applyProtection="0"/>
    <xf numFmtId="0" fontId="5" fillId="0" borderId="158" applyNumberFormat="0" applyFill="0" applyAlignment="0" applyProtection="0"/>
    <xf numFmtId="0" fontId="12" fillId="37" borderId="155" applyNumberFormat="0" applyFont="0" applyAlignment="0" applyProtection="0"/>
    <xf numFmtId="0" fontId="5" fillId="0" borderId="158" applyNumberFormat="0" applyFill="0" applyAlignment="0" applyProtection="0"/>
    <xf numFmtId="0" fontId="12" fillId="37" borderId="155" applyNumberFormat="0" applyFont="0" applyAlignment="0" applyProtection="0"/>
    <xf numFmtId="0" fontId="84" fillId="21" borderId="156" applyNumberFormat="0" applyAlignment="0" applyProtection="0"/>
    <xf numFmtId="0" fontId="12" fillId="37" borderId="155" applyNumberFormat="0" applyFont="0" applyAlignment="0" applyProtection="0"/>
    <xf numFmtId="0" fontId="79" fillId="34" borderId="156" applyNumberFormat="0" applyAlignment="0" applyProtection="0"/>
    <xf numFmtId="0" fontId="84" fillId="21" borderId="156" applyNumberFormat="0" applyAlignment="0" applyProtection="0"/>
    <xf numFmtId="0" fontId="84" fillId="21" borderId="156" applyNumberFormat="0" applyAlignment="0" applyProtection="0"/>
    <xf numFmtId="0" fontId="5" fillId="0" borderId="158" applyNumberFormat="0" applyFill="0" applyAlignment="0" applyProtection="0"/>
    <xf numFmtId="0" fontId="84" fillId="21" borderId="156" applyNumberFormat="0" applyAlignment="0" applyProtection="0"/>
    <xf numFmtId="0" fontId="87" fillId="34" borderId="157" applyNumberFormat="0" applyAlignment="0" applyProtection="0"/>
    <xf numFmtId="0" fontId="79" fillId="34" borderId="156" applyNumberFormat="0" applyAlignment="0" applyProtection="0"/>
    <xf numFmtId="0" fontId="12" fillId="37" borderId="155" applyNumberFormat="0" applyFont="0" applyAlignment="0" applyProtection="0"/>
    <xf numFmtId="0" fontId="87" fillId="34" borderId="157" applyNumberFormat="0" applyAlignment="0" applyProtection="0"/>
    <xf numFmtId="0" fontId="79" fillId="34" borderId="156" applyNumberFormat="0" applyAlignment="0" applyProtection="0"/>
    <xf numFmtId="0" fontId="79" fillId="34" borderId="211" applyNumberFormat="0" applyAlignment="0" applyProtection="0"/>
    <xf numFmtId="0" fontId="12" fillId="37" borderId="236" applyNumberFormat="0" applyFont="0" applyAlignment="0" applyProtection="0"/>
    <xf numFmtId="0" fontId="12" fillId="37" borderId="253" applyNumberFormat="0" applyFont="0" applyAlignment="0" applyProtection="0"/>
    <xf numFmtId="0" fontId="12" fillId="37" borderId="218" applyNumberFormat="0" applyFont="0" applyAlignment="0" applyProtection="0"/>
    <xf numFmtId="0" fontId="87" fillId="34" borderId="212" applyNumberFormat="0" applyAlignment="0" applyProtection="0"/>
    <xf numFmtId="0" fontId="12" fillId="37" borderId="35" applyNumberFormat="0" applyFont="0" applyAlignment="0" applyProtection="0"/>
    <xf numFmtId="0" fontId="5" fillId="0" borderId="209" applyNumberFormat="0" applyFill="0" applyAlignment="0" applyProtection="0"/>
    <xf numFmtId="0" fontId="87" fillId="34" borderId="208" applyNumberFormat="0" applyAlignment="0" applyProtection="0"/>
    <xf numFmtId="0" fontId="12" fillId="37" borderId="218" applyNumberFormat="0" applyFont="0" applyAlignment="0" applyProtection="0"/>
    <xf numFmtId="0" fontId="12" fillId="37" borderId="269"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12" fillId="37" borderId="35" applyNumberFormat="0" applyFont="0" applyAlignment="0" applyProtection="0"/>
    <xf numFmtId="0" fontId="84" fillId="21" borderId="244" applyNumberFormat="0" applyAlignment="0" applyProtection="0"/>
    <xf numFmtId="0" fontId="12" fillId="37" borderId="210" applyNumberFormat="0" applyFont="0" applyAlignment="0" applyProtection="0"/>
    <xf numFmtId="0" fontId="12" fillId="37" borderId="253" applyNumberFormat="0" applyFont="0" applyAlignment="0" applyProtection="0"/>
    <xf numFmtId="0" fontId="87" fillId="34" borderId="212"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13" applyNumberFormat="0" applyFill="0" applyAlignment="0" applyProtection="0"/>
    <xf numFmtId="0" fontId="12" fillId="37" borderId="243" applyNumberFormat="0" applyFont="0" applyAlignment="0" applyProtection="0"/>
    <xf numFmtId="0" fontId="79" fillId="34" borderId="223" applyNumberFormat="0" applyAlignment="0" applyProtection="0"/>
    <xf numFmtId="0" fontId="87" fillId="34" borderId="301" applyNumberFormat="0" applyAlignment="0" applyProtection="0"/>
    <xf numFmtId="0" fontId="87" fillId="34" borderId="212" applyNumberFormat="0" applyAlignment="0" applyProtection="0"/>
    <xf numFmtId="0" fontId="84" fillId="21" borderId="211" applyNumberFormat="0" applyAlignment="0" applyProtection="0"/>
    <xf numFmtId="0" fontId="79" fillId="34" borderId="211" applyNumberFormat="0" applyAlignment="0" applyProtection="0"/>
    <xf numFmtId="0" fontId="79" fillId="34" borderId="211" applyNumberFormat="0" applyAlignment="0" applyProtection="0"/>
    <xf numFmtId="0" fontId="5" fillId="0" borderId="213" applyNumberFormat="0" applyFill="0" applyAlignment="0" applyProtection="0"/>
    <xf numFmtId="0" fontId="84" fillId="21"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79" fillId="34" borderId="211" applyNumberFormat="0" applyAlignment="0" applyProtection="0"/>
    <xf numFmtId="0" fontId="12" fillId="37" borderId="236" applyNumberFormat="0" applyFont="0" applyAlignment="0" applyProtection="0"/>
    <xf numFmtId="0" fontId="12" fillId="37" borderId="253" applyNumberFormat="0" applyFont="0" applyAlignment="0" applyProtection="0"/>
    <xf numFmtId="0" fontId="12" fillId="37" borderId="299" applyNumberFormat="0" applyFont="0" applyAlignment="0" applyProtection="0"/>
    <xf numFmtId="0" fontId="12" fillId="37" borderId="26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83" applyNumberFormat="0" applyFont="0" applyAlignment="0" applyProtection="0"/>
    <xf numFmtId="0" fontId="5" fillId="0" borderId="239" applyNumberFormat="0" applyFill="0" applyAlignment="0" applyProtection="0"/>
    <xf numFmtId="0" fontId="12" fillId="37" borderId="210" applyNumberFormat="0" applyFont="0" applyAlignment="0" applyProtection="0"/>
    <xf numFmtId="0" fontId="12" fillId="37" borderId="236" applyNumberFormat="0" applyFont="0" applyAlignment="0" applyProtection="0"/>
    <xf numFmtId="0" fontId="84" fillId="21" borderId="237" applyNumberFormat="0" applyAlignment="0" applyProtection="0"/>
    <xf numFmtId="0" fontId="87" fillId="34" borderId="228" applyNumberFormat="0" applyAlignment="0" applyProtection="0"/>
    <xf numFmtId="0" fontId="12" fillId="37" borderId="277" applyNumberFormat="0" applyFont="0" applyAlignment="0" applyProtection="0"/>
    <xf numFmtId="0" fontId="79" fillId="34" borderId="237" applyNumberFormat="0" applyAlignment="0" applyProtection="0"/>
    <xf numFmtId="0" fontId="12" fillId="37" borderId="253" applyNumberFormat="0" applyFont="0" applyAlignment="0" applyProtection="0"/>
    <xf numFmtId="0" fontId="79" fillId="34" borderId="211" applyNumberFormat="0" applyAlignment="0" applyProtection="0"/>
    <xf numFmtId="0" fontId="79" fillId="34" borderId="211" applyNumberFormat="0" applyAlignment="0" applyProtection="0"/>
    <xf numFmtId="0" fontId="12" fillId="37" borderId="218"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14" applyNumberFormat="0" applyFont="0" applyAlignment="0" applyProtection="0"/>
    <xf numFmtId="0" fontId="87" fillId="34" borderId="208" applyNumberFormat="0" applyAlignment="0" applyProtection="0"/>
    <xf numFmtId="0" fontId="84" fillId="21" borderId="207" applyNumberFormat="0" applyAlignment="0" applyProtection="0"/>
    <xf numFmtId="0" fontId="12" fillId="37" borderId="210" applyNumberFormat="0" applyFont="0" applyAlignment="0" applyProtection="0"/>
    <xf numFmtId="0" fontId="84" fillId="21" borderId="211" applyNumberFormat="0" applyAlignment="0" applyProtection="0"/>
    <xf numFmtId="0" fontId="5" fillId="0" borderId="213" applyNumberFormat="0" applyFill="0" applyAlignment="0" applyProtection="0"/>
    <xf numFmtId="0" fontId="87" fillId="34" borderId="251" applyNumberFormat="0" applyAlignment="0" applyProtection="0"/>
    <xf numFmtId="0" fontId="5" fillId="0" borderId="213" applyNumberFormat="0" applyFill="0" applyAlignment="0" applyProtection="0"/>
    <xf numFmtId="0" fontId="12" fillId="37" borderId="253" applyNumberFormat="0" applyFont="0" applyAlignment="0" applyProtection="0"/>
    <xf numFmtId="0" fontId="87" fillId="34" borderId="212" applyNumberFormat="0" applyAlignment="0" applyProtection="0"/>
    <xf numFmtId="0" fontId="12" fillId="37" borderId="214" applyNumberFormat="0" applyFont="0" applyAlignment="0" applyProtection="0"/>
    <xf numFmtId="0" fontId="87" fillId="34" borderId="212" applyNumberFormat="0" applyAlignment="0" applyProtection="0"/>
    <xf numFmtId="0" fontId="79" fillId="34" borderId="237" applyNumberFormat="0" applyAlignment="0" applyProtection="0"/>
    <xf numFmtId="0" fontId="84" fillId="21" borderId="237" applyNumberFormat="0" applyAlignment="0" applyProtection="0"/>
    <xf numFmtId="0" fontId="5" fillId="0" borderId="234" applyNumberFormat="0" applyFill="0" applyAlignment="0" applyProtection="0"/>
    <xf numFmtId="0" fontId="12" fillId="37" borderId="236" applyNumberFormat="0" applyFont="0" applyAlignment="0" applyProtection="0"/>
    <xf numFmtId="0" fontId="87" fillId="34" borderId="238" applyNumberFormat="0" applyAlignment="0" applyProtection="0"/>
    <xf numFmtId="0" fontId="84" fillId="21" borderId="250" applyNumberFormat="0" applyAlignment="0" applyProtection="0"/>
    <xf numFmtId="0" fontId="79" fillId="34" borderId="237" applyNumberFormat="0" applyAlignment="0" applyProtection="0"/>
    <xf numFmtId="0" fontId="84" fillId="21" borderId="288" applyNumberFormat="0" applyAlignment="0" applyProtection="0"/>
    <xf numFmtId="0" fontId="12" fillId="37" borderId="236" applyNumberFormat="0" applyFont="0" applyAlignment="0" applyProtection="0"/>
    <xf numFmtId="0" fontId="79" fillId="34" borderId="250" applyNumberFormat="0" applyAlignment="0" applyProtection="0"/>
    <xf numFmtId="0" fontId="84" fillId="21" borderId="237" applyNumberFormat="0" applyAlignment="0" applyProtection="0"/>
    <xf numFmtId="0" fontId="5" fillId="0" borderId="239" applyNumberFormat="0" applyFill="0" applyAlignment="0" applyProtection="0"/>
    <xf numFmtId="0" fontId="12" fillId="37" borderId="253" applyNumberFormat="0" applyFont="0" applyAlignment="0" applyProtection="0"/>
    <xf numFmtId="0" fontId="79" fillId="34" borderId="237" applyNumberFormat="0" applyAlignment="0" applyProtection="0"/>
    <xf numFmtId="0" fontId="84" fillId="21" borderId="250" applyNumberFormat="0" applyAlignment="0" applyProtection="0"/>
    <xf numFmtId="0" fontId="12" fillId="37" borderId="236" applyNumberFormat="0" applyFont="0" applyAlignment="0" applyProtection="0"/>
    <xf numFmtId="0" fontId="87" fillId="34" borderId="275" applyNumberFormat="0" applyAlignment="0" applyProtection="0"/>
    <xf numFmtId="0" fontId="12" fillId="37" borderId="236" applyNumberFormat="0" applyFont="0" applyAlignment="0" applyProtection="0"/>
    <xf numFmtId="0" fontId="5" fillId="0" borderId="221" applyNumberFormat="0" applyFill="0" applyAlignment="0" applyProtection="0"/>
    <xf numFmtId="0" fontId="87" fillId="34" borderId="233" applyNumberFormat="0" applyAlignment="0" applyProtection="0"/>
    <xf numFmtId="0" fontId="84" fillId="21" borderId="250" applyNumberFormat="0" applyAlignment="0" applyProtection="0"/>
    <xf numFmtId="0" fontId="5" fillId="0" borderId="209" applyNumberFormat="0" applyFill="0" applyAlignment="0" applyProtection="0"/>
    <xf numFmtId="0" fontId="12" fillId="37" borderId="206" applyNumberFormat="0" applyFont="0" applyAlignment="0" applyProtection="0"/>
    <xf numFmtId="0" fontId="87" fillId="34" borderId="220" applyNumberFormat="0" applyAlignment="0" applyProtection="0"/>
    <xf numFmtId="0" fontId="79" fillId="34" borderId="207" applyNumberFormat="0" applyAlignment="0" applyProtection="0"/>
    <xf numFmtId="0" fontId="12" fillId="37" borderId="226" applyNumberFormat="0" applyFont="0" applyAlignment="0" applyProtection="0"/>
    <xf numFmtId="0" fontId="5" fillId="0" borderId="252" applyNumberFormat="0" applyFill="0" applyAlignment="0" applyProtection="0"/>
    <xf numFmtId="0" fontId="79" fillId="34" borderId="223" applyNumberFormat="0" applyAlignment="0" applyProtection="0"/>
    <xf numFmtId="0" fontId="87" fillId="34" borderId="212" applyNumberFormat="0" applyAlignment="0" applyProtection="0"/>
    <xf numFmtId="0" fontId="12" fillId="37" borderId="205" applyNumberFormat="0" applyFont="0" applyAlignment="0" applyProtection="0"/>
    <xf numFmtId="0" fontId="87" fillId="34" borderId="238" applyNumberFormat="0" applyAlignment="0" applyProtection="0"/>
    <xf numFmtId="0" fontId="84" fillId="21" borderId="259" applyNumberFormat="0" applyAlignment="0" applyProtection="0"/>
    <xf numFmtId="0" fontId="5" fillId="0" borderId="221" applyNumberFormat="0" applyFill="0" applyAlignment="0" applyProtection="0"/>
    <xf numFmtId="0" fontId="84" fillId="21" borderId="211" applyNumberForma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87" fillId="34" borderId="245" applyNumberFormat="0" applyAlignment="0" applyProtection="0"/>
    <xf numFmtId="0" fontId="84" fillId="21" borderId="237" applyNumberFormat="0" applyAlignment="0" applyProtection="0"/>
    <xf numFmtId="0" fontId="12" fillId="37" borderId="236" applyNumberFormat="0" applyFont="0" applyAlignment="0" applyProtection="0"/>
    <xf numFmtId="0" fontId="12" fillId="37" borderId="303" applyNumberFormat="0" applyFont="0" applyAlignment="0" applyProtection="0"/>
    <xf numFmtId="0" fontId="12" fillId="37" borderId="253" applyNumberFormat="0" applyFont="0" applyAlignment="0" applyProtection="0"/>
    <xf numFmtId="0" fontId="87" fillId="34" borderId="285" applyNumberFormat="0" applyAlignment="0" applyProtection="0"/>
    <xf numFmtId="0" fontId="84" fillId="21" borderId="304" applyNumberFormat="0" applyAlignment="0" applyProtection="0"/>
    <xf numFmtId="0" fontId="12" fillId="37" borderId="214" applyNumberFormat="0" applyFont="0" applyAlignment="0" applyProtection="0"/>
    <xf numFmtId="0" fontId="12" fillId="37" borderId="236" applyNumberFormat="0" applyFont="0" applyAlignment="0" applyProtection="0"/>
    <xf numFmtId="0" fontId="12" fillId="37" borderId="218" applyNumberFormat="0" applyFont="0" applyAlignment="0" applyProtection="0"/>
    <xf numFmtId="0" fontId="79" fillId="34" borderId="211" applyNumberFormat="0" applyAlignment="0" applyProtection="0"/>
    <xf numFmtId="0" fontId="87" fillId="34" borderId="238" applyNumberFormat="0" applyAlignment="0" applyProtection="0"/>
    <xf numFmtId="0" fontId="79" fillId="34" borderId="215" applyNumberFormat="0" applyAlignment="0" applyProtection="0"/>
    <xf numFmtId="0" fontId="12" fillId="37" borderId="253" applyNumberFormat="0" applyFont="0" applyAlignment="0" applyProtection="0"/>
    <xf numFmtId="0" fontId="87" fillId="34" borderId="238" applyNumberFormat="0" applyAlignment="0" applyProtection="0"/>
    <xf numFmtId="0" fontId="87" fillId="34" borderId="212" applyNumberFormat="0" applyAlignment="0" applyProtection="0"/>
    <xf numFmtId="0" fontId="12" fillId="37" borderId="236" applyNumberFormat="0" applyFont="0" applyAlignment="0" applyProtection="0"/>
    <xf numFmtId="0" fontId="12" fillId="37" borderId="205" applyNumberFormat="0" applyFont="0" applyAlignment="0" applyProtection="0"/>
    <xf numFmtId="0" fontId="5" fillId="0" borderId="252" applyNumberFormat="0" applyFill="0" applyAlignment="0" applyProtection="0"/>
    <xf numFmtId="0" fontId="87" fillId="34" borderId="228" applyNumberFormat="0" applyAlignment="0" applyProtection="0"/>
    <xf numFmtId="0" fontId="12" fillId="37" borderId="236" applyNumberFormat="0" applyFont="0" applyAlignment="0" applyProtection="0"/>
    <xf numFmtId="0" fontId="79" fillId="34" borderId="207" applyNumberFormat="0" applyAlignment="0" applyProtection="0"/>
    <xf numFmtId="0" fontId="84" fillId="21" borderId="211" applyNumberFormat="0" applyAlignment="0" applyProtection="0"/>
    <xf numFmtId="0" fontId="87" fillId="34" borderId="212" applyNumberFormat="0" applyAlignment="0" applyProtection="0"/>
    <xf numFmtId="0" fontId="12" fillId="37" borderId="236" applyNumberFormat="0" applyFont="0" applyAlignment="0" applyProtection="0"/>
    <xf numFmtId="0" fontId="5" fillId="0" borderId="217" applyNumberFormat="0" applyFill="0" applyAlignment="0" applyProtection="0"/>
    <xf numFmtId="0" fontId="79" fillId="34" borderId="201" applyNumberFormat="0" applyAlignment="0" applyProtection="0"/>
    <xf numFmtId="0" fontId="79" fillId="34" borderId="201" applyNumberFormat="0" applyAlignment="0" applyProtection="0"/>
    <xf numFmtId="0" fontId="84" fillId="21" borderId="201" applyNumberFormat="0" applyAlignment="0" applyProtection="0"/>
    <xf numFmtId="0" fontId="84" fillId="21"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77" applyNumberFormat="0" applyFont="0" applyAlignment="0" applyProtection="0"/>
    <xf numFmtId="0" fontId="5" fillId="0" borderId="286" applyNumberFormat="0" applyFill="0" applyAlignment="0" applyProtection="0"/>
    <xf numFmtId="0" fontId="12" fillId="37" borderId="226" applyNumberFormat="0" applyFont="0" applyAlignment="0" applyProtection="0"/>
    <xf numFmtId="0" fontId="12" fillId="37" borderId="236" applyNumberFormat="0" applyFont="0" applyAlignment="0" applyProtection="0"/>
    <xf numFmtId="0" fontId="12" fillId="37" borderId="200" applyNumberFormat="0" applyFont="0" applyAlignment="0" applyProtection="0"/>
    <xf numFmtId="0" fontId="87" fillId="34" borderId="228" applyNumberFormat="0" applyAlignment="0" applyProtection="0"/>
    <xf numFmtId="0" fontId="79" fillId="34" borderId="211" applyNumberFormat="0" applyAlignment="0" applyProtection="0"/>
    <xf numFmtId="0" fontId="12" fillId="37" borderId="210" applyNumberFormat="0" applyFont="0" applyAlignment="0" applyProtection="0"/>
    <xf numFmtId="0" fontId="5" fillId="0" borderId="213" applyNumberFormat="0" applyFill="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4" fillId="21" borderId="211" applyNumberFormat="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79" fillId="34" borderId="211" applyNumberFormat="0" applyAlignment="0" applyProtection="0"/>
    <xf numFmtId="0" fontId="12" fillId="37" borderId="236" applyNumberFormat="0" applyFont="0" applyAlignment="0" applyProtection="0"/>
    <xf numFmtId="0" fontId="79" fillId="34" borderId="250" applyNumberFormat="0" applyAlignment="0" applyProtection="0"/>
    <xf numFmtId="0" fontId="12" fillId="37" borderId="236" applyNumberFormat="0" applyFont="0" applyAlignment="0" applyProtection="0"/>
    <xf numFmtId="0" fontId="87" fillId="34" borderId="220" applyNumberFormat="0" applyAlignment="0" applyProtection="0"/>
    <xf numFmtId="0" fontId="79" fillId="34" borderId="259" applyNumberFormat="0" applyAlignment="0" applyProtection="0"/>
    <xf numFmtId="0" fontId="12" fillId="37" borderId="236" applyNumberFormat="0" applyFont="0" applyAlignment="0" applyProtection="0"/>
    <xf numFmtId="0" fontId="84" fillId="21" borderId="223" applyNumberFormat="0" applyAlignment="0" applyProtection="0"/>
    <xf numFmtId="0" fontId="5" fillId="0" borderId="252" applyNumberFormat="0" applyFill="0" applyAlignment="0" applyProtection="0"/>
    <xf numFmtId="0" fontId="87" fillId="34" borderId="216" applyNumberFormat="0" applyAlignment="0" applyProtection="0"/>
    <xf numFmtId="0" fontId="5" fillId="0" borderId="28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84" fillId="21" borderId="270" applyNumberFormat="0" applyAlignment="0" applyProtection="0"/>
    <xf numFmtId="0" fontId="87" fillId="34" borderId="238" applyNumberFormat="0" applyAlignment="0" applyProtection="0"/>
    <xf numFmtId="0" fontId="12" fillId="37" borderId="222"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2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87" fillId="34" borderId="212" applyNumberFormat="0" applyAlignment="0" applyProtection="0"/>
    <xf numFmtId="0" fontId="12" fillId="37" borderId="205" applyNumberFormat="0" applyFont="0" applyAlignment="0" applyProtection="0"/>
    <xf numFmtId="0" fontId="84" fillId="21" borderId="211" applyNumberFormat="0" applyAlignment="0" applyProtection="0"/>
    <xf numFmtId="0" fontId="12" fillId="37" borderId="236" applyNumberFormat="0" applyFont="0" applyAlignment="0" applyProtection="0"/>
    <xf numFmtId="0" fontId="12" fillId="37" borderId="210" applyNumberFormat="0" applyFont="0" applyAlignment="0" applyProtection="0"/>
    <xf numFmtId="0" fontId="12" fillId="37" borderId="236" applyNumberFormat="0" applyFont="0" applyAlignment="0" applyProtection="0"/>
    <xf numFmtId="0" fontId="79" fillId="34" borderId="237" applyNumberFormat="0" applyAlignment="0" applyProtection="0"/>
    <xf numFmtId="0" fontId="5" fillId="0" borderId="217" applyNumberFormat="0" applyFill="0" applyAlignment="0" applyProtection="0"/>
    <xf numFmtId="0" fontId="12" fillId="37" borderId="210" applyNumberFormat="0" applyFont="0" applyAlignment="0" applyProtection="0"/>
    <xf numFmtId="0" fontId="5" fillId="0" borderId="229" applyNumberFormat="0" applyFill="0" applyAlignment="0" applyProtection="0"/>
    <xf numFmtId="0" fontId="12" fillId="37" borderId="236" applyNumberFormat="0" applyFont="0" applyAlignment="0" applyProtection="0"/>
    <xf numFmtId="0" fontId="84" fillId="21" borderId="250" applyNumberFormat="0" applyAlignment="0" applyProtection="0"/>
    <xf numFmtId="0" fontId="5" fillId="0" borderId="239" applyNumberFormat="0" applyFill="0" applyAlignment="0" applyProtection="0"/>
    <xf numFmtId="0" fontId="87" fillId="34" borderId="238" applyNumberFormat="0" applyAlignment="0" applyProtection="0"/>
    <xf numFmtId="0" fontId="79" fillId="34" borderId="237" applyNumberFormat="0" applyAlignment="0" applyProtection="0"/>
    <xf numFmtId="0" fontId="12" fillId="37" borderId="210" applyNumberFormat="0" applyFont="0" applyAlignment="0" applyProtection="0"/>
    <xf numFmtId="0" fontId="84" fillId="21" borderId="237" applyNumberFormat="0" applyAlignment="0" applyProtection="0"/>
    <xf numFmtId="0" fontId="5" fillId="0" borderId="234" applyNumberFormat="0" applyFill="0" applyAlignment="0" applyProtection="0"/>
    <xf numFmtId="0" fontId="12" fillId="37" borderId="205" applyNumberFormat="0" applyFont="0" applyAlignment="0" applyProtection="0"/>
    <xf numFmtId="0" fontId="12" fillId="37" borderId="205"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4" fillId="21" borderId="219" applyNumberFormat="0" applyAlignment="0" applyProtection="0"/>
    <xf numFmtId="0" fontId="84" fillId="21" borderId="237" applyNumberFormat="0" applyAlignment="0" applyProtection="0"/>
    <xf numFmtId="0" fontId="84" fillId="21" borderId="237" applyNumberFormat="0" applyAlignment="0" applyProtection="0"/>
    <xf numFmtId="0" fontId="79" fillId="34" borderId="250" applyNumberFormat="0" applyAlignment="0" applyProtection="0"/>
    <xf numFmtId="0" fontId="12" fillId="37" borderId="269" applyNumberFormat="0" applyFont="0" applyAlignment="0" applyProtection="0"/>
    <xf numFmtId="0" fontId="12" fillId="37" borderId="243" applyNumberFormat="0" applyFont="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222" applyNumberFormat="0" applyFont="0" applyAlignment="0" applyProtection="0"/>
    <xf numFmtId="0" fontId="79" fillId="34" borderId="237" applyNumberFormat="0" applyAlignment="0" applyProtection="0"/>
    <xf numFmtId="0" fontId="79" fillId="34" borderId="270" applyNumberFormat="0" applyAlignment="0" applyProtection="0"/>
    <xf numFmtId="0" fontId="84" fillId="21" borderId="219" applyNumberFormat="0" applyAlignment="0" applyProtection="0"/>
    <xf numFmtId="0" fontId="87" fillId="34" borderId="251" applyNumberFormat="0" applyAlignment="0" applyProtection="0"/>
    <xf numFmtId="0" fontId="87" fillId="34" borderId="245" applyNumberFormat="0" applyAlignment="0" applyProtection="0"/>
    <xf numFmtId="0" fontId="12" fillId="37" borderId="269" applyNumberFormat="0" applyFont="0" applyAlignment="0" applyProtection="0"/>
    <xf numFmtId="0" fontId="84" fillId="21" borderId="264" applyNumberFormat="0" applyAlignment="0" applyProtection="0"/>
    <xf numFmtId="0" fontId="12" fillId="37" borderId="218" applyNumberFormat="0" applyFont="0" applyAlignment="0" applyProtection="0"/>
    <xf numFmtId="0" fontId="79" fillId="34" borderId="219" applyNumberFormat="0" applyAlignment="0" applyProtection="0"/>
    <xf numFmtId="0" fontId="12" fillId="37" borderId="236" applyNumberFormat="0" applyFont="0" applyAlignment="0" applyProtection="0"/>
    <xf numFmtId="0" fontId="87" fillId="34" borderId="220" applyNumberFormat="0" applyAlignment="0" applyProtection="0"/>
    <xf numFmtId="0" fontId="12" fillId="37" borderId="287" applyNumberFormat="0" applyFont="0" applyAlignment="0" applyProtection="0"/>
    <xf numFmtId="0" fontId="84" fillId="21" borderId="284" applyNumberFormat="0" applyAlignment="0" applyProtection="0"/>
    <xf numFmtId="0" fontId="12" fillId="37" borderId="236" applyNumberFormat="0" applyFont="0" applyAlignment="0" applyProtection="0"/>
    <xf numFmtId="0" fontId="87" fillId="34" borderId="233" applyNumberFormat="0" applyAlignment="0" applyProtection="0"/>
    <xf numFmtId="0" fontId="12" fillId="37" borderId="277" applyNumberFormat="0" applyFont="0" applyAlignment="0" applyProtection="0"/>
    <xf numFmtId="0" fontId="79" fillId="34" borderId="288" applyNumberFormat="0" applyAlignment="0" applyProtection="0"/>
    <xf numFmtId="0" fontId="87" fillId="34" borderId="251" applyNumberFormat="0" applyAlignment="0" applyProtection="0"/>
    <xf numFmtId="0" fontId="84" fillId="21" borderId="294" applyNumberFormat="0" applyAlignment="0" applyProtection="0"/>
    <xf numFmtId="0" fontId="12" fillId="37" borderId="243" applyNumberFormat="0" applyFont="0" applyAlignment="0" applyProtection="0"/>
    <xf numFmtId="0" fontId="84" fillId="21" borderId="250" applyNumberFormat="0" applyAlignment="0" applyProtection="0"/>
    <xf numFmtId="0" fontId="84" fillId="21" borderId="219" applyNumberFormat="0" applyAlignment="0" applyProtection="0"/>
    <xf numFmtId="0" fontId="87" fillId="34" borderId="25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84" fillId="21" borderId="211" applyNumberFormat="0" applyAlignment="0" applyProtection="0"/>
    <xf numFmtId="0" fontId="12" fillId="37" borderId="210" applyNumberFormat="0" applyFont="0" applyAlignment="0" applyProtection="0"/>
    <xf numFmtId="0" fontId="87" fillId="34" borderId="251" applyNumberFormat="0" applyAlignment="0" applyProtection="0"/>
    <xf numFmtId="0" fontId="5" fillId="0" borderId="213" applyNumberFormat="0" applyFill="0" applyAlignment="0" applyProtection="0"/>
    <xf numFmtId="0" fontId="84" fillId="21" borderId="300" applyNumberFormat="0" applyAlignment="0" applyProtection="0"/>
    <xf numFmtId="0" fontId="84" fillId="21" borderId="278" applyNumberFormat="0" applyAlignment="0" applyProtection="0"/>
    <xf numFmtId="0" fontId="12" fillId="37" borderId="273" applyNumberFormat="0" applyFont="0" applyAlignment="0" applyProtection="0"/>
    <xf numFmtId="0" fontId="84" fillId="21" borderId="227" applyNumberFormat="0" applyAlignment="0" applyProtection="0"/>
    <xf numFmtId="0" fontId="87" fillId="34" borderId="216"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12" fillId="37" borderId="249" applyNumberFormat="0" applyFont="0" applyAlignment="0" applyProtection="0"/>
    <xf numFmtId="0" fontId="12" fillId="37" borderId="236" applyNumberFormat="0" applyFont="0" applyAlignment="0" applyProtection="0"/>
    <xf numFmtId="0" fontId="5" fillId="0" borderId="261" applyNumberFormat="0" applyFill="0" applyAlignment="0" applyProtection="0"/>
    <xf numFmtId="0" fontId="12" fillId="37" borderId="253" applyNumberFormat="0" applyFont="0" applyAlignment="0" applyProtection="0"/>
    <xf numFmtId="0" fontId="84" fillId="21" borderId="232" applyNumberFormat="0" applyAlignment="0" applyProtection="0"/>
    <xf numFmtId="0" fontId="12" fillId="37" borderId="253" applyNumberFormat="0" applyFont="0" applyAlignment="0" applyProtection="0"/>
    <xf numFmtId="0" fontId="84" fillId="21" borderId="237" applyNumberFormat="0" applyAlignment="0" applyProtection="0"/>
    <xf numFmtId="0" fontId="12" fillId="37" borderId="253" applyNumberFormat="0" applyFont="0" applyAlignment="0" applyProtection="0"/>
    <xf numFmtId="0" fontId="87" fillId="34" borderId="202" applyNumberFormat="0" applyAlignment="0" applyProtection="0"/>
    <xf numFmtId="0" fontId="84" fillId="21" borderId="201" applyNumberFormat="0" applyAlignment="0" applyProtection="0"/>
    <xf numFmtId="0" fontId="5" fillId="0" borderId="239" applyNumberFormat="0" applyFill="0" applyAlignment="0" applyProtection="0"/>
    <xf numFmtId="0" fontId="12" fillId="37" borderId="210" applyNumberFormat="0" applyFont="0" applyAlignment="0" applyProtection="0"/>
    <xf numFmtId="0" fontId="12" fillId="37" borderId="230" applyNumberFormat="0" applyFont="0" applyAlignment="0" applyProtection="0"/>
    <xf numFmtId="0" fontId="87" fillId="34" borderId="238" applyNumberFormat="0" applyAlignment="0" applyProtection="0"/>
    <xf numFmtId="0" fontId="79" fillId="34" borderId="227" applyNumberFormat="0" applyAlignment="0" applyProtection="0"/>
    <xf numFmtId="0" fontId="12" fillId="37" borderId="210" applyNumberFormat="0" applyFont="0" applyAlignment="0" applyProtection="0"/>
    <xf numFmtId="0" fontId="5" fillId="0" borderId="239" applyNumberFormat="0" applyFill="0" applyAlignment="0" applyProtection="0"/>
    <xf numFmtId="0" fontId="84" fillId="21" borderId="215" applyNumberFormat="0" applyAlignment="0" applyProtection="0"/>
    <xf numFmtId="0" fontId="84" fillId="21" borderId="227" applyNumberForma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87" fillId="34" borderId="202" applyNumberFormat="0" applyAlignment="0" applyProtection="0"/>
    <xf numFmtId="0" fontId="5" fillId="0" borderId="203" applyNumberFormat="0" applyFill="0" applyAlignment="0" applyProtection="0"/>
    <xf numFmtId="0" fontId="84" fillId="21" borderId="201" applyNumberFormat="0" applyAlignment="0" applyProtection="0"/>
    <xf numFmtId="0" fontId="12" fillId="37" borderId="200" applyNumberFormat="0" applyFont="0" applyAlignment="0" applyProtection="0"/>
    <xf numFmtId="0" fontId="84" fillId="21" borderId="201" applyNumberFormat="0" applyAlignment="0" applyProtection="0"/>
    <xf numFmtId="0" fontId="84" fillId="21" borderId="201" applyNumberFormat="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87" fillId="34" borderId="202"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87" fillId="34" borderId="202" applyNumberFormat="0" applyAlignment="0" applyProtection="0"/>
    <xf numFmtId="0" fontId="12" fillId="37" borderId="200" applyNumberFormat="0" applyFont="0" applyAlignment="0" applyProtection="0"/>
    <xf numFmtId="0" fontId="84" fillId="21" borderId="201" applyNumberFormat="0" applyAlignment="0" applyProtection="0"/>
    <xf numFmtId="0" fontId="79" fillId="34" borderId="201" applyNumberFormat="0" applyAlignment="0" applyProtection="0"/>
    <xf numFmtId="0" fontId="79" fillId="34" borderId="201" applyNumberFormat="0" applyAlignment="0" applyProtection="0"/>
    <xf numFmtId="0" fontId="79" fillId="34" borderId="201" applyNumberFormat="0" applyAlignment="0" applyProtection="0"/>
    <xf numFmtId="0" fontId="84" fillId="21" borderId="201" applyNumberFormat="0" applyAlignment="0" applyProtection="0"/>
    <xf numFmtId="0" fontId="84" fillId="21"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5" fillId="0" borderId="203" applyNumberFormat="0" applyFill="0" applyAlignment="0" applyProtection="0"/>
    <xf numFmtId="0" fontId="5" fillId="0" borderId="203" applyNumberFormat="0" applyFill="0" applyAlignment="0" applyProtection="0"/>
    <xf numFmtId="0" fontId="12" fillId="37" borderId="200" applyNumberFormat="0" applyFont="0" applyAlignment="0" applyProtection="0"/>
    <xf numFmtId="0" fontId="12" fillId="37" borderId="200" applyNumberFormat="0" applyFont="0" applyAlignment="0" applyProtection="0"/>
    <xf numFmtId="0" fontId="79" fillId="34" borderId="201" applyNumberForma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7" fillId="34" borderId="202" applyNumberFormat="0" applyAlignment="0" applyProtection="0"/>
    <xf numFmtId="0" fontId="12" fillId="37" borderId="200" applyNumberFormat="0" applyFont="0" applyAlignment="0" applyProtection="0"/>
    <xf numFmtId="0" fontId="84" fillId="21" borderId="201" applyNumberForma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84" fillId="21" borderId="278" applyNumberFormat="0" applyAlignment="0" applyProtection="0"/>
    <xf numFmtId="0" fontId="12" fillId="37" borderId="200" applyNumberFormat="0" applyFont="0" applyAlignment="0" applyProtection="0"/>
    <xf numFmtId="0" fontId="87" fillId="34" borderId="202" applyNumberFormat="0" applyAlignment="0" applyProtection="0"/>
    <xf numFmtId="0" fontId="12" fillId="37" borderId="200" applyNumberFormat="0" applyFont="0" applyAlignment="0" applyProtection="0"/>
    <xf numFmtId="0" fontId="79" fillId="34" borderId="201"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5" fillId="0" borderId="203" applyNumberFormat="0" applyFill="0" applyAlignment="0" applyProtection="0"/>
    <xf numFmtId="0" fontId="87" fillId="34" borderId="202" applyNumberFormat="0" applyAlignment="0" applyProtection="0"/>
    <xf numFmtId="0" fontId="87" fillId="34" borderId="202" applyNumberFormat="0" applyAlignment="0" applyProtection="0"/>
    <xf numFmtId="0" fontId="12" fillId="37" borderId="200" applyNumberFormat="0" applyFont="0" applyAlignment="0" applyProtection="0"/>
    <xf numFmtId="0" fontId="12" fillId="37" borderId="200" applyNumberFormat="0" applyFont="0" applyAlignment="0" applyProtection="0"/>
    <xf numFmtId="0" fontId="84" fillId="21" borderId="201" applyNumberFormat="0" applyAlignment="0" applyProtection="0"/>
    <xf numFmtId="0" fontId="84" fillId="21" borderId="201" applyNumberFormat="0" applyAlignment="0" applyProtection="0"/>
    <xf numFmtId="0" fontId="79" fillId="34" borderId="201" applyNumberFormat="0" applyAlignment="0" applyProtection="0"/>
    <xf numFmtId="0" fontId="79" fillId="34" borderId="201" applyNumberFormat="0" applyAlignment="0" applyProtection="0"/>
    <xf numFmtId="0" fontId="87" fillId="34" borderId="202" applyNumberFormat="0" applyAlignment="0" applyProtection="0"/>
    <xf numFmtId="0" fontId="5" fillId="0" borderId="203" applyNumberFormat="0" applyFill="0" applyAlignment="0" applyProtection="0"/>
    <xf numFmtId="0" fontId="12" fillId="37" borderId="236"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5" fillId="0" borderId="203" applyNumberFormat="0" applyFill="0" applyAlignment="0" applyProtection="0"/>
    <xf numFmtId="0" fontId="12" fillId="37" borderId="200" applyNumberFormat="0" applyFont="0" applyAlignment="0" applyProtection="0"/>
    <xf numFmtId="0" fontId="84" fillId="21" borderId="201" applyNumberFormat="0" applyAlignment="0" applyProtection="0"/>
    <xf numFmtId="0" fontId="12" fillId="37" borderId="200" applyNumberFormat="0" applyFont="0" applyAlignment="0" applyProtection="0"/>
    <xf numFmtId="0" fontId="79" fillId="34" borderId="201" applyNumberFormat="0" applyAlignment="0" applyProtection="0"/>
    <xf numFmtId="0" fontId="84" fillId="21" borderId="201" applyNumberFormat="0" applyAlignment="0" applyProtection="0"/>
    <xf numFmtId="0" fontId="12" fillId="37" borderId="206" applyNumberFormat="0" applyFont="0" applyAlignment="0" applyProtection="0"/>
    <xf numFmtId="0" fontId="84" fillId="21" borderId="201" applyNumberFormat="0" applyAlignment="0" applyProtection="0"/>
    <xf numFmtId="0" fontId="12" fillId="37" borderId="303" applyNumberFormat="0" applyFont="0" applyAlignment="0" applyProtection="0"/>
    <xf numFmtId="0" fontId="5" fillId="0" borderId="203" applyNumberFormat="0" applyFill="0" applyAlignment="0" applyProtection="0"/>
    <xf numFmtId="0" fontId="84" fillId="21" borderId="201" applyNumberFormat="0" applyAlignment="0" applyProtection="0"/>
    <xf numFmtId="0" fontId="87" fillId="34" borderId="202" applyNumberFormat="0" applyAlignment="0" applyProtection="0"/>
    <xf numFmtId="0" fontId="79" fillId="34" borderId="201" applyNumberFormat="0" applyAlignment="0" applyProtection="0"/>
    <xf numFmtId="0" fontId="12" fillId="37" borderId="206" applyNumberFormat="0" applyFont="0" applyAlignment="0" applyProtection="0"/>
    <xf numFmtId="0" fontId="12" fillId="37" borderId="200" applyNumberFormat="0" applyFont="0" applyAlignment="0" applyProtection="0"/>
    <xf numFmtId="0" fontId="87" fillId="34" borderId="202" applyNumberFormat="0" applyAlignment="0" applyProtection="0"/>
    <xf numFmtId="0" fontId="79" fillId="34" borderId="201" applyNumberFormat="0" applyAlignment="0" applyProtection="0"/>
    <xf numFmtId="0" fontId="79" fillId="34" borderId="211" applyNumberFormat="0" applyAlignment="0" applyProtection="0"/>
    <xf numFmtId="0" fontId="5" fillId="0" borderId="213" applyNumberFormat="0" applyFill="0" applyAlignment="0" applyProtection="0"/>
    <xf numFmtId="0" fontId="84" fillId="21" borderId="250" applyNumberFormat="0" applyAlignment="0" applyProtection="0"/>
    <xf numFmtId="0" fontId="87" fillId="34" borderId="279" applyNumberFormat="0" applyAlignment="0" applyProtection="0"/>
    <xf numFmtId="0" fontId="87" fillId="34" borderId="311" applyNumberFormat="0" applyAlignment="0" applyProtection="0"/>
    <xf numFmtId="0" fontId="84" fillId="21" borderId="259" applyNumberFormat="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10" applyNumberFormat="0" applyFon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5" fillId="0" borderId="209" applyNumberFormat="0" applyFill="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87" fillId="34" borderId="208" applyNumberFormat="0" applyAlignment="0" applyProtection="0"/>
    <xf numFmtId="0" fontId="5" fillId="0" borderId="209" applyNumberFormat="0" applyFill="0" applyAlignment="0" applyProtection="0"/>
    <xf numFmtId="0" fontId="84" fillId="21" borderId="207" applyNumberForma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87" fillId="34" borderId="208" applyNumberFormat="0" applyAlignment="0" applyProtection="0"/>
    <xf numFmtId="0" fontId="5" fillId="0" borderId="209" applyNumberFormat="0" applyFill="0" applyAlignment="0" applyProtection="0"/>
    <xf numFmtId="0" fontId="5" fillId="0" borderId="209" applyNumberFormat="0" applyFill="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87" fillId="34" borderId="208" applyNumberFormat="0" applyAlignment="0" applyProtection="0"/>
    <xf numFmtId="0" fontId="12" fillId="37" borderId="206" applyNumberFormat="0" applyFont="0" applyAlignment="0" applyProtection="0"/>
    <xf numFmtId="0" fontId="84" fillId="21" borderId="207" applyNumberFormat="0" applyAlignment="0" applyProtection="0"/>
    <xf numFmtId="0" fontId="79" fillId="34" borderId="207" applyNumberFormat="0" applyAlignment="0" applyProtection="0"/>
    <xf numFmtId="0" fontId="79" fillId="34" borderId="207" applyNumberFormat="0" applyAlignment="0" applyProtection="0"/>
    <xf numFmtId="0" fontId="79" fillId="34" borderId="207" applyNumberFormat="0" applyAlignment="0" applyProtection="0"/>
    <xf numFmtId="0" fontId="84" fillId="21" borderId="207" applyNumberFormat="0" applyAlignment="0" applyProtection="0"/>
    <xf numFmtId="0" fontId="84" fillId="21"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5" fillId="0" borderId="209" applyNumberFormat="0" applyFill="0" applyAlignment="0" applyProtection="0"/>
    <xf numFmtId="0" fontId="5" fillId="0" borderId="209" applyNumberFormat="0" applyFill="0" applyAlignment="0" applyProtection="0"/>
    <xf numFmtId="0" fontId="12" fillId="37" borderId="206" applyNumberFormat="0" applyFont="0" applyAlignment="0" applyProtection="0"/>
    <xf numFmtId="0" fontId="12" fillId="37" borderId="206" applyNumberFormat="0" applyFont="0" applyAlignment="0" applyProtection="0"/>
    <xf numFmtId="0" fontId="79" fillId="34" borderId="207" applyNumberForma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87" fillId="34" borderId="208" applyNumberFormat="0" applyAlignment="0" applyProtection="0"/>
    <xf numFmtId="0" fontId="12" fillId="37" borderId="206" applyNumberFormat="0" applyFont="0" applyAlignment="0" applyProtection="0"/>
    <xf numFmtId="0" fontId="84" fillId="21" borderId="207" applyNumberForma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87" fillId="34" borderId="208" applyNumberFormat="0" applyAlignment="0" applyProtection="0"/>
    <xf numFmtId="0" fontId="12" fillId="37" borderId="206" applyNumberFormat="0" applyFont="0" applyAlignment="0" applyProtection="0"/>
    <xf numFmtId="0" fontId="79" fillId="34" borderId="207"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5" fillId="0" borderId="209" applyNumberFormat="0" applyFill="0" applyAlignment="0" applyProtection="0"/>
    <xf numFmtId="0" fontId="87" fillId="34" borderId="208" applyNumberFormat="0" applyAlignment="0" applyProtection="0"/>
    <xf numFmtId="0" fontId="87" fillId="34" borderId="208" applyNumberFormat="0" applyAlignment="0" applyProtection="0"/>
    <xf numFmtId="0" fontId="12" fillId="37" borderId="206" applyNumberFormat="0" applyFont="0" applyAlignment="0" applyProtection="0"/>
    <xf numFmtId="0" fontId="12" fillId="37" borderId="206" applyNumberFormat="0" applyFont="0" applyAlignment="0" applyProtection="0"/>
    <xf numFmtId="0" fontId="84" fillId="21" borderId="207" applyNumberFormat="0" applyAlignment="0" applyProtection="0"/>
    <xf numFmtId="0" fontId="84" fillId="21" borderId="207" applyNumberFormat="0" applyAlignment="0" applyProtection="0"/>
    <xf numFmtId="0" fontId="79" fillId="34" borderId="207" applyNumberFormat="0" applyAlignment="0" applyProtection="0"/>
    <xf numFmtId="0" fontId="79" fillId="34" borderId="207" applyNumberFormat="0" applyAlignment="0" applyProtection="0"/>
    <xf numFmtId="0" fontId="87" fillId="34" borderId="208" applyNumberFormat="0" applyAlignment="0" applyProtection="0"/>
    <xf numFmtId="0" fontId="5" fillId="0" borderId="209" applyNumberFormat="0" applyFill="0" applyAlignment="0" applyProtection="0"/>
    <xf numFmtId="0" fontId="12" fillId="37" borderId="277"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5" fillId="0" borderId="209" applyNumberFormat="0" applyFill="0" applyAlignment="0" applyProtection="0"/>
    <xf numFmtId="0" fontId="12" fillId="37" borderId="206" applyNumberFormat="0" applyFont="0" applyAlignment="0" applyProtection="0"/>
    <xf numFmtId="0" fontId="84" fillId="21" borderId="207" applyNumberFormat="0" applyAlignment="0" applyProtection="0"/>
    <xf numFmtId="0" fontId="12" fillId="37" borderId="206" applyNumberFormat="0" applyFont="0" applyAlignment="0" applyProtection="0"/>
    <xf numFmtId="0" fontId="79" fillId="34" borderId="207" applyNumberFormat="0" applyAlignment="0" applyProtection="0"/>
    <xf numFmtId="0" fontId="84" fillId="21" borderId="207" applyNumberFormat="0" applyAlignment="0" applyProtection="0"/>
    <xf numFmtId="0" fontId="12" fillId="37" borderId="277" applyNumberFormat="0" applyFont="0" applyAlignment="0" applyProtection="0"/>
    <xf numFmtId="0" fontId="84" fillId="21" borderId="207" applyNumberFormat="0" applyAlignment="0" applyProtection="0"/>
    <xf numFmtId="0" fontId="12" fillId="37" borderId="236" applyNumberFormat="0" applyFont="0" applyAlignment="0" applyProtection="0"/>
    <xf numFmtId="0" fontId="5" fillId="0" borderId="209" applyNumberFormat="0" applyFill="0" applyAlignment="0" applyProtection="0"/>
    <xf numFmtId="0" fontId="84" fillId="21" borderId="207" applyNumberFormat="0" applyAlignment="0" applyProtection="0"/>
    <xf numFmtId="0" fontId="87" fillId="34" borderId="208" applyNumberFormat="0" applyAlignment="0" applyProtection="0"/>
    <xf numFmtId="0" fontId="84" fillId="21" borderId="211" applyNumberFormat="0" applyAlignment="0" applyProtection="0"/>
    <xf numFmtId="0" fontId="79" fillId="34" borderId="207" applyNumberFormat="0" applyAlignment="0" applyProtection="0"/>
    <xf numFmtId="0" fontId="12" fillId="37" borderId="206" applyNumberFormat="0" applyFont="0" applyAlignment="0" applyProtection="0"/>
    <xf numFmtId="0" fontId="87" fillId="34" borderId="208" applyNumberFormat="0" applyAlignment="0" applyProtection="0"/>
    <xf numFmtId="0" fontId="79" fillId="34" borderId="207" applyNumberFormat="0" applyAlignment="0" applyProtection="0"/>
    <xf numFmtId="0" fontId="79" fillId="34" borderId="227" applyNumberFormat="0" applyAlignment="0" applyProtection="0"/>
    <xf numFmtId="0" fontId="5" fillId="0" borderId="239" applyNumberFormat="0" applyFill="0" applyAlignment="0" applyProtection="0"/>
    <xf numFmtId="0" fontId="5" fillId="0" borderId="246" applyNumberFormat="0" applyFill="0" applyAlignment="0" applyProtection="0"/>
    <xf numFmtId="0" fontId="12" fillId="37" borderId="258" applyNumberFormat="0" applyFont="0" applyAlignment="0" applyProtection="0"/>
    <xf numFmtId="0" fontId="84" fillId="21" borderId="237" applyNumberFormat="0" applyAlignment="0" applyProtection="0"/>
    <xf numFmtId="0" fontId="5" fillId="0" borderId="239" applyNumberFormat="0" applyFill="0" applyAlignment="0" applyProtection="0"/>
    <xf numFmtId="0" fontId="12" fillId="37" borderId="236" applyNumberFormat="0" applyFont="0" applyAlignment="0" applyProtection="0"/>
    <xf numFmtId="0" fontId="84" fillId="21" borderId="232" applyNumberFormat="0" applyAlignment="0" applyProtection="0"/>
    <xf numFmtId="0" fontId="5" fillId="0" borderId="266" applyNumberFormat="0" applyFill="0" applyAlignment="0" applyProtection="0"/>
    <xf numFmtId="0" fontId="79" fillId="34" borderId="219" applyNumberFormat="0" applyAlignment="0" applyProtection="0"/>
    <xf numFmtId="0" fontId="12" fillId="37" borderId="263" applyNumberFormat="0" applyFont="0" applyAlignment="0" applyProtection="0"/>
    <xf numFmtId="0" fontId="12" fillId="37" borderId="230" applyNumberFormat="0" applyFont="0" applyAlignment="0" applyProtection="0"/>
    <xf numFmtId="0" fontId="84" fillId="21" borderId="237" applyNumberFormat="0" applyAlignment="0" applyProtection="0"/>
    <xf numFmtId="0" fontId="79" fillId="34" borderId="300" applyNumberFormat="0" applyAlignment="0" applyProtection="0"/>
    <xf numFmtId="0" fontId="12" fillId="37" borderId="287" applyNumberFormat="0" applyFont="0" applyAlignment="0" applyProtection="0"/>
    <xf numFmtId="0" fontId="12" fillId="37" borderId="214" applyNumberFormat="0" applyFont="0" applyAlignment="0" applyProtection="0"/>
    <xf numFmtId="0" fontId="84" fillId="21" borderId="223" applyNumberFormat="0" applyAlignment="0" applyProtection="0"/>
    <xf numFmtId="0" fontId="84" fillId="21" borderId="244" applyNumberFormat="0" applyAlignment="0" applyProtection="0"/>
    <xf numFmtId="0" fontId="12" fillId="37" borderId="293" applyNumberFormat="0" applyFont="0" applyAlignment="0" applyProtection="0"/>
    <xf numFmtId="0" fontId="5" fillId="0" borderId="229" applyNumberFormat="0" applyFill="0" applyAlignment="0" applyProtection="0"/>
    <xf numFmtId="0" fontId="79" fillId="34" borderId="232" applyNumberFormat="0" applyAlignment="0" applyProtection="0"/>
    <xf numFmtId="0" fontId="12" fillId="37" borderId="236" applyNumberFormat="0" applyFont="0" applyAlignment="0" applyProtection="0"/>
    <xf numFmtId="0" fontId="84" fillId="21" borderId="227" applyNumberFormat="0" applyAlignment="0" applyProtection="0"/>
    <xf numFmtId="0" fontId="79" fillId="34" borderId="300" applyNumberFormat="0" applyAlignment="0" applyProtection="0"/>
    <xf numFmtId="0" fontId="84" fillId="21" borderId="237" applyNumberFormat="0" applyAlignment="0" applyProtection="0"/>
    <xf numFmtId="0" fontId="12" fillId="37" borderId="283" applyNumberFormat="0" applyFont="0" applyAlignment="0" applyProtection="0"/>
    <xf numFmtId="0" fontId="79" fillId="34" borderId="232" applyNumberFormat="0" applyAlignment="0" applyProtection="0"/>
    <xf numFmtId="0" fontId="12" fillId="37" borderId="210"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15" applyNumberFormat="0" applyAlignment="0" applyProtection="0"/>
    <xf numFmtId="0" fontId="12" fillId="37" borderId="35" applyNumberFormat="0" applyFont="0" applyAlignment="0" applyProtection="0"/>
    <xf numFmtId="0" fontId="12" fillId="37" borderId="226"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4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11" applyNumberFormat="0" applyAlignment="0" applyProtection="0"/>
    <xf numFmtId="0" fontId="5" fillId="0" borderId="213"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43" applyNumberFormat="0" applyFont="0" applyAlignment="0" applyProtection="0"/>
    <xf numFmtId="0" fontId="87"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305" applyNumberFormat="0" applyAlignment="0" applyProtection="0"/>
    <xf numFmtId="0" fontId="5" fillId="0" borderId="246" applyNumberFormat="0" applyFill="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39" applyNumberFormat="0" applyFill="0" applyAlignment="0" applyProtection="0"/>
    <xf numFmtId="0" fontId="5" fillId="0" borderId="213" applyNumberFormat="0" applyFill="0" applyAlignment="0" applyProtection="0"/>
    <xf numFmtId="0" fontId="84" fillId="21" borderId="250" applyNumberFormat="0" applyAlignment="0" applyProtection="0"/>
    <xf numFmtId="0" fontId="12" fillId="37" borderId="35" applyNumberFormat="0" applyFont="0" applyAlignment="0" applyProtection="0"/>
    <xf numFmtId="0" fontId="5" fillId="0" borderId="213" applyNumberFormat="0" applyFill="0" applyAlignment="0" applyProtection="0"/>
    <xf numFmtId="0" fontId="5" fillId="0" borderId="213" applyNumberFormat="0" applyFill="0" applyAlignment="0" applyProtection="0"/>
    <xf numFmtId="0" fontId="12" fillId="37" borderId="210" applyNumberFormat="0" applyFont="0" applyAlignment="0" applyProtection="0"/>
    <xf numFmtId="0" fontId="79" fillId="34" borderId="278" applyNumberFormat="0" applyAlignment="0" applyProtection="0"/>
    <xf numFmtId="0" fontId="79" fillId="34" borderId="250"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5" fillId="0" borderId="239"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13"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22" applyNumberFormat="0" applyFont="0" applyAlignment="0" applyProtection="0"/>
    <xf numFmtId="0" fontId="12" fillId="37" borderId="35" applyNumberFormat="0" applyFont="0" applyAlignment="0" applyProtection="0"/>
    <xf numFmtId="0" fontId="12" fillId="37" borderId="236" applyNumberFormat="0" applyFon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38" applyNumberFormat="0" applyAlignment="0" applyProtection="0"/>
    <xf numFmtId="0" fontId="84" fillId="21" borderId="26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9" fillId="34" borderId="278" applyNumberFormat="0" applyAlignment="0" applyProtection="0"/>
    <xf numFmtId="0" fontId="12" fillId="37" borderId="222"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7" fillId="34" borderId="271" applyNumberFormat="0" applyAlignment="0" applyProtection="0"/>
    <xf numFmtId="0" fontId="12" fillId="37" borderId="236"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12" fillId="37" borderId="277" applyNumberFormat="0" applyFont="0" applyAlignment="0" applyProtection="0"/>
    <xf numFmtId="0" fontId="87" fillId="34" borderId="238" applyNumberFormat="0" applyAlignment="0" applyProtection="0"/>
    <xf numFmtId="0" fontId="12" fillId="37" borderId="258" applyNumberFormat="0" applyFont="0" applyAlignment="0" applyProtection="0"/>
    <xf numFmtId="0" fontId="12" fillId="37" borderId="35" applyNumberFormat="0" applyFont="0" applyAlignment="0" applyProtection="0"/>
    <xf numFmtId="0" fontId="5" fillId="0" borderId="239" applyNumberFormat="0" applyFill="0" applyAlignment="0" applyProtection="0"/>
    <xf numFmtId="0" fontId="12" fillId="37" borderId="35" applyNumberFormat="0" applyFont="0" applyAlignment="0" applyProtection="0"/>
    <xf numFmtId="0" fontId="12" fillId="37" borderId="253" applyNumberFormat="0" applyFont="0" applyAlignment="0" applyProtection="0"/>
    <xf numFmtId="0" fontId="12" fillId="37" borderId="35" applyNumberFormat="0" applyFont="0" applyAlignment="0" applyProtection="0"/>
    <xf numFmtId="0" fontId="12" fillId="37" borderId="210"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14" applyNumberFormat="0" applyFont="0" applyAlignment="0" applyProtection="0"/>
    <xf numFmtId="0" fontId="12" fillId="37" borderId="236" applyNumberFormat="0" applyFont="0" applyAlignment="0" applyProtection="0"/>
    <xf numFmtId="0" fontId="5" fillId="0" borderId="213" applyNumberFormat="0" applyFill="0" applyAlignment="0" applyProtection="0"/>
    <xf numFmtId="0" fontId="12" fillId="37" borderId="35" applyNumberFormat="0" applyFont="0" applyAlignment="0" applyProtection="0"/>
    <xf numFmtId="0" fontId="84" fillId="21" borderId="215" applyNumberFormat="0" applyAlignment="0" applyProtection="0"/>
    <xf numFmtId="0" fontId="12" fillId="37" borderId="210" applyNumberFormat="0" applyFont="0" applyAlignment="0" applyProtection="0"/>
    <xf numFmtId="0" fontId="84" fillId="21" borderId="211" applyNumberFormat="0" applyAlignment="0" applyProtection="0"/>
    <xf numFmtId="0" fontId="79" fillId="34"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7" fillId="34" borderId="212" applyNumberFormat="0" applyAlignment="0" applyProtection="0"/>
    <xf numFmtId="0" fontId="84" fillId="21" borderId="237" applyNumberFormat="0" applyAlignment="0" applyProtection="0"/>
    <xf numFmtId="0" fontId="12" fillId="37" borderId="210" applyNumberFormat="0" applyFont="0" applyAlignment="0" applyProtection="0"/>
    <xf numFmtId="0" fontId="87" fillId="34" borderId="212" applyNumberFormat="0" applyAlignment="0" applyProtection="0"/>
    <xf numFmtId="0" fontId="12" fillId="37" borderId="210" applyNumberFormat="0" applyFont="0" applyAlignment="0" applyProtection="0"/>
    <xf numFmtId="0" fontId="79" fillId="34" borderId="211"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5" fillId="0" borderId="213" applyNumberFormat="0" applyFill="0" applyAlignment="0" applyProtection="0"/>
    <xf numFmtId="0" fontId="87" fillId="34" borderId="212" applyNumberFormat="0" applyAlignment="0" applyProtection="0"/>
    <xf numFmtId="0" fontId="87" fillId="34" borderId="212" applyNumberFormat="0" applyAlignment="0" applyProtection="0"/>
    <xf numFmtId="0" fontId="12" fillId="37" borderId="210" applyNumberFormat="0" applyFont="0" applyAlignment="0" applyProtection="0"/>
    <xf numFmtId="0" fontId="12" fillId="37" borderId="210" applyNumberFormat="0" applyFont="0" applyAlignment="0" applyProtection="0"/>
    <xf numFmtId="0" fontId="84" fillId="21" borderId="211" applyNumberFormat="0" applyAlignment="0" applyProtection="0"/>
    <xf numFmtId="0" fontId="84" fillId="21" borderId="211" applyNumberFormat="0" applyAlignment="0" applyProtection="0"/>
    <xf numFmtId="0" fontId="79" fillId="34" borderId="211" applyNumberFormat="0" applyAlignment="0" applyProtection="0"/>
    <xf numFmtId="0" fontId="79" fillId="34" borderId="211" applyNumberFormat="0" applyAlignment="0" applyProtection="0"/>
    <xf numFmtId="0" fontId="87" fillId="34" borderId="212" applyNumberFormat="0" applyAlignment="0" applyProtection="0"/>
    <xf numFmtId="0" fontId="5" fillId="0" borderId="213" applyNumberFormat="0" applyFill="0" applyAlignment="0" applyProtection="0"/>
    <xf numFmtId="0" fontId="5" fillId="0" borderId="213" applyNumberFormat="0" applyFill="0" applyAlignment="0" applyProtection="0"/>
    <xf numFmtId="0" fontId="12" fillId="37" borderId="210" applyNumberFormat="0" applyFont="0" applyAlignment="0" applyProtection="0"/>
    <xf numFmtId="0" fontId="5" fillId="0" borderId="213" applyNumberFormat="0" applyFill="0" applyAlignment="0" applyProtection="0"/>
    <xf numFmtId="0" fontId="12" fillId="37" borderId="210" applyNumberFormat="0" applyFont="0" applyAlignment="0" applyProtection="0"/>
    <xf numFmtId="0" fontId="84" fillId="21" borderId="211" applyNumberFormat="0" applyAlignment="0" applyProtection="0"/>
    <xf numFmtId="0" fontId="12" fillId="37" borderId="210" applyNumberFormat="0" applyFont="0" applyAlignment="0" applyProtection="0"/>
    <xf numFmtId="0" fontId="79" fillId="34" borderId="211" applyNumberFormat="0" applyAlignment="0" applyProtection="0"/>
    <xf numFmtId="0" fontId="84" fillId="21" borderId="211" applyNumberFormat="0" applyAlignment="0" applyProtection="0"/>
    <xf numFmtId="0" fontId="84" fillId="21" borderId="211" applyNumberFormat="0" applyAlignment="0" applyProtection="0"/>
    <xf numFmtId="0" fontId="5" fillId="0" borderId="252" applyNumberFormat="0" applyFill="0" applyAlignment="0" applyProtection="0"/>
    <xf numFmtId="0" fontId="5" fillId="0" borderId="213" applyNumberFormat="0" applyFill="0" applyAlignment="0" applyProtection="0"/>
    <xf numFmtId="0" fontId="84" fillId="21" borderId="211" applyNumberFormat="0" applyAlignment="0" applyProtection="0"/>
    <xf numFmtId="0" fontId="87" fillId="34" borderId="212" applyNumberFormat="0" applyAlignment="0" applyProtection="0"/>
    <xf numFmtId="0" fontId="5" fillId="0" borderId="239" applyNumberFormat="0" applyFill="0" applyAlignment="0" applyProtection="0"/>
    <xf numFmtId="0" fontId="79" fillId="34" borderId="211" applyNumberFormat="0" applyAlignment="0" applyProtection="0"/>
    <xf numFmtId="0" fontId="12" fillId="37" borderId="210" applyNumberFormat="0" applyFont="0" applyAlignment="0" applyProtection="0"/>
    <xf numFmtId="0" fontId="87" fillId="34" borderId="212" applyNumberFormat="0" applyAlignment="0" applyProtection="0"/>
    <xf numFmtId="0" fontId="79" fillId="34" borderId="211" applyNumberFormat="0" applyAlignment="0" applyProtection="0"/>
    <xf numFmtId="0" fontId="12" fillId="37" borderId="230" applyNumberFormat="0" applyFont="0" applyAlignment="0" applyProtection="0"/>
    <xf numFmtId="0" fontId="5" fillId="0" borderId="225" applyNumberFormat="0" applyFill="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5" fillId="0" borderId="221" applyNumberFormat="0" applyFill="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79" fillId="34"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87" fillId="34" borderId="220" applyNumberFormat="0" applyAlignment="0" applyProtection="0"/>
    <xf numFmtId="0" fontId="5" fillId="0" borderId="221" applyNumberFormat="0" applyFill="0" applyAlignment="0" applyProtection="0"/>
    <xf numFmtId="0" fontId="84" fillId="21" borderId="219" applyNumberFormat="0" applyAlignment="0" applyProtection="0"/>
    <xf numFmtId="0" fontId="12" fillId="37" borderId="218" applyNumberFormat="0" applyFont="0" applyAlignment="0" applyProtection="0"/>
    <xf numFmtId="0" fontId="84" fillId="21" borderId="219" applyNumberFormat="0" applyAlignment="0" applyProtection="0"/>
    <xf numFmtId="0" fontId="84" fillId="21" borderId="219" applyNumberFormat="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87" fillId="34" borderId="220" applyNumberFormat="0" applyAlignment="0" applyProtection="0"/>
    <xf numFmtId="0" fontId="5" fillId="0" borderId="221" applyNumberFormat="0" applyFill="0" applyAlignment="0" applyProtection="0"/>
    <xf numFmtId="0" fontId="5" fillId="0" borderId="221" applyNumberFormat="0" applyFill="0" applyAlignment="0" applyProtection="0"/>
    <xf numFmtId="0" fontId="87" fillId="34" borderId="220"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5" applyNumberFormat="0" applyFill="0" applyAlignment="0" applyProtection="0"/>
    <xf numFmtId="0" fontId="79" fillId="34" borderId="219" applyNumberFormat="0" applyAlignment="0" applyProtection="0"/>
    <xf numFmtId="0" fontId="87" fillId="34" borderId="220" applyNumberFormat="0" applyAlignment="0" applyProtection="0"/>
    <xf numFmtId="0" fontId="12" fillId="37" borderId="218" applyNumberFormat="0" applyFont="0" applyAlignment="0" applyProtection="0"/>
    <xf numFmtId="0" fontId="84" fillId="21" borderId="219" applyNumberFormat="0" applyAlignment="0" applyProtection="0"/>
    <xf numFmtId="0" fontId="79" fillId="34" borderId="219" applyNumberFormat="0" applyAlignment="0" applyProtection="0"/>
    <xf numFmtId="0" fontId="79" fillId="34" borderId="219" applyNumberFormat="0" applyAlignment="0" applyProtection="0"/>
    <xf numFmtId="0" fontId="79" fillId="34" borderId="219" applyNumberFormat="0" applyAlignment="0" applyProtection="0"/>
    <xf numFmtId="0" fontId="84" fillId="21" borderId="219" applyNumberFormat="0" applyAlignment="0" applyProtection="0"/>
    <xf numFmtId="0" fontId="84" fillId="21"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5" fillId="0" borderId="221" applyNumberFormat="0" applyFill="0" applyAlignment="0" applyProtection="0"/>
    <xf numFmtId="0" fontId="5" fillId="0" borderId="221" applyNumberFormat="0" applyFill="0" applyAlignment="0" applyProtection="0"/>
    <xf numFmtId="0" fontId="12" fillId="37" borderId="218" applyNumberFormat="0" applyFont="0" applyAlignment="0" applyProtection="0"/>
    <xf numFmtId="0" fontId="12" fillId="37" borderId="218" applyNumberFormat="0" applyFont="0" applyAlignment="0" applyProtection="0"/>
    <xf numFmtId="0" fontId="79" fillId="34" borderId="219" applyNumberFormat="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87" fillId="34" borderId="220" applyNumberFormat="0" applyAlignment="0" applyProtection="0"/>
    <xf numFmtId="0" fontId="12" fillId="37" borderId="218" applyNumberFormat="0" applyFont="0" applyAlignment="0" applyProtection="0"/>
    <xf numFmtId="0" fontId="84" fillId="21" borderId="219" applyNumberForma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79" fillId="34" borderId="237" applyNumberFormat="0" applyAlignment="0" applyProtection="0"/>
    <xf numFmtId="0" fontId="12" fillId="37" borderId="222" applyNumberFormat="0" applyFont="0" applyAlignment="0" applyProtection="0"/>
    <xf numFmtId="0" fontId="12" fillId="37" borderId="218" applyNumberFormat="0" applyFont="0" applyAlignment="0" applyProtection="0"/>
    <xf numFmtId="0" fontId="87" fillId="34" borderId="220" applyNumberFormat="0" applyAlignment="0" applyProtection="0"/>
    <xf numFmtId="0" fontId="12" fillId="37" borderId="218" applyNumberFormat="0" applyFont="0" applyAlignment="0" applyProtection="0"/>
    <xf numFmtId="0" fontId="79" fillId="34" borderId="219"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5" fillId="0" borderId="221" applyNumberFormat="0" applyFill="0" applyAlignment="0" applyProtection="0"/>
    <xf numFmtId="0" fontId="87" fillId="34" borderId="220" applyNumberFormat="0" applyAlignment="0" applyProtection="0"/>
    <xf numFmtId="0" fontId="87" fillId="34" borderId="220" applyNumberFormat="0" applyAlignment="0" applyProtection="0"/>
    <xf numFmtId="0" fontId="12" fillId="37" borderId="218" applyNumberFormat="0" applyFont="0" applyAlignment="0" applyProtection="0"/>
    <xf numFmtId="0" fontId="12" fillId="37" borderId="218" applyNumberFormat="0" applyFont="0" applyAlignment="0" applyProtection="0"/>
    <xf numFmtId="0" fontId="84" fillId="21" borderId="219" applyNumberFormat="0" applyAlignment="0" applyProtection="0"/>
    <xf numFmtId="0" fontId="84" fillId="21" borderId="219" applyNumberFormat="0" applyAlignment="0" applyProtection="0"/>
    <xf numFmtId="0" fontId="79" fillId="34" borderId="219" applyNumberFormat="0" applyAlignment="0" applyProtection="0"/>
    <xf numFmtId="0" fontId="79" fillId="34" borderId="219" applyNumberFormat="0" applyAlignment="0" applyProtection="0"/>
    <xf numFmtId="0" fontId="87" fillId="34" borderId="220" applyNumberFormat="0" applyAlignment="0" applyProtection="0"/>
    <xf numFmtId="0" fontId="5" fillId="0" borderId="221" applyNumberFormat="0" applyFill="0" applyAlignment="0" applyProtection="0"/>
    <xf numFmtId="0" fontId="87" fillId="34" borderId="238" applyNumberFormat="0" applyAlignment="0" applyProtection="0"/>
    <xf numFmtId="0" fontId="5" fillId="0" borderId="221" applyNumberFormat="0" applyFill="0" applyAlignment="0" applyProtection="0"/>
    <xf numFmtId="0" fontId="12" fillId="37" borderId="218" applyNumberFormat="0" applyFont="0" applyAlignment="0" applyProtection="0"/>
    <xf numFmtId="0" fontId="5" fillId="0" borderId="221" applyNumberFormat="0" applyFill="0" applyAlignment="0" applyProtection="0"/>
    <xf numFmtId="0" fontId="12" fillId="37" borderId="218" applyNumberFormat="0" applyFont="0" applyAlignment="0" applyProtection="0"/>
    <xf numFmtId="0" fontId="84" fillId="21" borderId="219" applyNumberFormat="0" applyAlignment="0" applyProtection="0"/>
    <xf numFmtId="0" fontId="12" fillId="37" borderId="218" applyNumberFormat="0" applyFont="0" applyAlignment="0" applyProtection="0"/>
    <xf numFmtId="0" fontId="79" fillId="34" borderId="219" applyNumberFormat="0" applyAlignment="0" applyProtection="0"/>
    <xf numFmtId="0" fontId="84" fillId="21" borderId="219" applyNumberFormat="0" applyAlignment="0" applyProtection="0"/>
    <xf numFmtId="0" fontId="5" fillId="0" borderId="239" applyNumberFormat="0" applyFill="0" applyAlignment="0" applyProtection="0"/>
    <xf numFmtId="0" fontId="84" fillId="21" borderId="219" applyNumberFormat="0" applyAlignment="0" applyProtection="0"/>
    <xf numFmtId="0" fontId="87" fillId="34" borderId="224" applyNumberFormat="0" applyAlignment="0" applyProtection="0"/>
    <xf numFmtId="0" fontId="5" fillId="0" borderId="221" applyNumberFormat="0" applyFill="0" applyAlignment="0" applyProtection="0"/>
    <xf numFmtId="0" fontId="84" fillId="21" borderId="219" applyNumberFormat="0" applyAlignment="0" applyProtection="0"/>
    <xf numFmtId="0" fontId="87" fillId="34" borderId="220" applyNumberFormat="0" applyAlignment="0" applyProtection="0"/>
    <xf numFmtId="0" fontId="79" fillId="34" borderId="219" applyNumberFormat="0" applyAlignment="0" applyProtection="0"/>
    <xf numFmtId="0" fontId="87" fillId="34" borderId="224" applyNumberFormat="0" applyAlignment="0" applyProtection="0"/>
    <xf numFmtId="0" fontId="12" fillId="37" borderId="218" applyNumberFormat="0" applyFont="0" applyAlignment="0" applyProtection="0"/>
    <xf numFmtId="0" fontId="87" fillId="34" borderId="220" applyNumberFormat="0" applyAlignment="0" applyProtection="0"/>
    <xf numFmtId="0" fontId="79" fillId="34" borderId="219" applyNumberFormat="0" applyAlignment="0" applyProtection="0"/>
    <xf numFmtId="0" fontId="5" fillId="0" borderId="239" applyNumberFormat="0" applyFill="0" applyAlignment="0" applyProtection="0"/>
    <xf numFmtId="0" fontId="79" fillId="34" borderId="237" applyNumberFormat="0" applyAlignment="0" applyProtection="0"/>
    <xf numFmtId="0" fontId="5" fillId="0" borderId="272" applyNumberFormat="0" applyFill="0" applyAlignment="0" applyProtection="0"/>
    <xf numFmtId="0" fontId="87" fillId="34" borderId="224" applyNumberFormat="0" applyAlignment="0" applyProtection="0"/>
    <xf numFmtId="0" fontId="84" fillId="21" borderId="223" applyNumberFormat="0" applyAlignment="0" applyProtection="0"/>
    <xf numFmtId="0" fontId="5" fillId="0" borderId="239" applyNumberFormat="0" applyFill="0" applyAlignment="0" applyProtection="0"/>
    <xf numFmtId="0" fontId="12" fillId="37" borderId="236" applyNumberFormat="0" applyFont="0" applyAlignment="0" applyProtection="0"/>
    <xf numFmtId="0" fontId="79" fillId="34" borderId="237" applyNumberFormat="0" applyAlignment="0" applyProtection="0"/>
    <xf numFmtId="0" fontId="87" fillId="34" borderId="251" applyNumberFormat="0" applyAlignment="0" applyProtection="0"/>
    <xf numFmtId="0" fontId="12" fillId="37" borderId="236" applyNumberFormat="0" applyFont="0" applyAlignment="0" applyProtection="0"/>
    <xf numFmtId="0" fontId="79" fillId="34" borderId="237" applyNumberFormat="0" applyAlignment="0" applyProtection="0"/>
    <xf numFmtId="0" fontId="79" fillId="34" borderId="237" applyNumberFormat="0" applyAlignment="0" applyProtection="0"/>
    <xf numFmtId="0" fontId="79" fillId="34" borderId="237" applyNumberFormat="0" applyAlignment="0" applyProtection="0"/>
    <xf numFmtId="0" fontId="87" fillId="34" borderId="238" applyNumberFormat="0" applyAlignment="0" applyProtection="0"/>
    <xf numFmtId="0" fontId="5" fillId="0" borderId="239" applyNumberFormat="0" applyFill="0" applyAlignment="0" applyProtection="0"/>
    <xf numFmtId="0" fontId="5" fillId="0" borderId="239"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5" fillId="0" borderId="225" applyNumberFormat="0" applyFill="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87" fillId="34" borderId="224" applyNumberFormat="0" applyAlignment="0" applyProtection="0"/>
    <xf numFmtId="0" fontId="5" fillId="0" borderId="225" applyNumberFormat="0" applyFill="0" applyAlignment="0" applyProtection="0"/>
    <xf numFmtId="0" fontId="84" fillId="21" borderId="223" applyNumberFormat="0" applyAlignment="0" applyProtection="0"/>
    <xf numFmtId="0" fontId="12" fillId="37" borderId="222" applyNumberFormat="0" applyFont="0" applyAlignment="0" applyProtection="0"/>
    <xf numFmtId="0" fontId="84" fillId="21" borderId="223" applyNumberFormat="0" applyAlignment="0" applyProtection="0"/>
    <xf numFmtId="0" fontId="84" fillId="21" borderId="223" applyNumberFormat="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87" fillId="34" borderId="224" applyNumberFormat="0" applyAlignment="0" applyProtection="0"/>
    <xf numFmtId="0" fontId="5" fillId="0" borderId="225" applyNumberFormat="0" applyFill="0" applyAlignment="0" applyProtection="0"/>
    <xf numFmtId="0" fontId="5" fillId="0" borderId="225" applyNumberFormat="0" applyFill="0" applyAlignment="0" applyProtection="0"/>
    <xf numFmtId="0" fontId="87" fillId="34" borderId="224"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87" fillId="34" borderId="224" applyNumberFormat="0" applyAlignment="0" applyProtection="0"/>
    <xf numFmtId="0" fontId="12" fillId="37" borderId="222" applyNumberFormat="0" applyFont="0" applyAlignment="0" applyProtection="0"/>
    <xf numFmtId="0" fontId="84" fillId="21" borderId="223" applyNumberFormat="0" applyAlignment="0" applyProtection="0"/>
    <xf numFmtId="0" fontId="79" fillId="34" borderId="223" applyNumberFormat="0" applyAlignment="0" applyProtection="0"/>
    <xf numFmtId="0" fontId="79" fillId="34" borderId="223" applyNumberFormat="0" applyAlignment="0" applyProtection="0"/>
    <xf numFmtId="0" fontId="79" fillId="34" borderId="223" applyNumberFormat="0" applyAlignment="0" applyProtection="0"/>
    <xf numFmtId="0" fontId="84" fillId="21" borderId="223" applyNumberFormat="0" applyAlignment="0" applyProtection="0"/>
    <xf numFmtId="0" fontId="84" fillId="21"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5" fillId="0" borderId="225" applyNumberFormat="0" applyFill="0" applyAlignment="0" applyProtection="0"/>
    <xf numFmtId="0" fontId="5" fillId="0" borderId="225" applyNumberFormat="0" applyFill="0" applyAlignment="0" applyProtection="0"/>
    <xf numFmtId="0" fontId="12" fillId="37" borderId="222" applyNumberFormat="0" applyFont="0" applyAlignment="0" applyProtection="0"/>
    <xf numFmtId="0" fontId="12" fillId="37" borderId="222" applyNumberFormat="0" applyFont="0" applyAlignment="0" applyProtection="0"/>
    <xf numFmtId="0" fontId="79" fillId="34" borderId="223" applyNumberForma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87" fillId="34" borderId="224" applyNumberFormat="0" applyAlignment="0" applyProtection="0"/>
    <xf numFmtId="0" fontId="12" fillId="37" borderId="222" applyNumberFormat="0" applyFont="0" applyAlignment="0" applyProtection="0"/>
    <xf numFmtId="0" fontId="84" fillId="21" borderId="223" applyNumberForma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12" fillId="37" borderId="236"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12" fillId="37" borderId="222" applyNumberFormat="0" applyFont="0" applyAlignment="0" applyProtection="0"/>
    <xf numFmtId="0" fontId="79" fillId="34" borderId="223"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5" fillId="0" borderId="225" applyNumberFormat="0" applyFill="0" applyAlignment="0" applyProtection="0"/>
    <xf numFmtId="0" fontId="87" fillId="34" borderId="224" applyNumberFormat="0" applyAlignment="0" applyProtection="0"/>
    <xf numFmtId="0" fontId="87" fillId="34" borderId="224" applyNumberFormat="0" applyAlignment="0" applyProtection="0"/>
    <xf numFmtId="0" fontId="12" fillId="37" borderId="222" applyNumberFormat="0" applyFont="0" applyAlignment="0" applyProtection="0"/>
    <xf numFmtId="0" fontId="12" fillId="37" borderId="222" applyNumberFormat="0" applyFont="0" applyAlignment="0" applyProtection="0"/>
    <xf numFmtId="0" fontId="84" fillId="21" borderId="223" applyNumberFormat="0" applyAlignment="0" applyProtection="0"/>
    <xf numFmtId="0" fontId="84" fillId="21" borderId="223" applyNumberFormat="0" applyAlignment="0" applyProtection="0"/>
    <xf numFmtId="0" fontId="79" fillId="34" borderId="223" applyNumberFormat="0" applyAlignment="0" applyProtection="0"/>
    <xf numFmtId="0" fontId="79" fillId="34" borderId="223" applyNumberFormat="0" applyAlignment="0" applyProtection="0"/>
    <xf numFmtId="0" fontId="87" fillId="34" borderId="224" applyNumberFormat="0" applyAlignment="0" applyProtection="0"/>
    <xf numFmtId="0" fontId="5" fillId="0" borderId="225" applyNumberFormat="0" applyFill="0" applyAlignment="0" applyProtection="0"/>
    <xf numFmtId="0" fontId="84" fillId="21" borderId="237" applyNumberFormat="0" applyAlignment="0" applyProtection="0"/>
    <xf numFmtId="0" fontId="5" fillId="0" borderId="225" applyNumberFormat="0" applyFill="0" applyAlignment="0" applyProtection="0"/>
    <xf numFmtId="0" fontId="12" fillId="37" borderId="222" applyNumberFormat="0" applyFont="0" applyAlignment="0" applyProtection="0"/>
    <xf numFmtId="0" fontId="5" fillId="0" borderId="225" applyNumberFormat="0" applyFill="0" applyAlignment="0" applyProtection="0"/>
    <xf numFmtId="0" fontId="12" fillId="37" borderId="222" applyNumberFormat="0" applyFont="0" applyAlignment="0" applyProtection="0"/>
    <xf numFmtId="0" fontId="84" fillId="21" borderId="223" applyNumberFormat="0" applyAlignment="0" applyProtection="0"/>
    <xf numFmtId="0" fontId="12" fillId="37" borderId="222" applyNumberFormat="0" applyFont="0" applyAlignment="0" applyProtection="0"/>
    <xf numFmtId="0" fontId="79" fillId="34" borderId="223" applyNumberFormat="0" applyAlignment="0" applyProtection="0"/>
    <xf numFmtId="0" fontId="84" fillId="21" borderId="223" applyNumberFormat="0" applyAlignment="0" applyProtection="0"/>
    <xf numFmtId="0" fontId="84" fillId="21" borderId="223" applyNumberFormat="0" applyAlignment="0" applyProtection="0"/>
    <xf numFmtId="0" fontId="12" fillId="37" borderId="226" applyNumberFormat="0" applyFont="0" applyAlignment="0" applyProtection="0"/>
    <xf numFmtId="0" fontId="5" fillId="0" borderId="225" applyNumberFormat="0" applyFill="0" applyAlignment="0" applyProtection="0"/>
    <xf numFmtId="0" fontId="84" fillId="21" borderId="223" applyNumberFormat="0" applyAlignment="0" applyProtection="0"/>
    <xf numFmtId="0" fontId="87" fillId="34" borderId="224" applyNumberFormat="0" applyAlignment="0" applyProtection="0"/>
    <xf numFmtId="0" fontId="84" fillId="21" borderId="250" applyNumberFormat="0" applyAlignment="0" applyProtection="0"/>
    <xf numFmtId="0" fontId="79" fillId="34" borderId="223" applyNumberFormat="0" applyAlignment="0" applyProtection="0"/>
    <xf numFmtId="0" fontId="12" fillId="37" borderId="283" applyNumberFormat="0" applyFont="0" applyAlignment="0" applyProtection="0"/>
    <xf numFmtId="0" fontId="12" fillId="37" borderId="222" applyNumberFormat="0" applyFont="0" applyAlignment="0" applyProtection="0"/>
    <xf numFmtId="0" fontId="87" fillId="34" borderId="224" applyNumberFormat="0" applyAlignment="0" applyProtection="0"/>
    <xf numFmtId="0" fontId="79" fillId="34" borderId="223" applyNumberFormat="0" applyAlignment="0" applyProtection="0"/>
    <xf numFmtId="0" fontId="12" fillId="37" borderId="230" applyNumberFormat="0" applyFont="0" applyAlignment="0" applyProtection="0"/>
    <xf numFmtId="0" fontId="12" fillId="37" borderId="230" applyNumberFormat="0" applyFont="0" applyAlignment="0" applyProtection="0"/>
    <xf numFmtId="0" fontId="12" fillId="37" borderId="243" applyNumberFormat="0" applyFont="0" applyAlignment="0" applyProtection="0"/>
    <xf numFmtId="0" fontId="84" fillId="21" borderId="237" applyNumberFormat="0" applyAlignment="0" applyProtection="0"/>
    <xf numFmtId="0" fontId="5" fillId="0" borderId="252" applyNumberFormat="0" applyFill="0" applyAlignment="0" applyProtection="0"/>
    <xf numFmtId="0" fontId="12" fillId="37" borderId="277" applyNumberFormat="0" applyFon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87" fillId="34" borderId="228" applyNumberFormat="0" applyAlignment="0" applyProtection="0"/>
    <xf numFmtId="0" fontId="5" fillId="0" borderId="229" applyNumberFormat="0" applyFill="0" applyAlignment="0" applyProtection="0"/>
    <xf numFmtId="0" fontId="84" fillId="21" borderId="227" applyNumberFormat="0" applyAlignment="0" applyProtection="0"/>
    <xf numFmtId="0" fontId="12" fillId="37" borderId="226" applyNumberFormat="0" applyFont="0" applyAlignment="0" applyProtection="0"/>
    <xf numFmtId="0" fontId="84" fillId="21" borderId="227" applyNumberFormat="0" applyAlignment="0" applyProtection="0"/>
    <xf numFmtId="0" fontId="84" fillId="21" borderId="227" applyNumberFormat="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87" fillId="34" borderId="228"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37" applyNumberFormat="0" applyAlignment="0" applyProtection="0"/>
    <xf numFmtId="0" fontId="79" fillId="34" borderId="227" applyNumberFormat="0" applyAlignment="0" applyProtection="0"/>
    <xf numFmtId="0" fontId="87" fillId="34" borderId="228" applyNumberFormat="0" applyAlignment="0" applyProtection="0"/>
    <xf numFmtId="0" fontId="12" fillId="37" borderId="226" applyNumberFormat="0" applyFont="0" applyAlignment="0" applyProtection="0"/>
    <xf numFmtId="0" fontId="84" fillId="21" borderId="227" applyNumberFormat="0" applyAlignment="0" applyProtection="0"/>
    <xf numFmtId="0" fontId="79" fillId="34" borderId="227" applyNumberFormat="0" applyAlignment="0" applyProtection="0"/>
    <xf numFmtId="0" fontId="79" fillId="34" borderId="227" applyNumberFormat="0" applyAlignment="0" applyProtection="0"/>
    <xf numFmtId="0" fontId="79" fillId="34" borderId="227" applyNumberFormat="0" applyAlignment="0" applyProtection="0"/>
    <xf numFmtId="0" fontId="84" fillId="21" borderId="227" applyNumberFormat="0" applyAlignment="0" applyProtection="0"/>
    <xf numFmtId="0" fontId="84" fillId="21"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12" fillId="37" borderId="226" applyNumberFormat="0" applyFont="0" applyAlignment="0" applyProtection="0"/>
    <xf numFmtId="0" fontId="79" fillId="34" borderId="227" applyNumberForma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87" fillId="34" borderId="228" applyNumberFormat="0" applyAlignment="0" applyProtection="0"/>
    <xf numFmtId="0" fontId="12" fillId="37" borderId="226" applyNumberFormat="0" applyFont="0" applyAlignment="0" applyProtection="0"/>
    <xf numFmtId="0" fontId="84" fillId="21" borderId="227" applyNumberForma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5" fillId="0" borderId="252" applyNumberFormat="0" applyFill="0" applyAlignment="0" applyProtection="0"/>
    <xf numFmtId="0" fontId="12" fillId="37" borderId="236" applyNumberFormat="0" applyFont="0" applyAlignment="0" applyProtection="0"/>
    <xf numFmtId="0" fontId="12" fillId="37" borderId="226" applyNumberFormat="0" applyFont="0" applyAlignment="0" applyProtection="0"/>
    <xf numFmtId="0" fontId="87" fillId="34" borderId="228" applyNumberFormat="0" applyAlignment="0" applyProtection="0"/>
    <xf numFmtId="0" fontId="12" fillId="37" borderId="226" applyNumberFormat="0" applyFont="0" applyAlignment="0" applyProtection="0"/>
    <xf numFmtId="0" fontId="79" fillId="34" borderId="227"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5" fillId="0" borderId="229" applyNumberFormat="0" applyFill="0" applyAlignment="0" applyProtection="0"/>
    <xf numFmtId="0" fontId="87" fillId="34" borderId="228" applyNumberFormat="0" applyAlignment="0" applyProtection="0"/>
    <xf numFmtId="0" fontId="87" fillId="34" borderId="228" applyNumberFormat="0" applyAlignment="0" applyProtection="0"/>
    <xf numFmtId="0" fontId="12" fillId="37" borderId="226" applyNumberFormat="0" applyFont="0" applyAlignment="0" applyProtection="0"/>
    <xf numFmtId="0" fontId="12" fillId="37" borderId="226" applyNumberFormat="0" applyFont="0" applyAlignment="0" applyProtection="0"/>
    <xf numFmtId="0" fontId="84" fillId="21" borderId="227" applyNumberFormat="0" applyAlignment="0" applyProtection="0"/>
    <xf numFmtId="0" fontId="84" fillId="21" borderId="227" applyNumberFormat="0" applyAlignment="0" applyProtection="0"/>
    <xf numFmtId="0" fontId="79" fillId="34" borderId="227" applyNumberFormat="0" applyAlignment="0" applyProtection="0"/>
    <xf numFmtId="0" fontId="79" fillId="34" borderId="227" applyNumberFormat="0" applyAlignment="0" applyProtection="0"/>
    <xf numFmtId="0" fontId="87" fillId="34" borderId="228" applyNumberFormat="0" applyAlignment="0" applyProtection="0"/>
    <xf numFmtId="0" fontId="5" fillId="0" borderId="229" applyNumberFormat="0" applyFill="0" applyAlignment="0" applyProtection="0"/>
    <xf numFmtId="0" fontId="5" fillId="0" borderId="229" applyNumberFormat="0" applyFill="0" applyAlignment="0" applyProtection="0"/>
    <xf numFmtId="0" fontId="12" fillId="37" borderId="226" applyNumberFormat="0" applyFont="0" applyAlignment="0" applyProtection="0"/>
    <xf numFmtId="0" fontId="5" fillId="0" borderId="229" applyNumberFormat="0" applyFill="0" applyAlignment="0" applyProtection="0"/>
    <xf numFmtId="0" fontId="12" fillId="37" borderId="226" applyNumberFormat="0" applyFont="0" applyAlignment="0" applyProtection="0"/>
    <xf numFmtId="0" fontId="84" fillId="21" borderId="227" applyNumberFormat="0" applyAlignment="0" applyProtection="0"/>
    <xf numFmtId="0" fontId="12" fillId="37" borderId="226" applyNumberFormat="0" applyFont="0" applyAlignment="0" applyProtection="0"/>
    <xf numFmtId="0" fontId="79" fillId="34" borderId="227" applyNumberFormat="0" applyAlignment="0" applyProtection="0"/>
    <xf numFmtId="0" fontId="84" fillId="21" borderId="227" applyNumberFormat="0" applyAlignment="0" applyProtection="0"/>
    <xf numFmtId="0" fontId="5" fillId="0" borderId="239" applyNumberFormat="0" applyFill="0" applyAlignment="0" applyProtection="0"/>
    <xf numFmtId="0" fontId="84" fillId="21" borderId="227" applyNumberFormat="0" applyAlignment="0" applyProtection="0"/>
    <xf numFmtId="0" fontId="87" fillId="34" borderId="238" applyNumberFormat="0" applyAlignment="0" applyProtection="0"/>
    <xf numFmtId="0" fontId="5" fillId="0" borderId="229" applyNumberFormat="0" applyFill="0" applyAlignment="0" applyProtection="0"/>
    <xf numFmtId="0" fontId="84" fillId="21" borderId="227" applyNumberFormat="0" applyAlignment="0" applyProtection="0"/>
    <xf numFmtId="0" fontId="87" fillId="34" borderId="228" applyNumberFormat="0" applyAlignment="0" applyProtection="0"/>
    <xf numFmtId="0" fontId="5" fillId="0" borderId="239" applyNumberFormat="0" applyFill="0" applyAlignment="0" applyProtection="0"/>
    <xf numFmtId="0" fontId="79" fillId="34" borderId="227" applyNumberFormat="0" applyAlignment="0" applyProtection="0"/>
    <xf numFmtId="0" fontId="87" fillId="34" borderId="238" applyNumberFormat="0" applyAlignment="0" applyProtection="0"/>
    <xf numFmtId="0" fontId="12" fillId="37" borderId="226" applyNumberFormat="0" applyFont="0" applyAlignment="0" applyProtection="0"/>
    <xf numFmtId="0" fontId="87" fillId="34" borderId="228" applyNumberFormat="0" applyAlignment="0" applyProtection="0"/>
    <xf numFmtId="0" fontId="79" fillId="34" borderId="227" applyNumberFormat="0" applyAlignment="0" applyProtection="0"/>
    <xf numFmtId="0" fontId="12" fillId="37" borderId="236" applyNumberFormat="0" applyFont="0" applyAlignment="0" applyProtection="0"/>
    <xf numFmtId="0" fontId="12" fillId="37" borderId="236" applyNumberFormat="0" applyFont="0" applyAlignment="0" applyProtection="0"/>
    <xf numFmtId="0" fontId="12" fillId="37" borderId="236" applyNumberFormat="0" applyFont="0" applyAlignment="0" applyProtection="0"/>
    <xf numFmtId="0" fontId="87" fillId="34" borderId="238" applyNumberFormat="0" applyAlignment="0" applyProtection="0"/>
    <xf numFmtId="0" fontId="12" fillId="37" borderId="236" applyNumberFormat="0" applyFont="0" applyAlignment="0" applyProtection="0"/>
    <xf numFmtId="0" fontId="79" fillId="34" borderId="237" applyNumberFormat="0" applyAlignment="0" applyProtection="0"/>
    <xf numFmtId="0" fontId="79" fillId="34" borderId="244" applyNumberFormat="0" applyAlignment="0" applyProtection="0"/>
    <xf numFmtId="0" fontId="79" fillId="34" borderId="250" applyNumberFormat="0" applyAlignment="0" applyProtection="0"/>
    <xf numFmtId="0" fontId="12" fillId="37" borderId="303" applyNumberFormat="0" applyFont="0" applyAlignment="0" applyProtection="0"/>
    <xf numFmtId="0" fontId="5" fillId="0" borderId="306" applyNumberFormat="0" applyFill="0" applyAlignment="0" applyProtection="0"/>
    <xf numFmtId="0" fontId="84" fillId="21" borderId="237" applyNumberFormat="0" applyAlignment="0" applyProtection="0"/>
    <xf numFmtId="0" fontId="5" fillId="0" borderId="239" applyNumberFormat="0" applyFill="0" applyAlignment="0" applyProtection="0"/>
    <xf numFmtId="0" fontId="79" fillId="34" borderId="250" applyNumberFormat="0" applyAlignment="0" applyProtection="0"/>
    <xf numFmtId="0" fontId="12" fillId="37" borderId="258"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36" applyNumberFormat="0" applyFont="0" applyAlignment="0" applyProtection="0"/>
    <xf numFmtId="0" fontId="87" fillId="34" borderId="238" applyNumberFormat="0" applyAlignment="0" applyProtection="0"/>
    <xf numFmtId="0" fontId="84" fillId="21" borderId="237" applyNumberFormat="0" applyAlignment="0" applyProtection="0"/>
    <xf numFmtId="0" fontId="84" fillId="21" borderId="2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63" applyNumberFormat="0" applyFont="0" applyAlignment="0" applyProtection="0"/>
    <xf numFmtId="0" fontId="79" fillId="34" borderId="237" applyNumberFormat="0" applyAlignment="0" applyProtection="0"/>
    <xf numFmtId="0" fontId="87" fillId="34" borderId="238" applyNumberFormat="0" applyAlignment="0" applyProtection="0"/>
    <xf numFmtId="0" fontId="12" fillId="37" borderId="253" applyNumberFormat="0" applyFont="0" applyAlignment="0" applyProtection="0"/>
    <xf numFmtId="0" fontId="12" fillId="37" borderId="236" applyNumberFormat="0" applyFont="0" applyAlignment="0" applyProtection="0"/>
    <xf numFmtId="0" fontId="84" fillId="21" borderId="250" applyNumberFormat="0" applyAlignment="0" applyProtection="0"/>
    <xf numFmtId="0" fontId="79" fillId="34" borderId="270" applyNumberFormat="0" applyAlignment="0" applyProtection="0"/>
    <xf numFmtId="0" fontId="87" fillId="34" borderId="279" applyNumberFormat="0" applyAlignment="0" applyProtection="0"/>
    <xf numFmtId="0" fontId="5" fillId="0" borderId="252" applyNumberFormat="0" applyFill="0" applyAlignment="0" applyProtection="0"/>
    <xf numFmtId="0" fontId="84" fillId="21" borderId="237" applyNumberFormat="0" applyAlignment="0" applyProtection="0"/>
    <xf numFmtId="0" fontId="87" fillId="34" borderId="238" applyNumberFormat="0" applyAlignment="0" applyProtection="0"/>
    <xf numFmtId="0" fontId="12" fillId="37" borderId="236" applyNumberFormat="0" applyFont="0" applyAlignment="0" applyProtection="0"/>
    <xf numFmtId="0" fontId="87" fillId="34" borderId="260" applyNumberFormat="0" applyAlignment="0" applyProtection="0"/>
    <xf numFmtId="0" fontId="12" fillId="37" borderId="249" applyNumberFormat="0" applyFont="0" applyAlignment="0" applyProtection="0"/>
    <xf numFmtId="0" fontId="12" fillId="37" borderId="253" applyNumberFormat="0" applyFont="0" applyAlignment="0" applyProtection="0"/>
    <xf numFmtId="0" fontId="84" fillId="21" borderId="284" applyNumberFormat="0" applyAlignment="0" applyProtection="0"/>
    <xf numFmtId="0" fontId="12" fillId="37" borderId="258" applyNumberFormat="0" applyFont="0" applyAlignment="0" applyProtection="0"/>
    <xf numFmtId="0" fontId="5" fillId="0" borderId="239" applyNumberFormat="0" applyFill="0" applyAlignment="0" applyProtection="0"/>
    <xf numFmtId="0" fontId="87" fillId="34" borderId="295" applyNumberFormat="0" applyAlignment="0" applyProtection="0"/>
    <xf numFmtId="0" fontId="12" fillId="37" borderId="293" applyNumberFormat="0" applyFont="0" applyAlignment="0" applyProtection="0"/>
    <xf numFmtId="0" fontId="87" fillId="34" borderId="251" applyNumberFormat="0" applyAlignment="0" applyProtection="0"/>
    <xf numFmtId="0" fontId="79" fillId="34" borderId="237" applyNumberFormat="0" applyAlignment="0" applyProtection="0"/>
    <xf numFmtId="0" fontId="5" fillId="0" borderId="252" applyNumberFormat="0" applyFill="0" applyAlignment="0" applyProtection="0"/>
    <xf numFmtId="0" fontId="12" fillId="37" borderId="273" applyNumberFormat="0" applyFont="0" applyAlignment="0" applyProtection="0"/>
    <xf numFmtId="0" fontId="79" fillId="34" borderId="237" applyNumberFormat="0" applyAlignment="0" applyProtection="0"/>
    <xf numFmtId="0" fontId="84" fillId="21" borderId="310" applyNumberFormat="0" applyAlignment="0" applyProtection="0"/>
    <xf numFmtId="0" fontId="84" fillId="21" borderId="300" applyNumberFormat="0" applyAlignment="0" applyProtection="0"/>
    <xf numFmtId="0" fontId="84" fillId="21" borderId="294"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84" applyNumberFormat="0" applyAlignment="0" applyProtection="0"/>
    <xf numFmtId="0" fontId="87" fillId="34" borderId="251" applyNumberFormat="0" applyAlignment="0" applyProtection="0"/>
    <xf numFmtId="0" fontId="5" fillId="0" borderId="261" applyNumberFormat="0" applyFill="0" applyAlignment="0" applyProtection="0"/>
    <xf numFmtId="0" fontId="84" fillId="21" borderId="250" applyNumberFormat="0" applyAlignment="0" applyProtection="0"/>
    <xf numFmtId="0" fontId="79" fillId="34" borderId="294" applyNumberFormat="0" applyAlignment="0" applyProtection="0"/>
    <xf numFmtId="0" fontId="79" fillId="34" borderId="250" applyNumberFormat="0" applyAlignment="0" applyProtection="0"/>
    <xf numFmtId="0" fontId="12" fillId="37" borderId="269" applyNumberFormat="0" applyFont="0" applyAlignment="0" applyProtection="0"/>
    <xf numFmtId="0" fontId="87" fillId="34" borderId="271" applyNumberFormat="0" applyAlignment="0" applyProtection="0"/>
    <xf numFmtId="0" fontId="12" fillId="37" borderId="299" applyNumberFormat="0" applyFont="0" applyAlignment="0" applyProtection="0"/>
    <xf numFmtId="0" fontId="84" fillId="21" borderId="270" applyNumberFormat="0" applyAlignment="0" applyProtection="0"/>
    <xf numFmtId="0" fontId="5" fillId="0" borderId="302" applyNumberFormat="0" applyFill="0" applyAlignment="0" applyProtection="0"/>
    <xf numFmtId="0" fontId="12" fillId="37" borderId="299" applyNumberFormat="0" applyFont="0" applyAlignment="0" applyProtection="0"/>
    <xf numFmtId="0" fontId="87" fillId="34" borderId="279" applyNumberFormat="0" applyAlignment="0" applyProtection="0"/>
    <xf numFmtId="0" fontId="12" fillId="37" borderId="249" applyNumberFormat="0" applyFont="0" applyAlignment="0" applyProtection="0"/>
    <xf numFmtId="0" fontId="87" fillId="34" borderId="251" applyNumberFormat="0" applyAlignment="0" applyProtection="0"/>
    <xf numFmtId="0" fontId="87" fillId="34" borderId="265"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49" applyNumberFormat="0" applyFont="0" applyAlignment="0" applyProtection="0"/>
    <xf numFmtId="0" fontId="87" fillId="34" borderId="245" applyNumberFormat="0" applyAlignment="0" applyProtection="0"/>
    <xf numFmtId="0" fontId="84" fillId="21" borderId="244" applyNumberFormat="0" applyAlignment="0" applyProtection="0"/>
    <xf numFmtId="0" fontId="5" fillId="0" borderId="306"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94" applyNumberFormat="0" applyAlignment="0" applyProtection="0"/>
    <xf numFmtId="0" fontId="79" fillId="34" borderId="310" applyNumberForma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79" fillId="34"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87" fillId="34" borderId="245" applyNumberFormat="0" applyAlignment="0" applyProtection="0"/>
    <xf numFmtId="0" fontId="5" fillId="0" borderId="246" applyNumberFormat="0" applyFill="0" applyAlignment="0" applyProtection="0"/>
    <xf numFmtId="0" fontId="84" fillId="21" borderId="244" applyNumberFormat="0" applyAlignment="0" applyProtection="0"/>
    <xf numFmtId="0" fontId="12" fillId="37" borderId="243" applyNumberFormat="0" applyFont="0" applyAlignment="0" applyProtection="0"/>
    <xf numFmtId="0" fontId="84" fillId="21" borderId="244" applyNumberFormat="0" applyAlignment="0" applyProtection="0"/>
    <xf numFmtId="0" fontId="84" fillId="21" borderId="244" applyNumberFormat="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87" fillId="34" borderId="245"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51" applyNumberFormat="0" applyAlignment="0" applyProtection="0"/>
    <xf numFmtId="0" fontId="79" fillId="34" borderId="244" applyNumberFormat="0" applyAlignment="0" applyProtection="0"/>
    <xf numFmtId="0" fontId="87" fillId="34" borderId="245" applyNumberFormat="0" applyAlignment="0" applyProtection="0"/>
    <xf numFmtId="0" fontId="12" fillId="37" borderId="243" applyNumberFormat="0" applyFont="0" applyAlignment="0" applyProtection="0"/>
    <xf numFmtId="0" fontId="84" fillId="21" borderId="244" applyNumberFormat="0" applyAlignment="0" applyProtection="0"/>
    <xf numFmtId="0" fontId="79" fillId="34" borderId="244" applyNumberFormat="0" applyAlignment="0" applyProtection="0"/>
    <xf numFmtId="0" fontId="79" fillId="34" borderId="244" applyNumberFormat="0" applyAlignment="0" applyProtection="0"/>
    <xf numFmtId="0" fontId="79" fillId="34" borderId="244" applyNumberFormat="0" applyAlignment="0" applyProtection="0"/>
    <xf numFmtId="0" fontId="84" fillId="21" borderId="244" applyNumberFormat="0" applyAlignment="0" applyProtection="0"/>
    <xf numFmtId="0" fontId="84" fillId="21"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12" fillId="37" borderId="243" applyNumberFormat="0" applyFont="0" applyAlignment="0" applyProtection="0"/>
    <xf numFmtId="0" fontId="79" fillId="34" borderId="244" applyNumberForma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87" fillId="34" borderId="245" applyNumberFormat="0" applyAlignment="0" applyProtection="0"/>
    <xf numFmtId="0" fontId="12" fillId="37" borderId="243" applyNumberFormat="0" applyFont="0" applyAlignment="0" applyProtection="0"/>
    <xf numFmtId="0" fontId="84" fillId="21" borderId="244" applyNumberForma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7" fillId="34" borderId="245" applyNumberFormat="0" applyAlignment="0" applyProtection="0"/>
    <xf numFmtId="0" fontId="79" fillId="34" borderId="264" applyNumberFormat="0" applyAlignment="0" applyProtection="0"/>
    <xf numFmtId="0" fontId="12" fillId="37" borderId="243" applyNumberFormat="0" applyFont="0" applyAlignment="0" applyProtection="0"/>
    <xf numFmtId="0" fontId="87" fillId="34" borderId="245" applyNumberFormat="0" applyAlignment="0" applyProtection="0"/>
    <xf numFmtId="0" fontId="12" fillId="37" borderId="243" applyNumberFormat="0" applyFont="0" applyAlignment="0" applyProtection="0"/>
    <xf numFmtId="0" fontId="79" fillId="34" borderId="244"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5" fillId="0" borderId="246" applyNumberFormat="0" applyFill="0" applyAlignment="0" applyProtection="0"/>
    <xf numFmtId="0" fontId="87" fillId="34" borderId="245" applyNumberFormat="0" applyAlignment="0" applyProtection="0"/>
    <xf numFmtId="0" fontId="87" fillId="34" borderId="245" applyNumberFormat="0" applyAlignment="0" applyProtection="0"/>
    <xf numFmtId="0" fontId="12" fillId="37" borderId="243" applyNumberFormat="0" applyFont="0" applyAlignment="0" applyProtection="0"/>
    <xf numFmtId="0" fontId="12" fillId="37" borderId="243" applyNumberFormat="0" applyFont="0" applyAlignment="0" applyProtection="0"/>
    <xf numFmtId="0" fontId="84" fillId="21" borderId="244" applyNumberFormat="0" applyAlignment="0" applyProtection="0"/>
    <xf numFmtId="0" fontId="84" fillId="21" borderId="244" applyNumberFormat="0" applyAlignment="0" applyProtection="0"/>
    <xf numFmtId="0" fontId="79" fillId="34" borderId="244" applyNumberFormat="0" applyAlignment="0" applyProtection="0"/>
    <xf numFmtId="0" fontId="79" fillId="34" borderId="244" applyNumberFormat="0" applyAlignment="0" applyProtection="0"/>
    <xf numFmtId="0" fontId="87" fillId="34" borderId="245" applyNumberFormat="0" applyAlignment="0" applyProtection="0"/>
    <xf numFmtId="0" fontId="5" fillId="0" borderId="246" applyNumberFormat="0" applyFill="0" applyAlignment="0" applyProtection="0"/>
    <xf numFmtId="0" fontId="5" fillId="0" borderId="246" applyNumberFormat="0" applyFill="0" applyAlignment="0" applyProtection="0"/>
    <xf numFmtId="0" fontId="12" fillId="37" borderId="243" applyNumberFormat="0" applyFont="0" applyAlignment="0" applyProtection="0"/>
    <xf numFmtId="0" fontId="5" fillId="0" borderId="246" applyNumberFormat="0" applyFill="0" applyAlignment="0" applyProtection="0"/>
    <xf numFmtId="0" fontId="12" fillId="37" borderId="243" applyNumberFormat="0" applyFont="0" applyAlignment="0" applyProtection="0"/>
    <xf numFmtId="0" fontId="84" fillId="21" borderId="244" applyNumberFormat="0" applyAlignment="0" applyProtection="0"/>
    <xf numFmtId="0" fontId="12" fillId="37" borderId="243" applyNumberFormat="0" applyFont="0" applyAlignment="0" applyProtection="0"/>
    <xf numFmtId="0" fontId="79" fillId="34" borderId="244" applyNumberFormat="0" applyAlignment="0" applyProtection="0"/>
    <xf numFmtId="0" fontId="84" fillId="21" borderId="244" applyNumberFormat="0" applyAlignment="0" applyProtection="0"/>
    <xf numFmtId="0" fontId="12" fillId="37" borderId="283" applyNumberFormat="0" applyFont="0" applyAlignment="0" applyProtection="0"/>
    <xf numFmtId="0" fontId="84" fillId="21" borderId="244" applyNumberFormat="0" applyAlignment="0" applyProtection="0"/>
    <xf numFmtId="0" fontId="79" fillId="34" borderId="259" applyNumberFormat="0" applyAlignment="0" applyProtection="0"/>
    <xf numFmtId="0" fontId="5" fillId="0" borderId="246" applyNumberFormat="0" applyFill="0" applyAlignment="0" applyProtection="0"/>
    <xf numFmtId="0" fontId="84" fillId="21" borderId="244" applyNumberFormat="0" applyAlignment="0" applyProtection="0"/>
    <xf numFmtId="0" fontId="87" fillId="34" borderId="245" applyNumberFormat="0" applyAlignment="0" applyProtection="0"/>
    <xf numFmtId="0" fontId="79" fillId="34" borderId="244" applyNumberFormat="0" applyAlignment="0" applyProtection="0"/>
    <xf numFmtId="0" fontId="12" fillId="37" borderId="243" applyNumberFormat="0" applyFont="0" applyAlignment="0" applyProtection="0"/>
    <xf numFmtId="0" fontId="87" fillId="34" borderId="245" applyNumberFormat="0" applyAlignment="0" applyProtection="0"/>
    <xf numFmtId="0" fontId="79" fillId="34" borderId="244" applyNumberFormat="0" applyAlignment="0" applyProtection="0"/>
    <xf numFmtId="0" fontId="12" fillId="37" borderId="299" applyNumberFormat="0" applyFont="0" applyAlignment="0" applyProtection="0"/>
    <xf numFmtId="0" fontId="87" fillId="34" borderId="305" applyNumberFormat="0" applyAlignment="0" applyProtection="0"/>
    <xf numFmtId="0" fontId="87" fillId="34" borderId="251" applyNumberFormat="0" applyAlignment="0" applyProtection="0"/>
    <xf numFmtId="0" fontId="5" fillId="0" borderId="27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84" applyNumberFormat="0" applyAlignment="0" applyProtection="0"/>
    <xf numFmtId="0" fontId="12" fillId="37" borderId="253" applyNumberFormat="0" applyFont="0" applyAlignment="0" applyProtection="0"/>
    <xf numFmtId="0" fontId="79" fillId="34" borderId="288"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30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65" applyNumberFormat="0" applyAlignment="0" applyProtection="0"/>
    <xf numFmtId="0" fontId="84" fillId="21" borderId="250" applyNumberFormat="0" applyAlignment="0" applyProtection="0"/>
    <xf numFmtId="0" fontId="12" fillId="37" borderId="309"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78"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49"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64"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63" applyNumberFormat="0" applyFont="0" applyAlignment="0" applyProtection="0"/>
    <xf numFmtId="0" fontId="84" fillId="21" borderId="278" applyNumberFormat="0" applyAlignment="0" applyProtection="0"/>
    <xf numFmtId="0" fontId="12" fillId="37" borderId="253" applyNumberFormat="0" applyFont="0" applyAlignment="0" applyProtection="0"/>
    <xf numFmtId="0" fontId="12" fillId="37" borderId="269"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60" applyNumberFormat="0" applyAlignment="0" applyProtection="0"/>
    <xf numFmtId="0" fontId="12" fillId="37" borderId="258"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309" applyNumberFormat="0" applyFont="0" applyAlignment="0" applyProtection="0"/>
    <xf numFmtId="0" fontId="79" fillId="34" borderId="31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66" applyNumberFormat="0" applyFill="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8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304" applyNumberFormat="0" applyAlignment="0" applyProtection="0"/>
    <xf numFmtId="0" fontId="84" fillId="21" borderId="250" applyNumberFormat="0" applyAlignment="0" applyProtection="0"/>
    <xf numFmtId="0" fontId="12" fillId="37" borderId="263" applyNumberFormat="0" applyFont="0" applyAlignment="0" applyProtection="0"/>
    <xf numFmtId="0" fontId="12" fillId="37" borderId="253" applyNumberFormat="0" applyFont="0" applyAlignment="0" applyProtection="0"/>
    <xf numFmtId="0" fontId="12" fillId="37" borderId="293" applyNumberFormat="0" applyFont="0" applyAlignment="0" applyProtection="0"/>
    <xf numFmtId="0" fontId="84" fillId="21" borderId="250" applyNumberFormat="0" applyAlignment="0" applyProtection="0"/>
    <xf numFmtId="0" fontId="79" fillId="34" borderId="304" applyNumberFormat="0" applyAlignment="0" applyProtection="0"/>
    <xf numFmtId="0" fontId="87" fillId="34" borderId="285" applyNumberFormat="0" applyAlignment="0" applyProtection="0"/>
    <xf numFmtId="0" fontId="5" fillId="0" borderId="286"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79" fillId="34" borderId="304"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301" applyNumberFormat="0" applyAlignment="0" applyProtection="0"/>
    <xf numFmtId="0" fontId="79" fillId="34" borderId="278" applyNumberFormat="0" applyAlignment="0" applyProtection="0"/>
    <xf numFmtId="0" fontId="12" fillId="37" borderId="303" applyNumberFormat="0" applyFont="0" applyAlignment="0" applyProtection="0"/>
    <xf numFmtId="0" fontId="87" fillId="34" borderId="265" applyNumberFormat="0" applyAlignment="0" applyProtection="0"/>
    <xf numFmtId="0" fontId="84" fillId="21" borderId="264" applyNumberFormat="0" applyAlignment="0" applyProtection="0"/>
    <xf numFmtId="0" fontId="12" fillId="37" borderId="309" applyNumberFormat="0" applyFont="0" applyAlignment="0" applyProtection="0"/>
    <xf numFmtId="0" fontId="5" fillId="0" borderId="276" applyNumberFormat="0" applyFill="0" applyAlignment="0" applyProtection="0"/>
    <xf numFmtId="0" fontId="84" fillId="21" borderId="274" applyNumberFormat="0" applyAlignment="0" applyProtection="0"/>
    <xf numFmtId="0" fontId="84" fillId="21" borderId="304" applyNumberForma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79" fillId="34"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7" fillId="34" borderId="265" applyNumberFormat="0" applyAlignment="0" applyProtection="0"/>
    <xf numFmtId="0" fontId="5" fillId="0" borderId="266" applyNumberFormat="0" applyFill="0" applyAlignment="0" applyProtection="0"/>
    <xf numFmtId="0" fontId="84" fillId="21" borderId="264" applyNumberFormat="0" applyAlignment="0" applyProtection="0"/>
    <xf numFmtId="0" fontId="12" fillId="37" borderId="263" applyNumberFormat="0" applyFont="0" applyAlignment="0" applyProtection="0"/>
    <xf numFmtId="0" fontId="84" fillId="21" borderId="264" applyNumberFormat="0" applyAlignment="0" applyProtection="0"/>
    <xf numFmtId="0" fontId="84" fillId="21" borderId="264" applyNumberForma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87"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87"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4" fillId="21" borderId="274" applyNumberFormat="0" applyAlignment="0" applyProtection="0"/>
    <xf numFmtId="0" fontId="79" fillId="34" borderId="264" applyNumberFormat="0" applyAlignment="0" applyProtection="0"/>
    <xf numFmtId="0" fontId="87" fillId="34" borderId="265" applyNumberFormat="0" applyAlignment="0" applyProtection="0"/>
    <xf numFmtId="0" fontId="12" fillId="37" borderId="263" applyNumberFormat="0" applyFont="0" applyAlignment="0" applyProtection="0"/>
    <xf numFmtId="0" fontId="84" fillId="21" borderId="264" applyNumberFormat="0" applyAlignment="0" applyProtection="0"/>
    <xf numFmtId="0" fontId="79" fillId="34" borderId="264" applyNumberFormat="0" applyAlignment="0" applyProtection="0"/>
    <xf numFmtId="0" fontId="79" fillId="34" borderId="264" applyNumberFormat="0" applyAlignment="0" applyProtection="0"/>
    <xf numFmtId="0" fontId="79" fillId="34" borderId="264" applyNumberFormat="0" applyAlignment="0" applyProtection="0"/>
    <xf numFmtId="0" fontId="84" fillId="21" borderId="264" applyNumberFormat="0" applyAlignment="0" applyProtection="0"/>
    <xf numFmtId="0" fontId="84" fillId="21"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79" fillId="34" borderId="264" applyNumberForma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87" fillId="34" borderId="265" applyNumberFormat="0" applyAlignment="0" applyProtection="0"/>
    <xf numFmtId="0" fontId="12" fillId="37" borderId="263" applyNumberFormat="0" applyFont="0" applyAlignment="0" applyProtection="0"/>
    <xf numFmtId="0" fontId="84" fillId="21" borderId="264" applyNumberForma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63" applyNumberFormat="0" applyFont="0" applyAlignment="0" applyProtection="0"/>
    <xf numFmtId="0" fontId="87" fillId="34" borderId="265" applyNumberFormat="0" applyAlignment="0" applyProtection="0"/>
    <xf numFmtId="0" fontId="12" fillId="37" borderId="263" applyNumberFormat="0" applyFont="0" applyAlignment="0" applyProtection="0"/>
    <xf numFmtId="0" fontId="79"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87" fillId="34" borderId="265" applyNumberFormat="0" applyAlignment="0" applyProtection="0"/>
    <xf numFmtId="0" fontId="87"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21" borderId="264" applyNumberFormat="0" applyAlignment="0" applyProtection="0"/>
    <xf numFmtId="0" fontId="84" fillId="21" borderId="264" applyNumberFormat="0" applyAlignment="0" applyProtection="0"/>
    <xf numFmtId="0" fontId="79" fillId="34" borderId="264" applyNumberFormat="0" applyAlignment="0" applyProtection="0"/>
    <xf numFmtId="0" fontId="79" fillId="34" borderId="264" applyNumberFormat="0" applyAlignment="0" applyProtection="0"/>
    <xf numFmtId="0" fontId="87" fillId="34" borderId="265" applyNumberFormat="0" applyAlignment="0" applyProtection="0"/>
    <xf numFmtId="0" fontId="5" fillId="0" borderId="266" applyNumberFormat="0" applyFill="0" applyAlignment="0" applyProtection="0"/>
    <xf numFmtId="0" fontId="12" fillId="37" borderId="27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4" fillId="21" borderId="264" applyNumberFormat="0" applyAlignment="0" applyProtection="0"/>
    <xf numFmtId="0" fontId="12" fillId="37" borderId="263" applyNumberFormat="0" applyFont="0" applyAlignment="0" applyProtection="0"/>
    <xf numFmtId="0" fontId="79" fillId="34" borderId="264" applyNumberFormat="0" applyAlignment="0" applyProtection="0"/>
    <xf numFmtId="0" fontId="84" fillId="21" borderId="264" applyNumberFormat="0" applyAlignment="0" applyProtection="0"/>
    <xf numFmtId="0" fontId="5" fillId="0" borderId="276" applyNumberFormat="0" applyFill="0" applyAlignment="0" applyProtection="0"/>
    <xf numFmtId="0" fontId="84" fillId="21" borderId="264" applyNumberFormat="0" applyAlignment="0" applyProtection="0"/>
    <xf numFmtId="0" fontId="79" fillId="34" borderId="274" applyNumberFormat="0" applyAlignment="0" applyProtection="0"/>
    <xf numFmtId="0" fontId="5" fillId="0" borderId="266" applyNumberFormat="0" applyFill="0" applyAlignment="0" applyProtection="0"/>
    <xf numFmtId="0" fontId="84" fillId="21" borderId="264" applyNumberFormat="0" applyAlignment="0" applyProtection="0"/>
    <xf numFmtId="0" fontId="87" fillId="34" borderId="265" applyNumberFormat="0" applyAlignment="0" applyProtection="0"/>
    <xf numFmtId="0" fontId="87" fillId="34" borderId="275" applyNumberFormat="0" applyAlignment="0" applyProtection="0"/>
    <xf numFmtId="0" fontId="79" fillId="34" borderId="264" applyNumberFormat="0" applyAlignment="0" applyProtection="0"/>
    <xf numFmtId="0" fontId="79" fillId="34" borderId="274" applyNumberFormat="0" applyAlignment="0" applyProtection="0"/>
    <xf numFmtId="0" fontId="12" fillId="37" borderId="263" applyNumberFormat="0" applyFont="0" applyAlignment="0" applyProtection="0"/>
    <xf numFmtId="0" fontId="87" fillId="34" borderId="265" applyNumberFormat="0" applyAlignment="0" applyProtection="0"/>
    <xf numFmtId="0" fontId="79" fillId="34" borderId="264" applyNumberFormat="0" applyAlignment="0" applyProtection="0"/>
    <xf numFmtId="0" fontId="84" fillId="21" borderId="27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75" applyNumberFormat="0" applyAlignment="0" applyProtection="0"/>
    <xf numFmtId="0" fontId="84" fillId="21" borderId="274" applyNumberFormat="0" applyAlignment="0" applyProtection="0"/>
    <xf numFmtId="0" fontId="84" fillId="21" borderId="310" applyNumberFormat="0" applyAlignment="0" applyProtection="0"/>
    <xf numFmtId="0" fontId="87" fillId="34" borderId="305" applyNumberFormat="0" applyAlignment="0" applyProtection="0"/>
    <xf numFmtId="0" fontId="5" fillId="0" borderId="280" applyNumberFormat="0" applyFill="0" applyAlignment="0" applyProtection="0"/>
    <xf numFmtId="0" fontId="84" fillId="21" borderId="288" applyNumberForma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79" fillId="34"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87" fillId="34" borderId="275" applyNumberFormat="0" applyAlignment="0" applyProtection="0"/>
    <xf numFmtId="0" fontId="5" fillId="0" borderId="276" applyNumberFormat="0" applyFill="0" applyAlignment="0" applyProtection="0"/>
    <xf numFmtId="0" fontId="84" fillId="21" borderId="274" applyNumberFormat="0" applyAlignment="0" applyProtection="0"/>
    <xf numFmtId="0" fontId="12" fillId="37" borderId="273" applyNumberFormat="0" applyFont="0" applyAlignment="0" applyProtection="0"/>
    <xf numFmtId="0" fontId="84" fillId="21" borderId="274" applyNumberFormat="0" applyAlignment="0" applyProtection="0"/>
    <xf numFmtId="0" fontId="84" fillId="21" borderId="274" applyNumberFormat="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87" fillId="34" borderId="27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7" applyNumberFormat="0" applyFont="0" applyAlignment="0" applyProtection="0"/>
    <xf numFmtId="0" fontId="79" fillId="34" borderId="274" applyNumberFormat="0" applyAlignment="0" applyProtection="0"/>
    <xf numFmtId="0" fontId="87" fillId="34" borderId="275" applyNumberFormat="0" applyAlignment="0" applyProtection="0"/>
    <xf numFmtId="0" fontId="12" fillId="37" borderId="273" applyNumberFormat="0" applyFont="0" applyAlignment="0" applyProtection="0"/>
    <xf numFmtId="0" fontId="84" fillId="21" borderId="274" applyNumberFormat="0" applyAlignment="0" applyProtection="0"/>
    <xf numFmtId="0" fontId="79" fillId="34" borderId="274" applyNumberFormat="0" applyAlignment="0" applyProtection="0"/>
    <xf numFmtId="0" fontId="79" fillId="34" borderId="274" applyNumberFormat="0" applyAlignment="0" applyProtection="0"/>
    <xf numFmtId="0" fontId="79" fillId="34" borderId="274" applyNumberFormat="0" applyAlignment="0" applyProtection="0"/>
    <xf numFmtId="0" fontId="84" fillId="21" borderId="274" applyNumberFormat="0" applyAlignment="0" applyProtection="0"/>
    <xf numFmtId="0" fontId="84" fillId="21"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12" fillId="37" borderId="273" applyNumberFormat="0" applyFont="0" applyAlignment="0" applyProtection="0"/>
    <xf numFmtId="0" fontId="79" fillId="34" borderId="274" applyNumberForma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87" fillId="34" borderId="275" applyNumberFormat="0" applyAlignment="0" applyProtection="0"/>
    <xf numFmtId="0" fontId="12" fillId="37" borderId="273" applyNumberFormat="0" applyFont="0" applyAlignment="0" applyProtection="0"/>
    <xf numFmtId="0" fontId="84" fillId="21" borderId="274" applyNumberForma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12" fillId="37" borderId="277" applyNumberFormat="0" applyFont="0" applyAlignment="0" applyProtection="0"/>
    <xf numFmtId="0" fontId="12" fillId="37" borderId="273" applyNumberFormat="0" applyFont="0" applyAlignment="0" applyProtection="0"/>
    <xf numFmtId="0" fontId="87" fillId="34" borderId="275" applyNumberFormat="0" applyAlignment="0" applyProtection="0"/>
    <xf numFmtId="0" fontId="12" fillId="37" borderId="273" applyNumberFormat="0" applyFont="0" applyAlignment="0" applyProtection="0"/>
    <xf numFmtId="0" fontId="79" fillId="34" borderId="274"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5" fillId="0" borderId="276" applyNumberFormat="0" applyFill="0" applyAlignment="0" applyProtection="0"/>
    <xf numFmtId="0" fontId="87" fillId="34" borderId="275" applyNumberFormat="0" applyAlignment="0" applyProtection="0"/>
    <xf numFmtId="0" fontId="87" fillId="34" borderId="275" applyNumberFormat="0" applyAlignment="0" applyProtection="0"/>
    <xf numFmtId="0" fontId="12" fillId="37" borderId="273" applyNumberFormat="0" applyFont="0" applyAlignment="0" applyProtection="0"/>
    <xf numFmtId="0" fontId="12" fillId="37" borderId="273" applyNumberFormat="0" applyFont="0" applyAlignment="0" applyProtection="0"/>
    <xf numFmtId="0" fontId="84" fillId="21" borderId="274" applyNumberFormat="0" applyAlignment="0" applyProtection="0"/>
    <xf numFmtId="0" fontId="84" fillId="21" borderId="274" applyNumberFormat="0" applyAlignment="0" applyProtection="0"/>
    <xf numFmtId="0" fontId="79" fillId="34" borderId="274" applyNumberFormat="0" applyAlignment="0" applyProtection="0"/>
    <xf numFmtId="0" fontId="79" fillId="34" borderId="274" applyNumberFormat="0" applyAlignment="0" applyProtection="0"/>
    <xf numFmtId="0" fontId="87" fillId="34" borderId="275" applyNumberFormat="0" applyAlignment="0" applyProtection="0"/>
    <xf numFmtId="0" fontId="5" fillId="0" borderId="276" applyNumberFormat="0" applyFill="0" applyAlignment="0" applyProtection="0"/>
    <xf numFmtId="0" fontId="5" fillId="0" borderId="276" applyNumberFormat="0" applyFill="0" applyAlignment="0" applyProtection="0"/>
    <xf numFmtId="0" fontId="12" fillId="37" borderId="273" applyNumberFormat="0" applyFont="0" applyAlignment="0" applyProtection="0"/>
    <xf numFmtId="0" fontId="5" fillId="0" borderId="276" applyNumberFormat="0" applyFill="0" applyAlignment="0" applyProtection="0"/>
    <xf numFmtId="0" fontId="12" fillId="37" borderId="273" applyNumberFormat="0" applyFont="0" applyAlignment="0" applyProtection="0"/>
    <xf numFmtId="0" fontId="84" fillId="21" borderId="274" applyNumberFormat="0" applyAlignment="0" applyProtection="0"/>
    <xf numFmtId="0" fontId="12" fillId="37" borderId="273" applyNumberFormat="0" applyFont="0" applyAlignment="0" applyProtection="0"/>
    <xf numFmtId="0" fontId="79" fillId="34" borderId="274" applyNumberFormat="0" applyAlignment="0" applyProtection="0"/>
    <xf numFmtId="0" fontId="84" fillId="21" borderId="274" applyNumberFormat="0" applyAlignment="0" applyProtection="0"/>
    <xf numFmtId="0" fontId="84" fillId="21" borderId="274" applyNumberFormat="0" applyAlignment="0" applyProtection="0"/>
    <xf numFmtId="0" fontId="5" fillId="0" borderId="280" applyNumberFormat="0" applyFill="0" applyAlignment="0" applyProtection="0"/>
    <xf numFmtId="0" fontId="5" fillId="0" borderId="276" applyNumberFormat="0" applyFill="0" applyAlignment="0" applyProtection="0"/>
    <xf numFmtId="0" fontId="84" fillId="21" borderId="274" applyNumberFormat="0" applyAlignment="0" applyProtection="0"/>
    <xf numFmtId="0" fontId="87" fillId="34" borderId="275" applyNumberFormat="0" applyAlignment="0" applyProtection="0"/>
    <xf numFmtId="0" fontId="79" fillId="34" borderId="274" applyNumberFormat="0" applyAlignment="0" applyProtection="0"/>
    <xf numFmtId="0" fontId="87" fillId="34" borderId="279" applyNumberFormat="0" applyAlignment="0" applyProtection="0"/>
    <xf numFmtId="0" fontId="12" fillId="37" borderId="273" applyNumberFormat="0" applyFont="0" applyAlignment="0" applyProtection="0"/>
    <xf numFmtId="0" fontId="87" fillId="34" borderId="275" applyNumberFormat="0" applyAlignment="0" applyProtection="0"/>
    <xf numFmtId="0" fontId="79" fillId="34" borderId="274" applyNumberFormat="0" applyAlignment="0" applyProtection="0"/>
    <xf numFmtId="0" fontId="87" fillId="34" borderId="279" applyNumberFormat="0" applyAlignment="0" applyProtection="0"/>
    <xf numFmtId="0" fontId="84" fillId="21" borderId="278" applyNumberFormat="0" applyAlignment="0" applyProtection="0"/>
    <xf numFmtId="0" fontId="12" fillId="37" borderId="299" applyNumberFormat="0" applyFont="0" applyAlignment="0" applyProtection="0"/>
    <xf numFmtId="0" fontId="87" fillId="34" borderId="289" applyNumberForma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79" fillId="34"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87" fillId="34" borderId="279" applyNumberFormat="0" applyAlignment="0" applyProtection="0"/>
    <xf numFmtId="0" fontId="5" fillId="0" borderId="280" applyNumberFormat="0" applyFill="0" applyAlignment="0" applyProtection="0"/>
    <xf numFmtId="0" fontId="84" fillId="21" borderId="278" applyNumberFormat="0" applyAlignment="0" applyProtection="0"/>
    <xf numFmtId="0" fontId="12" fillId="37" borderId="277" applyNumberFormat="0" applyFont="0" applyAlignment="0" applyProtection="0"/>
    <xf numFmtId="0" fontId="84" fillId="21" borderId="278" applyNumberFormat="0" applyAlignment="0" applyProtection="0"/>
    <xf numFmtId="0" fontId="84" fillId="21" borderId="278" applyNumberFormat="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87" fillId="34" borderId="279"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90" applyNumberFormat="0" applyFill="0" applyAlignment="0" applyProtection="0"/>
    <xf numFmtId="0" fontId="79" fillId="34" borderId="278" applyNumberFormat="0" applyAlignment="0" applyProtection="0"/>
    <xf numFmtId="0" fontId="87" fillId="34" borderId="279" applyNumberFormat="0" applyAlignment="0" applyProtection="0"/>
    <xf numFmtId="0" fontId="12" fillId="37" borderId="277" applyNumberFormat="0" applyFont="0" applyAlignment="0" applyProtection="0"/>
    <xf numFmtId="0" fontId="84" fillId="21" borderId="278" applyNumberFormat="0" applyAlignment="0" applyProtection="0"/>
    <xf numFmtId="0" fontId="79" fillId="34" borderId="278" applyNumberFormat="0" applyAlignment="0" applyProtection="0"/>
    <xf numFmtId="0" fontId="79" fillId="34" borderId="278" applyNumberFormat="0" applyAlignment="0" applyProtection="0"/>
    <xf numFmtId="0" fontId="79" fillId="34" borderId="278" applyNumberFormat="0" applyAlignment="0" applyProtection="0"/>
    <xf numFmtId="0" fontId="84" fillId="21" borderId="278" applyNumberFormat="0" applyAlignment="0" applyProtection="0"/>
    <xf numFmtId="0" fontId="84" fillId="21"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12" fillId="37" borderId="277" applyNumberFormat="0" applyFont="0" applyAlignment="0" applyProtection="0"/>
    <xf numFmtId="0" fontId="79" fillId="34" borderId="278" applyNumberForma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87" fillId="34" borderId="279" applyNumberFormat="0" applyAlignment="0" applyProtection="0"/>
    <xf numFmtId="0" fontId="12" fillId="37" borderId="277" applyNumberFormat="0" applyFont="0" applyAlignment="0" applyProtection="0"/>
    <xf numFmtId="0" fontId="84" fillId="21" borderId="278" applyNumberForma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5" fillId="0" borderId="290" applyNumberFormat="0" applyFill="0" applyAlignment="0" applyProtection="0"/>
    <xf numFmtId="0" fontId="12" fillId="37" borderId="277" applyNumberFormat="0" applyFont="0" applyAlignment="0" applyProtection="0"/>
    <xf numFmtId="0" fontId="87" fillId="34" borderId="279" applyNumberFormat="0" applyAlignment="0" applyProtection="0"/>
    <xf numFmtId="0" fontId="12" fillId="37" borderId="277" applyNumberFormat="0" applyFont="0" applyAlignment="0" applyProtection="0"/>
    <xf numFmtId="0" fontId="79" fillId="34" borderId="278"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5" fillId="0" borderId="280" applyNumberFormat="0" applyFill="0" applyAlignment="0" applyProtection="0"/>
    <xf numFmtId="0" fontId="87" fillId="34" borderId="279" applyNumberFormat="0" applyAlignment="0" applyProtection="0"/>
    <xf numFmtId="0" fontId="87" fillId="34" borderId="279" applyNumberFormat="0" applyAlignment="0" applyProtection="0"/>
    <xf numFmtId="0" fontId="12" fillId="37" borderId="277" applyNumberFormat="0" applyFont="0" applyAlignment="0" applyProtection="0"/>
    <xf numFmtId="0" fontId="12" fillId="37" borderId="277" applyNumberFormat="0" applyFont="0" applyAlignment="0" applyProtection="0"/>
    <xf numFmtId="0" fontId="84" fillId="21" borderId="278" applyNumberFormat="0" applyAlignment="0" applyProtection="0"/>
    <xf numFmtId="0" fontId="84" fillId="21" borderId="278" applyNumberFormat="0" applyAlignment="0" applyProtection="0"/>
    <xf numFmtId="0" fontId="79" fillId="34" borderId="278" applyNumberFormat="0" applyAlignment="0" applyProtection="0"/>
    <xf numFmtId="0" fontId="79" fillId="34" borderId="278" applyNumberFormat="0" applyAlignment="0" applyProtection="0"/>
    <xf numFmtId="0" fontId="87" fillId="34" borderId="279" applyNumberFormat="0" applyAlignment="0" applyProtection="0"/>
    <xf numFmtId="0" fontId="5" fillId="0" borderId="280" applyNumberFormat="0" applyFill="0" applyAlignment="0" applyProtection="0"/>
    <xf numFmtId="0" fontId="5" fillId="0" borderId="280" applyNumberFormat="0" applyFill="0" applyAlignment="0" applyProtection="0"/>
    <xf numFmtId="0" fontId="12" fillId="37" borderId="277" applyNumberFormat="0" applyFont="0" applyAlignment="0" applyProtection="0"/>
    <xf numFmtId="0" fontId="5" fillId="0" borderId="280" applyNumberFormat="0" applyFill="0" applyAlignment="0" applyProtection="0"/>
    <xf numFmtId="0" fontId="12" fillId="37" borderId="277" applyNumberFormat="0" applyFont="0" applyAlignment="0" applyProtection="0"/>
    <xf numFmtId="0" fontId="84" fillId="21" borderId="278" applyNumberFormat="0" applyAlignment="0" applyProtection="0"/>
    <xf numFmtId="0" fontId="12" fillId="37" borderId="277" applyNumberFormat="0" applyFont="0" applyAlignment="0" applyProtection="0"/>
    <xf numFmtId="0" fontId="79" fillId="34" borderId="278" applyNumberFormat="0" applyAlignment="0" applyProtection="0"/>
    <xf numFmtId="0" fontId="84" fillId="21" borderId="278" applyNumberFormat="0" applyAlignment="0" applyProtection="0"/>
    <xf numFmtId="0" fontId="84" fillId="21" borderId="278" applyNumberFormat="0" applyAlignment="0" applyProtection="0"/>
    <xf numFmtId="0" fontId="87" fillId="34" borderId="289" applyNumberFormat="0" applyAlignment="0" applyProtection="0"/>
    <xf numFmtId="0" fontId="5" fillId="0" borderId="280" applyNumberFormat="0" applyFill="0" applyAlignment="0" applyProtection="0"/>
    <xf numFmtId="0" fontId="84" fillId="21" borderId="278" applyNumberFormat="0" applyAlignment="0" applyProtection="0"/>
    <xf numFmtId="0" fontId="87" fillId="34" borderId="279" applyNumberFormat="0" applyAlignment="0" applyProtection="0"/>
    <xf numFmtId="0" fontId="79" fillId="34" borderId="278" applyNumberFormat="0" applyAlignment="0" applyProtection="0"/>
    <xf numFmtId="0" fontId="12" fillId="37" borderId="287" applyNumberFormat="0" applyFont="0" applyAlignment="0" applyProtection="0"/>
    <xf numFmtId="0" fontId="12" fillId="37" borderId="277" applyNumberFormat="0" applyFont="0" applyAlignment="0" applyProtection="0"/>
    <xf numFmtId="0" fontId="87" fillId="34" borderId="279" applyNumberFormat="0" applyAlignment="0" applyProtection="0"/>
    <xf numFmtId="0" fontId="79" fillId="34" borderId="278" applyNumberFormat="0" applyAlignment="0" applyProtection="0"/>
    <xf numFmtId="0" fontId="87" fillId="34" borderId="289" applyNumberFormat="0" applyAlignment="0" applyProtection="0"/>
    <xf numFmtId="0" fontId="84" fillId="21" borderId="288" applyNumberFormat="0" applyAlignment="0" applyProtection="0"/>
    <xf numFmtId="0" fontId="5" fillId="0" borderId="296" applyNumberFormat="0" applyFill="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9" fillId="34"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7" fillId="34" borderId="289" applyNumberFormat="0" applyAlignment="0" applyProtection="0"/>
    <xf numFmtId="0" fontId="5" fillId="0" borderId="290" applyNumberFormat="0" applyFill="0" applyAlignment="0" applyProtection="0"/>
    <xf numFmtId="0" fontId="84" fillId="21" borderId="288" applyNumberFormat="0" applyAlignment="0" applyProtection="0"/>
    <xf numFmtId="0" fontId="12" fillId="37" borderId="287" applyNumberFormat="0" applyFont="0" applyAlignment="0" applyProtection="0"/>
    <xf numFmtId="0" fontId="84" fillId="21" borderId="288" applyNumberFormat="0" applyAlignment="0" applyProtection="0"/>
    <xf numFmtId="0" fontId="84" fillId="21" borderId="288" applyNumberForma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87"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93" applyNumberFormat="0" applyFont="0" applyAlignment="0" applyProtection="0"/>
    <xf numFmtId="0" fontId="79" fillId="34" borderId="288" applyNumberFormat="0" applyAlignment="0" applyProtection="0"/>
    <xf numFmtId="0" fontId="87" fillId="34" borderId="289" applyNumberFormat="0" applyAlignment="0" applyProtection="0"/>
    <xf numFmtId="0" fontId="12" fillId="37" borderId="287" applyNumberFormat="0" applyFont="0" applyAlignment="0" applyProtection="0"/>
    <xf numFmtId="0" fontId="84" fillId="21" borderId="288" applyNumberFormat="0" applyAlignment="0" applyProtection="0"/>
    <xf numFmtId="0" fontId="79" fillId="34" borderId="288" applyNumberFormat="0" applyAlignment="0" applyProtection="0"/>
    <xf numFmtId="0" fontId="79" fillId="34" borderId="288" applyNumberFormat="0" applyAlignment="0" applyProtection="0"/>
    <xf numFmtId="0" fontId="79" fillId="34" borderId="288" applyNumberFormat="0" applyAlignment="0" applyProtection="0"/>
    <xf numFmtId="0" fontId="84" fillId="21" borderId="288" applyNumberFormat="0" applyAlignment="0" applyProtection="0"/>
    <xf numFmtId="0" fontId="84" fillId="21"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79" fillId="34" borderId="288" applyNumberFormat="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87" fillId="34" borderId="289" applyNumberFormat="0" applyAlignment="0" applyProtection="0"/>
    <xf numFmtId="0" fontId="12" fillId="37" borderId="287" applyNumberFormat="0" applyFont="0" applyAlignment="0" applyProtection="0"/>
    <xf numFmtId="0" fontId="84" fillId="21" borderId="288" applyNumberForma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12" fillId="37" borderId="293" applyNumberFormat="0" applyFont="0" applyAlignment="0" applyProtection="0"/>
    <xf numFmtId="0" fontId="12" fillId="37" borderId="287" applyNumberFormat="0" applyFont="0" applyAlignment="0" applyProtection="0"/>
    <xf numFmtId="0" fontId="87" fillId="34" borderId="289" applyNumberFormat="0" applyAlignment="0" applyProtection="0"/>
    <xf numFmtId="0" fontId="12" fillId="37" borderId="287" applyNumberFormat="0" applyFont="0" applyAlignment="0" applyProtection="0"/>
    <xf numFmtId="0" fontId="79"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87" fillId="34" borderId="289" applyNumberFormat="0" applyAlignment="0" applyProtection="0"/>
    <xf numFmtId="0" fontId="87"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21" borderId="288" applyNumberFormat="0" applyAlignment="0" applyProtection="0"/>
    <xf numFmtId="0" fontId="84" fillId="21" borderId="288" applyNumberFormat="0" applyAlignment="0" applyProtection="0"/>
    <xf numFmtId="0" fontId="79" fillId="34" borderId="288" applyNumberFormat="0" applyAlignment="0" applyProtection="0"/>
    <xf numFmtId="0" fontId="79" fillId="34" borderId="288" applyNumberFormat="0" applyAlignment="0" applyProtection="0"/>
    <xf numFmtId="0" fontId="87"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4" fillId="21" borderId="288" applyNumberFormat="0" applyAlignment="0" applyProtection="0"/>
    <xf numFmtId="0" fontId="12" fillId="37" borderId="287" applyNumberFormat="0" applyFont="0" applyAlignment="0" applyProtection="0"/>
    <xf numFmtId="0" fontId="79" fillId="34" borderId="288" applyNumberFormat="0" applyAlignment="0" applyProtection="0"/>
    <xf numFmtId="0" fontId="84" fillId="21" borderId="288" applyNumberFormat="0" applyAlignment="0" applyProtection="0"/>
    <xf numFmtId="0" fontId="84" fillId="21" borderId="288" applyNumberFormat="0" applyAlignment="0" applyProtection="0"/>
    <xf numFmtId="0" fontId="5" fillId="0" borderId="296" applyNumberFormat="0" applyFill="0" applyAlignment="0" applyProtection="0"/>
    <xf numFmtId="0" fontId="5" fillId="0" borderId="290" applyNumberFormat="0" applyFill="0" applyAlignment="0" applyProtection="0"/>
    <xf numFmtId="0" fontId="84" fillId="21" borderId="288" applyNumberFormat="0" applyAlignment="0" applyProtection="0"/>
    <xf numFmtId="0" fontId="87" fillId="34" borderId="289" applyNumberFormat="0" applyAlignment="0" applyProtection="0"/>
    <xf numFmtId="0" fontId="79" fillId="34" borderId="288" applyNumberFormat="0" applyAlignment="0" applyProtection="0"/>
    <xf numFmtId="0" fontId="87" fillId="34" borderId="295" applyNumberFormat="0" applyAlignment="0" applyProtection="0"/>
    <xf numFmtId="0" fontId="12" fillId="37" borderId="287" applyNumberFormat="0" applyFont="0" applyAlignment="0" applyProtection="0"/>
    <xf numFmtId="0" fontId="87" fillId="34" borderId="289" applyNumberFormat="0" applyAlignment="0" applyProtection="0"/>
    <xf numFmtId="0" fontId="79" fillId="34" borderId="288" applyNumberFormat="0" applyAlignment="0" applyProtection="0"/>
    <xf numFmtId="0" fontId="87" fillId="34" borderId="295" applyNumberFormat="0" applyAlignment="0" applyProtection="0"/>
    <xf numFmtId="0" fontId="84" fillId="21" borderId="294" applyNumberForma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87" fillId="34" borderId="295" applyNumberFormat="0" applyAlignment="0" applyProtection="0"/>
    <xf numFmtId="0" fontId="5" fillId="0" borderId="296" applyNumberFormat="0" applyFill="0" applyAlignment="0" applyProtection="0"/>
    <xf numFmtId="0" fontId="84" fillId="21" borderId="294" applyNumberFormat="0" applyAlignment="0" applyProtection="0"/>
    <xf numFmtId="0" fontId="12" fillId="37" borderId="293" applyNumberFormat="0" applyFont="0" applyAlignment="0" applyProtection="0"/>
    <xf numFmtId="0" fontId="84" fillId="21" borderId="294" applyNumberFormat="0" applyAlignment="0" applyProtection="0"/>
    <xf numFmtId="0" fontId="84" fillId="21" borderId="294" applyNumberFormat="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87" fillId="34" borderId="295"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87" fillId="34" borderId="295" applyNumberFormat="0" applyAlignment="0" applyProtection="0"/>
    <xf numFmtId="0" fontId="12" fillId="37" borderId="293" applyNumberFormat="0" applyFont="0" applyAlignment="0" applyProtection="0"/>
    <xf numFmtId="0" fontId="84" fillId="21" borderId="294" applyNumberFormat="0" applyAlignment="0" applyProtection="0"/>
    <xf numFmtId="0" fontId="79" fillId="34" borderId="294" applyNumberFormat="0" applyAlignment="0" applyProtection="0"/>
    <xf numFmtId="0" fontId="79" fillId="34" borderId="294" applyNumberFormat="0" applyAlignment="0" applyProtection="0"/>
    <xf numFmtId="0" fontId="79" fillId="34" borderId="294" applyNumberFormat="0" applyAlignment="0" applyProtection="0"/>
    <xf numFmtId="0" fontId="84" fillId="21" borderId="294" applyNumberFormat="0" applyAlignment="0" applyProtection="0"/>
    <xf numFmtId="0" fontId="84" fillId="21"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12" fillId="37" borderId="293" applyNumberFormat="0" applyFont="0" applyAlignment="0" applyProtection="0"/>
    <xf numFmtId="0" fontId="79" fillId="34" borderId="294" applyNumberForma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87" fillId="34" borderId="295" applyNumberFormat="0" applyAlignment="0" applyProtection="0"/>
    <xf numFmtId="0" fontId="12" fillId="37" borderId="293" applyNumberFormat="0" applyFont="0" applyAlignment="0" applyProtection="0"/>
    <xf numFmtId="0" fontId="84" fillId="21" borderId="294" applyNumberForma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7" fillId="34" borderId="295" applyNumberFormat="0" applyAlignment="0" applyProtection="0"/>
    <xf numFmtId="0" fontId="12" fillId="37" borderId="293" applyNumberFormat="0" applyFont="0" applyAlignment="0" applyProtection="0"/>
    <xf numFmtId="0" fontId="87" fillId="34" borderId="295" applyNumberFormat="0" applyAlignment="0" applyProtection="0"/>
    <xf numFmtId="0" fontId="12" fillId="37" borderId="293" applyNumberFormat="0" applyFont="0" applyAlignment="0" applyProtection="0"/>
    <xf numFmtId="0" fontId="79" fillId="34" borderId="294"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5" fillId="0" borderId="296" applyNumberFormat="0" applyFill="0" applyAlignment="0" applyProtection="0"/>
    <xf numFmtId="0" fontId="87" fillId="34" borderId="295" applyNumberFormat="0" applyAlignment="0" applyProtection="0"/>
    <xf numFmtId="0" fontId="87" fillId="34" borderId="295" applyNumberFormat="0" applyAlignment="0" applyProtection="0"/>
    <xf numFmtId="0" fontId="12" fillId="37" borderId="293" applyNumberFormat="0" applyFont="0" applyAlignment="0" applyProtection="0"/>
    <xf numFmtId="0" fontId="12" fillId="37" borderId="293" applyNumberFormat="0" applyFont="0" applyAlignment="0" applyProtection="0"/>
    <xf numFmtId="0" fontId="84" fillId="21" borderId="294" applyNumberFormat="0" applyAlignment="0" applyProtection="0"/>
    <xf numFmtId="0" fontId="84" fillId="21" borderId="294" applyNumberFormat="0" applyAlignment="0" applyProtection="0"/>
    <xf numFmtId="0" fontId="79" fillId="34" borderId="294" applyNumberFormat="0" applyAlignment="0" applyProtection="0"/>
    <xf numFmtId="0" fontId="79" fillId="34" borderId="294" applyNumberFormat="0" applyAlignment="0" applyProtection="0"/>
    <xf numFmtId="0" fontId="87" fillId="34" borderId="295" applyNumberFormat="0" applyAlignment="0" applyProtection="0"/>
    <xf numFmtId="0" fontId="5" fillId="0" borderId="296" applyNumberFormat="0" applyFill="0" applyAlignment="0" applyProtection="0"/>
    <xf numFmtId="0" fontId="5" fillId="0" borderId="296" applyNumberFormat="0" applyFill="0" applyAlignment="0" applyProtection="0"/>
    <xf numFmtId="0" fontId="12" fillId="37" borderId="293" applyNumberFormat="0" applyFont="0" applyAlignment="0" applyProtection="0"/>
    <xf numFmtId="0" fontId="5" fillId="0" borderId="296" applyNumberFormat="0" applyFill="0" applyAlignment="0" applyProtection="0"/>
    <xf numFmtId="0" fontId="12" fillId="37" borderId="293" applyNumberFormat="0" applyFont="0" applyAlignment="0" applyProtection="0"/>
    <xf numFmtId="0" fontId="84" fillId="21" borderId="294" applyNumberFormat="0" applyAlignment="0" applyProtection="0"/>
    <xf numFmtId="0" fontId="12" fillId="37" borderId="293" applyNumberFormat="0" applyFont="0" applyAlignment="0" applyProtection="0"/>
    <xf numFmtId="0" fontId="79" fillId="34" borderId="294" applyNumberFormat="0" applyAlignment="0" applyProtection="0"/>
    <xf numFmtId="0" fontId="84" fillId="21" borderId="294" applyNumberFormat="0" applyAlignment="0" applyProtection="0"/>
    <xf numFmtId="0" fontId="84" fillId="21" borderId="294" applyNumberFormat="0" applyAlignment="0" applyProtection="0"/>
    <xf numFmtId="0" fontId="12" fillId="37" borderId="303" applyNumberFormat="0" applyFont="0" applyAlignment="0" applyProtection="0"/>
    <xf numFmtId="0" fontId="5" fillId="0" borderId="296" applyNumberFormat="0" applyFill="0" applyAlignment="0" applyProtection="0"/>
    <xf numFmtId="0" fontId="84" fillId="21" borderId="294" applyNumberFormat="0" applyAlignment="0" applyProtection="0"/>
    <xf numFmtId="0" fontId="87" fillId="34" borderId="295" applyNumberFormat="0" applyAlignment="0" applyProtection="0"/>
    <xf numFmtId="0" fontId="79" fillId="34" borderId="294" applyNumberFormat="0" applyAlignment="0" applyProtection="0"/>
    <xf numFmtId="0" fontId="12" fillId="37" borderId="293" applyNumberFormat="0" applyFont="0" applyAlignment="0" applyProtection="0"/>
    <xf numFmtId="0" fontId="87" fillId="34" borderId="295" applyNumberFormat="0" applyAlignment="0" applyProtection="0"/>
    <xf numFmtId="0" fontId="79" fillId="34" borderId="294" applyNumberFormat="0" applyAlignment="0" applyProtection="0"/>
    <xf numFmtId="0" fontId="5" fillId="0" borderId="312" applyNumberFormat="0" applyFill="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79" fillId="34"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87" fillId="34" borderId="305" applyNumberFormat="0" applyAlignment="0" applyProtection="0"/>
    <xf numFmtId="0" fontId="5" fillId="0" borderId="306" applyNumberFormat="0" applyFill="0" applyAlignment="0" applyProtection="0"/>
    <xf numFmtId="0" fontId="84" fillId="21" borderId="304" applyNumberFormat="0" applyAlignment="0" applyProtection="0"/>
    <xf numFmtId="0" fontId="12" fillId="37" borderId="303" applyNumberFormat="0" applyFont="0" applyAlignment="0" applyProtection="0"/>
    <xf numFmtId="0" fontId="84" fillId="21" borderId="304" applyNumberFormat="0" applyAlignment="0" applyProtection="0"/>
    <xf numFmtId="0" fontId="84" fillId="21" borderId="304" applyNumberFormat="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87" fillId="34" borderId="305"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9" applyNumberFormat="0" applyFont="0" applyAlignment="0" applyProtection="0"/>
    <xf numFmtId="0" fontId="79" fillId="34" borderId="304" applyNumberFormat="0" applyAlignment="0" applyProtection="0"/>
    <xf numFmtId="0" fontId="87" fillId="34" borderId="305" applyNumberFormat="0" applyAlignment="0" applyProtection="0"/>
    <xf numFmtId="0" fontId="12" fillId="37" borderId="303" applyNumberFormat="0" applyFont="0" applyAlignment="0" applyProtection="0"/>
    <xf numFmtId="0" fontId="84" fillId="21" borderId="304" applyNumberFormat="0" applyAlignment="0" applyProtection="0"/>
    <xf numFmtId="0" fontId="79" fillId="34" borderId="304" applyNumberFormat="0" applyAlignment="0" applyProtection="0"/>
    <xf numFmtId="0" fontId="79" fillId="34" borderId="304" applyNumberFormat="0" applyAlignment="0" applyProtection="0"/>
    <xf numFmtId="0" fontId="79" fillId="34" borderId="304" applyNumberFormat="0" applyAlignment="0" applyProtection="0"/>
    <xf numFmtId="0" fontId="84" fillId="21" borderId="304" applyNumberFormat="0" applyAlignment="0" applyProtection="0"/>
    <xf numFmtId="0" fontId="84" fillId="21"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12" fillId="37" borderId="303" applyNumberFormat="0" applyFont="0" applyAlignment="0" applyProtection="0"/>
    <xf numFmtId="0" fontId="79" fillId="34" borderId="304" applyNumberFormat="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87" fillId="34" borderId="305" applyNumberFormat="0" applyAlignment="0" applyProtection="0"/>
    <xf numFmtId="0" fontId="12" fillId="37" borderId="303" applyNumberFormat="0" applyFont="0" applyAlignment="0" applyProtection="0"/>
    <xf numFmtId="0" fontId="84" fillId="21" borderId="304" applyNumberForma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12" fillId="37" borderId="309" applyNumberFormat="0" applyFont="0" applyAlignment="0" applyProtection="0"/>
    <xf numFmtId="0" fontId="12" fillId="37" borderId="303" applyNumberFormat="0" applyFont="0" applyAlignment="0" applyProtection="0"/>
    <xf numFmtId="0" fontId="87" fillId="34" borderId="305" applyNumberFormat="0" applyAlignment="0" applyProtection="0"/>
    <xf numFmtId="0" fontId="12" fillId="37" borderId="303" applyNumberFormat="0" applyFont="0" applyAlignment="0" applyProtection="0"/>
    <xf numFmtId="0" fontId="79" fillId="34" borderId="304"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5" fillId="0" borderId="306" applyNumberFormat="0" applyFill="0" applyAlignment="0" applyProtection="0"/>
    <xf numFmtId="0" fontId="87" fillId="34" borderId="305" applyNumberFormat="0" applyAlignment="0" applyProtection="0"/>
    <xf numFmtId="0" fontId="87" fillId="34" borderId="305" applyNumberFormat="0" applyAlignment="0" applyProtection="0"/>
    <xf numFmtId="0" fontId="12" fillId="37" borderId="303" applyNumberFormat="0" applyFont="0" applyAlignment="0" applyProtection="0"/>
    <xf numFmtId="0" fontId="12" fillId="37" borderId="303" applyNumberFormat="0" applyFont="0" applyAlignment="0" applyProtection="0"/>
    <xf numFmtId="0" fontId="84" fillId="21" borderId="304" applyNumberFormat="0" applyAlignment="0" applyProtection="0"/>
    <xf numFmtId="0" fontId="84" fillId="21" borderId="304" applyNumberFormat="0" applyAlignment="0" applyProtection="0"/>
    <xf numFmtId="0" fontId="79" fillId="34" borderId="304" applyNumberFormat="0" applyAlignment="0" applyProtection="0"/>
    <xf numFmtId="0" fontId="79" fillId="34" borderId="304" applyNumberFormat="0" applyAlignment="0" applyProtection="0"/>
    <xf numFmtId="0" fontId="87" fillId="34" borderId="305" applyNumberFormat="0" applyAlignment="0" applyProtection="0"/>
    <xf numFmtId="0" fontId="5" fillId="0" borderId="306" applyNumberFormat="0" applyFill="0" applyAlignment="0" applyProtection="0"/>
    <xf numFmtId="0" fontId="5" fillId="0" borderId="306" applyNumberFormat="0" applyFill="0" applyAlignment="0" applyProtection="0"/>
    <xf numFmtId="0" fontId="12" fillId="37" borderId="303" applyNumberFormat="0" applyFont="0" applyAlignment="0" applyProtection="0"/>
    <xf numFmtId="0" fontId="5" fillId="0" borderId="306" applyNumberFormat="0" applyFill="0" applyAlignment="0" applyProtection="0"/>
    <xf numFmtId="0" fontId="12" fillId="37" borderId="303" applyNumberFormat="0" applyFont="0" applyAlignment="0" applyProtection="0"/>
    <xf numFmtId="0" fontId="84" fillId="21" borderId="304" applyNumberFormat="0" applyAlignment="0" applyProtection="0"/>
    <xf numFmtId="0" fontId="12" fillId="37" borderId="303" applyNumberFormat="0" applyFont="0" applyAlignment="0" applyProtection="0"/>
    <xf numFmtId="0" fontId="79" fillId="34" borderId="304" applyNumberFormat="0" applyAlignment="0" applyProtection="0"/>
    <xf numFmtId="0" fontId="84" fillId="21" borderId="304" applyNumberFormat="0" applyAlignment="0" applyProtection="0"/>
    <xf numFmtId="0" fontId="84" fillId="21" borderId="304" applyNumberFormat="0" applyAlignment="0" applyProtection="0"/>
    <xf numFmtId="0" fontId="5" fillId="0" borderId="312" applyNumberFormat="0" applyFill="0" applyAlignment="0" applyProtection="0"/>
    <xf numFmtId="0" fontId="5" fillId="0" borderId="306" applyNumberFormat="0" applyFill="0" applyAlignment="0" applyProtection="0"/>
    <xf numFmtId="0" fontId="84" fillId="21" borderId="304" applyNumberFormat="0" applyAlignment="0" applyProtection="0"/>
    <xf numFmtId="0" fontId="87" fillId="34" borderId="305" applyNumberFormat="0" applyAlignment="0" applyProtection="0"/>
    <xf numFmtId="0" fontId="79" fillId="34" borderId="304" applyNumberFormat="0" applyAlignment="0" applyProtection="0"/>
    <xf numFmtId="0" fontId="87" fillId="34" borderId="311" applyNumberFormat="0" applyAlignment="0" applyProtection="0"/>
    <xf numFmtId="0" fontId="12" fillId="37" borderId="303" applyNumberFormat="0" applyFont="0" applyAlignment="0" applyProtection="0"/>
    <xf numFmtId="0" fontId="87" fillId="34" borderId="305" applyNumberFormat="0" applyAlignment="0" applyProtection="0"/>
    <xf numFmtId="0" fontId="79" fillId="34" borderId="304" applyNumberFormat="0" applyAlignment="0" applyProtection="0"/>
    <xf numFmtId="0" fontId="87" fillId="34" borderId="311" applyNumberFormat="0" applyAlignment="0" applyProtection="0"/>
    <xf numFmtId="0" fontId="84" fillId="21" borderId="310" applyNumberForma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7" fillId="34" borderId="311" applyNumberFormat="0" applyAlignment="0" applyProtection="0"/>
    <xf numFmtId="0" fontId="5" fillId="0" borderId="312" applyNumberFormat="0" applyFill="0" applyAlignment="0" applyProtection="0"/>
    <xf numFmtId="0" fontId="84" fillId="21" borderId="310" applyNumberFormat="0" applyAlignment="0" applyProtection="0"/>
    <xf numFmtId="0" fontId="12" fillId="37" borderId="309" applyNumberFormat="0" applyFont="0" applyAlignment="0" applyProtection="0"/>
    <xf numFmtId="0" fontId="84" fillId="21" borderId="310" applyNumberFormat="0" applyAlignment="0" applyProtection="0"/>
    <xf numFmtId="0" fontId="84" fillId="21" borderId="310" applyNumberForma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87"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87" fillId="34" borderId="311" applyNumberFormat="0" applyAlignment="0" applyProtection="0"/>
    <xf numFmtId="0" fontId="12" fillId="37" borderId="309" applyNumberFormat="0" applyFont="0" applyAlignment="0" applyProtection="0"/>
    <xf numFmtId="0" fontId="84" fillId="21" borderId="310" applyNumberFormat="0" applyAlignment="0" applyProtection="0"/>
    <xf numFmtId="0" fontId="79" fillId="34" borderId="310" applyNumberFormat="0" applyAlignment="0" applyProtection="0"/>
    <xf numFmtId="0" fontId="79" fillId="34" borderId="310" applyNumberFormat="0" applyAlignment="0" applyProtection="0"/>
    <xf numFmtId="0" fontId="79" fillId="34" borderId="310" applyNumberFormat="0" applyAlignment="0" applyProtection="0"/>
    <xf numFmtId="0" fontId="84" fillId="21" borderId="310" applyNumberFormat="0" applyAlignment="0" applyProtection="0"/>
    <xf numFmtId="0" fontId="84" fillId="21"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79" fillId="34" borderId="310" applyNumberForma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87" fillId="34" borderId="311" applyNumberFormat="0" applyAlignment="0" applyProtection="0"/>
    <xf numFmtId="0" fontId="12" fillId="37" borderId="309" applyNumberFormat="0" applyFont="0" applyAlignment="0" applyProtection="0"/>
    <xf numFmtId="0" fontId="84" fillId="21" borderId="310" applyNumberForma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7" fillId="34" borderId="311" applyNumberFormat="0" applyAlignment="0" applyProtection="0"/>
    <xf numFmtId="0" fontId="12" fillId="37" borderId="309" applyNumberFormat="0" applyFont="0" applyAlignment="0" applyProtection="0"/>
    <xf numFmtId="0" fontId="87" fillId="34" borderId="311" applyNumberFormat="0" applyAlignment="0" applyProtection="0"/>
    <xf numFmtId="0" fontId="12" fillId="37" borderId="309" applyNumberFormat="0" applyFont="0" applyAlignment="0" applyProtection="0"/>
    <xf numFmtId="0" fontId="79"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87" fillId="34" borderId="311" applyNumberFormat="0" applyAlignment="0" applyProtection="0"/>
    <xf numFmtId="0" fontId="87"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21" borderId="310" applyNumberFormat="0" applyAlignment="0" applyProtection="0"/>
    <xf numFmtId="0" fontId="84" fillId="21" borderId="310" applyNumberFormat="0" applyAlignment="0" applyProtection="0"/>
    <xf numFmtId="0" fontId="79" fillId="34" borderId="310" applyNumberFormat="0" applyAlignment="0" applyProtection="0"/>
    <xf numFmtId="0" fontId="79" fillId="34" borderId="310" applyNumberFormat="0" applyAlignment="0" applyProtection="0"/>
    <xf numFmtId="0" fontId="87"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4" fillId="21" borderId="310" applyNumberFormat="0" applyAlignment="0" applyProtection="0"/>
    <xf numFmtId="0" fontId="12" fillId="37" borderId="309" applyNumberFormat="0" applyFont="0" applyAlignment="0" applyProtection="0"/>
    <xf numFmtId="0" fontId="79" fillId="34" borderId="310" applyNumberFormat="0" applyAlignment="0" applyProtection="0"/>
    <xf numFmtId="0" fontId="84" fillId="21" borderId="310" applyNumberFormat="0" applyAlignment="0" applyProtection="0"/>
    <xf numFmtId="0" fontId="84" fillId="21" borderId="310" applyNumberFormat="0" applyAlignment="0" applyProtection="0"/>
    <xf numFmtId="0" fontId="5" fillId="0" borderId="312" applyNumberFormat="0" applyFill="0" applyAlignment="0" applyProtection="0"/>
    <xf numFmtId="0" fontId="84" fillId="21" borderId="310" applyNumberFormat="0" applyAlignment="0" applyProtection="0"/>
    <xf numFmtId="0" fontId="87" fillId="34" borderId="311" applyNumberFormat="0" applyAlignment="0" applyProtection="0"/>
    <xf numFmtId="0" fontId="79" fillId="34" borderId="310" applyNumberFormat="0" applyAlignment="0" applyProtection="0"/>
    <xf numFmtId="0" fontId="12" fillId="37" borderId="309" applyNumberFormat="0" applyFont="0" applyAlignment="0" applyProtection="0"/>
    <xf numFmtId="0" fontId="87" fillId="34" borderId="311" applyNumberFormat="0" applyAlignment="0" applyProtection="0"/>
    <xf numFmtId="0" fontId="79" fillId="34" borderId="310" applyNumberFormat="0" applyAlignment="0" applyProtection="0"/>
    <xf numFmtId="0" fontId="87" fillId="34" borderId="388" applyNumberFormat="0" applyAlignment="0" applyProtection="0"/>
    <xf numFmtId="0" fontId="5" fillId="0" borderId="316" applyNumberFormat="0" applyFill="0" applyAlignment="0" applyProtection="0"/>
    <xf numFmtId="0" fontId="84" fillId="21" borderId="391" applyNumberFormat="0" applyAlignment="0" applyProtection="0"/>
    <xf numFmtId="0" fontId="12" fillId="37" borderId="390" applyNumberFormat="0" applyFont="0" applyAlignment="0" applyProtection="0"/>
    <xf numFmtId="0" fontId="79" fillId="34" borderId="327" applyNumberFormat="0" applyAlignment="0" applyProtection="0"/>
    <xf numFmtId="0" fontId="12" fillId="37" borderId="348" applyNumberFormat="0" applyFont="0" applyAlignment="0" applyProtection="0"/>
    <xf numFmtId="0" fontId="84" fillId="21" borderId="341" applyNumberFormat="0" applyAlignment="0" applyProtection="0"/>
    <xf numFmtId="0" fontId="84" fillId="21" borderId="349" applyNumberFormat="0" applyAlignment="0" applyProtection="0"/>
    <xf numFmtId="0" fontId="84" fillId="21" borderId="367" applyNumberFormat="0" applyAlignment="0" applyProtection="0"/>
    <xf numFmtId="0" fontId="84" fillId="21" borderId="337" applyNumberFormat="0" applyAlignment="0" applyProtection="0"/>
    <xf numFmtId="0" fontId="79" fillId="34" borderId="387" applyNumberFormat="0" applyAlignment="0" applyProtection="0"/>
    <xf numFmtId="0" fontId="87" fillId="34" borderId="350" applyNumberFormat="0" applyAlignment="0" applyProtection="0"/>
    <xf numFmtId="0" fontId="84" fillId="21" borderId="371" applyNumberFormat="0" applyAlignment="0" applyProtection="0"/>
    <xf numFmtId="0" fontId="84" fillId="21" borderId="367" applyNumberFormat="0" applyAlignment="0" applyProtection="0"/>
    <xf numFmtId="0" fontId="5" fillId="0" borderId="369" applyNumberFormat="0" applyFill="0" applyAlignment="0" applyProtection="0"/>
    <xf numFmtId="0" fontId="12" fillId="37" borderId="348" applyNumberFormat="0" applyFont="0" applyAlignment="0" applyProtection="0"/>
    <xf numFmtId="0" fontId="79" fillId="34" borderId="371" applyNumberFormat="0" applyAlignment="0" applyProtection="0"/>
    <xf numFmtId="0" fontId="12" fillId="37" borderId="330" applyNumberFormat="0" applyFont="0" applyAlignment="0" applyProtection="0"/>
    <xf numFmtId="0" fontId="5" fillId="0" borderId="369" applyNumberFormat="0" applyFill="0" applyAlignment="0" applyProtection="0"/>
    <xf numFmtId="0" fontId="12" fillId="37" borderId="340" applyNumberFormat="0" applyFont="0" applyAlignment="0" applyProtection="0"/>
    <xf numFmtId="0" fontId="5" fillId="0" borderId="351" applyNumberFormat="0" applyFill="0" applyAlignment="0" applyProtection="0"/>
    <xf numFmtId="0" fontId="12" fillId="37" borderId="317" applyNumberFormat="0" applyFont="0" applyAlignment="0" applyProtection="0"/>
    <xf numFmtId="0" fontId="79" fillId="34" borderId="349" applyNumberFormat="0" applyAlignment="0" applyProtection="0"/>
    <xf numFmtId="0" fontId="5" fillId="0" borderId="334" applyNumberFormat="0" applyFill="0" applyAlignment="0" applyProtection="0"/>
    <xf numFmtId="0" fontId="87" fillId="34" borderId="319" applyNumberFormat="0" applyAlignment="0" applyProtection="0"/>
    <xf numFmtId="0" fontId="12" fillId="37" borderId="317" applyNumberFormat="0" applyFont="0" applyAlignment="0" applyProtection="0"/>
    <xf numFmtId="0" fontId="79" fillId="34" borderId="349" applyNumberFormat="0" applyAlignment="0" applyProtection="0"/>
    <xf numFmtId="0" fontId="5" fillId="0" borderId="351" applyNumberFormat="0" applyFill="0" applyAlignment="0" applyProtection="0"/>
    <xf numFmtId="0" fontId="87" fillId="34" borderId="350" applyNumberFormat="0" applyAlignment="0" applyProtection="0"/>
    <xf numFmtId="0" fontId="79" fillId="34" borderId="314" applyNumberFormat="0" applyAlignment="0" applyProtection="0"/>
    <xf numFmtId="0" fontId="79" fillId="34" borderId="314" applyNumberFormat="0" applyAlignment="0" applyProtection="0"/>
    <xf numFmtId="0" fontId="5" fillId="0" borderId="334"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43" applyNumberFormat="0" applyFill="0" applyAlignment="0" applyProtection="0"/>
    <xf numFmtId="0" fontId="87" fillId="34" borderId="315" applyNumberFormat="0" applyAlignment="0" applyProtection="0"/>
    <xf numFmtId="0" fontId="12" fillId="37" borderId="348" applyNumberFormat="0" applyFont="0" applyAlignment="0" applyProtection="0"/>
    <xf numFmtId="0" fontId="87" fillId="34" borderId="342" applyNumberFormat="0" applyAlignment="0" applyProtection="0"/>
    <xf numFmtId="0" fontId="12" fillId="37" borderId="348"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16" applyNumberFormat="0" applyFill="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87" fillId="34" borderId="315" applyNumberFormat="0" applyAlignment="0" applyProtection="0"/>
    <xf numFmtId="0" fontId="5" fillId="0" borderId="316" applyNumberFormat="0" applyFill="0" applyAlignment="0" applyProtection="0"/>
    <xf numFmtId="0" fontId="12" fillId="37" borderId="313" applyNumberFormat="0" applyFont="0" applyAlignment="0" applyProtection="0"/>
    <xf numFmtId="0" fontId="84" fillId="21" borderId="314" applyNumberFormat="0" applyAlignment="0" applyProtection="0"/>
    <xf numFmtId="0" fontId="84" fillId="21" borderId="314" applyNumberFormat="0" applyAlignment="0" applyProtection="0"/>
    <xf numFmtId="0" fontId="84" fillId="21" borderId="314" applyNumberFormat="0" applyAlignment="0" applyProtection="0"/>
    <xf numFmtId="0" fontId="12" fillId="37" borderId="313" applyNumberFormat="0" applyFon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79" fillId="34"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84" fillId="21" borderId="314" applyNumberFormat="0" applyAlignment="0" applyProtection="0"/>
    <xf numFmtId="0" fontId="79" fillId="34" borderId="314" applyNumberFormat="0" applyAlignment="0" applyProtection="0"/>
    <xf numFmtId="0" fontId="5" fillId="0" borderId="324" applyNumberFormat="0" applyFill="0" applyAlignment="0" applyProtection="0"/>
    <xf numFmtId="0" fontId="84" fillId="21" borderId="327" applyNumberFormat="0" applyAlignment="0" applyProtection="0"/>
    <xf numFmtId="0" fontId="87" fillId="34" borderId="396" applyNumberFormat="0" applyAlignment="0" applyProtection="0"/>
    <xf numFmtId="0" fontId="79" fillId="34" borderId="367" applyNumberFormat="0" applyAlignment="0" applyProtection="0"/>
    <xf numFmtId="0" fontId="84" fillId="21" borderId="332" applyNumberFormat="0" applyAlignment="0" applyProtection="0"/>
    <xf numFmtId="0" fontId="87" fillId="34" borderId="368" applyNumberFormat="0" applyAlignment="0" applyProtection="0"/>
    <xf numFmtId="0" fontId="12" fillId="37" borderId="330" applyNumberFormat="0" applyFont="0" applyAlignment="0" applyProtection="0"/>
    <xf numFmtId="0" fontId="87" fillId="34" borderId="358" applyNumberFormat="0" applyAlignment="0" applyProtection="0"/>
    <xf numFmtId="0" fontId="79" fillId="34" borderId="322" applyNumberFormat="0" applyAlignment="0" applyProtection="0"/>
    <xf numFmtId="0" fontId="12" fillId="37" borderId="366" applyNumberFormat="0" applyFont="0" applyAlignment="0" applyProtection="0"/>
    <xf numFmtId="0" fontId="84" fillId="21" borderId="322" applyNumberFormat="0" applyAlignment="0" applyProtection="0"/>
    <xf numFmtId="0" fontId="84" fillId="21" borderId="367" applyNumberFormat="0" applyAlignment="0" applyProtection="0"/>
    <xf numFmtId="0" fontId="12" fillId="37" borderId="321" applyNumberFormat="0" applyFont="0" applyAlignment="0" applyProtection="0"/>
    <xf numFmtId="0" fontId="12" fillId="37" borderId="326" applyNumberFormat="0" applyFont="0" applyAlignment="0" applyProtection="0"/>
    <xf numFmtId="0" fontId="87" fillId="34" borderId="350" applyNumberFormat="0" applyAlignment="0" applyProtection="0"/>
    <xf numFmtId="0" fontId="12" fillId="37" borderId="331" applyNumberFormat="0" applyFont="0" applyAlignment="0" applyProtection="0"/>
    <xf numFmtId="0" fontId="12" fillId="37" borderId="378" applyNumberFormat="0" applyFont="0" applyAlignment="0" applyProtection="0"/>
    <xf numFmtId="0" fontId="84" fillId="21" borderId="327" applyNumberFormat="0" applyAlignment="0" applyProtection="0"/>
    <xf numFmtId="0" fontId="12" fillId="37" borderId="374" applyNumberFormat="0" applyFont="0" applyAlignment="0" applyProtection="0"/>
    <xf numFmtId="0" fontId="12" fillId="37" borderId="348" applyNumberFormat="0" applyFont="0" applyAlignment="0" applyProtection="0"/>
    <xf numFmtId="0" fontId="5" fillId="0" borderId="343" applyNumberFormat="0" applyFill="0" applyAlignment="0" applyProtection="0"/>
    <xf numFmtId="0" fontId="87" fillId="34" borderId="338" applyNumberFormat="0" applyAlignment="0" applyProtection="0"/>
    <xf numFmtId="0" fontId="12" fillId="37" borderId="366"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84" fillId="21" borderId="314" applyNumberFormat="0" applyAlignment="0" applyProtection="0"/>
    <xf numFmtId="0" fontId="12" fillId="37" borderId="348" applyNumberFormat="0" applyFont="0" applyAlignment="0" applyProtection="0"/>
    <xf numFmtId="0" fontId="87" fillId="34" borderId="363" applyNumberFormat="0" applyAlignment="0" applyProtection="0"/>
    <xf numFmtId="0" fontId="12" fillId="37" borderId="366"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5" fillId="0" borderId="369"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84" fillId="21" borderId="332" applyNumberFormat="0" applyAlignment="0" applyProtection="0"/>
    <xf numFmtId="0" fontId="84" fillId="21" borderId="353" applyNumberFormat="0" applyAlignment="0" applyProtection="0"/>
    <xf numFmtId="0" fontId="12" fillId="37" borderId="382"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12" fillId="37" borderId="340"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5" fillId="0" borderId="393" applyNumberFormat="0" applyFill="0" applyAlignment="0" applyProtection="0"/>
    <xf numFmtId="0" fontId="79" fillId="34" borderId="367" applyNumberFormat="0" applyAlignment="0" applyProtection="0"/>
    <xf numFmtId="0" fontId="5" fillId="0" borderId="393" applyNumberFormat="0" applyFill="0" applyAlignment="0" applyProtection="0"/>
    <xf numFmtId="0" fontId="5" fillId="0" borderId="351" applyNumberFormat="0" applyFill="0" applyAlignment="0" applyProtection="0"/>
    <xf numFmtId="0" fontId="87" fillId="34" borderId="333" applyNumberFormat="0" applyAlignment="0" applyProtection="0"/>
    <xf numFmtId="0" fontId="5" fillId="0" borderId="347" applyNumberFormat="0" applyFill="0" applyAlignment="0" applyProtection="0"/>
    <xf numFmtId="0" fontId="12" fillId="37" borderId="336" applyNumberFormat="0" applyFont="0" applyAlignment="0" applyProtection="0"/>
    <xf numFmtId="0" fontId="12" fillId="37" borderId="344" applyNumberFormat="0" applyFont="0" applyAlignment="0" applyProtection="0"/>
    <xf numFmtId="0" fontId="87" fillId="34" borderId="346" applyNumberFormat="0" applyAlignment="0" applyProtection="0"/>
    <xf numFmtId="0" fontId="84" fillId="21" borderId="318" applyNumberFormat="0" applyAlignment="0" applyProtection="0"/>
    <xf numFmtId="0" fontId="87" fillId="34" borderId="338" applyNumberFormat="0" applyAlignment="0" applyProtection="0"/>
    <xf numFmtId="0" fontId="87" fillId="34" borderId="350" applyNumberFormat="0" applyAlignment="0" applyProtection="0"/>
    <xf numFmtId="0" fontId="84" fillId="21" borderId="362"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36" applyNumberFormat="0" applyFont="0" applyAlignment="0" applyProtection="0"/>
    <xf numFmtId="0" fontId="87" fillId="34" borderId="354" applyNumberFormat="0" applyAlignment="0" applyProtection="0"/>
    <xf numFmtId="0" fontId="5" fillId="0" borderId="339" applyNumberFormat="0" applyFill="0" applyAlignment="0" applyProtection="0"/>
    <xf numFmtId="0" fontId="84" fillId="21" borderId="341" applyNumberFormat="0" applyAlignment="0" applyProtection="0"/>
    <xf numFmtId="0" fontId="79" fillId="34" borderId="367" applyNumberFormat="0" applyAlignment="0" applyProtection="0"/>
    <xf numFmtId="0" fontId="12" fillId="37" borderId="348" applyNumberFormat="0" applyFont="0" applyAlignment="0" applyProtection="0"/>
    <xf numFmtId="0" fontId="87" fillId="34" borderId="384" applyNumberFormat="0" applyAlignment="0" applyProtection="0"/>
    <xf numFmtId="0" fontId="12" fillId="37" borderId="366" applyNumberFormat="0" applyFont="0" applyAlignment="0" applyProtection="0"/>
    <xf numFmtId="0" fontId="79" fillId="34" borderId="318" applyNumberFormat="0" applyAlignment="0" applyProtection="0"/>
    <xf numFmtId="0" fontId="79" fillId="34" borderId="318" applyNumberFormat="0" applyAlignment="0" applyProtection="0"/>
    <xf numFmtId="0" fontId="12" fillId="37" borderId="340" applyNumberFormat="0" applyFont="0" applyAlignment="0" applyProtection="0"/>
    <xf numFmtId="0" fontId="79" fillId="34" borderId="349" applyNumberFormat="0" applyAlignment="0" applyProtection="0"/>
    <xf numFmtId="0" fontId="12" fillId="37" borderId="317" applyNumberFormat="0" applyFont="0" applyAlignment="0" applyProtection="0"/>
    <xf numFmtId="0" fontId="87" fillId="34" borderId="319" applyNumberFormat="0" applyAlignment="0" applyProtection="0"/>
    <xf numFmtId="0" fontId="87" fillId="34" borderId="376" applyNumberFormat="0" applyAlignment="0" applyProtection="0"/>
    <xf numFmtId="0" fontId="5" fillId="0" borderId="320" applyNumberFormat="0" applyFill="0" applyAlignment="0" applyProtection="0"/>
    <xf numFmtId="0" fontId="5" fillId="0" borderId="351" applyNumberFormat="0" applyFill="0" applyAlignment="0" applyProtection="0"/>
    <xf numFmtId="0" fontId="5" fillId="0" borderId="351" applyNumberFormat="0" applyFill="0" applyAlignment="0" applyProtection="0"/>
    <xf numFmtId="0" fontId="84" fillId="21" borderId="367" applyNumberFormat="0" applyAlignment="0" applyProtection="0"/>
    <xf numFmtId="0" fontId="12" fillId="37" borderId="390" applyNumberFormat="0" applyFont="0" applyAlignment="0" applyProtection="0"/>
    <xf numFmtId="0" fontId="84" fillId="21" borderId="375" applyNumberFormat="0" applyAlignment="0" applyProtection="0"/>
    <xf numFmtId="0" fontId="84" fillId="21" borderId="332" applyNumberFormat="0" applyAlignment="0" applyProtection="0"/>
    <xf numFmtId="0" fontId="5" fillId="0" borderId="351" applyNumberFormat="0" applyFill="0" applyAlignment="0" applyProtection="0"/>
    <xf numFmtId="0" fontId="79" fillId="34" borderId="322" applyNumberFormat="0" applyAlignment="0" applyProtection="0"/>
    <xf numFmtId="0" fontId="79" fillId="34" borderId="383" applyNumberFormat="0" applyAlignment="0" applyProtection="0"/>
    <xf numFmtId="0" fontId="79" fillId="34" borderId="357" applyNumberFormat="0" applyAlignment="0" applyProtection="0"/>
    <xf numFmtId="0" fontId="84" fillId="21" borderId="375" applyNumberFormat="0" applyAlignment="0" applyProtection="0"/>
    <xf numFmtId="0" fontId="87" fillId="34" borderId="35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14" applyNumberFormat="0" applyAlignment="0" applyProtection="0"/>
    <xf numFmtId="0" fontId="84" fillId="21" borderId="362" applyNumberFormat="0" applyAlignment="0" applyProtection="0"/>
    <xf numFmtId="0" fontId="12" fillId="37" borderId="344" applyNumberFormat="0" applyFont="0" applyAlignment="0" applyProtection="0"/>
    <xf numFmtId="0" fontId="5" fillId="0" borderId="351" applyNumberFormat="0" applyFill="0" applyAlignment="0" applyProtection="0"/>
    <xf numFmtId="0" fontId="12" fillId="37" borderId="313" applyNumberFormat="0" applyFont="0" applyAlignment="0" applyProtection="0"/>
    <xf numFmtId="0" fontId="79" fillId="34" borderId="332" applyNumberFormat="0" applyAlignment="0" applyProtection="0"/>
    <xf numFmtId="0" fontId="12" fillId="37" borderId="317" applyNumberFormat="0" applyFont="0" applyAlignment="0" applyProtection="0"/>
    <xf numFmtId="0" fontId="12" fillId="37" borderId="370" applyNumberFormat="0" applyFont="0" applyAlignment="0" applyProtection="0"/>
    <xf numFmtId="0" fontId="12" fillId="37" borderId="366" applyNumberFormat="0" applyFont="0" applyAlignment="0" applyProtection="0"/>
    <xf numFmtId="0" fontId="79" fillId="34" borderId="367" applyNumberFormat="0" applyAlignment="0" applyProtection="0"/>
    <xf numFmtId="0" fontId="87" fillId="34" borderId="346" applyNumberFormat="0" applyAlignment="0" applyProtection="0"/>
    <xf numFmtId="0" fontId="12" fillId="37" borderId="366" applyNumberFormat="0" applyFont="0" applyAlignment="0" applyProtection="0"/>
    <xf numFmtId="0" fontId="79" fillId="34" borderId="367" applyNumberFormat="0" applyAlignment="0" applyProtection="0"/>
    <xf numFmtId="0" fontId="79" fillId="34" borderId="327" applyNumberFormat="0" applyAlignment="0" applyProtection="0"/>
    <xf numFmtId="0" fontId="84" fillId="21" borderId="349" applyNumberFormat="0" applyAlignment="0" applyProtection="0"/>
    <xf numFmtId="0" fontId="79" fillId="34" borderId="367" applyNumberFormat="0" applyAlignment="0" applyProtection="0"/>
    <xf numFmtId="0" fontId="84" fillId="21" borderId="337" applyNumberFormat="0" applyAlignment="0" applyProtection="0"/>
    <xf numFmtId="0" fontId="12" fillId="37" borderId="331" applyNumberFormat="0" applyFont="0" applyAlignment="0" applyProtection="0"/>
    <xf numFmtId="0" fontId="79" fillId="34" borderId="367" applyNumberFormat="0" applyAlignment="0" applyProtection="0"/>
    <xf numFmtId="0" fontId="5" fillId="0" borderId="351" applyNumberFormat="0" applyFill="0" applyAlignment="0" applyProtection="0"/>
    <xf numFmtId="0" fontId="79" fillId="34" borderId="375" applyNumberFormat="0" applyAlignment="0" applyProtection="0"/>
    <xf numFmtId="0" fontId="84" fillId="21" borderId="349" applyNumberFormat="0" applyAlignment="0" applyProtection="0"/>
    <xf numFmtId="0" fontId="12" fillId="37" borderId="330" applyNumberFormat="0" applyFont="0" applyAlignment="0" applyProtection="0"/>
    <xf numFmtId="0" fontId="87" fillId="34" borderId="315" applyNumberFormat="0" applyAlignment="0" applyProtection="0"/>
    <xf numFmtId="0" fontId="12" fillId="37" borderId="330" applyNumberFormat="0" applyFont="0" applyAlignment="0" applyProtection="0"/>
    <xf numFmtId="0" fontId="12" fillId="37" borderId="313" applyNumberFormat="0" applyFont="0" applyAlignment="0" applyProtection="0"/>
    <xf numFmtId="0" fontId="12" fillId="37" borderId="382" applyNumberFormat="0" applyFont="0" applyAlignment="0" applyProtection="0"/>
    <xf numFmtId="0" fontId="84" fillId="21" borderId="314" applyNumberFormat="0" applyAlignment="0" applyProtection="0"/>
    <xf numFmtId="0" fontId="84" fillId="21" borderId="314" applyNumberFormat="0" applyAlignment="0" applyProtection="0"/>
    <xf numFmtId="0" fontId="87" fillId="34" borderId="323" applyNumberFormat="0" applyAlignment="0" applyProtection="0"/>
    <xf numFmtId="0" fontId="12" fillId="37" borderId="321" applyNumberFormat="0" applyFont="0" applyAlignment="0" applyProtection="0"/>
    <xf numFmtId="0" fontId="12" fillId="37" borderId="336"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84" fillId="21" borderId="367" applyNumberFormat="0" applyAlignment="0" applyProtection="0"/>
    <xf numFmtId="0" fontId="12" fillId="37" borderId="366" applyNumberFormat="0" applyFont="0" applyAlignment="0" applyProtection="0"/>
    <xf numFmtId="0" fontId="12" fillId="37" borderId="330" applyNumberFormat="0" applyFont="0" applyAlignment="0" applyProtection="0"/>
    <xf numFmtId="0" fontId="87" fillId="34" borderId="392" applyNumberFormat="0" applyAlignment="0" applyProtection="0"/>
    <xf numFmtId="0" fontId="5" fillId="0" borderId="381" applyNumberFormat="0" applyFill="0" applyAlignment="0" applyProtection="0"/>
    <xf numFmtId="0" fontId="79" fillId="34" borderId="314" applyNumberFormat="0" applyAlignment="0" applyProtection="0"/>
    <xf numFmtId="0" fontId="79" fillId="34" borderId="314" applyNumberFormat="0" applyAlignment="0" applyProtection="0"/>
    <xf numFmtId="0" fontId="79" fillId="34" borderId="349" applyNumberFormat="0" applyAlignment="0" applyProtection="0"/>
    <xf numFmtId="0" fontId="87" fillId="34" borderId="368" applyNumberFormat="0" applyAlignment="0" applyProtection="0"/>
    <xf numFmtId="0" fontId="87" fillId="34" borderId="363" applyNumberFormat="0" applyAlignment="0" applyProtection="0"/>
    <xf numFmtId="0" fontId="12" fillId="37" borderId="336" applyNumberFormat="0" applyFont="0" applyAlignment="0" applyProtection="0"/>
    <xf numFmtId="0" fontId="12" fillId="37" borderId="348" applyNumberFormat="0" applyFont="0" applyAlignment="0" applyProtection="0"/>
    <xf numFmtId="0" fontId="79" fillId="34" borderId="337" applyNumberFormat="0" applyAlignment="0" applyProtection="0"/>
    <xf numFmtId="0" fontId="79" fillId="34" borderId="337" applyNumberFormat="0" applyAlignment="0" applyProtection="0"/>
    <xf numFmtId="0" fontId="79" fillId="34" borderId="349" applyNumberFormat="0" applyAlignment="0" applyProtection="0"/>
    <xf numFmtId="0" fontId="5" fillId="0" borderId="369" applyNumberFormat="0" applyFill="0" applyAlignment="0" applyProtection="0"/>
    <xf numFmtId="0" fontId="12" fillId="37" borderId="348" applyNumberFormat="0" applyFont="0" applyAlignment="0" applyProtection="0"/>
    <xf numFmtId="0" fontId="79" fillId="34" borderId="349" applyNumberFormat="0" applyAlignment="0" applyProtection="0"/>
    <xf numFmtId="0" fontId="84" fillId="21" borderId="367" applyNumberFormat="0" applyAlignment="0" applyProtection="0"/>
    <xf numFmtId="0" fontId="87" fillId="34" borderId="358" applyNumberFormat="0" applyAlignment="0" applyProtection="0"/>
    <xf numFmtId="0" fontId="87" fillId="34" borderId="350" applyNumberFormat="0" applyAlignment="0" applyProtection="0"/>
    <xf numFmtId="0" fontId="5" fillId="0" borderId="369" applyNumberFormat="0" applyFill="0" applyAlignment="0" applyProtection="0"/>
    <xf numFmtId="0" fontId="12" fillId="37" borderId="336" applyNumberFormat="0" applyFont="0" applyAlignment="0" applyProtection="0"/>
    <xf numFmtId="0" fontId="84" fillId="21" borderId="345" applyNumberFormat="0" applyAlignment="0" applyProtection="0"/>
    <xf numFmtId="0" fontId="12" fillId="37" borderId="344" applyNumberFormat="0" applyFont="0" applyAlignment="0" applyProtection="0"/>
    <xf numFmtId="0" fontId="87" fillId="34" borderId="368" applyNumberFormat="0" applyAlignment="0" applyProtection="0"/>
    <xf numFmtId="0" fontId="12" fillId="37" borderId="340" applyNumberFormat="0" applyFont="0" applyAlignment="0" applyProtection="0"/>
    <xf numFmtId="0" fontId="84" fillId="21" borderId="371" applyNumberFormat="0" applyAlignment="0" applyProtection="0"/>
    <xf numFmtId="0" fontId="12" fillId="37" borderId="394" applyNumberFormat="0" applyFont="0" applyAlignment="0" applyProtection="0"/>
    <xf numFmtId="0" fontId="84" fillId="21" borderId="349" applyNumberFormat="0" applyAlignment="0" applyProtection="0"/>
    <xf numFmtId="0" fontId="87" fillId="34" borderId="350"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67" applyNumberFormat="0" applyAlignment="0" applyProtection="0"/>
    <xf numFmtId="0" fontId="79" fillId="34" borderId="345" applyNumberFormat="0" applyAlignment="0" applyProtection="0"/>
    <xf numFmtId="0" fontId="12" fillId="37" borderId="366" applyNumberFormat="0" applyFont="0" applyAlignment="0" applyProtection="0"/>
    <xf numFmtId="0" fontId="12" fillId="37" borderId="352" applyNumberFormat="0" applyFont="0" applyAlignment="0" applyProtection="0"/>
    <xf numFmtId="0" fontId="84" fillId="21" borderId="379" applyNumberFormat="0" applyAlignment="0" applyProtection="0"/>
    <xf numFmtId="0" fontId="79" fillId="34" borderId="391" applyNumberFormat="0" applyAlignment="0" applyProtection="0"/>
    <xf numFmtId="0" fontId="87" fillId="34" borderId="368" applyNumberFormat="0" applyAlignment="0" applyProtection="0"/>
    <xf numFmtId="0" fontId="5" fillId="0" borderId="351" applyNumberFormat="0" applyFill="0" applyAlignment="0" applyProtection="0"/>
    <xf numFmtId="0" fontId="12" fillId="37" borderId="366" applyNumberFormat="0" applyFont="0" applyAlignment="0" applyProtection="0"/>
    <xf numFmtId="0" fontId="87" fillId="34" borderId="368" applyNumberFormat="0" applyAlignment="0" applyProtection="0"/>
    <xf numFmtId="0" fontId="87" fillId="34" borderId="350" applyNumberFormat="0" applyAlignment="0" applyProtection="0"/>
    <xf numFmtId="0" fontId="87" fillId="34" borderId="338" applyNumberFormat="0" applyAlignment="0" applyProtection="0"/>
    <xf numFmtId="0" fontId="12" fillId="37" borderId="344" applyNumberFormat="0" applyFont="0" applyAlignment="0" applyProtection="0"/>
    <xf numFmtId="0" fontId="5" fillId="0" borderId="355" applyNumberFormat="0" applyFill="0" applyAlignment="0" applyProtection="0"/>
    <xf numFmtId="0" fontId="12" fillId="37" borderId="356" applyNumberFormat="0" applyFont="0" applyAlignment="0" applyProtection="0"/>
    <xf numFmtId="0" fontId="84" fillId="21" borderId="37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79" fillId="34" borderId="332" applyNumberFormat="0" applyAlignment="0" applyProtection="0"/>
    <xf numFmtId="0" fontId="79" fillId="34" borderId="349"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15" applyNumberFormat="0" applyAlignment="0" applyProtection="0"/>
    <xf numFmtId="0" fontId="79" fillId="34" borderId="349" applyNumberFormat="0" applyAlignment="0" applyProtection="0"/>
    <xf numFmtId="0" fontId="12" fillId="37" borderId="348" applyNumberFormat="0" applyFont="0" applyAlignment="0" applyProtection="0"/>
    <xf numFmtId="0" fontId="87" fillId="34" borderId="380" applyNumberFormat="0" applyAlignment="0" applyProtection="0"/>
    <xf numFmtId="0" fontId="5" fillId="0" borderId="373" applyNumberFormat="0" applyFill="0" applyAlignment="0" applyProtection="0"/>
    <xf numFmtId="0" fontId="12" fillId="37" borderId="331" applyNumberFormat="0" applyFont="0" applyAlignment="0" applyProtection="0"/>
    <xf numFmtId="0" fontId="12" fillId="37" borderId="366" applyNumberFormat="0" applyFont="0" applyAlignment="0" applyProtection="0"/>
    <xf numFmtId="0" fontId="12" fillId="37" borderId="321" applyNumberFormat="0" applyFont="0" applyAlignment="0" applyProtection="0"/>
    <xf numFmtId="0" fontId="12" fillId="37" borderId="366" applyNumberFormat="0" applyFont="0" applyAlignment="0" applyProtection="0"/>
    <xf numFmtId="0" fontId="5" fillId="0" borderId="351" applyNumberFormat="0" applyFill="0" applyAlignment="0" applyProtection="0"/>
    <xf numFmtId="0" fontId="12" fillId="37" borderId="352" applyNumberFormat="0" applyFont="0" applyAlignment="0" applyProtection="0"/>
    <xf numFmtId="0" fontId="87" fillId="34" borderId="350" applyNumberFormat="0" applyAlignment="0" applyProtection="0"/>
    <xf numFmtId="0" fontId="12" fillId="37" borderId="366" applyNumberFormat="0" applyFont="0" applyAlignment="0" applyProtection="0"/>
    <xf numFmtId="0" fontId="12" fillId="37" borderId="313" applyNumberFormat="0" applyFont="0" applyAlignment="0" applyProtection="0"/>
    <xf numFmtId="0" fontId="79" fillId="34" borderId="367" applyNumberFormat="0" applyAlignment="0" applyProtection="0"/>
    <xf numFmtId="0" fontId="5" fillId="0" borderId="359" applyNumberFormat="0" applyFill="0" applyAlignment="0" applyProtection="0"/>
    <xf numFmtId="0" fontId="12" fillId="37" borderId="366" applyNumberFormat="0" applyFont="0" applyAlignment="0" applyProtection="0"/>
    <xf numFmtId="0" fontId="84" fillId="21" borderId="367" applyNumberFormat="0" applyAlignment="0" applyProtection="0"/>
    <xf numFmtId="0" fontId="12" fillId="37" borderId="348" applyNumberFormat="0" applyFont="0" applyAlignment="0" applyProtection="0"/>
    <xf numFmtId="0" fontId="12" fillId="37" borderId="370" applyNumberFormat="0" applyFont="0" applyAlignment="0" applyProtection="0"/>
    <xf numFmtId="0" fontId="12" fillId="37" borderId="331" applyNumberFormat="0" applyFont="0" applyAlignment="0" applyProtection="0"/>
    <xf numFmtId="0" fontId="12" fillId="37" borderId="394"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61" applyNumberFormat="0" applyFont="0" applyAlignment="0" applyProtection="0"/>
    <xf numFmtId="0" fontId="5" fillId="0" borderId="320" applyNumberFormat="0" applyFill="0" applyAlignment="0" applyProtection="0"/>
    <xf numFmtId="0" fontId="84" fillId="21" borderId="395" applyNumberFormat="0" applyAlignment="0" applyProtection="0"/>
    <xf numFmtId="0" fontId="5" fillId="0" borderId="347" applyNumberFormat="0" applyFill="0" applyAlignment="0" applyProtection="0"/>
    <xf numFmtId="0" fontId="87" fillId="34" borderId="368" applyNumberFormat="0" applyAlignment="0" applyProtection="0"/>
    <xf numFmtId="0" fontId="87" fillId="34" borderId="368" applyNumberFormat="0" applyAlignment="0" applyProtection="0"/>
    <xf numFmtId="0" fontId="12" fillId="37" borderId="330" applyNumberFormat="0" applyFont="0" applyAlignment="0" applyProtection="0"/>
    <xf numFmtId="0" fontId="79" fillId="34" borderId="357" applyNumberFormat="0" applyAlignment="0" applyProtection="0"/>
    <xf numFmtId="0" fontId="5" fillId="0" borderId="381" applyNumberFormat="0" applyFill="0" applyAlignment="0" applyProtection="0"/>
    <xf numFmtId="0" fontId="79" fillId="34" borderId="341" applyNumberFormat="0" applyAlignment="0" applyProtection="0"/>
    <xf numFmtId="0" fontId="12" fillId="37" borderId="326" applyNumberFormat="0" applyFont="0" applyAlignment="0" applyProtection="0"/>
    <xf numFmtId="0" fontId="84" fillId="21" borderId="318" applyNumberFormat="0" applyAlignment="0" applyProtection="0"/>
    <xf numFmtId="0" fontId="12" fillId="37" borderId="366" applyNumberFormat="0" applyFont="0" applyAlignment="0" applyProtection="0"/>
    <xf numFmtId="0" fontId="79" fillId="34" borderId="349" applyNumberFormat="0" applyAlignment="0" applyProtection="0"/>
    <xf numFmtId="0" fontId="87" fillId="34" borderId="358" applyNumberFormat="0" applyAlignment="0" applyProtection="0"/>
    <xf numFmtId="0" fontId="12" fillId="37" borderId="317" applyNumberFormat="0" applyFont="0" applyAlignment="0" applyProtection="0"/>
    <xf numFmtId="0" fontId="12" fillId="37" borderId="366" applyNumberFormat="0" applyFont="0" applyAlignment="0" applyProtection="0"/>
    <xf numFmtId="0" fontId="87" fillId="34" borderId="333" applyNumberFormat="0" applyAlignment="0" applyProtection="0"/>
    <xf numFmtId="0" fontId="84" fillId="21" borderId="314" applyNumberFormat="0" applyAlignment="0" applyProtection="0"/>
    <xf numFmtId="0" fontId="5" fillId="0" borderId="339" applyNumberFormat="0" applyFill="0" applyAlignment="0" applyProtection="0"/>
    <xf numFmtId="0" fontId="84" fillId="21" borderId="337" applyNumberFormat="0" applyAlignment="0" applyProtection="0"/>
    <xf numFmtId="0" fontId="5" fillId="0" borderId="369" applyNumberFormat="0" applyFill="0" applyAlignment="0" applyProtection="0"/>
    <xf numFmtId="0" fontId="84" fillId="21" borderId="322" applyNumberFormat="0" applyAlignment="0" applyProtection="0"/>
    <xf numFmtId="0" fontId="12" fillId="37" borderId="344" applyNumberFormat="0" applyFont="0" applyAlignment="0" applyProtection="0"/>
    <xf numFmtId="0" fontId="87" fillId="34" borderId="333" applyNumberFormat="0" applyAlignment="0" applyProtection="0"/>
    <xf numFmtId="0" fontId="12" fillId="37" borderId="340" applyNumberFormat="0" applyFont="0" applyAlignment="0" applyProtection="0"/>
    <xf numFmtId="0" fontId="84" fillId="21" borderId="379" applyNumberFormat="0" applyAlignment="0" applyProtection="0"/>
    <xf numFmtId="0" fontId="12" fillId="37" borderId="321" applyNumberFormat="0" applyFont="0" applyAlignment="0" applyProtection="0"/>
    <xf numFmtId="0" fontId="79" fillId="34" borderId="314" applyNumberFormat="0" applyAlignment="0" applyProtection="0"/>
    <xf numFmtId="0" fontId="87" fillId="34" borderId="315" applyNumberFormat="0" applyAlignment="0" applyProtection="0"/>
    <xf numFmtId="0" fontId="12" fillId="37" borderId="313" applyNumberFormat="0" applyFont="0" applyAlignment="0" applyProtection="0"/>
    <xf numFmtId="0" fontId="84" fillId="21" borderId="314" applyNumberFormat="0" applyAlignment="0" applyProtection="0"/>
    <xf numFmtId="0" fontId="79" fillId="34" borderId="314" applyNumberFormat="0" applyAlignment="0" applyProtection="0"/>
    <xf numFmtId="0" fontId="79" fillId="34" borderId="314" applyNumberFormat="0" applyAlignment="0" applyProtection="0"/>
    <xf numFmtId="0" fontId="79" fillId="34" borderId="314" applyNumberFormat="0" applyAlignment="0" applyProtection="0"/>
    <xf numFmtId="0" fontId="84" fillId="21" borderId="314" applyNumberFormat="0" applyAlignment="0" applyProtection="0"/>
    <xf numFmtId="0" fontId="84" fillId="21"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12" fillId="37" borderId="313" applyNumberFormat="0" applyFont="0" applyAlignment="0" applyProtection="0"/>
    <xf numFmtId="0" fontId="79" fillId="34" borderId="314" applyNumberFormat="0" applyAlignment="0" applyProtection="0"/>
    <xf numFmtId="0" fontId="84" fillId="21"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84" fillId="21" borderId="314" applyNumberForma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21" applyNumberFormat="0" applyFont="0" applyAlignment="0" applyProtection="0"/>
    <xf numFmtId="0" fontId="12" fillId="37" borderId="313" applyNumberFormat="0" applyFont="0" applyAlignment="0" applyProtection="0"/>
    <xf numFmtId="0" fontId="87" fillId="34" borderId="315" applyNumberFormat="0" applyAlignment="0" applyProtection="0"/>
    <xf numFmtId="0" fontId="12" fillId="37" borderId="313" applyNumberFormat="0" applyFont="0" applyAlignment="0" applyProtection="0"/>
    <xf numFmtId="0" fontId="79" fillId="34" borderId="314"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5" fillId="0" borderId="316" applyNumberFormat="0" applyFill="0" applyAlignment="0" applyProtection="0"/>
    <xf numFmtId="0" fontId="87" fillId="34" borderId="315" applyNumberFormat="0" applyAlignment="0" applyProtection="0"/>
    <xf numFmtId="0" fontId="87" fillId="34" borderId="315" applyNumberFormat="0" applyAlignment="0" applyProtection="0"/>
    <xf numFmtId="0" fontId="12" fillId="37" borderId="313" applyNumberFormat="0" applyFont="0" applyAlignment="0" applyProtection="0"/>
    <xf numFmtId="0" fontId="12" fillId="37" borderId="313" applyNumberFormat="0" applyFont="0" applyAlignment="0" applyProtection="0"/>
    <xf numFmtId="0" fontId="84" fillId="21" borderId="314" applyNumberFormat="0" applyAlignment="0" applyProtection="0"/>
    <xf numFmtId="0" fontId="84" fillId="21" borderId="314" applyNumberFormat="0" applyAlignment="0" applyProtection="0"/>
    <xf numFmtId="0" fontId="79" fillId="34" borderId="314" applyNumberFormat="0" applyAlignment="0" applyProtection="0"/>
    <xf numFmtId="0" fontId="79" fillId="34" borderId="314" applyNumberFormat="0" applyAlignment="0" applyProtection="0"/>
    <xf numFmtId="0" fontId="87" fillId="34" borderId="315" applyNumberFormat="0" applyAlignment="0" applyProtection="0"/>
    <xf numFmtId="0" fontId="5" fillId="0" borderId="316" applyNumberFormat="0" applyFill="0" applyAlignment="0" applyProtection="0"/>
    <xf numFmtId="0" fontId="5" fillId="0" borderId="316" applyNumberFormat="0" applyFill="0" applyAlignment="0" applyProtection="0"/>
    <xf numFmtId="0" fontId="12" fillId="37" borderId="313" applyNumberFormat="0" applyFont="0" applyAlignment="0" applyProtection="0"/>
    <xf numFmtId="0" fontId="5" fillId="0" borderId="316" applyNumberFormat="0" applyFill="0" applyAlignment="0" applyProtection="0"/>
    <xf numFmtId="0" fontId="12" fillId="37" borderId="313" applyNumberFormat="0" applyFont="0" applyAlignment="0" applyProtection="0"/>
    <xf numFmtId="0" fontId="84" fillId="21" borderId="314" applyNumberFormat="0" applyAlignment="0" applyProtection="0"/>
    <xf numFmtId="0" fontId="12" fillId="37" borderId="313" applyNumberFormat="0" applyFont="0" applyAlignment="0" applyProtection="0"/>
    <xf numFmtId="0" fontId="79" fillId="34" borderId="314" applyNumberFormat="0" applyAlignment="0" applyProtection="0"/>
    <xf numFmtId="0" fontId="84" fillId="21" borderId="314" applyNumberFormat="0" applyAlignment="0" applyProtection="0"/>
    <xf numFmtId="0" fontId="79" fillId="34" borderId="349" applyNumberFormat="0" applyAlignment="0" applyProtection="0"/>
    <xf numFmtId="0" fontId="84" fillId="21" borderId="314" applyNumberFormat="0" applyAlignment="0" applyProtection="0"/>
    <xf numFmtId="0" fontId="5" fillId="0" borderId="324" applyNumberFormat="0" applyFill="0" applyAlignment="0" applyProtection="0"/>
    <xf numFmtId="0" fontId="5" fillId="0" borderId="316" applyNumberFormat="0" applyFill="0" applyAlignment="0" applyProtection="0"/>
    <xf numFmtId="0" fontId="84" fillId="21" borderId="314" applyNumberFormat="0" applyAlignment="0" applyProtection="0"/>
    <xf numFmtId="0" fontId="87" fillId="34" borderId="315" applyNumberFormat="0" applyAlignment="0" applyProtection="0"/>
    <xf numFmtId="0" fontId="79" fillId="34" borderId="314" applyNumberFormat="0" applyAlignment="0" applyProtection="0"/>
    <xf numFmtId="0" fontId="87" fillId="34" borderId="323" applyNumberFormat="0" applyAlignment="0" applyProtection="0"/>
    <xf numFmtId="0" fontId="12" fillId="37" borderId="313" applyNumberFormat="0" applyFont="0" applyAlignment="0" applyProtection="0"/>
    <xf numFmtId="0" fontId="87" fillId="34" borderId="315" applyNumberFormat="0" applyAlignment="0" applyProtection="0"/>
    <xf numFmtId="0" fontId="79" fillId="34" borderId="314" applyNumberFormat="0" applyAlignment="0" applyProtection="0"/>
    <xf numFmtId="0" fontId="12" fillId="37" borderId="366" applyNumberFormat="0" applyFont="0" applyAlignment="0" applyProtection="0"/>
    <xf numFmtId="0" fontId="87" fillId="34" borderId="323" applyNumberFormat="0" applyAlignment="0" applyProtection="0"/>
    <xf numFmtId="0" fontId="84" fillId="21" borderId="322" applyNumberFormat="0" applyAlignment="0" applyProtection="0"/>
    <xf numFmtId="0" fontId="12" fillId="37" borderId="356" applyNumberFormat="0" applyFont="0" applyAlignment="0" applyProtection="0"/>
    <xf numFmtId="0" fontId="87" fillId="34" borderId="342" applyNumberFormat="0" applyAlignment="0" applyProtection="0"/>
    <xf numFmtId="0" fontId="5" fillId="0" borderId="377" applyNumberFormat="0" applyFill="0" applyAlignment="0" applyProtection="0"/>
    <xf numFmtId="0" fontId="12" fillId="37" borderId="386" applyNumberFormat="0" applyFont="0" applyAlignment="0" applyProtection="0"/>
    <xf numFmtId="0" fontId="84" fillId="21" borderId="357" applyNumberFormat="0" applyAlignment="0" applyProtection="0"/>
    <xf numFmtId="0" fontId="87" fillId="34" borderId="328" applyNumberForma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79" fillId="34"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87" fillId="34" borderId="323" applyNumberFormat="0" applyAlignment="0" applyProtection="0"/>
    <xf numFmtId="0" fontId="5" fillId="0" borderId="324" applyNumberFormat="0" applyFill="0" applyAlignment="0" applyProtection="0"/>
    <xf numFmtId="0" fontId="84" fillId="21" borderId="322" applyNumberFormat="0" applyAlignment="0" applyProtection="0"/>
    <xf numFmtId="0" fontId="12" fillId="37" borderId="321" applyNumberFormat="0" applyFont="0" applyAlignment="0" applyProtection="0"/>
    <xf numFmtId="0" fontId="84" fillId="21" borderId="322" applyNumberFormat="0" applyAlignment="0" applyProtection="0"/>
    <xf numFmtId="0" fontId="84" fillId="21" borderId="322" applyNumberFormat="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87" fillId="34" borderId="323"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9" applyNumberFormat="0" applyFill="0" applyAlignment="0" applyProtection="0"/>
    <xf numFmtId="0" fontId="79" fillId="34" borderId="322" applyNumberFormat="0" applyAlignment="0" applyProtection="0"/>
    <xf numFmtId="0" fontId="87" fillId="34" borderId="323" applyNumberFormat="0" applyAlignment="0" applyProtection="0"/>
    <xf numFmtId="0" fontId="12" fillId="37" borderId="321" applyNumberFormat="0" applyFont="0" applyAlignment="0" applyProtection="0"/>
    <xf numFmtId="0" fontId="84" fillId="21" borderId="322" applyNumberFormat="0" applyAlignment="0" applyProtection="0"/>
    <xf numFmtId="0" fontId="79" fillId="34" borderId="322" applyNumberFormat="0" applyAlignment="0" applyProtection="0"/>
    <xf numFmtId="0" fontId="79" fillId="34" borderId="322" applyNumberFormat="0" applyAlignment="0" applyProtection="0"/>
    <xf numFmtId="0" fontId="79" fillId="34" borderId="322" applyNumberFormat="0" applyAlignment="0" applyProtection="0"/>
    <xf numFmtId="0" fontId="84" fillId="21" borderId="322" applyNumberFormat="0" applyAlignment="0" applyProtection="0"/>
    <xf numFmtId="0" fontId="84" fillId="21"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12" fillId="37" borderId="321" applyNumberFormat="0" applyFont="0" applyAlignment="0" applyProtection="0"/>
    <xf numFmtId="0" fontId="79" fillId="34" borderId="322" applyNumberForma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87" fillId="34" borderId="323" applyNumberFormat="0" applyAlignment="0" applyProtection="0"/>
    <xf numFmtId="0" fontId="12" fillId="37" borderId="321" applyNumberFormat="0" applyFont="0" applyAlignment="0" applyProtection="0"/>
    <xf numFmtId="0" fontId="84" fillId="21" borderId="322" applyNumberForma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5" fillId="0" borderId="329" applyNumberFormat="0" applyFill="0" applyAlignment="0" applyProtection="0"/>
    <xf numFmtId="0" fontId="12" fillId="37" borderId="321" applyNumberFormat="0" applyFont="0" applyAlignment="0" applyProtection="0"/>
    <xf numFmtId="0" fontId="87" fillId="34" borderId="323" applyNumberFormat="0" applyAlignment="0" applyProtection="0"/>
    <xf numFmtId="0" fontId="12" fillId="37" borderId="321" applyNumberFormat="0" applyFont="0" applyAlignment="0" applyProtection="0"/>
    <xf numFmtId="0" fontId="79" fillId="34" borderId="322"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5" fillId="0" borderId="324" applyNumberFormat="0" applyFill="0" applyAlignment="0" applyProtection="0"/>
    <xf numFmtId="0" fontId="87" fillId="34" borderId="323" applyNumberFormat="0" applyAlignment="0" applyProtection="0"/>
    <xf numFmtId="0" fontId="87" fillId="34" borderId="323" applyNumberFormat="0" applyAlignment="0" applyProtection="0"/>
    <xf numFmtId="0" fontId="12" fillId="37" borderId="321" applyNumberFormat="0" applyFont="0" applyAlignment="0" applyProtection="0"/>
    <xf numFmtId="0" fontId="12" fillId="37" borderId="321" applyNumberFormat="0" applyFont="0" applyAlignment="0" applyProtection="0"/>
    <xf numFmtId="0" fontId="84" fillId="21" borderId="322" applyNumberFormat="0" applyAlignment="0" applyProtection="0"/>
    <xf numFmtId="0" fontId="84" fillId="21" borderId="322" applyNumberFormat="0" applyAlignment="0" applyProtection="0"/>
    <xf numFmtId="0" fontId="79" fillId="34" borderId="322" applyNumberFormat="0" applyAlignment="0" applyProtection="0"/>
    <xf numFmtId="0" fontId="79" fillId="34" borderId="322" applyNumberFormat="0" applyAlignment="0" applyProtection="0"/>
    <xf numFmtId="0" fontId="87" fillId="34" borderId="323" applyNumberFormat="0" applyAlignment="0" applyProtection="0"/>
    <xf numFmtId="0" fontId="5" fillId="0" borderId="324" applyNumberFormat="0" applyFill="0" applyAlignment="0" applyProtection="0"/>
    <xf numFmtId="0" fontId="5" fillId="0" borderId="324" applyNumberFormat="0" applyFill="0" applyAlignment="0" applyProtection="0"/>
    <xf numFmtId="0" fontId="12" fillId="37" borderId="321" applyNumberFormat="0" applyFont="0" applyAlignment="0" applyProtection="0"/>
    <xf numFmtId="0" fontId="5" fillId="0" borderId="324" applyNumberFormat="0" applyFill="0" applyAlignment="0" applyProtection="0"/>
    <xf numFmtId="0" fontId="12" fillId="37" borderId="321" applyNumberFormat="0" applyFont="0" applyAlignment="0" applyProtection="0"/>
    <xf numFmtId="0" fontId="84" fillId="21" borderId="322" applyNumberFormat="0" applyAlignment="0" applyProtection="0"/>
    <xf numFmtId="0" fontId="12" fillId="37" borderId="321" applyNumberFormat="0" applyFont="0" applyAlignment="0" applyProtection="0"/>
    <xf numFmtId="0" fontId="79" fillId="34" borderId="322" applyNumberFormat="0" applyAlignment="0" applyProtection="0"/>
    <xf numFmtId="0" fontId="84" fillId="21" borderId="322" applyNumberFormat="0" applyAlignment="0" applyProtection="0"/>
    <xf numFmtId="0" fontId="84" fillId="21" borderId="322" applyNumberFormat="0" applyAlignment="0" applyProtection="0"/>
    <xf numFmtId="0" fontId="87" fillId="34" borderId="328" applyNumberFormat="0" applyAlignment="0" applyProtection="0"/>
    <xf numFmtId="0" fontId="5" fillId="0" borderId="324" applyNumberFormat="0" applyFill="0" applyAlignment="0" applyProtection="0"/>
    <xf numFmtId="0" fontId="84" fillId="21" borderId="322" applyNumberFormat="0" applyAlignment="0" applyProtection="0"/>
    <xf numFmtId="0" fontId="87" fillId="34" borderId="323" applyNumberFormat="0" applyAlignment="0" applyProtection="0"/>
    <xf numFmtId="0" fontId="79" fillId="34" borderId="322" applyNumberFormat="0" applyAlignment="0" applyProtection="0"/>
    <xf numFmtId="0" fontId="12" fillId="37" borderId="326" applyNumberFormat="0" applyFont="0" applyAlignment="0" applyProtection="0"/>
    <xf numFmtId="0" fontId="12" fillId="37" borderId="321" applyNumberFormat="0" applyFont="0" applyAlignment="0" applyProtection="0"/>
    <xf numFmtId="0" fontId="87" fillId="34" borderId="323" applyNumberFormat="0" applyAlignment="0" applyProtection="0"/>
    <xf numFmtId="0" fontId="79" fillId="34" borderId="322" applyNumberFormat="0" applyAlignment="0" applyProtection="0"/>
    <xf numFmtId="0" fontId="87" fillId="34" borderId="350" applyNumberFormat="0" applyAlignment="0" applyProtection="0"/>
    <xf numFmtId="0" fontId="12" fillId="37" borderId="348"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87" fillId="34" borderId="328" applyNumberFormat="0" applyAlignment="0" applyProtection="0"/>
    <xf numFmtId="0" fontId="84" fillId="21" borderId="327" applyNumberFormat="0" applyAlignment="0" applyProtection="0"/>
    <xf numFmtId="0" fontId="12" fillId="37" borderId="348" applyNumberFormat="0" applyFont="0" applyAlignment="0" applyProtection="0"/>
    <xf numFmtId="0" fontId="84" fillId="21" borderId="367" applyNumberFormat="0" applyAlignment="0" applyProtection="0"/>
    <xf numFmtId="0" fontId="84" fillId="21" borderId="349" applyNumberFormat="0" applyAlignment="0" applyProtection="0"/>
    <xf numFmtId="0" fontId="5" fillId="0" borderId="369" applyNumberFormat="0" applyFill="0" applyAlignment="0" applyProtection="0"/>
    <xf numFmtId="0" fontId="12" fillId="37" borderId="390" applyNumberFormat="0" applyFont="0" applyAlignment="0" applyProtection="0"/>
    <xf numFmtId="0" fontId="79" fillId="34" borderId="345" applyNumberFormat="0" applyAlignment="0" applyProtection="0"/>
    <xf numFmtId="0" fontId="12" fillId="37" borderId="348" applyNumberFormat="0" applyFont="0" applyAlignment="0" applyProtection="0"/>
    <xf numFmtId="0" fontId="87" fillId="34" borderId="368" applyNumberFormat="0" applyAlignment="0" applyProtection="0"/>
    <xf numFmtId="0" fontId="5" fillId="0" borderId="369" applyNumberFormat="0" applyFill="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5" fillId="0" borderId="329"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7" fillId="34" borderId="328" applyNumberFormat="0" applyAlignment="0" applyProtection="0"/>
    <xf numFmtId="0" fontId="5" fillId="0" borderId="329" applyNumberFormat="0" applyFill="0" applyAlignment="0" applyProtection="0"/>
    <xf numFmtId="0" fontId="84" fillId="21" borderId="327" applyNumberFormat="0" applyAlignment="0" applyProtection="0"/>
    <xf numFmtId="0" fontId="12" fillId="37" borderId="326" applyNumberFormat="0" applyFont="0" applyAlignment="0" applyProtection="0"/>
    <xf numFmtId="0" fontId="84" fillId="21" borderId="327" applyNumberFormat="0" applyAlignment="0" applyProtection="0"/>
    <xf numFmtId="0" fontId="84" fillId="21" borderId="327" applyNumberFormat="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87" fillId="34" borderId="328" applyNumberFormat="0" applyAlignment="0" applyProtection="0"/>
    <xf numFmtId="0" fontId="5" fillId="0" borderId="329" applyNumberFormat="0" applyFill="0" applyAlignment="0" applyProtection="0"/>
    <xf numFmtId="0" fontId="5" fillId="0" borderId="329" applyNumberFormat="0" applyFill="0" applyAlignment="0" applyProtection="0"/>
    <xf numFmtId="0" fontId="87"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87" fillId="34" borderId="328" applyNumberFormat="0" applyAlignment="0" applyProtection="0"/>
    <xf numFmtId="0" fontId="12" fillId="37" borderId="326" applyNumberFormat="0" applyFont="0" applyAlignment="0" applyProtection="0"/>
    <xf numFmtId="0" fontId="84" fillId="21" borderId="327" applyNumberFormat="0" applyAlignment="0" applyProtection="0"/>
    <xf numFmtId="0" fontId="79" fillId="34" borderId="327" applyNumberFormat="0" applyAlignment="0" applyProtection="0"/>
    <xf numFmtId="0" fontId="79" fillId="34" borderId="327" applyNumberFormat="0" applyAlignment="0" applyProtection="0"/>
    <xf numFmtId="0" fontId="79" fillId="34" borderId="327" applyNumberFormat="0" applyAlignment="0" applyProtection="0"/>
    <xf numFmtId="0" fontId="84" fillId="21" borderId="327" applyNumberFormat="0" applyAlignment="0" applyProtection="0"/>
    <xf numFmtId="0" fontId="84" fillId="21"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5" fillId="0" borderId="329"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12" fillId="37" borderId="326" applyNumberFormat="0" applyFont="0" applyAlignment="0" applyProtection="0"/>
    <xf numFmtId="0" fontId="79" fillId="34" borderId="327" applyNumberFormat="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28" applyNumberFormat="0" applyAlignment="0" applyProtection="0"/>
    <xf numFmtId="0" fontId="12" fillId="37" borderId="326" applyNumberFormat="0" applyFont="0" applyAlignment="0" applyProtection="0"/>
    <xf numFmtId="0" fontId="84" fillId="21" borderId="327" applyNumberForma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7" fillId="34" borderId="328" applyNumberFormat="0" applyAlignment="0" applyProtection="0"/>
    <xf numFmtId="0" fontId="87" fillId="34" borderId="368" applyNumberFormat="0" applyAlignment="0" applyProtection="0"/>
    <xf numFmtId="0" fontId="12" fillId="37" borderId="326" applyNumberFormat="0" applyFont="0" applyAlignment="0" applyProtection="0"/>
    <xf numFmtId="0" fontId="87" fillId="34" borderId="328" applyNumberFormat="0" applyAlignment="0" applyProtection="0"/>
    <xf numFmtId="0" fontId="12" fillId="37" borderId="326" applyNumberFormat="0" applyFont="0" applyAlignment="0" applyProtection="0"/>
    <xf numFmtId="0" fontId="79"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87" fillId="34" borderId="328" applyNumberFormat="0" applyAlignment="0" applyProtection="0"/>
    <xf numFmtId="0" fontId="87"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4" fillId="21" borderId="327" applyNumberFormat="0" applyAlignment="0" applyProtection="0"/>
    <xf numFmtId="0" fontId="84" fillId="21" borderId="327" applyNumberFormat="0" applyAlignment="0" applyProtection="0"/>
    <xf numFmtId="0" fontId="79" fillId="34" borderId="327" applyNumberFormat="0" applyAlignment="0" applyProtection="0"/>
    <xf numFmtId="0" fontId="79" fillId="34" borderId="327" applyNumberFormat="0" applyAlignment="0" applyProtection="0"/>
    <xf numFmtId="0" fontId="87" fillId="34" borderId="328" applyNumberFormat="0" applyAlignment="0" applyProtection="0"/>
    <xf numFmtId="0" fontId="5" fillId="0" borderId="329" applyNumberFormat="0" applyFill="0" applyAlignment="0" applyProtection="0"/>
    <xf numFmtId="0" fontId="12" fillId="37" borderId="361"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4" fillId="21" borderId="327" applyNumberFormat="0" applyAlignment="0" applyProtection="0"/>
    <xf numFmtId="0" fontId="12" fillId="37" borderId="326" applyNumberFormat="0" applyFont="0" applyAlignment="0" applyProtection="0"/>
    <xf numFmtId="0" fontId="79" fillId="34" borderId="327" applyNumberFormat="0" applyAlignment="0" applyProtection="0"/>
    <xf numFmtId="0" fontId="84" fillId="21" borderId="327" applyNumberFormat="0" applyAlignment="0" applyProtection="0"/>
    <xf numFmtId="0" fontId="5" fillId="0" borderId="377" applyNumberFormat="0" applyFill="0" applyAlignment="0" applyProtection="0"/>
    <xf numFmtId="0" fontId="84" fillId="21" borderId="327" applyNumberFormat="0" applyAlignment="0" applyProtection="0"/>
    <xf numFmtId="0" fontId="12" fillId="37" borderId="331" applyNumberFormat="0" applyFont="0" applyAlignment="0" applyProtection="0"/>
    <xf numFmtId="0" fontId="5" fillId="0" borderId="329" applyNumberFormat="0" applyFill="0" applyAlignment="0" applyProtection="0"/>
    <xf numFmtId="0" fontId="84" fillId="21" borderId="327" applyNumberFormat="0" applyAlignment="0" applyProtection="0"/>
    <xf numFmtId="0" fontId="87" fillId="34" borderId="328" applyNumberFormat="0" applyAlignment="0" applyProtection="0"/>
    <xf numFmtId="0" fontId="79" fillId="34" borderId="327" applyNumberFormat="0" applyAlignment="0" applyProtection="0"/>
    <xf numFmtId="0" fontId="84" fillId="21" borderId="349" applyNumberFormat="0" applyAlignment="0" applyProtection="0"/>
    <xf numFmtId="0" fontId="12" fillId="37" borderId="326" applyNumberFormat="0" applyFont="0" applyAlignment="0" applyProtection="0"/>
    <xf numFmtId="0" fontId="87" fillId="34" borderId="328" applyNumberFormat="0" applyAlignment="0" applyProtection="0"/>
    <xf numFmtId="0" fontId="79" fillId="34" borderId="327" applyNumberFormat="0" applyAlignment="0" applyProtection="0"/>
    <xf numFmtId="0" fontId="84" fillId="21" borderId="399" applyNumberFormat="0" applyAlignment="0" applyProtection="0"/>
    <xf numFmtId="0" fontId="87" fillId="34" borderId="350" applyNumberFormat="0" applyAlignment="0" applyProtection="0"/>
    <xf numFmtId="0" fontId="79" fillId="34" borderId="375" applyNumberFormat="0" applyAlignment="0" applyProtection="0"/>
    <xf numFmtId="0" fontId="84" fillId="21" borderId="349" applyNumberForma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79" fillId="34"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87" fillId="34" borderId="333" applyNumberFormat="0" applyAlignment="0" applyProtection="0"/>
    <xf numFmtId="0" fontId="5" fillId="0" borderId="334" applyNumberFormat="0" applyFill="0" applyAlignment="0" applyProtection="0"/>
    <xf numFmtId="0" fontId="84" fillId="21" borderId="332" applyNumberFormat="0" applyAlignment="0" applyProtection="0"/>
    <xf numFmtId="0" fontId="12" fillId="37" borderId="331" applyNumberFormat="0" applyFont="0" applyAlignment="0" applyProtection="0"/>
    <xf numFmtId="0" fontId="84" fillId="21" borderId="332" applyNumberFormat="0" applyAlignment="0" applyProtection="0"/>
    <xf numFmtId="0" fontId="84" fillId="21" borderId="332" applyNumberFormat="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87" fillId="34" borderId="333"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51" applyNumberFormat="0" applyFill="0" applyAlignment="0" applyProtection="0"/>
    <xf numFmtId="0" fontId="79" fillId="34" borderId="332" applyNumberFormat="0" applyAlignment="0" applyProtection="0"/>
    <xf numFmtId="0" fontId="87" fillId="34" borderId="333" applyNumberFormat="0" applyAlignment="0" applyProtection="0"/>
    <xf numFmtId="0" fontId="12" fillId="37" borderId="331" applyNumberFormat="0" applyFont="0" applyAlignment="0" applyProtection="0"/>
    <xf numFmtId="0" fontId="84" fillId="21" borderId="332" applyNumberFormat="0" applyAlignment="0" applyProtection="0"/>
    <xf numFmtId="0" fontId="79" fillId="34" borderId="332" applyNumberFormat="0" applyAlignment="0" applyProtection="0"/>
    <xf numFmtId="0" fontId="79" fillId="34" borderId="332" applyNumberFormat="0" applyAlignment="0" applyProtection="0"/>
    <xf numFmtId="0" fontId="79" fillId="34" borderId="332" applyNumberFormat="0" applyAlignment="0" applyProtection="0"/>
    <xf numFmtId="0" fontId="84" fillId="21" borderId="332" applyNumberFormat="0" applyAlignment="0" applyProtection="0"/>
    <xf numFmtId="0" fontId="84" fillId="21"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12" fillId="37" borderId="331" applyNumberFormat="0" applyFont="0" applyAlignment="0" applyProtection="0"/>
    <xf numFmtId="0" fontId="79" fillId="34" borderId="332" applyNumberForma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87" fillId="34" borderId="333" applyNumberFormat="0" applyAlignment="0" applyProtection="0"/>
    <xf numFmtId="0" fontId="12" fillId="37" borderId="331" applyNumberFormat="0" applyFont="0" applyAlignment="0" applyProtection="0"/>
    <xf numFmtId="0" fontId="84" fillId="21" borderId="332" applyNumberForma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12" fillId="37" borderId="374" applyNumberFormat="0" applyFont="0" applyAlignment="0" applyProtection="0"/>
    <xf numFmtId="0" fontId="12" fillId="37" borderId="331" applyNumberFormat="0" applyFont="0" applyAlignment="0" applyProtection="0"/>
    <xf numFmtId="0" fontId="87" fillId="34" borderId="333" applyNumberFormat="0" applyAlignment="0" applyProtection="0"/>
    <xf numFmtId="0" fontId="12" fillId="37" borderId="331" applyNumberFormat="0" applyFont="0" applyAlignment="0" applyProtection="0"/>
    <xf numFmtId="0" fontId="79" fillId="34" borderId="332"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5" fillId="0" borderId="334" applyNumberFormat="0" applyFill="0" applyAlignment="0" applyProtection="0"/>
    <xf numFmtId="0" fontId="87" fillId="34" borderId="333" applyNumberFormat="0" applyAlignment="0" applyProtection="0"/>
    <xf numFmtId="0" fontId="87" fillId="34" borderId="333" applyNumberFormat="0" applyAlignment="0" applyProtection="0"/>
    <xf numFmtId="0" fontId="12" fillId="37" borderId="331" applyNumberFormat="0" applyFont="0" applyAlignment="0" applyProtection="0"/>
    <xf numFmtId="0" fontId="12" fillId="37" borderId="331" applyNumberFormat="0" applyFont="0" applyAlignment="0" applyProtection="0"/>
    <xf numFmtId="0" fontId="84" fillId="21" borderId="332" applyNumberFormat="0" applyAlignment="0" applyProtection="0"/>
    <xf numFmtId="0" fontId="84" fillId="21" borderId="332" applyNumberFormat="0" applyAlignment="0" applyProtection="0"/>
    <xf numFmtId="0" fontId="79" fillId="34" borderId="332" applyNumberFormat="0" applyAlignment="0" applyProtection="0"/>
    <xf numFmtId="0" fontId="79" fillId="34" borderId="332" applyNumberFormat="0" applyAlignment="0" applyProtection="0"/>
    <xf numFmtId="0" fontId="87" fillId="34" borderId="333" applyNumberFormat="0" applyAlignment="0" applyProtection="0"/>
    <xf numFmtId="0" fontId="5" fillId="0" borderId="334" applyNumberFormat="0" applyFill="0" applyAlignment="0" applyProtection="0"/>
    <xf numFmtId="0" fontId="5" fillId="0" borderId="334" applyNumberFormat="0" applyFill="0" applyAlignment="0" applyProtection="0"/>
    <xf numFmtId="0" fontId="12" fillId="37" borderId="331" applyNumberFormat="0" applyFont="0" applyAlignment="0" applyProtection="0"/>
    <xf numFmtId="0" fontId="5" fillId="0" borderId="334" applyNumberFormat="0" applyFill="0" applyAlignment="0" applyProtection="0"/>
    <xf numFmtId="0" fontId="12" fillId="37" borderId="331" applyNumberFormat="0" applyFont="0" applyAlignment="0" applyProtection="0"/>
    <xf numFmtId="0" fontId="84" fillId="21" borderId="332" applyNumberFormat="0" applyAlignment="0" applyProtection="0"/>
    <xf numFmtId="0" fontId="12" fillId="37" borderId="331" applyNumberFormat="0" applyFont="0" applyAlignment="0" applyProtection="0"/>
    <xf numFmtId="0" fontId="79" fillId="34" borderId="332" applyNumberFormat="0" applyAlignment="0" applyProtection="0"/>
    <xf numFmtId="0" fontId="84" fillId="21" borderId="332" applyNumberFormat="0" applyAlignment="0" applyProtection="0"/>
    <xf numFmtId="0" fontId="84" fillId="21" borderId="332" applyNumberFormat="0" applyAlignment="0" applyProtection="0"/>
    <xf numFmtId="0" fontId="84" fillId="21" borderId="367" applyNumberFormat="0" applyAlignment="0" applyProtection="0"/>
    <xf numFmtId="0" fontId="5" fillId="0" borderId="334" applyNumberFormat="0" applyFill="0" applyAlignment="0" applyProtection="0"/>
    <xf numFmtId="0" fontId="84" fillId="21" borderId="332" applyNumberFormat="0" applyAlignment="0" applyProtection="0"/>
    <xf numFmtId="0" fontId="87" fillId="34" borderId="333" applyNumberFormat="0" applyAlignment="0" applyProtection="0"/>
    <xf numFmtId="0" fontId="5" fillId="0" borderId="355" applyNumberFormat="0" applyFill="0" applyAlignment="0" applyProtection="0"/>
    <xf numFmtId="0" fontId="79" fillId="34" borderId="332" applyNumberFormat="0" applyAlignment="0" applyProtection="0"/>
    <xf numFmtId="0" fontId="12" fillId="37" borderId="331" applyNumberFormat="0" applyFont="0" applyAlignment="0" applyProtection="0"/>
    <xf numFmtId="0" fontId="87" fillId="34" borderId="333" applyNumberFormat="0" applyAlignment="0" applyProtection="0"/>
    <xf numFmtId="0" fontId="79" fillId="34" borderId="332" applyNumberFormat="0" applyAlignment="0" applyProtection="0"/>
    <xf numFmtId="0" fontId="12" fillId="37" borderId="348" applyNumberFormat="0" applyFont="0" applyAlignment="0" applyProtection="0"/>
    <xf numFmtId="0" fontId="12" fillId="37" borderId="366" applyNumberFormat="0" applyFont="0" applyAlignment="0" applyProtection="0"/>
    <xf numFmtId="0" fontId="87" fillId="34" borderId="350" applyNumberFormat="0" applyAlignment="0" applyProtection="0"/>
    <xf numFmtId="0" fontId="12" fillId="37" borderId="366"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79" fillId="34" borderId="367" applyNumberForma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5" fillId="0" borderId="339" applyNumberFormat="0" applyFill="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87" fillId="34" borderId="338" applyNumberFormat="0" applyAlignment="0" applyProtection="0"/>
    <xf numFmtId="0" fontId="5" fillId="0" borderId="339" applyNumberFormat="0" applyFill="0" applyAlignment="0" applyProtection="0"/>
    <xf numFmtId="0" fontId="84" fillId="21" borderId="337" applyNumberFormat="0" applyAlignment="0" applyProtection="0"/>
    <xf numFmtId="0" fontId="12" fillId="37" borderId="336" applyNumberFormat="0" applyFont="0" applyAlignment="0" applyProtection="0"/>
    <xf numFmtId="0" fontId="84" fillId="21" borderId="337" applyNumberFormat="0" applyAlignment="0" applyProtection="0"/>
    <xf numFmtId="0" fontId="84" fillId="21" borderId="337" applyNumberFormat="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87" fillId="34" borderId="338" applyNumberFormat="0" applyAlignment="0" applyProtection="0"/>
    <xf numFmtId="0" fontId="5" fillId="0" borderId="339" applyNumberFormat="0" applyFill="0" applyAlignment="0" applyProtection="0"/>
    <xf numFmtId="0" fontId="5" fillId="0" borderId="339" applyNumberFormat="0" applyFill="0" applyAlignment="0" applyProtection="0"/>
    <xf numFmtId="0" fontId="87" fillId="34" borderId="338"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87" fillId="34" borderId="338" applyNumberFormat="0" applyAlignment="0" applyProtection="0"/>
    <xf numFmtId="0" fontId="12" fillId="37" borderId="336" applyNumberFormat="0" applyFont="0" applyAlignment="0" applyProtection="0"/>
    <xf numFmtId="0" fontId="84" fillId="21" borderId="337" applyNumberFormat="0" applyAlignment="0" applyProtection="0"/>
    <xf numFmtId="0" fontId="79" fillId="34" borderId="337" applyNumberFormat="0" applyAlignment="0" applyProtection="0"/>
    <xf numFmtId="0" fontId="79" fillId="34" borderId="337" applyNumberFormat="0" applyAlignment="0" applyProtection="0"/>
    <xf numFmtId="0" fontId="79" fillId="34" borderId="337" applyNumberFormat="0" applyAlignment="0" applyProtection="0"/>
    <xf numFmtId="0" fontId="84" fillId="21" borderId="337" applyNumberFormat="0" applyAlignment="0" applyProtection="0"/>
    <xf numFmtId="0" fontId="84" fillId="21"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5" fillId="0" borderId="339" applyNumberFormat="0" applyFill="0" applyAlignment="0" applyProtection="0"/>
    <xf numFmtId="0" fontId="5" fillId="0" borderId="339" applyNumberFormat="0" applyFill="0" applyAlignment="0" applyProtection="0"/>
    <xf numFmtId="0" fontId="12" fillId="37" borderId="336" applyNumberFormat="0" applyFont="0" applyAlignment="0" applyProtection="0"/>
    <xf numFmtId="0" fontId="12" fillId="37" borderId="336" applyNumberFormat="0" applyFont="0" applyAlignment="0" applyProtection="0"/>
    <xf numFmtId="0" fontId="79" fillId="34" borderId="337" applyNumberForma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87" fillId="34" borderId="338" applyNumberFormat="0" applyAlignment="0" applyProtection="0"/>
    <xf numFmtId="0" fontId="12" fillId="37" borderId="336" applyNumberFormat="0" applyFont="0" applyAlignment="0" applyProtection="0"/>
    <xf numFmtId="0" fontId="84" fillId="21" borderId="337" applyNumberForma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79" fillId="34" borderId="341" applyNumberFormat="0" applyAlignment="0" applyProtection="0"/>
    <xf numFmtId="0" fontId="12" fillId="37" borderId="366" applyNumberFormat="0" applyFont="0" applyAlignment="0" applyProtection="0"/>
    <xf numFmtId="0" fontId="12" fillId="37" borderId="336" applyNumberFormat="0" applyFont="0" applyAlignment="0" applyProtection="0"/>
    <xf numFmtId="0" fontId="87" fillId="34" borderId="338" applyNumberFormat="0" applyAlignment="0" applyProtection="0"/>
    <xf numFmtId="0" fontId="12" fillId="37" borderId="336" applyNumberFormat="0" applyFont="0" applyAlignment="0" applyProtection="0"/>
    <xf numFmtId="0" fontId="79" fillId="34" borderId="337"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5" fillId="0" borderId="339" applyNumberFormat="0" applyFill="0" applyAlignment="0" applyProtection="0"/>
    <xf numFmtId="0" fontId="87" fillId="34" borderId="338" applyNumberFormat="0" applyAlignment="0" applyProtection="0"/>
    <xf numFmtId="0" fontId="87" fillId="34" borderId="338" applyNumberFormat="0" applyAlignment="0" applyProtection="0"/>
    <xf numFmtId="0" fontId="12" fillId="37" borderId="336" applyNumberFormat="0" applyFont="0" applyAlignment="0" applyProtection="0"/>
    <xf numFmtId="0" fontId="12" fillId="37" borderId="336" applyNumberFormat="0" applyFont="0" applyAlignment="0" applyProtection="0"/>
    <xf numFmtId="0" fontId="84" fillId="21" borderId="337" applyNumberFormat="0" applyAlignment="0" applyProtection="0"/>
    <xf numFmtId="0" fontId="84" fillId="21" borderId="337" applyNumberFormat="0" applyAlignment="0" applyProtection="0"/>
    <xf numFmtId="0" fontId="79" fillId="34" borderId="337" applyNumberFormat="0" applyAlignment="0" applyProtection="0"/>
    <xf numFmtId="0" fontId="79" fillId="34" borderId="337" applyNumberFormat="0" applyAlignment="0" applyProtection="0"/>
    <xf numFmtId="0" fontId="87" fillId="34" borderId="338" applyNumberFormat="0" applyAlignment="0" applyProtection="0"/>
    <xf numFmtId="0" fontId="5" fillId="0" borderId="339" applyNumberFormat="0" applyFill="0" applyAlignment="0" applyProtection="0"/>
    <xf numFmtId="0" fontId="84" fillId="21" borderId="353" applyNumberFormat="0" applyAlignment="0" applyProtection="0"/>
    <xf numFmtId="0" fontId="5" fillId="0" borderId="339" applyNumberFormat="0" applyFill="0" applyAlignment="0" applyProtection="0"/>
    <xf numFmtId="0" fontId="12" fillId="37" borderId="336" applyNumberFormat="0" applyFont="0" applyAlignment="0" applyProtection="0"/>
    <xf numFmtId="0" fontId="5" fillId="0" borderId="339" applyNumberFormat="0" applyFill="0" applyAlignment="0" applyProtection="0"/>
    <xf numFmtId="0" fontId="12" fillId="37" borderId="336" applyNumberFormat="0" applyFont="0" applyAlignment="0" applyProtection="0"/>
    <xf numFmtId="0" fontId="84" fillId="21" borderId="337" applyNumberFormat="0" applyAlignment="0" applyProtection="0"/>
    <xf numFmtId="0" fontId="12" fillId="37" borderId="336" applyNumberFormat="0" applyFont="0" applyAlignment="0" applyProtection="0"/>
    <xf numFmtId="0" fontId="79" fillId="34" borderId="337" applyNumberFormat="0" applyAlignment="0" applyProtection="0"/>
    <xf numFmtId="0" fontId="84" fillId="21" borderId="337" applyNumberFormat="0" applyAlignment="0" applyProtection="0"/>
    <xf numFmtId="0" fontId="5" fillId="0" borderId="369" applyNumberFormat="0" applyFill="0" applyAlignment="0" applyProtection="0"/>
    <xf numFmtId="0" fontId="84" fillId="21" borderId="337" applyNumberFormat="0" applyAlignment="0" applyProtection="0"/>
    <xf numFmtId="0" fontId="12" fillId="37" borderId="352" applyNumberFormat="0" applyFont="0" applyAlignment="0" applyProtection="0"/>
    <xf numFmtId="0" fontId="5" fillId="0" borderId="339" applyNumberFormat="0" applyFill="0" applyAlignment="0" applyProtection="0"/>
    <xf numFmtId="0" fontId="84" fillId="21" borderId="337" applyNumberFormat="0" applyAlignment="0" applyProtection="0"/>
    <xf numFmtId="0" fontId="87" fillId="34" borderId="338" applyNumberFormat="0" applyAlignment="0" applyProtection="0"/>
    <xf numFmtId="0" fontId="79" fillId="34" borderId="395" applyNumberFormat="0" applyAlignment="0" applyProtection="0"/>
    <xf numFmtId="0" fontId="79" fillId="34" borderId="337" applyNumberFormat="0" applyAlignment="0" applyProtection="0"/>
    <xf numFmtId="0" fontId="12" fillId="37" borderId="336" applyNumberFormat="0" applyFont="0" applyAlignment="0" applyProtection="0"/>
    <xf numFmtId="0" fontId="87" fillId="34" borderId="338" applyNumberFormat="0" applyAlignment="0" applyProtection="0"/>
    <xf numFmtId="0" fontId="79" fillId="34" borderId="337" applyNumberFormat="0" applyAlignment="0" applyProtection="0"/>
    <xf numFmtId="0" fontId="84" fillId="21" borderId="357" applyNumberFormat="0" applyAlignment="0" applyProtection="0"/>
    <xf numFmtId="0" fontId="12" fillId="37" borderId="382" applyNumberFormat="0" applyFont="0" applyAlignment="0" applyProtection="0"/>
    <xf numFmtId="0" fontId="5" fillId="0" borderId="359" applyNumberFormat="0" applyFill="0" applyAlignment="0" applyProtection="0"/>
    <xf numFmtId="0" fontId="12" fillId="37" borderId="378" applyNumberFormat="0" applyFont="0" applyAlignment="0" applyProtection="0"/>
    <xf numFmtId="0" fontId="79" fillId="34" borderId="353" applyNumberFormat="0" applyAlignment="0" applyProtection="0"/>
    <xf numFmtId="0" fontId="87" fillId="34" borderId="372" applyNumberFormat="0" applyAlignment="0" applyProtection="0"/>
    <xf numFmtId="0" fontId="84" fillId="21" borderId="399" applyNumberFormat="0" applyAlignment="0" applyProtection="0"/>
    <xf numFmtId="0" fontId="87" fillId="34" borderId="342" applyNumberFormat="0" applyAlignment="0" applyProtection="0"/>
    <xf numFmtId="0" fontId="84" fillId="21" borderId="341" applyNumberFormat="0" applyAlignment="0" applyProtection="0"/>
    <xf numFmtId="0" fontId="84" fillId="21" borderId="345" applyNumberFormat="0" applyAlignment="0" applyProtection="0"/>
    <xf numFmtId="0" fontId="87" fillId="34" borderId="368" applyNumberFormat="0" applyAlignment="0" applyProtection="0"/>
    <xf numFmtId="0" fontId="12" fillId="37" borderId="366" applyNumberFormat="0" applyFont="0" applyAlignment="0" applyProtection="0"/>
    <xf numFmtId="0" fontId="79" fillId="34" borderId="371" applyNumberFormat="0" applyAlignment="0" applyProtection="0"/>
    <xf numFmtId="0" fontId="79" fillId="34" borderId="353" applyNumberFormat="0" applyAlignment="0" applyProtection="0"/>
    <xf numFmtId="0" fontId="5" fillId="0" borderId="373" applyNumberFormat="0" applyFill="0" applyAlignment="0" applyProtection="0"/>
    <xf numFmtId="0" fontId="12" fillId="37" borderId="378" applyNumberFormat="0" applyFon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79" fillId="34"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87" fillId="34" borderId="342" applyNumberFormat="0" applyAlignment="0" applyProtection="0"/>
    <xf numFmtId="0" fontId="5" fillId="0" borderId="343" applyNumberFormat="0" applyFill="0" applyAlignment="0" applyProtection="0"/>
    <xf numFmtId="0" fontId="84" fillId="21" borderId="341" applyNumberFormat="0" applyAlignment="0" applyProtection="0"/>
    <xf numFmtId="0" fontId="12" fillId="37" borderId="340" applyNumberFormat="0" applyFont="0" applyAlignment="0" applyProtection="0"/>
    <xf numFmtId="0" fontId="84" fillId="21" borderId="341" applyNumberFormat="0" applyAlignment="0" applyProtection="0"/>
    <xf numFmtId="0" fontId="84" fillId="21" borderId="341" applyNumberFormat="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87" fillId="34" borderId="342"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56" applyNumberFormat="0" applyFont="0" applyAlignment="0" applyProtection="0"/>
    <xf numFmtId="0" fontId="79" fillId="34" borderId="341" applyNumberFormat="0" applyAlignment="0" applyProtection="0"/>
    <xf numFmtId="0" fontId="87" fillId="34" borderId="342" applyNumberFormat="0" applyAlignment="0" applyProtection="0"/>
    <xf numFmtId="0" fontId="12" fillId="37" borderId="340" applyNumberFormat="0" applyFont="0" applyAlignment="0" applyProtection="0"/>
    <xf numFmtId="0" fontId="84" fillId="21" borderId="341" applyNumberFormat="0" applyAlignment="0" applyProtection="0"/>
    <xf numFmtId="0" fontId="79" fillId="34" borderId="341" applyNumberFormat="0" applyAlignment="0" applyProtection="0"/>
    <xf numFmtId="0" fontId="79" fillId="34" borderId="341" applyNumberFormat="0" applyAlignment="0" applyProtection="0"/>
    <xf numFmtId="0" fontId="79" fillId="34" borderId="341" applyNumberFormat="0" applyAlignment="0" applyProtection="0"/>
    <xf numFmtId="0" fontId="84" fillId="21" borderId="341" applyNumberFormat="0" applyAlignment="0" applyProtection="0"/>
    <xf numFmtId="0" fontId="84" fillId="21"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12" fillId="37" borderId="340" applyNumberFormat="0" applyFont="0" applyAlignment="0" applyProtection="0"/>
    <xf numFmtId="0" fontId="79" fillId="34" borderId="341" applyNumberForma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87" fillId="34" borderId="342" applyNumberFormat="0" applyAlignment="0" applyProtection="0"/>
    <xf numFmtId="0" fontId="12" fillId="37" borderId="340" applyNumberFormat="0" applyFont="0" applyAlignment="0" applyProtection="0"/>
    <xf numFmtId="0" fontId="84" fillId="21" borderId="341" applyNumberForma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12" fillId="37" borderId="361" applyNumberFormat="0" applyFont="0" applyAlignment="0" applyProtection="0"/>
    <xf numFmtId="0" fontId="12" fillId="37" borderId="340" applyNumberFormat="0" applyFont="0" applyAlignment="0" applyProtection="0"/>
    <xf numFmtId="0" fontId="87" fillId="34" borderId="342" applyNumberFormat="0" applyAlignment="0" applyProtection="0"/>
    <xf numFmtId="0" fontId="12" fillId="37" borderId="340" applyNumberFormat="0" applyFont="0" applyAlignment="0" applyProtection="0"/>
    <xf numFmtId="0" fontId="79" fillId="34" borderId="341"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5" fillId="0" borderId="343" applyNumberFormat="0" applyFill="0" applyAlignment="0" applyProtection="0"/>
    <xf numFmtId="0" fontId="87" fillId="34" borderId="342" applyNumberFormat="0" applyAlignment="0" applyProtection="0"/>
    <xf numFmtId="0" fontId="87" fillId="34" borderId="342" applyNumberFormat="0" applyAlignment="0" applyProtection="0"/>
    <xf numFmtId="0" fontId="12" fillId="37" borderId="340" applyNumberFormat="0" applyFont="0" applyAlignment="0" applyProtection="0"/>
    <xf numFmtId="0" fontId="12" fillId="37" borderId="340" applyNumberFormat="0" applyFont="0" applyAlignment="0" applyProtection="0"/>
    <xf numFmtId="0" fontId="84" fillId="21" borderId="341" applyNumberFormat="0" applyAlignment="0" applyProtection="0"/>
    <xf numFmtId="0" fontId="84" fillId="21" borderId="341" applyNumberFormat="0" applyAlignment="0" applyProtection="0"/>
    <xf numFmtId="0" fontId="79" fillId="34" borderId="341" applyNumberFormat="0" applyAlignment="0" applyProtection="0"/>
    <xf numFmtId="0" fontId="79" fillId="34" borderId="341" applyNumberFormat="0" applyAlignment="0" applyProtection="0"/>
    <xf numFmtId="0" fontId="87" fillId="34" borderId="342" applyNumberFormat="0" applyAlignment="0" applyProtection="0"/>
    <xf numFmtId="0" fontId="5" fillId="0" borderId="343" applyNumberFormat="0" applyFill="0" applyAlignment="0" applyProtection="0"/>
    <xf numFmtId="0" fontId="5" fillId="0" borderId="343" applyNumberFormat="0" applyFill="0" applyAlignment="0" applyProtection="0"/>
    <xf numFmtId="0" fontId="12" fillId="37" borderId="340" applyNumberFormat="0" applyFont="0" applyAlignment="0" applyProtection="0"/>
    <xf numFmtId="0" fontId="5" fillId="0" borderId="343" applyNumberFormat="0" applyFill="0" applyAlignment="0" applyProtection="0"/>
    <xf numFmtId="0" fontId="12" fillId="37" borderId="340" applyNumberFormat="0" applyFont="0" applyAlignment="0" applyProtection="0"/>
    <xf numFmtId="0" fontId="84" fillId="21" borderId="341" applyNumberFormat="0" applyAlignment="0" applyProtection="0"/>
    <xf numFmtId="0" fontId="12" fillId="37" borderId="340" applyNumberFormat="0" applyFont="0" applyAlignment="0" applyProtection="0"/>
    <xf numFmtId="0" fontId="79" fillId="34" borderId="341" applyNumberFormat="0" applyAlignment="0" applyProtection="0"/>
    <xf numFmtId="0" fontId="84" fillId="21" borderId="341" applyNumberFormat="0" applyAlignment="0" applyProtection="0"/>
    <xf numFmtId="0" fontId="84" fillId="21" borderId="341" applyNumberFormat="0" applyAlignment="0" applyProtection="0"/>
    <xf numFmtId="0" fontId="12" fillId="37" borderId="330" applyNumberFormat="0" applyFont="0" applyAlignment="0" applyProtection="0"/>
    <xf numFmtId="0" fontId="5" fillId="0" borderId="343" applyNumberFormat="0" applyFill="0" applyAlignment="0" applyProtection="0"/>
    <xf numFmtId="0" fontId="84" fillId="21" borderId="341" applyNumberFormat="0" applyAlignment="0" applyProtection="0"/>
    <xf numFmtId="0" fontId="87" fillId="34" borderId="342" applyNumberFormat="0" applyAlignment="0" applyProtection="0"/>
    <xf numFmtId="0" fontId="79" fillId="34" borderId="341" applyNumberFormat="0" applyAlignment="0" applyProtection="0"/>
    <xf numFmtId="0" fontId="5" fillId="0" borderId="364" applyNumberFormat="0" applyFill="0" applyAlignment="0" applyProtection="0"/>
    <xf numFmtId="0" fontId="12" fillId="37" borderId="340" applyNumberFormat="0" applyFont="0" applyAlignment="0" applyProtection="0"/>
    <xf numFmtId="0" fontId="87" fillId="34" borderId="342" applyNumberFormat="0" applyAlignment="0" applyProtection="0"/>
    <xf numFmtId="0" fontId="79" fillId="34" borderId="341" applyNumberFormat="0" applyAlignment="0" applyProtection="0"/>
    <xf numFmtId="0" fontId="79" fillId="34" borderId="399" applyNumberFormat="0" applyAlignment="0" applyProtection="0"/>
    <xf numFmtId="0" fontId="5" fillId="0" borderId="369" applyNumberFormat="0" applyFill="0" applyAlignment="0" applyProtection="0"/>
    <xf numFmtId="0" fontId="84" fillId="21" borderId="349" applyNumberFormat="0" applyAlignment="0" applyProtection="0"/>
    <xf numFmtId="0" fontId="12" fillId="37" borderId="390" applyNumberFormat="0" applyFont="0" applyAlignment="0" applyProtection="0"/>
    <xf numFmtId="0" fontId="5" fillId="0" borderId="351" applyNumberFormat="0" applyFill="0" applyAlignment="0" applyProtection="0"/>
    <xf numFmtId="0" fontId="12" fillId="37" borderId="330" applyNumberFormat="0" applyFont="0" applyAlignment="0" applyProtection="0"/>
    <xf numFmtId="0" fontId="87" fillId="34" borderId="372" applyNumberFormat="0" applyAlignment="0" applyProtection="0"/>
    <xf numFmtId="0" fontId="79" fillId="34" borderId="383" applyNumberFormat="0" applyAlignment="0" applyProtection="0"/>
    <xf numFmtId="0" fontId="12" fillId="37" borderId="330" applyNumberFormat="0" applyFont="0" applyAlignment="0" applyProtection="0"/>
    <xf numFmtId="0" fontId="12" fillId="37" borderId="38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82"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7" fillId="34" borderId="363"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21" borderId="367"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7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12" fillId="37" borderId="330" applyNumberFormat="0" applyFont="0" applyAlignment="0" applyProtection="0"/>
    <xf numFmtId="0" fontId="84" fillId="21" borderId="383"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52"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7" fillId="34" borderId="368" applyNumberFormat="0" applyAlignment="0" applyProtection="0"/>
    <xf numFmtId="0" fontId="79" fillId="34" borderId="395" applyNumberFormat="0" applyAlignment="0" applyProtection="0"/>
    <xf numFmtId="0" fontId="12" fillId="37" borderId="35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21" borderId="34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52" applyNumberFormat="0" applyFont="0" applyAlignment="0" applyProtection="0"/>
    <xf numFmtId="0" fontId="5" fillId="0" borderId="351"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79" fillId="34" borderId="34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79" fillId="34" borderId="379"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64" applyNumberFormat="0" applyFill="0" applyAlignment="0" applyProtection="0"/>
    <xf numFmtId="0" fontId="5" fillId="0" borderId="351" applyNumberFormat="0" applyFill="0" applyAlignment="0" applyProtection="0"/>
    <xf numFmtId="0" fontId="12" fillId="37" borderId="37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48" applyNumberFormat="0" applyFont="0" applyAlignment="0" applyProtection="0"/>
    <xf numFmtId="0" fontId="5" fillId="0" borderId="369" applyNumberFormat="0" applyFill="0" applyAlignment="0" applyProtection="0"/>
    <xf numFmtId="0" fontId="5" fillId="0" borderId="369" applyNumberFormat="0" applyFill="0" applyAlignment="0" applyProtection="0"/>
    <xf numFmtId="0" fontId="79" fillId="34" borderId="399" applyNumberFormat="0" applyAlignment="0" applyProtection="0"/>
    <xf numFmtId="0" fontId="84" fillId="21" borderId="367" applyNumberFormat="0" applyAlignment="0" applyProtection="0"/>
    <xf numFmtId="0" fontId="5" fillId="0" borderId="369" applyNumberFormat="0" applyFill="0" applyAlignment="0" applyProtection="0"/>
    <xf numFmtId="0" fontId="12" fillId="37" borderId="330" applyNumberFormat="0" applyFont="0" applyAlignment="0" applyProtection="0"/>
    <xf numFmtId="0" fontId="84" fillId="21" borderId="357" applyNumberFormat="0" applyAlignment="0" applyProtection="0"/>
    <xf numFmtId="0" fontId="12" fillId="37" borderId="348" applyNumberFormat="0" applyFont="0" applyAlignment="0" applyProtection="0"/>
    <xf numFmtId="0" fontId="87" fillId="34" borderId="350" applyNumberFormat="0" applyAlignment="0" applyProtection="0"/>
    <xf numFmtId="0" fontId="87" fillId="34" borderId="350" applyNumberFormat="0" applyAlignment="0" applyProtection="0"/>
    <xf numFmtId="0" fontId="12" fillId="37" borderId="348" applyNumberFormat="0" applyFont="0" applyAlignment="0" applyProtection="0"/>
    <xf numFmtId="0" fontId="84" fillId="21" borderId="349" applyNumberFormat="0" applyAlignment="0" applyProtection="0"/>
    <xf numFmtId="0" fontId="79"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7" fillId="34" borderId="350" applyNumberFormat="0" applyAlignment="0" applyProtection="0"/>
    <xf numFmtId="0" fontId="5" fillId="0" borderId="385" applyNumberFormat="0" applyFill="0" applyAlignment="0" applyProtection="0"/>
    <xf numFmtId="0" fontId="12" fillId="37" borderId="348" applyNumberFormat="0" applyFont="0" applyAlignment="0" applyProtection="0"/>
    <xf numFmtId="0" fontId="87" fillId="34" borderId="350" applyNumberFormat="0" applyAlignment="0" applyProtection="0"/>
    <xf numFmtId="0" fontId="12" fillId="37" borderId="348" applyNumberFormat="0" applyFont="0" applyAlignment="0" applyProtection="0"/>
    <xf numFmtId="0" fontId="79"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87" fillId="34" borderId="350" applyNumberFormat="0" applyAlignment="0" applyProtection="0"/>
    <xf numFmtId="0" fontId="87"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21" borderId="349" applyNumberFormat="0" applyAlignment="0" applyProtection="0"/>
    <xf numFmtId="0" fontId="84" fillId="21" borderId="349" applyNumberFormat="0" applyAlignment="0" applyProtection="0"/>
    <xf numFmtId="0" fontId="79" fillId="34" borderId="349" applyNumberFormat="0" applyAlignment="0" applyProtection="0"/>
    <xf numFmtId="0" fontId="79" fillId="34" borderId="349" applyNumberFormat="0" applyAlignment="0" applyProtection="0"/>
    <xf numFmtId="0" fontId="87" fillId="34" borderId="350" applyNumberFormat="0" applyAlignment="0" applyProtection="0"/>
    <xf numFmtId="0" fontId="5" fillId="0" borderId="351" applyNumberFormat="0" applyFill="0" applyAlignment="0" applyProtection="0"/>
    <xf numFmtId="0" fontId="5" fillId="0" borderId="369"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4" fillId="21" borderId="349" applyNumberFormat="0" applyAlignment="0" applyProtection="0"/>
    <xf numFmtId="0" fontId="12" fillId="37" borderId="348" applyNumberFormat="0" applyFont="0" applyAlignment="0" applyProtection="0"/>
    <xf numFmtId="0" fontId="79" fillId="34" borderId="349" applyNumberFormat="0" applyAlignment="0" applyProtection="0"/>
    <xf numFmtId="0" fontId="84" fillId="21" borderId="349" applyNumberFormat="0" applyAlignment="0" applyProtection="0"/>
    <xf numFmtId="0" fontId="84" fillId="21" borderId="349" applyNumberFormat="0" applyAlignment="0" applyProtection="0"/>
    <xf numFmtId="0" fontId="5" fillId="0" borderId="351" applyNumberFormat="0" applyFill="0" applyAlignment="0" applyProtection="0"/>
    <xf numFmtId="0" fontId="84" fillId="21" borderId="349" applyNumberFormat="0" applyAlignment="0" applyProtection="0"/>
    <xf numFmtId="0" fontId="87" fillId="34" borderId="350" applyNumberFormat="0" applyAlignment="0" applyProtection="0"/>
    <xf numFmtId="0" fontId="12" fillId="37" borderId="356" applyNumberFormat="0" applyFont="0" applyAlignment="0" applyProtection="0"/>
    <xf numFmtId="0" fontId="79" fillId="34" borderId="349" applyNumberFormat="0" applyAlignment="0" applyProtection="0"/>
    <xf numFmtId="0" fontId="12" fillId="37" borderId="348" applyNumberFormat="0" applyFont="0" applyAlignment="0" applyProtection="0"/>
    <xf numFmtId="0" fontId="87" fillId="34" borderId="350" applyNumberFormat="0" applyAlignment="0" applyProtection="0"/>
    <xf numFmtId="0" fontId="79" fillId="34" borderId="349" applyNumberFormat="0" applyAlignment="0" applyProtection="0"/>
    <xf numFmtId="0" fontId="87" fillId="34" borderId="380" applyNumberFormat="0" applyAlignment="0" applyProtection="0"/>
    <xf numFmtId="0" fontId="12" fillId="37" borderId="382"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84" fillId="21" borderId="383"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84" fillId="21" borderId="395" applyNumberFormat="0" applyAlignment="0" applyProtection="0"/>
    <xf numFmtId="0" fontId="79" fillId="34" borderId="362" applyNumberFormat="0" applyAlignment="0" applyProtection="0"/>
    <xf numFmtId="0" fontId="84" fillId="21" borderId="362" applyNumberFormat="0" applyAlignment="0" applyProtection="0"/>
    <xf numFmtId="0" fontId="87" fillId="34" borderId="354" applyNumberFormat="0" applyAlignment="0" applyProtection="0"/>
    <xf numFmtId="0" fontId="84" fillId="21" borderId="353"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12" fillId="37" borderId="366" applyNumberFormat="0" applyFont="0" applyAlignment="0" applyProtection="0"/>
    <xf numFmtId="0" fontId="87" fillId="34" borderId="368" applyNumberFormat="0" applyAlignment="0" applyProtection="0"/>
    <xf numFmtId="0" fontId="79" fillId="34" borderId="362" applyNumberForma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79" fillId="34"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87" fillId="34" borderId="354" applyNumberFormat="0" applyAlignment="0" applyProtection="0"/>
    <xf numFmtId="0" fontId="5" fillId="0" borderId="355" applyNumberFormat="0" applyFill="0" applyAlignment="0" applyProtection="0"/>
    <xf numFmtId="0" fontId="84" fillId="21" borderId="353" applyNumberFormat="0" applyAlignment="0" applyProtection="0"/>
    <xf numFmtId="0" fontId="12" fillId="37" borderId="352" applyNumberFormat="0" applyFont="0" applyAlignment="0" applyProtection="0"/>
    <xf numFmtId="0" fontId="84" fillId="21" borderId="353" applyNumberFormat="0" applyAlignment="0" applyProtection="0"/>
    <xf numFmtId="0" fontId="84" fillId="21" borderId="353" applyNumberFormat="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87" fillId="34" borderId="354"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84" fillId="21" borderId="367" applyNumberFormat="0" applyAlignment="0" applyProtection="0"/>
    <xf numFmtId="0" fontId="79" fillId="34" borderId="353" applyNumberFormat="0" applyAlignment="0" applyProtection="0"/>
    <xf numFmtId="0" fontId="87" fillId="34" borderId="354" applyNumberFormat="0" applyAlignment="0" applyProtection="0"/>
    <xf numFmtId="0" fontId="12" fillId="37" borderId="352" applyNumberFormat="0" applyFont="0" applyAlignment="0" applyProtection="0"/>
    <xf numFmtId="0" fontId="84" fillId="21" borderId="353" applyNumberFormat="0" applyAlignment="0" applyProtection="0"/>
    <xf numFmtId="0" fontId="79" fillId="34" borderId="353" applyNumberFormat="0" applyAlignment="0" applyProtection="0"/>
    <xf numFmtId="0" fontId="79" fillId="34" borderId="353" applyNumberFormat="0" applyAlignment="0" applyProtection="0"/>
    <xf numFmtId="0" fontId="79" fillId="34" borderId="353" applyNumberFormat="0" applyAlignment="0" applyProtection="0"/>
    <xf numFmtId="0" fontId="84" fillId="21" borderId="353" applyNumberFormat="0" applyAlignment="0" applyProtection="0"/>
    <xf numFmtId="0" fontId="84" fillId="21"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12" fillId="37" borderId="352" applyNumberFormat="0" applyFont="0" applyAlignment="0" applyProtection="0"/>
    <xf numFmtId="0" fontId="79" fillId="34" borderId="353" applyNumberForma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87" fillId="34" borderId="354" applyNumberFormat="0" applyAlignment="0" applyProtection="0"/>
    <xf numFmtId="0" fontId="12" fillId="37" borderId="352" applyNumberFormat="0" applyFont="0" applyAlignment="0" applyProtection="0"/>
    <xf numFmtId="0" fontId="84" fillId="21" borderId="353" applyNumberForma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7" fillId="34" borderId="354" applyNumberFormat="0" applyAlignment="0" applyProtection="0"/>
    <xf numFmtId="0" fontId="79" fillId="34" borderId="367" applyNumberFormat="0" applyAlignment="0" applyProtection="0"/>
    <xf numFmtId="0" fontId="12" fillId="37" borderId="352" applyNumberFormat="0" applyFont="0" applyAlignment="0" applyProtection="0"/>
    <xf numFmtId="0" fontId="87" fillId="34" borderId="354" applyNumberFormat="0" applyAlignment="0" applyProtection="0"/>
    <xf numFmtId="0" fontId="12" fillId="37" borderId="352" applyNumberFormat="0" applyFont="0" applyAlignment="0" applyProtection="0"/>
    <xf numFmtId="0" fontId="79" fillId="34" borderId="353"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5" fillId="0" borderId="355" applyNumberFormat="0" applyFill="0" applyAlignment="0" applyProtection="0"/>
    <xf numFmtId="0" fontId="87" fillId="34" borderId="354" applyNumberFormat="0" applyAlignment="0" applyProtection="0"/>
    <xf numFmtId="0" fontId="87" fillId="34" borderId="354" applyNumberFormat="0" applyAlignment="0" applyProtection="0"/>
    <xf numFmtId="0" fontId="12" fillId="37" borderId="352" applyNumberFormat="0" applyFont="0" applyAlignment="0" applyProtection="0"/>
    <xf numFmtId="0" fontId="12" fillId="37" borderId="352" applyNumberFormat="0" applyFont="0" applyAlignment="0" applyProtection="0"/>
    <xf numFmtId="0" fontId="84" fillId="21" borderId="353" applyNumberFormat="0" applyAlignment="0" applyProtection="0"/>
    <xf numFmtId="0" fontId="84" fillId="21" borderId="353" applyNumberFormat="0" applyAlignment="0" applyProtection="0"/>
    <xf numFmtId="0" fontId="79" fillId="34" borderId="353" applyNumberFormat="0" applyAlignment="0" applyProtection="0"/>
    <xf numFmtId="0" fontId="79" fillId="34" borderId="353" applyNumberFormat="0" applyAlignment="0" applyProtection="0"/>
    <xf numFmtId="0" fontId="87" fillId="34" borderId="354" applyNumberFormat="0" applyAlignment="0" applyProtection="0"/>
    <xf numFmtId="0" fontId="5" fillId="0" borderId="355" applyNumberFormat="0" applyFill="0" applyAlignment="0" applyProtection="0"/>
    <xf numFmtId="0" fontId="5" fillId="0" borderId="355" applyNumberFormat="0" applyFill="0" applyAlignment="0" applyProtection="0"/>
    <xf numFmtId="0" fontId="12" fillId="37" borderId="352" applyNumberFormat="0" applyFont="0" applyAlignment="0" applyProtection="0"/>
    <xf numFmtId="0" fontId="5" fillId="0" borderId="355" applyNumberFormat="0" applyFill="0" applyAlignment="0" applyProtection="0"/>
    <xf numFmtId="0" fontId="12" fillId="37" borderId="352" applyNumberFormat="0" applyFont="0" applyAlignment="0" applyProtection="0"/>
    <xf numFmtId="0" fontId="84" fillId="21" borderId="353" applyNumberFormat="0" applyAlignment="0" applyProtection="0"/>
    <xf numFmtId="0" fontId="12" fillId="37" borderId="352" applyNumberFormat="0" applyFont="0" applyAlignment="0" applyProtection="0"/>
    <xf numFmtId="0" fontId="79" fillId="34" borderId="353" applyNumberFormat="0" applyAlignment="0" applyProtection="0"/>
    <xf numFmtId="0" fontId="84" fillId="21" borderId="353" applyNumberFormat="0" applyAlignment="0" applyProtection="0"/>
    <xf numFmtId="0" fontId="79" fillId="34" borderId="367" applyNumberFormat="0" applyAlignment="0" applyProtection="0"/>
    <xf numFmtId="0" fontId="84" fillId="21" borderId="353" applyNumberFormat="0" applyAlignment="0" applyProtection="0"/>
    <xf numFmtId="0" fontId="5" fillId="0" borderId="355" applyNumberFormat="0" applyFill="0" applyAlignment="0" applyProtection="0"/>
    <xf numFmtId="0" fontId="84" fillId="21" borderId="353" applyNumberFormat="0" applyAlignment="0" applyProtection="0"/>
    <xf numFmtId="0" fontId="87" fillId="34" borderId="354" applyNumberFormat="0" applyAlignment="0" applyProtection="0"/>
    <xf numFmtId="0" fontId="79" fillId="34" borderId="367" applyNumberFormat="0" applyAlignment="0" applyProtection="0"/>
    <xf numFmtId="0" fontId="79" fillId="34" borderId="353" applyNumberFormat="0" applyAlignment="0" applyProtection="0"/>
    <xf numFmtId="0" fontId="12" fillId="37" borderId="352" applyNumberFormat="0" applyFont="0" applyAlignment="0" applyProtection="0"/>
    <xf numFmtId="0" fontId="87" fillId="34" borderId="354" applyNumberFormat="0" applyAlignment="0" applyProtection="0"/>
    <xf numFmtId="0" fontId="79" fillId="34" borderId="353" applyNumberFormat="0" applyAlignment="0" applyProtection="0"/>
    <xf numFmtId="0" fontId="12" fillId="37" borderId="366" applyNumberFormat="0" applyFont="0" applyAlignment="0" applyProtection="0"/>
    <xf numFmtId="0" fontId="87" fillId="34" borderId="368" applyNumberFormat="0" applyAlignment="0" applyProtection="0"/>
    <xf numFmtId="0" fontId="87" fillId="34" borderId="368" applyNumberFormat="0" applyAlignment="0" applyProtection="0"/>
    <xf numFmtId="0" fontId="12" fillId="37" borderId="370" applyNumberFormat="0" applyFont="0" applyAlignment="0" applyProtection="0"/>
    <xf numFmtId="0" fontId="79" fillId="34" borderId="367" applyNumberFormat="0" applyAlignment="0" applyProtection="0"/>
    <xf numFmtId="0" fontId="5" fillId="0" borderId="369" applyNumberFormat="0" applyFill="0" applyAlignment="0" applyProtection="0"/>
    <xf numFmtId="0" fontId="87" fillId="34" borderId="368" applyNumberForma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7" fillId="34" borderId="358" applyNumberFormat="0" applyAlignment="0" applyProtection="0"/>
    <xf numFmtId="0" fontId="5" fillId="0" borderId="359" applyNumberFormat="0" applyFill="0" applyAlignment="0" applyProtection="0"/>
    <xf numFmtId="0" fontId="84" fillId="21" borderId="357" applyNumberFormat="0" applyAlignment="0" applyProtection="0"/>
    <xf numFmtId="0" fontId="12" fillId="37" borderId="356" applyNumberFormat="0" applyFont="0" applyAlignment="0" applyProtection="0"/>
    <xf numFmtId="0" fontId="84" fillId="21" borderId="357" applyNumberFormat="0" applyAlignment="0" applyProtection="0"/>
    <xf numFmtId="0" fontId="84" fillId="21" borderId="357" applyNumberForma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87"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87" fillId="34" borderId="358" applyNumberFormat="0" applyAlignment="0" applyProtection="0"/>
    <xf numFmtId="0" fontId="12" fillId="37" borderId="356" applyNumberFormat="0" applyFont="0" applyAlignment="0" applyProtection="0"/>
    <xf numFmtId="0" fontId="84" fillId="21" borderId="357" applyNumberFormat="0" applyAlignment="0" applyProtection="0"/>
    <xf numFmtId="0" fontId="79" fillId="34" borderId="357" applyNumberFormat="0" applyAlignment="0" applyProtection="0"/>
    <xf numFmtId="0" fontId="79" fillId="34" borderId="357" applyNumberFormat="0" applyAlignment="0" applyProtection="0"/>
    <xf numFmtId="0" fontId="79" fillId="34" borderId="357" applyNumberFormat="0" applyAlignment="0" applyProtection="0"/>
    <xf numFmtId="0" fontId="84" fillId="21" borderId="357" applyNumberFormat="0" applyAlignment="0" applyProtection="0"/>
    <xf numFmtId="0" fontId="84" fillId="21"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79" fillId="34" borderId="357" applyNumberForma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87" fillId="34" borderId="358" applyNumberFormat="0" applyAlignment="0" applyProtection="0"/>
    <xf numFmtId="0" fontId="12" fillId="37" borderId="356" applyNumberFormat="0" applyFont="0" applyAlignment="0" applyProtection="0"/>
    <xf numFmtId="0" fontId="84" fillId="21" borderId="357" applyNumberForma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7" fillId="34" borderId="358" applyNumberFormat="0" applyAlignment="0" applyProtection="0"/>
    <xf numFmtId="0" fontId="12" fillId="37" borderId="356" applyNumberFormat="0" applyFont="0" applyAlignment="0" applyProtection="0"/>
    <xf numFmtId="0" fontId="87" fillId="34" borderId="358" applyNumberFormat="0" applyAlignment="0" applyProtection="0"/>
    <xf numFmtId="0" fontId="12" fillId="37" borderId="356" applyNumberFormat="0" applyFont="0" applyAlignment="0" applyProtection="0"/>
    <xf numFmtId="0" fontId="79"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87" fillId="34" borderId="358" applyNumberFormat="0" applyAlignment="0" applyProtection="0"/>
    <xf numFmtId="0" fontId="87"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21" borderId="357" applyNumberFormat="0" applyAlignment="0" applyProtection="0"/>
    <xf numFmtId="0" fontId="84" fillId="21" borderId="357" applyNumberFormat="0" applyAlignment="0" applyProtection="0"/>
    <xf numFmtId="0" fontId="79" fillId="34" borderId="357" applyNumberFormat="0" applyAlignment="0" applyProtection="0"/>
    <xf numFmtId="0" fontId="79" fillId="34" borderId="357" applyNumberFormat="0" applyAlignment="0" applyProtection="0"/>
    <xf numFmtId="0" fontId="87"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4" fillId="21" borderId="357" applyNumberFormat="0" applyAlignment="0" applyProtection="0"/>
    <xf numFmtId="0" fontId="12" fillId="37" borderId="356" applyNumberFormat="0" applyFont="0" applyAlignment="0" applyProtection="0"/>
    <xf numFmtId="0" fontId="79" fillId="34" borderId="357" applyNumberFormat="0" applyAlignment="0" applyProtection="0"/>
    <xf numFmtId="0" fontId="84" fillId="21" borderId="357" applyNumberFormat="0" applyAlignment="0" applyProtection="0"/>
    <xf numFmtId="0" fontId="87" fillId="34" borderId="384" applyNumberFormat="0" applyAlignment="0" applyProtection="0"/>
    <xf numFmtId="0" fontId="84" fillId="21" borderId="357" applyNumberFormat="0" applyAlignment="0" applyProtection="0"/>
    <xf numFmtId="0" fontId="5" fillId="0" borderId="359" applyNumberFormat="0" applyFill="0" applyAlignment="0" applyProtection="0"/>
    <xf numFmtId="0" fontId="84" fillId="21" borderId="357" applyNumberFormat="0" applyAlignment="0" applyProtection="0"/>
    <xf numFmtId="0" fontId="87" fillId="34" borderId="358" applyNumberFormat="0" applyAlignment="0" applyProtection="0"/>
    <xf numFmtId="0" fontId="79" fillId="34" borderId="357" applyNumberFormat="0" applyAlignment="0" applyProtection="0"/>
    <xf numFmtId="0" fontId="12" fillId="37" borderId="356" applyNumberFormat="0" applyFont="0" applyAlignment="0" applyProtection="0"/>
    <xf numFmtId="0" fontId="87" fillId="34" borderId="358" applyNumberFormat="0" applyAlignment="0" applyProtection="0"/>
    <xf numFmtId="0" fontId="79" fillId="34" borderId="357" applyNumberFormat="0" applyAlignment="0" applyProtection="0"/>
    <xf numFmtId="0" fontId="12" fillId="37" borderId="398" applyNumberFormat="0" applyFont="0" applyAlignment="0" applyProtection="0"/>
    <xf numFmtId="0" fontId="79" fillId="34" borderId="367" applyNumberFormat="0" applyAlignment="0" applyProtection="0"/>
    <xf numFmtId="0" fontId="87" fillId="34" borderId="400" applyNumberForma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79" fillId="34"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87" fillId="34" borderId="363" applyNumberFormat="0" applyAlignment="0" applyProtection="0"/>
    <xf numFmtId="0" fontId="5" fillId="0" borderId="364" applyNumberFormat="0" applyFill="0" applyAlignment="0" applyProtection="0"/>
    <xf numFmtId="0" fontId="84" fillId="21" borderId="362" applyNumberFormat="0" applyAlignment="0" applyProtection="0"/>
    <xf numFmtId="0" fontId="12" fillId="37" borderId="361" applyNumberFormat="0" applyFont="0" applyAlignment="0" applyProtection="0"/>
    <xf numFmtId="0" fontId="84" fillId="21" borderId="362" applyNumberFormat="0" applyAlignment="0" applyProtection="0"/>
    <xf numFmtId="0" fontId="84" fillId="21" borderId="362" applyNumberFormat="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87" fillId="34" borderId="363"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6" applyNumberFormat="0" applyFont="0" applyAlignment="0" applyProtection="0"/>
    <xf numFmtId="0" fontId="79" fillId="34" borderId="362" applyNumberFormat="0" applyAlignment="0" applyProtection="0"/>
    <xf numFmtId="0" fontId="87" fillId="34" borderId="363" applyNumberFormat="0" applyAlignment="0" applyProtection="0"/>
    <xf numFmtId="0" fontId="12" fillId="37" borderId="361" applyNumberFormat="0" applyFont="0" applyAlignment="0" applyProtection="0"/>
    <xf numFmtId="0" fontId="84" fillId="21" borderId="362" applyNumberFormat="0" applyAlignment="0" applyProtection="0"/>
    <xf numFmtId="0" fontId="79" fillId="34" borderId="362" applyNumberFormat="0" applyAlignment="0" applyProtection="0"/>
    <xf numFmtId="0" fontId="79" fillId="34" borderId="362" applyNumberFormat="0" applyAlignment="0" applyProtection="0"/>
    <xf numFmtId="0" fontId="79" fillId="34" borderId="362" applyNumberFormat="0" applyAlignment="0" applyProtection="0"/>
    <xf numFmtId="0" fontId="84" fillId="21" borderId="362" applyNumberFormat="0" applyAlignment="0" applyProtection="0"/>
    <xf numFmtId="0" fontId="84" fillId="21"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12" fillId="37" borderId="361" applyNumberFormat="0" applyFont="0" applyAlignment="0" applyProtection="0"/>
    <xf numFmtId="0" fontId="79" fillId="34" borderId="362" applyNumberForma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87" fillId="34" borderId="363" applyNumberFormat="0" applyAlignment="0" applyProtection="0"/>
    <xf numFmtId="0" fontId="12" fillId="37" borderId="361" applyNumberFormat="0" applyFont="0" applyAlignment="0" applyProtection="0"/>
    <xf numFmtId="0" fontId="84" fillId="21" borderId="362" applyNumberForma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12" fillId="37" borderId="366" applyNumberFormat="0" applyFont="0" applyAlignment="0" applyProtection="0"/>
    <xf numFmtId="0" fontId="12" fillId="37" borderId="361" applyNumberFormat="0" applyFont="0" applyAlignment="0" applyProtection="0"/>
    <xf numFmtId="0" fontId="87" fillId="34" borderId="363" applyNumberFormat="0" applyAlignment="0" applyProtection="0"/>
    <xf numFmtId="0" fontId="12" fillId="37" borderId="361" applyNumberFormat="0" applyFont="0" applyAlignment="0" applyProtection="0"/>
    <xf numFmtId="0" fontId="79" fillId="34" borderId="362"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5" fillId="0" borderId="364" applyNumberFormat="0" applyFill="0" applyAlignment="0" applyProtection="0"/>
    <xf numFmtId="0" fontId="87" fillId="34" borderId="363" applyNumberFormat="0" applyAlignment="0" applyProtection="0"/>
    <xf numFmtId="0" fontId="87" fillId="34" borderId="363" applyNumberFormat="0" applyAlignment="0" applyProtection="0"/>
    <xf numFmtId="0" fontId="12" fillId="37" borderId="361" applyNumberFormat="0" applyFont="0" applyAlignment="0" applyProtection="0"/>
    <xf numFmtId="0" fontId="12" fillId="37" borderId="361" applyNumberFormat="0" applyFont="0" applyAlignment="0" applyProtection="0"/>
    <xf numFmtId="0" fontId="84" fillId="21" borderId="362" applyNumberFormat="0" applyAlignment="0" applyProtection="0"/>
    <xf numFmtId="0" fontId="84" fillId="21" borderId="362" applyNumberFormat="0" applyAlignment="0" applyProtection="0"/>
    <xf numFmtId="0" fontId="79" fillId="34" borderId="362" applyNumberFormat="0" applyAlignment="0" applyProtection="0"/>
    <xf numFmtId="0" fontId="79" fillId="34" borderId="362" applyNumberFormat="0" applyAlignment="0" applyProtection="0"/>
    <xf numFmtId="0" fontId="87" fillId="34" borderId="363" applyNumberFormat="0" applyAlignment="0" applyProtection="0"/>
    <xf numFmtId="0" fontId="5" fillId="0" borderId="364" applyNumberFormat="0" applyFill="0" applyAlignment="0" applyProtection="0"/>
    <xf numFmtId="0" fontId="5" fillId="0" borderId="364" applyNumberFormat="0" applyFill="0" applyAlignment="0" applyProtection="0"/>
    <xf numFmtId="0" fontId="12" fillId="37" borderId="361" applyNumberFormat="0" applyFont="0" applyAlignment="0" applyProtection="0"/>
    <xf numFmtId="0" fontId="5" fillId="0" borderId="364" applyNumberFormat="0" applyFill="0" applyAlignment="0" applyProtection="0"/>
    <xf numFmtId="0" fontId="12" fillId="37" borderId="361" applyNumberFormat="0" applyFont="0" applyAlignment="0" applyProtection="0"/>
    <xf numFmtId="0" fontId="84" fillId="21" borderId="362" applyNumberFormat="0" applyAlignment="0" applyProtection="0"/>
    <xf numFmtId="0" fontId="12" fillId="37" borderId="361" applyNumberFormat="0" applyFont="0" applyAlignment="0" applyProtection="0"/>
    <xf numFmtId="0" fontId="79" fillId="34" borderId="362" applyNumberFormat="0" applyAlignment="0" applyProtection="0"/>
    <xf numFmtId="0" fontId="84" fillId="21" borderId="362" applyNumberFormat="0" applyAlignment="0" applyProtection="0"/>
    <xf numFmtId="0" fontId="84" fillId="21" borderId="367" applyNumberFormat="0" applyAlignment="0" applyProtection="0"/>
    <xf numFmtId="0" fontId="84" fillId="21" borderId="362" applyNumberFormat="0" applyAlignment="0" applyProtection="0"/>
    <xf numFmtId="0" fontId="5" fillId="0" borderId="364" applyNumberFormat="0" applyFill="0" applyAlignment="0" applyProtection="0"/>
    <xf numFmtId="0" fontId="84" fillId="21" borderId="362" applyNumberFormat="0" applyAlignment="0" applyProtection="0"/>
    <xf numFmtId="0" fontId="87" fillId="34" borderId="363" applyNumberFormat="0" applyAlignment="0" applyProtection="0"/>
    <xf numFmtId="0" fontId="5" fillId="0" borderId="369" applyNumberFormat="0" applyFill="0" applyAlignment="0" applyProtection="0"/>
    <xf numFmtId="0" fontId="79" fillId="34" borderId="362" applyNumberFormat="0" applyAlignment="0" applyProtection="0"/>
    <xf numFmtId="0" fontId="87" fillId="34" borderId="368" applyNumberFormat="0" applyAlignment="0" applyProtection="0"/>
    <xf numFmtId="0" fontId="12" fillId="37" borderId="361" applyNumberFormat="0" applyFont="0" applyAlignment="0" applyProtection="0"/>
    <xf numFmtId="0" fontId="87" fillId="34" borderId="363" applyNumberFormat="0" applyAlignment="0" applyProtection="0"/>
    <xf numFmtId="0" fontId="79" fillId="34" borderId="362" applyNumberFormat="0" applyAlignment="0" applyProtection="0"/>
    <xf numFmtId="0" fontId="12" fillId="37" borderId="366" applyNumberFormat="0" applyFont="0" applyAlignment="0" applyProtection="0"/>
    <xf numFmtId="0" fontId="12" fillId="37" borderId="366" applyNumberFormat="0" applyFont="0" applyAlignment="0" applyProtection="0"/>
    <xf numFmtId="0" fontId="87" fillId="34" borderId="368" applyNumberFormat="0" applyAlignment="0" applyProtection="0"/>
    <xf numFmtId="0" fontId="12" fillId="37" borderId="366" applyNumberFormat="0" applyFont="0" applyAlignment="0" applyProtection="0"/>
    <xf numFmtId="0" fontId="79" fillId="34" borderId="367" applyNumberFormat="0" applyAlignment="0" applyProtection="0"/>
    <xf numFmtId="0" fontId="84" fillId="21" borderId="387" applyNumberFormat="0" applyAlignment="0" applyProtection="0"/>
    <xf numFmtId="0" fontId="87" fillId="34" borderId="376" applyNumberFormat="0" applyAlignment="0" applyProtection="0"/>
    <xf numFmtId="0" fontId="84" fillId="21" borderId="367" applyNumberFormat="0" applyAlignment="0" applyProtection="0"/>
    <xf numFmtId="0" fontId="5" fillId="0" borderId="369" applyNumberFormat="0" applyFill="0" applyAlignment="0" applyProtection="0"/>
    <xf numFmtId="0" fontId="84" fillId="21" borderId="371" applyNumberFormat="0" applyAlignment="0" applyProtection="0"/>
    <xf numFmtId="0" fontId="12" fillId="37" borderId="374" applyNumberFormat="0" applyFont="0" applyAlignment="0" applyProtection="0"/>
    <xf numFmtId="0" fontId="84" fillId="21" borderId="387" applyNumberFormat="0" applyAlignment="0" applyProtection="0"/>
    <xf numFmtId="0" fontId="12" fillId="37" borderId="374" applyNumberFormat="0" applyFont="0" applyAlignment="0" applyProtection="0"/>
    <xf numFmtId="0" fontId="79" fillId="34" borderId="387" applyNumberFormat="0" applyAlignment="0" applyProtection="0"/>
    <xf numFmtId="0" fontId="12" fillId="37" borderId="366" applyNumberFormat="0" applyFont="0" applyAlignment="0" applyProtection="0"/>
    <xf numFmtId="0" fontId="84" fillId="21" borderId="391" applyNumberFormat="0" applyAlignment="0" applyProtection="0"/>
    <xf numFmtId="0" fontId="5" fillId="0" borderId="385" applyNumberFormat="0" applyFill="0" applyAlignment="0" applyProtection="0"/>
    <xf numFmtId="0" fontId="87" fillId="34" borderId="368" applyNumberFormat="0" applyAlignment="0" applyProtection="0"/>
    <xf numFmtId="0" fontId="84" fillId="21" borderId="367" applyNumberFormat="0" applyAlignment="0" applyProtection="0"/>
    <xf numFmtId="0" fontId="84" fillId="21" borderId="367" applyNumberFormat="0" applyAlignment="0" applyProtection="0"/>
    <xf numFmtId="0" fontId="87" fillId="34" borderId="372" applyNumberFormat="0" applyAlignment="0" applyProtection="0"/>
    <xf numFmtId="0" fontId="79" fillId="34" borderId="367" applyNumberFormat="0" applyAlignment="0" applyProtection="0"/>
    <xf numFmtId="0" fontId="87" fillId="34" borderId="368" applyNumberFormat="0" applyAlignment="0" applyProtection="0"/>
    <xf numFmtId="0" fontId="87" fillId="34" borderId="380" applyNumberFormat="0" applyAlignment="0" applyProtection="0"/>
    <xf numFmtId="0" fontId="12" fillId="37" borderId="366" applyNumberFormat="0" applyFont="0" applyAlignment="0" applyProtection="0"/>
    <xf numFmtId="0" fontId="12" fillId="37" borderId="386" applyNumberFormat="0" applyFont="0" applyAlignment="0" applyProtection="0"/>
    <xf numFmtId="0" fontId="12" fillId="37" borderId="374" applyNumberFormat="0" applyFont="0" applyAlignment="0" applyProtection="0"/>
    <xf numFmtId="0" fontId="84" fillId="21" borderId="367" applyNumberFormat="0" applyAlignment="0" applyProtection="0"/>
    <xf numFmtId="0" fontId="87" fillId="34" borderId="368" applyNumberFormat="0" applyAlignment="0" applyProtection="0"/>
    <xf numFmtId="0" fontId="12" fillId="37" borderId="366" applyNumberFormat="0" applyFont="0" applyAlignment="0" applyProtection="0"/>
    <xf numFmtId="0" fontId="79" fillId="34" borderId="379" applyNumberFormat="0" applyAlignment="0" applyProtection="0"/>
    <xf numFmtId="0" fontId="5" fillId="0" borderId="369" applyNumberFormat="0" applyFill="0" applyAlignment="0" applyProtection="0"/>
    <xf numFmtId="0" fontId="12" fillId="37" borderId="390" applyNumberFormat="0" applyFont="0" applyAlignment="0" applyProtection="0"/>
    <xf numFmtId="0" fontId="79" fillId="34" borderId="367" applyNumberFormat="0" applyAlignment="0" applyProtection="0"/>
    <xf numFmtId="0" fontId="12" fillId="37" borderId="378" applyNumberFormat="0" applyFont="0" applyAlignment="0" applyProtection="0"/>
    <xf numFmtId="0" fontId="79" fillId="34" borderId="367" applyNumberForma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87" fillId="34" borderId="372" applyNumberFormat="0" applyAlignment="0" applyProtection="0"/>
    <xf numFmtId="0" fontId="5" fillId="0" borderId="373" applyNumberFormat="0" applyFill="0" applyAlignment="0" applyProtection="0"/>
    <xf numFmtId="0" fontId="84" fillId="21" borderId="371" applyNumberFormat="0" applyAlignment="0" applyProtection="0"/>
    <xf numFmtId="0" fontId="12" fillId="37" borderId="370" applyNumberFormat="0" applyFont="0" applyAlignment="0" applyProtection="0"/>
    <xf numFmtId="0" fontId="84" fillId="21" borderId="371" applyNumberFormat="0" applyAlignment="0" applyProtection="0"/>
    <xf numFmtId="0" fontId="84" fillId="21" borderId="371" applyNumberFormat="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87" fillId="34" borderId="372"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87" fillId="34" borderId="372" applyNumberFormat="0" applyAlignment="0" applyProtection="0"/>
    <xf numFmtId="0" fontId="12" fillId="37" borderId="370" applyNumberFormat="0" applyFont="0" applyAlignment="0" applyProtection="0"/>
    <xf numFmtId="0" fontId="84" fillId="21" borderId="371" applyNumberFormat="0" applyAlignment="0" applyProtection="0"/>
    <xf numFmtId="0" fontId="79" fillId="34" borderId="371" applyNumberFormat="0" applyAlignment="0" applyProtection="0"/>
    <xf numFmtId="0" fontId="79" fillId="34" borderId="371" applyNumberFormat="0" applyAlignment="0" applyProtection="0"/>
    <xf numFmtId="0" fontId="79" fillId="34" borderId="371" applyNumberFormat="0" applyAlignment="0" applyProtection="0"/>
    <xf numFmtId="0" fontId="84" fillId="21" borderId="371" applyNumberFormat="0" applyAlignment="0" applyProtection="0"/>
    <xf numFmtId="0" fontId="84" fillId="21"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12" fillId="37" borderId="370" applyNumberFormat="0" applyFont="0" applyAlignment="0" applyProtection="0"/>
    <xf numFmtId="0" fontId="79" fillId="34" borderId="371" applyNumberForma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72" applyNumberFormat="0" applyAlignment="0" applyProtection="0"/>
    <xf numFmtId="0" fontId="12" fillId="37" borderId="370" applyNumberFormat="0" applyFont="0" applyAlignment="0" applyProtection="0"/>
    <xf numFmtId="0" fontId="84" fillId="21" borderId="371" applyNumberForma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7" fillId="34" borderId="372" applyNumberFormat="0" applyAlignment="0" applyProtection="0"/>
    <xf numFmtId="0" fontId="87" fillId="34" borderId="392" applyNumberFormat="0" applyAlignment="0" applyProtection="0"/>
    <xf numFmtId="0" fontId="79" fillId="34" borderId="391" applyNumberFormat="0" applyAlignment="0" applyProtection="0"/>
    <xf numFmtId="0" fontId="12" fillId="37" borderId="370" applyNumberFormat="0" applyFont="0" applyAlignment="0" applyProtection="0"/>
    <xf numFmtId="0" fontId="87" fillId="34" borderId="372" applyNumberFormat="0" applyAlignment="0" applyProtection="0"/>
    <xf numFmtId="0" fontId="12" fillId="37" borderId="370" applyNumberFormat="0" applyFont="0" applyAlignment="0" applyProtection="0"/>
    <xf numFmtId="0" fontId="79" fillId="34" borderId="371"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5" fillId="0" borderId="373" applyNumberFormat="0" applyFill="0" applyAlignment="0" applyProtection="0"/>
    <xf numFmtId="0" fontId="87" fillId="34" borderId="372" applyNumberFormat="0" applyAlignment="0" applyProtection="0"/>
    <xf numFmtId="0" fontId="87" fillId="34" borderId="372" applyNumberFormat="0" applyAlignment="0" applyProtection="0"/>
    <xf numFmtId="0" fontId="12" fillId="37" borderId="370" applyNumberFormat="0" applyFont="0" applyAlignment="0" applyProtection="0"/>
    <xf numFmtId="0" fontId="12" fillId="37" borderId="370" applyNumberFormat="0" applyFont="0" applyAlignment="0" applyProtection="0"/>
    <xf numFmtId="0" fontId="84" fillId="21" borderId="371" applyNumberFormat="0" applyAlignment="0" applyProtection="0"/>
    <xf numFmtId="0" fontId="84" fillId="21" borderId="371" applyNumberFormat="0" applyAlignment="0" applyProtection="0"/>
    <xf numFmtId="0" fontId="79" fillId="34" borderId="371" applyNumberFormat="0" applyAlignment="0" applyProtection="0"/>
    <xf numFmtId="0" fontId="79" fillId="34" borderId="371" applyNumberFormat="0" applyAlignment="0" applyProtection="0"/>
    <xf numFmtId="0" fontId="87" fillId="34" borderId="372" applyNumberFormat="0" applyAlignment="0" applyProtection="0"/>
    <xf numFmtId="0" fontId="5" fillId="0" borderId="373" applyNumberFormat="0" applyFill="0" applyAlignment="0" applyProtection="0"/>
    <xf numFmtId="0" fontId="5" fillId="0" borderId="373" applyNumberFormat="0" applyFill="0" applyAlignment="0" applyProtection="0"/>
    <xf numFmtId="0" fontId="12" fillId="37" borderId="370" applyNumberFormat="0" applyFont="0" applyAlignment="0" applyProtection="0"/>
    <xf numFmtId="0" fontId="5" fillId="0" borderId="373" applyNumberFormat="0" applyFill="0" applyAlignment="0" applyProtection="0"/>
    <xf numFmtId="0" fontId="12" fillId="37" borderId="370" applyNumberFormat="0" applyFont="0" applyAlignment="0" applyProtection="0"/>
    <xf numFmtId="0" fontId="84" fillId="21" borderId="371" applyNumberFormat="0" applyAlignment="0" applyProtection="0"/>
    <xf numFmtId="0" fontId="12" fillId="37" borderId="370" applyNumberFormat="0" applyFont="0" applyAlignment="0" applyProtection="0"/>
    <xf numFmtId="0" fontId="79" fillId="34" borderId="371" applyNumberFormat="0" applyAlignment="0" applyProtection="0"/>
    <xf numFmtId="0" fontId="84" fillId="21" borderId="371" applyNumberFormat="0" applyAlignment="0" applyProtection="0"/>
    <xf numFmtId="0" fontId="84" fillId="21" borderId="371" applyNumberFormat="0" applyAlignment="0" applyProtection="0"/>
    <xf numFmtId="0" fontId="12" fillId="37" borderId="378" applyNumberFormat="0" applyFont="0" applyAlignment="0" applyProtection="0"/>
    <xf numFmtId="0" fontId="5" fillId="0" borderId="373" applyNumberFormat="0" applyFill="0" applyAlignment="0" applyProtection="0"/>
    <xf numFmtId="0" fontId="84" fillId="21" borderId="371" applyNumberFormat="0" applyAlignment="0" applyProtection="0"/>
    <xf numFmtId="0" fontId="87" fillId="34" borderId="372" applyNumberFormat="0" applyAlignment="0" applyProtection="0"/>
    <xf numFmtId="0" fontId="79" fillId="34" borderId="371" applyNumberFormat="0" applyAlignment="0" applyProtection="0"/>
    <xf numFmtId="0" fontId="12" fillId="37" borderId="370" applyNumberFormat="0" applyFont="0" applyAlignment="0" applyProtection="0"/>
    <xf numFmtId="0" fontId="87" fillId="34" borderId="372" applyNumberFormat="0" applyAlignment="0" applyProtection="0"/>
    <xf numFmtId="0" fontId="79" fillId="34" borderId="371" applyNumberFormat="0" applyAlignment="0" applyProtection="0"/>
    <xf numFmtId="0" fontId="5" fillId="0" borderId="389" applyNumberFormat="0" applyFill="0" applyAlignment="0" applyProtection="0"/>
    <xf numFmtId="0" fontId="12" fillId="37" borderId="394" applyNumberFormat="0" applyFon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79" fillId="34"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87" fillId="34" borderId="380" applyNumberFormat="0" applyAlignment="0" applyProtection="0"/>
    <xf numFmtId="0" fontId="5" fillId="0" borderId="381" applyNumberFormat="0" applyFill="0" applyAlignment="0" applyProtection="0"/>
    <xf numFmtId="0" fontId="84" fillId="21" borderId="379" applyNumberFormat="0" applyAlignment="0" applyProtection="0"/>
    <xf numFmtId="0" fontId="12" fillId="37" borderId="378" applyNumberFormat="0" applyFont="0" applyAlignment="0" applyProtection="0"/>
    <xf numFmtId="0" fontId="84" fillId="21" borderId="379" applyNumberFormat="0" applyAlignment="0" applyProtection="0"/>
    <xf numFmtId="0" fontId="84" fillId="21" borderId="379" applyNumberFormat="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87" fillId="34" borderId="380"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86" applyNumberFormat="0" applyFont="0" applyAlignment="0" applyProtection="0"/>
    <xf numFmtId="0" fontId="79" fillId="34" borderId="379" applyNumberFormat="0" applyAlignment="0" applyProtection="0"/>
    <xf numFmtId="0" fontId="87" fillId="34" borderId="380" applyNumberFormat="0" applyAlignment="0" applyProtection="0"/>
    <xf numFmtId="0" fontId="12" fillId="37" borderId="378" applyNumberFormat="0" applyFont="0" applyAlignment="0" applyProtection="0"/>
    <xf numFmtId="0" fontId="84" fillId="21" borderId="379" applyNumberFormat="0" applyAlignment="0" applyProtection="0"/>
    <xf numFmtId="0" fontId="79" fillId="34" borderId="379" applyNumberFormat="0" applyAlignment="0" applyProtection="0"/>
    <xf numFmtId="0" fontId="79" fillId="34" borderId="379" applyNumberFormat="0" applyAlignment="0" applyProtection="0"/>
    <xf numFmtId="0" fontId="79" fillId="34" borderId="379" applyNumberFormat="0" applyAlignment="0" applyProtection="0"/>
    <xf numFmtId="0" fontId="84" fillId="21" borderId="379" applyNumberFormat="0" applyAlignment="0" applyProtection="0"/>
    <xf numFmtId="0" fontId="84" fillId="21"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12" fillId="37" borderId="378" applyNumberFormat="0" applyFont="0" applyAlignment="0" applyProtection="0"/>
    <xf numFmtId="0" fontId="79" fillId="34" borderId="379" applyNumberForma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87" fillId="34" borderId="380" applyNumberFormat="0" applyAlignment="0" applyProtection="0"/>
    <xf numFmtId="0" fontId="12" fillId="37" borderId="378" applyNumberFormat="0" applyFont="0" applyAlignment="0" applyProtection="0"/>
    <xf numFmtId="0" fontId="84" fillId="21" borderId="379" applyNumberForma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12" fillId="37" borderId="386" applyNumberFormat="0" applyFont="0" applyAlignment="0" applyProtection="0"/>
    <xf numFmtId="0" fontId="12" fillId="37" borderId="378" applyNumberFormat="0" applyFont="0" applyAlignment="0" applyProtection="0"/>
    <xf numFmtId="0" fontId="87" fillId="34" borderId="380" applyNumberFormat="0" applyAlignment="0" applyProtection="0"/>
    <xf numFmtId="0" fontId="12" fillId="37" borderId="378" applyNumberFormat="0" applyFont="0" applyAlignment="0" applyProtection="0"/>
    <xf numFmtId="0" fontId="79" fillId="34" borderId="379"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5" fillId="0" borderId="381" applyNumberFormat="0" applyFill="0" applyAlignment="0" applyProtection="0"/>
    <xf numFmtId="0" fontId="87" fillId="34" borderId="380" applyNumberFormat="0" applyAlignment="0" applyProtection="0"/>
    <xf numFmtId="0" fontId="87" fillId="34" borderId="380" applyNumberFormat="0" applyAlignment="0" applyProtection="0"/>
    <xf numFmtId="0" fontId="12" fillId="37" borderId="378" applyNumberFormat="0" applyFont="0" applyAlignment="0" applyProtection="0"/>
    <xf numFmtId="0" fontId="12" fillId="37" borderId="378" applyNumberFormat="0" applyFont="0" applyAlignment="0" applyProtection="0"/>
    <xf numFmtId="0" fontId="84" fillId="21" borderId="379" applyNumberFormat="0" applyAlignment="0" applyProtection="0"/>
    <xf numFmtId="0" fontId="84" fillId="21" borderId="379" applyNumberFormat="0" applyAlignment="0" applyProtection="0"/>
    <xf numFmtId="0" fontId="79" fillId="34" borderId="379" applyNumberFormat="0" applyAlignment="0" applyProtection="0"/>
    <xf numFmtId="0" fontId="79" fillId="34" borderId="379" applyNumberFormat="0" applyAlignment="0" applyProtection="0"/>
    <xf numFmtId="0" fontId="87" fillId="34" borderId="380" applyNumberFormat="0" applyAlignment="0" applyProtection="0"/>
    <xf numFmtId="0" fontId="5" fillId="0" borderId="381" applyNumberFormat="0" applyFill="0" applyAlignment="0" applyProtection="0"/>
    <xf numFmtId="0" fontId="5" fillId="0" borderId="381" applyNumberFormat="0" applyFill="0" applyAlignment="0" applyProtection="0"/>
    <xf numFmtId="0" fontId="12" fillId="37" borderId="378" applyNumberFormat="0" applyFont="0" applyAlignment="0" applyProtection="0"/>
    <xf numFmtId="0" fontId="5" fillId="0" borderId="381" applyNumberFormat="0" applyFill="0" applyAlignment="0" applyProtection="0"/>
    <xf numFmtId="0" fontId="12" fillId="37" borderId="378" applyNumberFormat="0" applyFont="0" applyAlignment="0" applyProtection="0"/>
    <xf numFmtId="0" fontId="84" fillId="21" borderId="379" applyNumberFormat="0" applyAlignment="0" applyProtection="0"/>
    <xf numFmtId="0" fontId="12" fillId="37" borderId="378" applyNumberFormat="0" applyFont="0" applyAlignment="0" applyProtection="0"/>
    <xf numFmtId="0" fontId="79" fillId="34" borderId="379" applyNumberFormat="0" applyAlignment="0" applyProtection="0"/>
    <xf numFmtId="0" fontId="84" fillId="21" borderId="379" applyNumberFormat="0" applyAlignment="0" applyProtection="0"/>
    <xf numFmtId="0" fontId="12" fillId="37" borderId="398" applyNumberFormat="0" applyFont="0" applyAlignment="0" applyProtection="0"/>
    <xf numFmtId="0" fontId="84" fillId="21" borderId="379" applyNumberFormat="0" applyAlignment="0" applyProtection="0"/>
    <xf numFmtId="0" fontId="5" fillId="0" borderId="389" applyNumberFormat="0" applyFill="0" applyAlignment="0" applyProtection="0"/>
    <xf numFmtId="0" fontId="5" fillId="0" borderId="381" applyNumberFormat="0" applyFill="0" applyAlignment="0" applyProtection="0"/>
    <xf numFmtId="0" fontId="84" fillId="21" borderId="379" applyNumberFormat="0" applyAlignment="0" applyProtection="0"/>
    <xf numFmtId="0" fontId="87" fillId="34" borderId="380" applyNumberFormat="0" applyAlignment="0" applyProtection="0"/>
    <xf numFmtId="0" fontId="79" fillId="34" borderId="379" applyNumberFormat="0" applyAlignment="0" applyProtection="0"/>
    <xf numFmtId="0" fontId="87" fillId="34" borderId="388" applyNumberFormat="0" applyAlignment="0" applyProtection="0"/>
    <xf numFmtId="0" fontId="12" fillId="37" borderId="378" applyNumberFormat="0" applyFont="0" applyAlignment="0" applyProtection="0"/>
    <xf numFmtId="0" fontId="87" fillId="34" borderId="380" applyNumberFormat="0" applyAlignment="0" applyProtection="0"/>
    <xf numFmtId="0" fontId="79" fillId="34" borderId="379" applyNumberFormat="0" applyAlignment="0" applyProtection="0"/>
    <xf numFmtId="0" fontId="87" fillId="34" borderId="388" applyNumberFormat="0" applyAlignment="0" applyProtection="0"/>
    <xf numFmtId="0" fontId="84" fillId="21" borderId="387" applyNumberFormat="0" applyAlignment="0" applyProtection="0"/>
    <xf numFmtId="0" fontId="5" fillId="0" borderId="397" applyNumberFormat="0" applyFill="0" applyAlignment="0" applyProtection="0"/>
    <xf numFmtId="0" fontId="12" fillId="37" borderId="398" applyNumberFormat="0" applyFon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79" fillId="34"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87" fillId="34" borderId="388" applyNumberFormat="0" applyAlignment="0" applyProtection="0"/>
    <xf numFmtId="0" fontId="5" fillId="0" borderId="389" applyNumberFormat="0" applyFill="0" applyAlignment="0" applyProtection="0"/>
    <xf numFmtId="0" fontId="84" fillId="21" borderId="387" applyNumberFormat="0" applyAlignment="0" applyProtection="0"/>
    <xf numFmtId="0" fontId="12" fillId="37" borderId="386" applyNumberFormat="0" applyFont="0" applyAlignment="0" applyProtection="0"/>
    <xf numFmtId="0" fontId="84" fillId="21" borderId="387" applyNumberFormat="0" applyAlignment="0" applyProtection="0"/>
    <xf numFmtId="0" fontId="84" fillId="21" borderId="387" applyNumberFormat="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87" fillId="34" borderId="388"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94" applyNumberFormat="0" applyFont="0" applyAlignment="0" applyProtection="0"/>
    <xf numFmtId="0" fontId="79" fillId="34" borderId="387" applyNumberFormat="0" applyAlignment="0" applyProtection="0"/>
    <xf numFmtId="0" fontId="87" fillId="34" borderId="388" applyNumberFormat="0" applyAlignment="0" applyProtection="0"/>
    <xf numFmtId="0" fontId="12" fillId="37" borderId="386" applyNumberFormat="0" applyFont="0" applyAlignment="0" applyProtection="0"/>
    <xf numFmtId="0" fontId="84" fillId="21" borderId="387" applyNumberFormat="0" applyAlignment="0" applyProtection="0"/>
    <xf numFmtId="0" fontId="79" fillId="34" borderId="387" applyNumberFormat="0" applyAlignment="0" applyProtection="0"/>
    <xf numFmtId="0" fontId="79" fillId="34" borderId="387" applyNumberFormat="0" applyAlignment="0" applyProtection="0"/>
    <xf numFmtId="0" fontId="79" fillId="34" borderId="387" applyNumberFormat="0" applyAlignment="0" applyProtection="0"/>
    <xf numFmtId="0" fontId="84" fillId="21" borderId="387" applyNumberFormat="0" applyAlignment="0" applyProtection="0"/>
    <xf numFmtId="0" fontId="84" fillId="21"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12" fillId="37" borderId="386" applyNumberFormat="0" applyFont="0" applyAlignment="0" applyProtection="0"/>
    <xf numFmtId="0" fontId="79" fillId="34" borderId="387" applyNumberForma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87" fillId="34" borderId="388" applyNumberFormat="0" applyAlignment="0" applyProtection="0"/>
    <xf numFmtId="0" fontId="12" fillId="37" borderId="386" applyNumberFormat="0" applyFont="0" applyAlignment="0" applyProtection="0"/>
    <xf numFmtId="0" fontId="84" fillId="21" borderId="387" applyNumberForma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12" fillId="37" borderId="394" applyNumberFormat="0" applyFont="0" applyAlignment="0" applyProtection="0"/>
    <xf numFmtId="0" fontId="12" fillId="37" borderId="386" applyNumberFormat="0" applyFont="0" applyAlignment="0" applyProtection="0"/>
    <xf numFmtId="0" fontId="87" fillId="34" borderId="388" applyNumberFormat="0" applyAlignment="0" applyProtection="0"/>
    <xf numFmtId="0" fontId="12" fillId="37" borderId="386" applyNumberFormat="0" applyFont="0" applyAlignment="0" applyProtection="0"/>
    <xf numFmtId="0" fontId="79" fillId="34" borderId="387"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5" fillId="0" borderId="389" applyNumberFormat="0" applyFill="0" applyAlignment="0" applyProtection="0"/>
    <xf numFmtId="0" fontId="87" fillId="34" borderId="388" applyNumberFormat="0" applyAlignment="0" applyProtection="0"/>
    <xf numFmtId="0" fontId="87" fillId="34" borderId="388" applyNumberFormat="0" applyAlignment="0" applyProtection="0"/>
    <xf numFmtId="0" fontId="12" fillId="37" borderId="386" applyNumberFormat="0" applyFont="0" applyAlignment="0" applyProtection="0"/>
    <xf numFmtId="0" fontId="12" fillId="37" borderId="386" applyNumberFormat="0" applyFont="0" applyAlignment="0" applyProtection="0"/>
    <xf numFmtId="0" fontId="84" fillId="21" borderId="387" applyNumberFormat="0" applyAlignment="0" applyProtection="0"/>
    <xf numFmtId="0" fontId="84" fillId="21" borderId="387" applyNumberFormat="0" applyAlignment="0" applyProtection="0"/>
    <xf numFmtId="0" fontId="79" fillId="34" borderId="387" applyNumberFormat="0" applyAlignment="0" applyProtection="0"/>
    <xf numFmtId="0" fontId="79" fillId="34" borderId="387" applyNumberFormat="0" applyAlignment="0" applyProtection="0"/>
    <xf numFmtId="0" fontId="87" fillId="34" borderId="388" applyNumberFormat="0" applyAlignment="0" applyProtection="0"/>
    <xf numFmtId="0" fontId="5" fillId="0" borderId="389" applyNumberFormat="0" applyFill="0" applyAlignment="0" applyProtection="0"/>
    <xf numFmtId="0" fontId="5" fillId="0" borderId="389" applyNumberFormat="0" applyFill="0" applyAlignment="0" applyProtection="0"/>
    <xf numFmtId="0" fontId="12" fillId="37" borderId="386" applyNumberFormat="0" applyFont="0" applyAlignment="0" applyProtection="0"/>
    <xf numFmtId="0" fontId="5" fillId="0" borderId="389" applyNumberFormat="0" applyFill="0" applyAlignment="0" applyProtection="0"/>
    <xf numFmtId="0" fontId="12" fillId="37" borderId="386" applyNumberFormat="0" applyFont="0" applyAlignment="0" applyProtection="0"/>
    <xf numFmtId="0" fontId="84" fillId="21" borderId="387" applyNumberFormat="0" applyAlignment="0" applyProtection="0"/>
    <xf numFmtId="0" fontId="12" fillId="37" borderId="386" applyNumberFormat="0" applyFont="0" applyAlignment="0" applyProtection="0"/>
    <xf numFmtId="0" fontId="79" fillId="34" borderId="387" applyNumberFormat="0" applyAlignment="0" applyProtection="0"/>
    <xf numFmtId="0" fontId="84" fillId="21" borderId="387" applyNumberFormat="0" applyAlignment="0" applyProtection="0"/>
    <xf numFmtId="0" fontId="84" fillId="21" borderId="387" applyNumberFormat="0" applyAlignment="0" applyProtection="0"/>
    <xf numFmtId="0" fontId="5" fillId="0" borderId="397" applyNumberFormat="0" applyFill="0" applyAlignment="0" applyProtection="0"/>
    <xf numFmtId="0" fontId="5" fillId="0" borderId="389" applyNumberFormat="0" applyFill="0" applyAlignment="0" applyProtection="0"/>
    <xf numFmtId="0" fontId="84" fillId="21" borderId="387" applyNumberFormat="0" applyAlignment="0" applyProtection="0"/>
    <xf numFmtId="0" fontId="87" fillId="34" borderId="388" applyNumberFormat="0" applyAlignment="0" applyProtection="0"/>
    <xf numFmtId="0" fontId="79" fillId="34" borderId="387" applyNumberFormat="0" applyAlignment="0" applyProtection="0"/>
    <xf numFmtId="0" fontId="87" fillId="34" borderId="396" applyNumberFormat="0" applyAlignment="0" applyProtection="0"/>
    <xf numFmtId="0" fontId="12" fillId="37" borderId="386" applyNumberFormat="0" applyFont="0" applyAlignment="0" applyProtection="0"/>
    <xf numFmtId="0" fontId="87" fillId="34" borderId="388" applyNumberFormat="0" applyAlignment="0" applyProtection="0"/>
    <xf numFmtId="0" fontId="79" fillId="34" borderId="387" applyNumberFormat="0" applyAlignment="0" applyProtection="0"/>
    <xf numFmtId="0" fontId="87" fillId="34" borderId="396" applyNumberFormat="0" applyAlignment="0" applyProtection="0"/>
    <xf numFmtId="0" fontId="84" fillId="21" borderId="395" applyNumberFormat="0" applyAlignment="0" applyProtection="0"/>
    <xf numFmtId="0" fontId="5" fillId="0" borderId="401" applyNumberFormat="0" applyFill="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79" fillId="34"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87" fillId="34" borderId="396" applyNumberFormat="0" applyAlignment="0" applyProtection="0"/>
    <xf numFmtId="0" fontId="5" fillId="0" borderId="397" applyNumberFormat="0" applyFill="0" applyAlignment="0" applyProtection="0"/>
    <xf numFmtId="0" fontId="84" fillId="21" borderId="395" applyNumberFormat="0" applyAlignment="0" applyProtection="0"/>
    <xf numFmtId="0" fontId="12" fillId="37" borderId="394" applyNumberFormat="0" applyFont="0" applyAlignment="0" applyProtection="0"/>
    <xf numFmtId="0" fontId="84" fillId="21" borderId="395" applyNumberFormat="0" applyAlignment="0" applyProtection="0"/>
    <xf numFmtId="0" fontId="84" fillId="21" borderId="395" applyNumberFormat="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87" fillId="34" borderId="396"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8" applyNumberFormat="0" applyFont="0" applyAlignment="0" applyProtection="0"/>
    <xf numFmtId="0" fontId="79" fillId="34" borderId="395" applyNumberFormat="0" applyAlignment="0" applyProtection="0"/>
    <xf numFmtId="0" fontId="87" fillId="34" borderId="396" applyNumberFormat="0" applyAlignment="0" applyProtection="0"/>
    <xf numFmtId="0" fontId="12" fillId="37" borderId="394" applyNumberFormat="0" applyFont="0" applyAlignment="0" applyProtection="0"/>
    <xf numFmtId="0" fontId="84" fillId="21" borderId="395" applyNumberFormat="0" applyAlignment="0" applyProtection="0"/>
    <xf numFmtId="0" fontId="79" fillId="34" borderId="395" applyNumberFormat="0" applyAlignment="0" applyProtection="0"/>
    <xf numFmtId="0" fontId="79" fillId="34" borderId="395" applyNumberFormat="0" applyAlignment="0" applyProtection="0"/>
    <xf numFmtId="0" fontId="79" fillId="34" borderId="395" applyNumberFormat="0" applyAlignment="0" applyProtection="0"/>
    <xf numFmtId="0" fontId="84" fillId="21" borderId="395" applyNumberFormat="0" applyAlignment="0" applyProtection="0"/>
    <xf numFmtId="0" fontId="84" fillId="21"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12" fillId="37" borderId="394" applyNumberFormat="0" applyFont="0" applyAlignment="0" applyProtection="0"/>
    <xf numFmtId="0" fontId="79" fillId="34" borderId="395" applyNumberFormat="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87" fillId="34" borderId="396" applyNumberFormat="0" applyAlignment="0" applyProtection="0"/>
    <xf numFmtId="0" fontId="12" fillId="37" borderId="394" applyNumberFormat="0" applyFont="0" applyAlignment="0" applyProtection="0"/>
    <xf numFmtId="0" fontId="84" fillId="21" borderId="395" applyNumberForma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12" fillId="37" borderId="398" applyNumberFormat="0" applyFont="0" applyAlignment="0" applyProtection="0"/>
    <xf numFmtId="0" fontId="12" fillId="37" borderId="394" applyNumberFormat="0" applyFont="0" applyAlignment="0" applyProtection="0"/>
    <xf numFmtId="0" fontId="87" fillId="34" borderId="396" applyNumberFormat="0" applyAlignment="0" applyProtection="0"/>
    <xf numFmtId="0" fontId="12" fillId="37" borderId="394" applyNumberFormat="0" applyFont="0" applyAlignment="0" applyProtection="0"/>
    <xf numFmtId="0" fontId="79" fillId="34" borderId="395"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5" fillId="0" borderId="397" applyNumberFormat="0" applyFill="0" applyAlignment="0" applyProtection="0"/>
    <xf numFmtId="0" fontId="87" fillId="34" borderId="396" applyNumberFormat="0" applyAlignment="0" applyProtection="0"/>
    <xf numFmtId="0" fontId="87" fillId="34" borderId="396" applyNumberFormat="0" applyAlignment="0" applyProtection="0"/>
    <xf numFmtId="0" fontId="12" fillId="37" borderId="394" applyNumberFormat="0" applyFont="0" applyAlignment="0" applyProtection="0"/>
    <xf numFmtId="0" fontId="12" fillId="37" borderId="394" applyNumberFormat="0" applyFont="0" applyAlignment="0" applyProtection="0"/>
    <xf numFmtId="0" fontId="84" fillId="21" borderId="395" applyNumberFormat="0" applyAlignment="0" applyProtection="0"/>
    <xf numFmtId="0" fontId="84" fillId="21" borderId="395" applyNumberFormat="0" applyAlignment="0" applyProtection="0"/>
    <xf numFmtId="0" fontId="79" fillId="34" borderId="395" applyNumberFormat="0" applyAlignment="0" applyProtection="0"/>
    <xf numFmtId="0" fontId="79" fillId="34" borderId="395" applyNumberFormat="0" applyAlignment="0" applyProtection="0"/>
    <xf numFmtId="0" fontId="87" fillId="34" borderId="396" applyNumberFormat="0" applyAlignment="0" applyProtection="0"/>
    <xf numFmtId="0" fontId="5" fillId="0" borderId="397" applyNumberFormat="0" applyFill="0" applyAlignment="0" applyProtection="0"/>
    <xf numFmtId="0" fontId="5" fillId="0" borderId="397" applyNumberFormat="0" applyFill="0" applyAlignment="0" applyProtection="0"/>
    <xf numFmtId="0" fontId="12" fillId="37" borderId="394" applyNumberFormat="0" applyFont="0" applyAlignment="0" applyProtection="0"/>
    <xf numFmtId="0" fontId="5" fillId="0" borderId="397" applyNumberFormat="0" applyFill="0" applyAlignment="0" applyProtection="0"/>
    <xf numFmtId="0" fontId="12" fillId="37" borderId="394" applyNumberFormat="0" applyFont="0" applyAlignment="0" applyProtection="0"/>
    <xf numFmtId="0" fontId="84" fillId="21" borderId="395" applyNumberFormat="0" applyAlignment="0" applyProtection="0"/>
    <xf numFmtId="0" fontId="12" fillId="37" borderId="394" applyNumberFormat="0" applyFont="0" applyAlignment="0" applyProtection="0"/>
    <xf numFmtId="0" fontId="79" fillId="34" borderId="395" applyNumberFormat="0" applyAlignment="0" applyProtection="0"/>
    <xf numFmtId="0" fontId="84" fillId="21" borderId="395" applyNumberFormat="0" applyAlignment="0" applyProtection="0"/>
    <xf numFmtId="0" fontId="84" fillId="21" borderId="395" applyNumberFormat="0" applyAlignment="0" applyProtection="0"/>
    <xf numFmtId="0" fontId="5" fillId="0" borderId="401" applyNumberFormat="0" applyFill="0" applyAlignment="0" applyProtection="0"/>
    <xf numFmtId="0" fontId="5" fillId="0" borderId="397" applyNumberFormat="0" applyFill="0" applyAlignment="0" applyProtection="0"/>
    <xf numFmtId="0" fontId="84" fillId="21" borderId="395" applyNumberFormat="0" applyAlignment="0" applyProtection="0"/>
    <xf numFmtId="0" fontId="87" fillId="34" borderId="396" applyNumberFormat="0" applyAlignment="0" applyProtection="0"/>
    <xf numFmtId="0" fontId="79" fillId="34" borderId="395" applyNumberFormat="0" applyAlignment="0" applyProtection="0"/>
    <xf numFmtId="0" fontId="87" fillId="34" borderId="400" applyNumberFormat="0" applyAlignment="0" applyProtection="0"/>
    <xf numFmtId="0" fontId="12" fillId="37" borderId="394" applyNumberFormat="0" applyFont="0" applyAlignment="0" applyProtection="0"/>
    <xf numFmtId="0" fontId="87" fillId="34" borderId="396" applyNumberFormat="0" applyAlignment="0" applyProtection="0"/>
    <xf numFmtId="0" fontId="79" fillId="34" borderId="395" applyNumberFormat="0" applyAlignment="0" applyProtection="0"/>
    <xf numFmtId="0" fontId="87" fillId="34" borderId="400" applyNumberFormat="0" applyAlignment="0" applyProtection="0"/>
    <xf numFmtId="0" fontId="84" fillId="21" borderId="399" applyNumberForma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87" fillId="34" borderId="400" applyNumberFormat="0" applyAlignment="0" applyProtection="0"/>
    <xf numFmtId="0" fontId="5" fillId="0" borderId="401" applyNumberFormat="0" applyFill="0" applyAlignment="0" applyProtection="0"/>
    <xf numFmtId="0" fontId="84" fillId="21" borderId="399" applyNumberFormat="0" applyAlignment="0" applyProtection="0"/>
    <xf numFmtId="0" fontId="12" fillId="37" borderId="398" applyNumberFormat="0" applyFont="0" applyAlignment="0" applyProtection="0"/>
    <xf numFmtId="0" fontId="84" fillId="21" borderId="399" applyNumberFormat="0" applyAlignment="0" applyProtection="0"/>
    <xf numFmtId="0" fontId="84" fillId="21" borderId="399" applyNumberFormat="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87" fillId="34" borderId="400"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87" fillId="34" borderId="400" applyNumberFormat="0" applyAlignment="0" applyProtection="0"/>
    <xf numFmtId="0" fontId="12" fillId="37" borderId="398" applyNumberFormat="0" applyFont="0" applyAlignment="0" applyProtection="0"/>
    <xf numFmtId="0" fontId="84" fillId="21" borderId="399" applyNumberFormat="0" applyAlignment="0" applyProtection="0"/>
    <xf numFmtId="0" fontId="79" fillId="34" borderId="399" applyNumberFormat="0" applyAlignment="0" applyProtection="0"/>
    <xf numFmtId="0" fontId="79" fillId="34" borderId="399" applyNumberFormat="0" applyAlignment="0" applyProtection="0"/>
    <xf numFmtId="0" fontId="79" fillId="34" borderId="399" applyNumberFormat="0" applyAlignment="0" applyProtection="0"/>
    <xf numFmtId="0" fontId="84" fillId="21" borderId="399" applyNumberFormat="0" applyAlignment="0" applyProtection="0"/>
    <xf numFmtId="0" fontId="84" fillId="21"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12" fillId="37" borderId="398" applyNumberFormat="0" applyFont="0" applyAlignment="0" applyProtection="0"/>
    <xf numFmtId="0" fontId="79" fillId="34" borderId="399" applyNumberForma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87" fillId="34" borderId="400" applyNumberFormat="0" applyAlignment="0" applyProtection="0"/>
    <xf numFmtId="0" fontId="12" fillId="37" borderId="398" applyNumberFormat="0" applyFont="0" applyAlignment="0" applyProtection="0"/>
    <xf numFmtId="0" fontId="84" fillId="21" borderId="399" applyNumberForma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7" fillId="34" borderId="400" applyNumberFormat="0" applyAlignment="0" applyProtection="0"/>
    <xf numFmtId="0" fontId="12" fillId="37" borderId="398" applyNumberFormat="0" applyFont="0" applyAlignment="0" applyProtection="0"/>
    <xf numFmtId="0" fontId="87" fillId="34" borderId="400" applyNumberFormat="0" applyAlignment="0" applyProtection="0"/>
    <xf numFmtId="0" fontId="12" fillId="37" borderId="398" applyNumberFormat="0" applyFont="0" applyAlignment="0" applyProtection="0"/>
    <xf numFmtId="0" fontId="79" fillId="34" borderId="399"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5" fillId="0" borderId="401" applyNumberFormat="0" applyFill="0" applyAlignment="0" applyProtection="0"/>
    <xf numFmtId="0" fontId="87" fillId="34" borderId="400" applyNumberFormat="0" applyAlignment="0" applyProtection="0"/>
    <xf numFmtId="0" fontId="87" fillId="34" borderId="400" applyNumberFormat="0" applyAlignment="0" applyProtection="0"/>
    <xf numFmtId="0" fontId="12" fillId="37" borderId="398" applyNumberFormat="0" applyFont="0" applyAlignment="0" applyProtection="0"/>
    <xf numFmtId="0" fontId="12" fillId="37" borderId="398" applyNumberFormat="0" applyFont="0" applyAlignment="0" applyProtection="0"/>
    <xf numFmtId="0" fontId="84" fillId="21" borderId="399" applyNumberFormat="0" applyAlignment="0" applyProtection="0"/>
    <xf numFmtId="0" fontId="84" fillId="21" borderId="399" applyNumberFormat="0" applyAlignment="0" applyProtection="0"/>
    <xf numFmtId="0" fontId="79" fillId="34" borderId="399" applyNumberFormat="0" applyAlignment="0" applyProtection="0"/>
    <xf numFmtId="0" fontId="79" fillId="34" borderId="399" applyNumberFormat="0" applyAlignment="0" applyProtection="0"/>
    <xf numFmtId="0" fontId="87" fillId="34" borderId="400" applyNumberFormat="0" applyAlignment="0" applyProtection="0"/>
    <xf numFmtId="0" fontId="5" fillId="0" borderId="401" applyNumberFormat="0" applyFill="0" applyAlignment="0" applyProtection="0"/>
    <xf numFmtId="0" fontId="5" fillId="0" borderId="401" applyNumberFormat="0" applyFill="0" applyAlignment="0" applyProtection="0"/>
    <xf numFmtId="0" fontId="12" fillId="37" borderId="398" applyNumberFormat="0" applyFont="0" applyAlignment="0" applyProtection="0"/>
    <xf numFmtId="0" fontId="5" fillId="0" borderId="401" applyNumberFormat="0" applyFill="0" applyAlignment="0" applyProtection="0"/>
    <xf numFmtId="0" fontId="12" fillId="37" borderId="398" applyNumberFormat="0" applyFont="0" applyAlignment="0" applyProtection="0"/>
    <xf numFmtId="0" fontId="84" fillId="21" borderId="399" applyNumberFormat="0" applyAlignment="0" applyProtection="0"/>
    <xf numFmtId="0" fontId="12" fillId="37" borderId="398" applyNumberFormat="0" applyFont="0" applyAlignment="0" applyProtection="0"/>
    <xf numFmtId="0" fontId="79" fillId="34" borderId="399" applyNumberFormat="0" applyAlignment="0" applyProtection="0"/>
    <xf numFmtId="0" fontId="84" fillId="21" borderId="399" applyNumberFormat="0" applyAlignment="0" applyProtection="0"/>
    <xf numFmtId="0" fontId="84" fillId="21" borderId="399" applyNumberFormat="0" applyAlignment="0" applyProtection="0"/>
    <xf numFmtId="0" fontId="5" fillId="0" borderId="401" applyNumberFormat="0" applyFill="0" applyAlignment="0" applyProtection="0"/>
    <xf numFmtId="0" fontId="84" fillId="21" borderId="399" applyNumberFormat="0" applyAlignment="0" applyProtection="0"/>
    <xf numFmtId="0" fontId="87" fillId="34" borderId="400" applyNumberFormat="0" applyAlignment="0" applyProtection="0"/>
    <xf numFmtId="0" fontId="79" fillId="34" borderId="399" applyNumberFormat="0" applyAlignment="0" applyProtection="0"/>
    <xf numFmtId="0" fontId="12" fillId="37" borderId="398" applyNumberFormat="0" applyFont="0" applyAlignment="0" applyProtection="0"/>
    <xf numFmtId="0" fontId="87" fillId="34" borderId="400" applyNumberFormat="0" applyAlignment="0" applyProtection="0"/>
    <xf numFmtId="0" fontId="79" fillId="34" borderId="399" applyNumberFormat="0" applyAlignment="0" applyProtection="0"/>
    <xf numFmtId="0" fontId="5" fillId="0" borderId="409" applyNumberFormat="0" applyFill="0" applyAlignment="0" applyProtection="0"/>
    <xf numFmtId="0" fontId="84" fillId="21" borderId="402" applyNumberFormat="0" applyAlignment="0" applyProtection="0"/>
    <xf numFmtId="0" fontId="79" fillId="34" borderId="407" applyNumberFormat="0" applyAlignment="0" applyProtection="0"/>
    <xf numFmtId="0" fontId="79" fillId="34" borderId="402"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79" fillId="34" borderId="407" applyNumberFormat="0" applyAlignment="0" applyProtection="0"/>
    <xf numFmtId="0" fontId="5" fillId="0" borderId="413" applyNumberFormat="0" applyFill="0" applyAlignment="0" applyProtection="0"/>
    <xf numFmtId="0" fontId="5" fillId="0" borderId="409" applyNumberFormat="0" applyFill="0" applyAlignment="0" applyProtection="0"/>
    <xf numFmtId="0" fontId="84" fillId="21" borderId="402" applyNumberFormat="0" applyAlignment="0" applyProtection="0"/>
    <xf numFmtId="0" fontId="79" fillId="34" borderId="411" applyNumberFormat="0" applyAlignment="0" applyProtection="0"/>
    <xf numFmtId="0" fontId="79" fillId="34" borderId="407" applyNumberFormat="0" applyAlignment="0" applyProtection="0"/>
    <xf numFmtId="0" fontId="84" fillId="21" borderId="407" applyNumberFormat="0" applyAlignment="0" applyProtection="0"/>
    <xf numFmtId="0" fontId="87" fillId="34" borderId="408" applyNumberFormat="0" applyAlignment="0" applyProtection="0"/>
    <xf numFmtId="0" fontId="12" fillId="37" borderId="406" applyNumberFormat="0" applyFont="0" applyAlignment="0" applyProtection="0"/>
    <xf numFmtId="0" fontId="84" fillId="21" borderId="402" applyNumberFormat="0" applyAlignment="0" applyProtection="0"/>
    <xf numFmtId="0" fontId="79" fillId="34" borderId="402" applyNumberFormat="0" applyAlignment="0" applyProtection="0"/>
    <xf numFmtId="0" fontId="5" fillId="0" borderId="409" applyNumberFormat="0" applyFill="0" applyAlignment="0" applyProtection="0"/>
    <xf numFmtId="0" fontId="79" fillId="34" borderId="411"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84" fillId="21" borderId="402" applyNumberFormat="0" applyAlignment="0" applyProtection="0"/>
    <xf numFmtId="0" fontId="79" fillId="34" borderId="402" applyNumberFormat="0" applyAlignment="0" applyProtection="0"/>
    <xf numFmtId="0" fontId="84" fillId="21"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5" fillId="0" borderId="404" applyNumberFormat="0" applyFill="0" applyAlignment="0" applyProtection="0"/>
    <xf numFmtId="0" fontId="12" fillId="37" borderId="405" applyNumberFormat="0" applyFont="0" applyAlignment="0" applyProtection="0"/>
    <xf numFmtId="0" fontId="5" fillId="0" borderId="404" applyNumberFormat="0" applyFill="0" applyAlignment="0" applyProtection="0"/>
    <xf numFmtId="0" fontId="12" fillId="37" borderId="405" applyNumberFormat="0" applyFont="0" applyAlignment="0" applyProtection="0"/>
    <xf numFmtId="0" fontId="5" fillId="0" borderId="404" applyNumberFormat="0" applyFill="0" applyAlignment="0" applyProtection="0"/>
    <xf numFmtId="0" fontId="79" fillId="34" borderId="402" applyNumberFormat="0" applyAlignment="0" applyProtection="0"/>
    <xf numFmtId="0" fontId="87" fillId="34" borderId="403" applyNumberFormat="0" applyAlignment="0" applyProtection="0"/>
    <xf numFmtId="0" fontId="84" fillId="21" borderId="402" applyNumberFormat="0" applyAlignment="0" applyProtection="0"/>
    <xf numFmtId="0" fontId="79" fillId="34" borderId="402" applyNumberFormat="0" applyAlignment="0" applyProtection="0"/>
    <xf numFmtId="0" fontId="12" fillId="37" borderId="405" applyNumberFormat="0" applyFont="0" applyAlignment="0" applyProtection="0"/>
    <xf numFmtId="0" fontId="84" fillId="21" borderId="402" applyNumberFormat="0" applyAlignment="0" applyProtection="0"/>
    <xf numFmtId="0" fontId="87" fillId="34" borderId="403" applyNumberFormat="0" applyAlignment="0" applyProtection="0"/>
    <xf numFmtId="0" fontId="12" fillId="37" borderId="405" applyNumberFormat="0" applyFont="0" applyAlignment="0" applyProtection="0"/>
    <xf numFmtId="0" fontId="5" fillId="0" borderId="404" applyNumberFormat="0" applyFill="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7"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84" fillId="21" borderId="402" applyNumberFormat="0" applyAlignment="0" applyProtection="0"/>
    <xf numFmtId="0" fontId="87" fillId="34" borderId="403" applyNumberFormat="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12" fillId="37" borderId="405" applyNumberFormat="0" applyFont="0" applyAlignment="0" applyProtection="0"/>
    <xf numFmtId="0" fontId="79" fillId="34"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87" fillId="34" borderId="403" applyNumberFormat="0" applyAlignment="0" applyProtection="0"/>
    <xf numFmtId="0" fontId="12" fillId="37" borderId="406" applyNumberFormat="0" applyFont="0" applyAlignment="0" applyProtection="0"/>
    <xf numFmtId="0" fontId="84" fillId="21" borderId="407" applyNumberFormat="0" applyAlignment="0" applyProtection="0"/>
    <xf numFmtId="0" fontId="87" fillId="34" borderId="408" applyNumberFormat="0" applyAlignment="0" applyProtection="0"/>
    <xf numFmtId="0" fontId="87" fillId="34" borderId="408" applyNumberFormat="0" applyAlignment="0" applyProtection="0"/>
    <xf numFmtId="0" fontId="79" fillId="34" borderId="407" applyNumberFormat="0" applyAlignment="0" applyProtection="0"/>
    <xf numFmtId="0" fontId="12" fillId="37" borderId="410" applyNumberFormat="0" applyFont="0" applyAlignment="0" applyProtection="0"/>
    <xf numFmtId="0" fontId="87" fillId="34" borderId="408" applyNumberFormat="0" applyAlignment="0" applyProtection="0"/>
    <xf numFmtId="0" fontId="5" fillId="0" borderId="409" applyNumberFormat="0" applyFill="0" applyAlignment="0" applyProtection="0"/>
    <xf numFmtId="0" fontId="12" fillId="37" borderId="410" applyNumberFormat="0" applyFont="0" applyAlignment="0" applyProtection="0"/>
    <xf numFmtId="0" fontId="79" fillId="34" borderId="402"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12" fillId="37" borderId="406"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84" fillId="21" borderId="402" applyNumberFormat="0" applyAlignment="0" applyProtection="0"/>
    <xf numFmtId="0" fontId="12" fillId="37" borderId="406" applyNumberFormat="0" applyFont="0" applyAlignment="0" applyProtection="0"/>
    <xf numFmtId="0" fontId="79" fillId="34" borderId="407" applyNumberFormat="0" applyAlignment="0" applyProtection="0"/>
    <xf numFmtId="0" fontId="84" fillId="21" borderId="407" applyNumberFormat="0" applyAlignment="0" applyProtection="0"/>
    <xf numFmtId="0" fontId="12" fillId="37" borderId="405"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5" fillId="0" borderId="404" applyNumberFormat="0" applyFill="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84" fillId="21" borderId="402" applyNumberFormat="0" applyAlignment="0" applyProtection="0"/>
    <xf numFmtId="0" fontId="12" fillId="37" borderId="405" applyNumberFormat="0" applyFont="0" applyAlignment="0" applyProtection="0"/>
    <xf numFmtId="0" fontId="79" fillId="34" borderId="407" applyNumberFormat="0" applyAlignment="0" applyProtection="0"/>
    <xf numFmtId="0" fontId="12" fillId="37" borderId="405" applyNumberFormat="0" applyFont="0" applyAlignment="0" applyProtection="0"/>
    <xf numFmtId="0" fontId="84" fillId="21" borderId="407" applyNumberFormat="0" applyAlignment="0" applyProtection="0"/>
    <xf numFmtId="0" fontId="87" fillId="34" borderId="408"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84" fillId="21" borderId="407" applyNumberFormat="0" applyAlignment="0" applyProtection="0"/>
    <xf numFmtId="0" fontId="5" fillId="0" borderId="409" applyNumberFormat="0" applyFill="0" applyAlignment="0" applyProtection="0"/>
    <xf numFmtId="0" fontId="87" fillId="34" borderId="403"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7" fillId="34" borderId="408" applyNumberFormat="0" applyAlignment="0" applyProtection="0"/>
    <xf numFmtId="0" fontId="84" fillId="21" borderId="411" applyNumberFormat="0" applyAlignment="0" applyProtection="0"/>
    <xf numFmtId="0" fontId="84" fillId="21" borderId="407" applyNumberFormat="0" applyAlignment="0" applyProtection="0"/>
    <xf numFmtId="0" fontId="12" fillId="37" borderId="406" applyNumberFormat="0" applyFont="0" applyAlignment="0" applyProtection="0"/>
    <xf numFmtId="0" fontId="79" fillId="34" borderId="407" applyNumberFormat="0" applyAlignment="0" applyProtection="0"/>
    <xf numFmtId="0" fontId="79" fillId="34" borderId="411" applyNumberFormat="0" applyAlignment="0" applyProtection="0"/>
    <xf numFmtId="0" fontId="87" fillId="34" borderId="408" applyNumberForma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10"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5" fillId="0" borderId="413" applyNumberFormat="0" applyFill="0" applyAlignment="0" applyProtection="0"/>
    <xf numFmtId="0" fontId="12" fillId="37" borderId="405" applyNumberFormat="0" applyFont="0" applyAlignment="0" applyProtection="0"/>
    <xf numFmtId="0" fontId="84" fillId="21" borderId="407" applyNumberFormat="0" applyAlignment="0" applyProtection="0"/>
    <xf numFmtId="0" fontId="5" fillId="0" borderId="409" applyNumberFormat="0" applyFill="0" applyAlignment="0" applyProtection="0"/>
    <xf numFmtId="0" fontId="12" fillId="37" borderId="405" applyNumberFormat="0" applyFont="0" applyAlignment="0" applyProtection="0"/>
    <xf numFmtId="0" fontId="12" fillId="37" borderId="405" applyNumberFormat="0" applyFont="0" applyAlignment="0" applyProtection="0"/>
    <xf numFmtId="0" fontId="79" fillId="34" borderId="402" applyNumberFormat="0" applyAlignment="0" applyProtection="0"/>
    <xf numFmtId="0" fontId="84" fillId="21" borderId="407" applyNumberFormat="0" applyAlignment="0" applyProtection="0"/>
    <xf numFmtId="0" fontId="87" fillId="34" borderId="408"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5" fillId="0" borderId="409" applyNumberFormat="0" applyFill="0" applyAlignment="0" applyProtection="0"/>
    <xf numFmtId="0" fontId="84" fillId="21" borderId="407"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10" applyNumberFormat="0" applyFont="0" applyAlignment="0" applyProtection="0"/>
    <xf numFmtId="0" fontId="79" fillId="34" borderId="407"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79" fillId="34" borderId="407" applyNumberFormat="0" applyAlignment="0" applyProtection="0"/>
    <xf numFmtId="0" fontId="12" fillId="37" borderId="410" applyNumberFormat="0" applyFont="0" applyAlignment="0" applyProtection="0"/>
    <xf numFmtId="0" fontId="87" fillId="34" borderId="403" applyNumberForma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79" fillId="34" borderId="407" applyNumberFormat="0" applyAlignment="0" applyProtection="0"/>
    <xf numFmtId="0" fontId="5" fillId="0" borderId="409" applyNumberFormat="0" applyFill="0" applyAlignment="0" applyProtection="0"/>
    <xf numFmtId="0" fontId="84" fillId="21" borderId="402" applyNumberFormat="0" applyAlignment="0" applyProtection="0"/>
    <xf numFmtId="0" fontId="84" fillId="21" borderId="402" applyNumberFormat="0" applyAlignment="0" applyProtection="0"/>
    <xf numFmtId="0" fontId="87" fillId="34" borderId="412" applyNumberFormat="0" applyAlignment="0" applyProtection="0"/>
    <xf numFmtId="0" fontId="5" fillId="0" borderId="409" applyNumberFormat="0" applyFill="0" applyAlignment="0" applyProtection="0"/>
    <xf numFmtId="0" fontId="87" fillId="34" borderId="408" applyNumberFormat="0" applyAlignment="0" applyProtection="0"/>
    <xf numFmtId="0" fontId="12" fillId="37" borderId="406" applyNumberFormat="0" applyFont="0" applyAlignment="0" applyProtection="0"/>
    <xf numFmtId="0" fontId="5" fillId="0" borderId="404" applyNumberFormat="0" applyFill="0" applyAlignment="0" applyProtection="0"/>
    <xf numFmtId="0" fontId="5" fillId="0" borderId="404" applyNumberFormat="0" applyFill="0" applyAlignment="0" applyProtection="0"/>
    <xf numFmtId="0" fontId="87" fillId="34" borderId="403"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84" fillId="21" borderId="402" applyNumberFormat="0" applyAlignment="0" applyProtection="0"/>
    <xf numFmtId="0" fontId="12" fillId="37" borderId="405" applyNumberFormat="0" applyFont="0" applyAlignment="0" applyProtection="0"/>
    <xf numFmtId="0" fontId="12" fillId="37" borderId="405" applyNumberFormat="0" applyFont="0" applyAlignment="0" applyProtection="0"/>
    <xf numFmtId="0" fontId="12" fillId="37" borderId="406" applyNumberFormat="0" applyFont="0" applyAlignment="0" applyProtection="0"/>
    <xf numFmtId="0" fontId="12" fillId="37" borderId="405" applyNumberFormat="0" applyFont="0" applyAlignment="0" applyProtection="0"/>
    <xf numFmtId="0" fontId="5" fillId="0" borderId="404" applyNumberFormat="0" applyFill="0" applyAlignment="0" applyProtection="0"/>
    <xf numFmtId="0" fontId="79" fillId="34" borderId="402" applyNumberFormat="0" applyAlignment="0" applyProtection="0"/>
    <xf numFmtId="0" fontId="79" fillId="34" borderId="402" applyNumberFormat="0" applyAlignment="0" applyProtection="0"/>
    <xf numFmtId="0" fontId="84" fillId="21" borderId="402" applyNumberFormat="0" applyAlignment="0" applyProtection="0"/>
    <xf numFmtId="0" fontId="5" fillId="0" borderId="404" applyNumberFormat="0" applyFill="0" applyAlignment="0" applyProtection="0"/>
    <xf numFmtId="0" fontId="5" fillId="0" borderId="404" applyNumberFormat="0" applyFill="0" applyAlignment="0" applyProtection="0"/>
    <xf numFmtId="0" fontId="12" fillId="37" borderId="405" applyNumberFormat="0" applyFont="0" applyAlignment="0" applyProtection="0"/>
    <xf numFmtId="0" fontId="87" fillId="34" borderId="403" applyNumberFormat="0" applyAlignment="0" applyProtection="0"/>
    <xf numFmtId="0" fontId="12" fillId="37" borderId="405" applyNumberFormat="0" applyFont="0" applyAlignment="0" applyProtection="0"/>
    <xf numFmtId="0" fontId="87" fillId="34" borderId="403" applyNumberFormat="0" applyAlignment="0" applyProtection="0"/>
    <xf numFmtId="0" fontId="84" fillId="21" borderId="402"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87" fillId="34" borderId="408" applyNumberFormat="0" applyAlignment="0" applyProtection="0"/>
    <xf numFmtId="0" fontId="5" fillId="0" borderId="404" applyNumberFormat="0" applyFill="0" applyAlignment="0" applyProtection="0"/>
    <xf numFmtId="0" fontId="84" fillId="21" borderId="402" applyNumberFormat="0" applyAlignment="0" applyProtection="0"/>
    <xf numFmtId="0" fontId="79" fillId="34" borderId="407" applyNumberFormat="0" applyAlignment="0" applyProtection="0"/>
    <xf numFmtId="0" fontId="12" fillId="37" borderId="406" applyNumberFormat="0" applyFont="0" applyAlignment="0" applyProtection="0"/>
    <xf numFmtId="0" fontId="87" fillId="34" borderId="412"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2" applyNumberFormat="0" applyAlignment="0" applyProtection="0"/>
    <xf numFmtId="0" fontId="84" fillId="21" borderId="407" applyNumberFormat="0" applyAlignment="0" applyProtection="0"/>
    <xf numFmtId="0" fontId="87" fillId="34" borderId="403" applyNumberFormat="0" applyAlignment="0" applyProtection="0"/>
    <xf numFmtId="0" fontId="12" fillId="37" borderId="405" applyNumberFormat="0" applyFont="0" applyAlignment="0" applyProtection="0"/>
    <xf numFmtId="0" fontId="84" fillId="21" borderId="402" applyNumberForma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5" applyNumberFormat="0" applyFont="0" applyAlignment="0" applyProtection="0"/>
    <xf numFmtId="0" fontId="87" fillId="34" borderId="403" applyNumberFormat="0" applyAlignment="0" applyProtection="0"/>
    <xf numFmtId="0" fontId="5" fillId="0" borderId="409" applyNumberFormat="0" applyFill="0" applyAlignment="0" applyProtection="0"/>
    <xf numFmtId="0" fontId="12" fillId="37" borderId="410" applyNumberFormat="0" applyFont="0" applyAlignment="0" applyProtection="0"/>
    <xf numFmtId="0" fontId="79" fillId="34" borderId="402"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05" applyNumberFormat="0" applyFont="0" applyAlignment="0" applyProtection="0"/>
    <xf numFmtId="0" fontId="87" fillId="34" borderId="408" applyNumberFormat="0" applyAlignment="0" applyProtection="0"/>
    <xf numFmtId="0" fontId="84" fillId="21" borderId="407" applyNumberFormat="0" applyAlignment="0" applyProtection="0"/>
    <xf numFmtId="0" fontId="87" fillId="34" borderId="412" applyNumberFormat="0" applyAlignment="0" applyProtection="0"/>
    <xf numFmtId="0" fontId="12" fillId="37" borderId="405" applyNumberFormat="0" applyFont="0" applyAlignment="0" applyProtection="0"/>
    <xf numFmtId="0" fontId="87" fillId="34" borderId="403" applyNumberFormat="0" applyAlignment="0" applyProtection="0"/>
    <xf numFmtId="0" fontId="12" fillId="37" borderId="406" applyNumberFormat="0" applyFont="0" applyAlignment="0" applyProtection="0"/>
    <xf numFmtId="0" fontId="87" fillId="34" borderId="408" applyNumberFormat="0" applyAlignment="0" applyProtection="0"/>
    <xf numFmtId="0" fontId="12" fillId="37" borderId="406" applyNumberFormat="0" applyFont="0" applyAlignment="0" applyProtection="0"/>
    <xf numFmtId="0" fontId="79" fillId="34" borderId="402" applyNumberFormat="0" applyAlignment="0" applyProtection="0"/>
    <xf numFmtId="0" fontId="87" fillId="34" borderId="403" applyNumberFormat="0" applyAlignment="0" applyProtection="0"/>
    <xf numFmtId="0" fontId="5" fillId="0" borderId="404" applyNumberFormat="0" applyFill="0" applyAlignment="0" applyProtection="0"/>
    <xf numFmtId="0" fontId="87" fillId="34" borderId="408" applyNumberFormat="0" applyAlignment="0" applyProtection="0"/>
    <xf numFmtId="0" fontId="5" fillId="0" borderId="404" applyNumberFormat="0" applyFill="0" applyAlignment="0" applyProtection="0"/>
    <xf numFmtId="0" fontId="84" fillId="21" borderId="402" applyNumberFormat="0" applyAlignment="0" applyProtection="0"/>
    <xf numFmtId="0" fontId="87" fillId="34" borderId="403" applyNumberFormat="0" applyAlignment="0" applyProtection="0"/>
    <xf numFmtId="0" fontId="79" fillId="34" borderId="402" applyNumberFormat="0" applyAlignment="0" applyProtection="0"/>
    <xf numFmtId="0" fontId="12" fillId="37" borderId="405" applyNumberFormat="0" applyFont="0" applyAlignment="0" applyProtection="0"/>
    <xf numFmtId="0" fontId="87" fillId="34" borderId="403" applyNumberFormat="0" applyAlignment="0" applyProtection="0"/>
    <xf numFmtId="0" fontId="79" fillId="34" borderId="402" applyNumberFormat="0" applyAlignment="0" applyProtection="0"/>
    <xf numFmtId="0" fontId="79" fillId="34" borderId="407" applyNumberFormat="0" applyAlignment="0" applyProtection="0"/>
    <xf numFmtId="0" fontId="12" fillId="37" borderId="406" applyNumberFormat="0" applyFont="0" applyAlignment="0" applyProtection="0"/>
    <xf numFmtId="0" fontId="5" fillId="0" borderId="413" applyNumberFormat="0" applyFill="0" applyAlignment="0" applyProtection="0"/>
    <xf numFmtId="0" fontId="87" fillId="34" borderId="408" applyNumberFormat="0" applyAlignment="0" applyProtection="0"/>
    <xf numFmtId="0" fontId="5" fillId="0" borderId="413" applyNumberFormat="0" applyFill="0" applyAlignment="0" applyProtection="0"/>
    <xf numFmtId="0" fontId="12" fillId="37" borderId="406" applyNumberFormat="0" applyFont="0" applyAlignment="0" applyProtection="0"/>
    <xf numFmtId="0" fontId="5" fillId="0" borderId="409" applyNumberFormat="0" applyFill="0" applyAlignment="0" applyProtection="0"/>
    <xf numFmtId="0" fontId="84" fillId="21" borderId="407"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79" fillId="34" borderId="407" applyNumberFormat="0" applyAlignment="0" applyProtection="0"/>
    <xf numFmtId="0" fontId="84" fillId="21" borderId="407" applyNumberFormat="0" applyAlignment="0" applyProtection="0"/>
    <xf numFmtId="0" fontId="79" fillId="34" borderId="411" applyNumberForma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06" applyNumberFormat="0" applyFont="0" applyAlignment="0" applyProtection="0"/>
    <xf numFmtId="0" fontId="12" fillId="37" borderId="406" applyNumberFormat="0" applyFont="0" applyAlignment="0" applyProtection="0"/>
    <xf numFmtId="0" fontId="5" fillId="0" borderId="409" applyNumberFormat="0" applyFill="0" applyAlignment="0" applyProtection="0"/>
    <xf numFmtId="0" fontId="12" fillId="37" borderId="406"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79" fillId="34" borderId="407" applyNumberFormat="0" applyAlignment="0" applyProtection="0"/>
    <xf numFmtId="0" fontId="84" fillId="21" borderId="411" applyNumberFormat="0" applyAlignment="0" applyProtection="0"/>
    <xf numFmtId="0" fontId="5" fillId="0" borderId="409" applyNumberFormat="0" applyFill="0" applyAlignment="0" applyProtection="0"/>
    <xf numFmtId="0" fontId="87" fillId="34" borderId="408" applyNumberFormat="0" applyAlignment="0" applyProtection="0"/>
    <xf numFmtId="0" fontId="12" fillId="37" borderId="406" applyNumberFormat="0" applyFont="0" applyAlignment="0" applyProtection="0"/>
    <xf numFmtId="0" fontId="84" fillId="21" borderId="407" applyNumberFormat="0" applyAlignment="0" applyProtection="0"/>
    <xf numFmtId="0" fontId="12" fillId="37" borderId="406"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87" fillId="34" borderId="408" applyNumberFormat="0" applyAlignment="0" applyProtection="0"/>
    <xf numFmtId="0" fontId="12" fillId="37" borderId="406" applyNumberFormat="0" applyFont="0" applyAlignment="0" applyProtection="0"/>
    <xf numFmtId="0" fontId="12" fillId="37" borderId="406" applyNumberFormat="0" applyFont="0" applyAlignment="0" applyProtection="0"/>
    <xf numFmtId="0" fontId="84" fillId="21" borderId="407" applyNumberFormat="0" applyAlignment="0" applyProtection="0"/>
    <xf numFmtId="0" fontId="79" fillId="34" borderId="407" applyNumberFormat="0" applyAlignment="0" applyProtection="0"/>
    <xf numFmtId="0" fontId="79" fillId="34" borderId="407" applyNumberFormat="0" applyAlignment="0" applyProtection="0"/>
    <xf numFmtId="0" fontId="79" fillId="34" borderId="407" applyNumberFormat="0" applyAlignment="0" applyProtection="0"/>
    <xf numFmtId="0" fontId="87" fillId="34" borderId="412" applyNumberFormat="0" applyAlignment="0" applyProtection="0"/>
    <xf numFmtId="0" fontId="87" fillId="34" borderId="408" applyNumberFormat="0" applyAlignment="0" applyProtection="0"/>
    <xf numFmtId="0" fontId="87" fillId="34" borderId="412" applyNumberFormat="0" applyAlignment="0" applyProtection="0"/>
    <xf numFmtId="0" fontId="84" fillId="21" borderId="411" applyNumberForma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87" fillId="34" borderId="412" applyNumberFormat="0" applyAlignment="0" applyProtection="0"/>
    <xf numFmtId="0" fontId="5" fillId="0" borderId="413" applyNumberFormat="0" applyFill="0" applyAlignment="0" applyProtection="0"/>
    <xf numFmtId="0" fontId="84" fillId="21" borderId="411" applyNumberFormat="0" applyAlignment="0" applyProtection="0"/>
    <xf numFmtId="0" fontId="12" fillId="37" borderId="410" applyNumberFormat="0" applyFont="0" applyAlignment="0" applyProtection="0"/>
    <xf numFmtId="0" fontId="84" fillId="21" borderId="411" applyNumberFormat="0" applyAlignment="0" applyProtection="0"/>
    <xf numFmtId="0" fontId="84"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87"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87" fillId="34" borderId="412" applyNumberFormat="0" applyAlignment="0" applyProtection="0"/>
    <xf numFmtId="0" fontId="12" fillId="37" borderId="410" applyNumberFormat="0" applyFont="0" applyAlignment="0" applyProtection="0"/>
    <xf numFmtId="0" fontId="84" fillId="21" borderId="411" applyNumberFormat="0" applyAlignment="0" applyProtection="0"/>
    <xf numFmtId="0" fontId="79" fillId="34" borderId="411" applyNumberFormat="0" applyAlignment="0" applyProtection="0"/>
    <xf numFmtId="0" fontId="79" fillId="34" borderId="411" applyNumberFormat="0" applyAlignment="0" applyProtection="0"/>
    <xf numFmtId="0" fontId="79" fillId="34" borderId="411" applyNumberFormat="0" applyAlignment="0" applyProtection="0"/>
    <xf numFmtId="0" fontId="84" fillId="21" borderId="411" applyNumberFormat="0" applyAlignment="0" applyProtection="0"/>
    <xf numFmtId="0" fontId="84" fillId="21"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79" fillId="34" borderId="411" applyNumberForma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87" fillId="34" borderId="412" applyNumberFormat="0" applyAlignment="0" applyProtection="0"/>
    <xf numFmtId="0" fontId="12" fillId="37" borderId="410" applyNumberFormat="0" applyFont="0" applyAlignment="0" applyProtection="0"/>
    <xf numFmtId="0" fontId="84" fillId="21" borderId="411" applyNumberForma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7" fillId="34" borderId="412" applyNumberFormat="0" applyAlignment="0" applyProtection="0"/>
    <xf numFmtId="0" fontId="12" fillId="37" borderId="410" applyNumberFormat="0" applyFont="0" applyAlignment="0" applyProtection="0"/>
    <xf numFmtId="0" fontId="87" fillId="34" borderId="412" applyNumberFormat="0" applyAlignment="0" applyProtection="0"/>
    <xf numFmtId="0" fontId="12" fillId="37" borderId="410" applyNumberFormat="0" applyFont="0" applyAlignment="0" applyProtection="0"/>
    <xf numFmtId="0" fontId="79"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87" fillId="34" borderId="412" applyNumberFormat="0" applyAlignment="0" applyProtection="0"/>
    <xf numFmtId="0" fontId="87"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84" fillId="21" borderId="411" applyNumberFormat="0" applyAlignment="0" applyProtection="0"/>
    <xf numFmtId="0" fontId="84" fillId="21" borderId="411" applyNumberFormat="0" applyAlignment="0" applyProtection="0"/>
    <xf numFmtId="0" fontId="79" fillId="34" borderId="411" applyNumberFormat="0" applyAlignment="0" applyProtection="0"/>
    <xf numFmtId="0" fontId="79" fillId="34" borderId="411" applyNumberFormat="0" applyAlignment="0" applyProtection="0"/>
    <xf numFmtId="0" fontId="87"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84" fillId="21" borderId="411" applyNumberFormat="0" applyAlignment="0" applyProtection="0"/>
    <xf numFmtId="0" fontId="12" fillId="37" borderId="410" applyNumberFormat="0" applyFont="0" applyAlignment="0" applyProtection="0"/>
    <xf numFmtId="0" fontId="79" fillId="34" borderId="411" applyNumberFormat="0" applyAlignment="0" applyProtection="0"/>
    <xf numFmtId="0" fontId="84" fillId="21" borderId="411" applyNumberFormat="0" applyAlignment="0" applyProtection="0"/>
    <xf numFmtId="0" fontId="84" fillId="21" borderId="411" applyNumberFormat="0" applyAlignment="0" applyProtection="0"/>
    <xf numFmtId="0" fontId="5" fillId="0" borderId="413" applyNumberFormat="0" applyFill="0" applyAlignment="0" applyProtection="0"/>
    <xf numFmtId="0" fontId="84" fillId="21" borderId="411" applyNumberFormat="0" applyAlignment="0" applyProtection="0"/>
    <xf numFmtId="0" fontId="87" fillId="34" borderId="412" applyNumberFormat="0" applyAlignment="0" applyProtection="0"/>
    <xf numFmtId="0" fontId="79" fillId="34" borderId="411" applyNumberFormat="0" applyAlignment="0" applyProtection="0"/>
    <xf numFmtId="0" fontId="12" fillId="37" borderId="410" applyNumberFormat="0" applyFont="0" applyAlignment="0" applyProtection="0"/>
    <xf numFmtId="0" fontId="87" fillId="34" borderId="412" applyNumberFormat="0" applyAlignment="0" applyProtection="0"/>
    <xf numFmtId="0" fontId="79" fillId="34" borderId="411" applyNumberFormat="0" applyAlignment="0" applyProtection="0"/>
    <xf numFmtId="0" fontId="79" fillId="34" borderId="415" applyNumberForma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4" fillId="21" borderId="415" applyNumberForma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7" fillId="34" borderId="416" applyNumberFormat="0" applyAlignment="0" applyProtection="0"/>
    <xf numFmtId="0" fontId="5" fillId="0" borderId="417" applyNumberFormat="0" applyFill="0" applyAlignment="0" applyProtection="0"/>
    <xf numFmtId="0" fontId="84" fillId="21" borderId="415" applyNumberFormat="0" applyAlignment="0" applyProtection="0"/>
    <xf numFmtId="0" fontId="12" fillId="37" borderId="414" applyNumberFormat="0" applyFont="0" applyAlignment="0" applyProtection="0"/>
    <xf numFmtId="0" fontId="84" fillId="21" borderId="415" applyNumberFormat="0" applyAlignment="0" applyProtection="0"/>
    <xf numFmtId="0" fontId="84"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7"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87" fillId="34" borderId="416" applyNumberFormat="0" applyAlignment="0" applyProtection="0"/>
    <xf numFmtId="0" fontId="12" fillId="37" borderId="414" applyNumberFormat="0" applyFont="0" applyAlignment="0" applyProtection="0"/>
    <xf numFmtId="0" fontId="84" fillId="21" borderId="415" applyNumberFormat="0" applyAlignment="0" applyProtection="0"/>
    <xf numFmtId="0" fontId="79" fillId="34" borderId="415" applyNumberFormat="0" applyAlignment="0" applyProtection="0"/>
    <xf numFmtId="0" fontId="79" fillId="34" borderId="415" applyNumberForma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9" fillId="34" borderId="415" applyNumberForma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87" fillId="34" borderId="416" applyNumberFormat="0" applyAlignment="0" applyProtection="0"/>
    <xf numFmtId="0" fontId="12" fillId="37" borderId="414" applyNumberFormat="0" applyFont="0" applyAlignment="0" applyProtection="0"/>
    <xf numFmtId="0" fontId="84" fillId="21" borderId="415" applyNumberForma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7" fillId="34" borderId="416" applyNumberFormat="0" applyAlignment="0" applyProtection="0"/>
    <xf numFmtId="0" fontId="12" fillId="37" borderId="414" applyNumberFormat="0" applyFont="0" applyAlignment="0" applyProtection="0"/>
    <xf numFmtId="0" fontId="87" fillId="34" borderId="416" applyNumberFormat="0" applyAlignment="0" applyProtection="0"/>
    <xf numFmtId="0" fontId="12" fillId="37" borderId="414" applyNumberFormat="0" applyFont="0" applyAlignment="0" applyProtection="0"/>
    <xf numFmtId="0" fontId="79"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7" fillId="34" borderId="416" applyNumberFormat="0" applyAlignment="0" applyProtection="0"/>
    <xf numFmtId="0" fontId="87"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21" borderId="415" applyNumberFormat="0" applyAlignment="0" applyProtection="0"/>
    <xf numFmtId="0" fontId="84" fillId="21" borderId="415" applyNumberFormat="0" applyAlignment="0" applyProtection="0"/>
    <xf numFmtId="0" fontId="79" fillId="34" borderId="415" applyNumberFormat="0" applyAlignment="0" applyProtection="0"/>
    <xf numFmtId="0" fontId="79" fillId="34" borderId="415" applyNumberFormat="0" applyAlignment="0" applyProtection="0"/>
    <xf numFmtId="0" fontId="87"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21" borderId="415" applyNumberFormat="0" applyAlignment="0" applyProtection="0"/>
    <xf numFmtId="0" fontId="12" fillId="37" borderId="414" applyNumberFormat="0" applyFont="0" applyAlignment="0" applyProtection="0"/>
    <xf numFmtId="0" fontId="79" fillId="34" borderId="415" applyNumberFormat="0" applyAlignment="0" applyProtection="0"/>
    <xf numFmtId="0" fontId="84" fillId="21" borderId="415" applyNumberFormat="0" applyAlignment="0" applyProtection="0"/>
    <xf numFmtId="0" fontId="84" fillId="21" borderId="415" applyNumberFormat="0" applyAlignment="0" applyProtection="0"/>
    <xf numFmtId="0" fontId="5" fillId="0" borderId="417" applyNumberFormat="0" applyFill="0" applyAlignment="0" applyProtection="0"/>
    <xf numFmtId="0" fontId="84" fillId="21" borderId="415" applyNumberFormat="0" applyAlignment="0" applyProtection="0"/>
    <xf numFmtId="0" fontId="87" fillId="34" borderId="416" applyNumberFormat="0" applyAlignment="0" applyProtection="0"/>
    <xf numFmtId="0" fontId="79" fillId="34" borderId="415" applyNumberFormat="0" applyAlignment="0" applyProtection="0"/>
    <xf numFmtId="0" fontId="12" fillId="37" borderId="414" applyNumberFormat="0" applyFont="0" applyAlignment="0" applyProtection="0"/>
    <xf numFmtId="0" fontId="87" fillId="34" borderId="416" applyNumberFormat="0" applyAlignment="0" applyProtection="0"/>
    <xf numFmtId="0" fontId="79" fillId="34" borderId="415" applyNumberFormat="0" applyAlignment="0" applyProtection="0"/>
    <xf numFmtId="0" fontId="12" fillId="37" borderId="432" applyNumberFormat="0" applyFont="0" applyAlignment="0" applyProtection="0"/>
    <xf numFmtId="0" fontId="79" fillId="34" borderId="433" applyNumberFormat="0" applyAlignment="0" applyProtection="0"/>
    <xf numFmtId="0" fontId="12" fillId="37" borderId="424" applyNumberFormat="0" applyFont="0" applyAlignment="0" applyProtection="0"/>
    <xf numFmtId="0" fontId="12" fillId="37" borderId="436" applyNumberFormat="0" applyFont="0" applyAlignment="0" applyProtection="0"/>
    <xf numFmtId="0" fontId="12" fillId="37" borderId="424"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79" fillId="34" borderId="433" applyNumberFormat="0" applyAlignment="0" applyProtection="0"/>
    <xf numFmtId="0" fontId="12" fillId="37" borderId="424" applyNumberFormat="0" applyFont="0" applyAlignment="0" applyProtection="0"/>
    <xf numFmtId="0" fontId="87" fillId="34" borderId="434" applyNumberFormat="0" applyAlignment="0" applyProtection="0"/>
    <xf numFmtId="0" fontId="84" fillId="21" borderId="425" applyNumberFormat="0" applyAlignment="0" applyProtection="0"/>
    <xf numFmtId="0" fontId="5" fillId="0" borderId="435" applyNumberFormat="0" applyFill="0" applyAlignment="0" applyProtection="0"/>
    <xf numFmtId="0" fontId="12" fillId="37" borderId="428" applyNumberFormat="0" applyFont="0" applyAlignment="0" applyProtection="0"/>
    <xf numFmtId="0" fontId="5" fillId="0" borderId="427" applyNumberFormat="0" applyFill="0" applyAlignment="0" applyProtection="0"/>
    <xf numFmtId="0" fontId="12" fillId="37" borderId="432" applyNumberFormat="0" applyFont="0" applyAlignment="0" applyProtection="0"/>
    <xf numFmtId="0" fontId="12" fillId="37" borderId="423"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22" applyNumberFormat="0" applyFont="0" applyAlignment="0" applyProtection="0"/>
    <xf numFmtId="0" fontId="79" fillId="34" borderId="429" applyNumberFormat="0" applyAlignment="0" applyProtection="0"/>
    <xf numFmtId="0" fontId="12" fillId="37" borderId="422"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28" applyNumberFormat="0" applyFont="0" applyAlignment="0" applyProtection="0"/>
    <xf numFmtId="0" fontId="79" fillId="34" borderId="433" applyNumberFormat="0" applyAlignment="0" applyProtection="0"/>
    <xf numFmtId="0" fontId="12" fillId="37" borderId="422" applyNumberFormat="0" applyFont="0" applyAlignment="0" applyProtection="0"/>
    <xf numFmtId="0" fontId="12" fillId="37" borderId="436" applyNumberFormat="0" applyFont="0" applyAlignment="0" applyProtection="0"/>
    <xf numFmtId="0" fontId="5" fillId="0" borderId="427" applyNumberFormat="0" applyFill="0" applyAlignment="0" applyProtection="0"/>
    <xf numFmtId="0" fontId="12" fillId="37" borderId="422" applyNumberFormat="0" applyFont="0" applyAlignment="0" applyProtection="0"/>
    <xf numFmtId="0" fontId="12" fillId="37" borderId="422" applyNumberFormat="0" applyFont="0" applyAlignment="0" applyProtection="0"/>
    <xf numFmtId="0" fontId="84" fillId="21" borderId="433" applyNumberFormat="0" applyAlignment="0" applyProtection="0"/>
    <xf numFmtId="0" fontId="84" fillId="21" borderId="433" applyNumberFormat="0" applyAlignment="0" applyProtection="0"/>
    <xf numFmtId="0" fontId="87" fillId="34" borderId="434" applyNumberFormat="0" applyAlignment="0" applyProtection="0"/>
    <xf numFmtId="0" fontId="84" fillId="21" borderId="433" applyNumberFormat="0" applyAlignment="0" applyProtection="0"/>
    <xf numFmtId="0" fontId="79" fillId="34" borderId="433" applyNumberFormat="0" applyAlignment="0" applyProtection="0"/>
    <xf numFmtId="0" fontId="79" fillId="34" borderId="433"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5" fillId="0" borderId="435" applyNumberFormat="0" applyFill="0" applyAlignment="0" applyProtection="0"/>
    <xf numFmtId="0" fontId="12" fillId="37" borderId="422" applyNumberFormat="0" applyFont="0" applyAlignment="0" applyProtection="0"/>
    <xf numFmtId="0" fontId="84" fillId="21" borderId="433"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4" applyNumberFormat="0" applyFont="0" applyAlignment="0" applyProtection="0"/>
    <xf numFmtId="0" fontId="5" fillId="0" borderId="431" applyNumberFormat="0" applyFill="0" applyAlignment="0" applyProtection="0"/>
    <xf numFmtId="0" fontId="12" fillId="37" borderId="422"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3"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79" fillId="34" borderId="433"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5" fillId="0" borderId="435" applyNumberFormat="0" applyFill="0" applyAlignment="0" applyProtection="0"/>
    <xf numFmtId="0" fontId="5" fillId="0" borderId="435" applyNumberFormat="0" applyFill="0" applyAlignment="0" applyProtection="0"/>
    <xf numFmtId="0" fontId="12" fillId="37" borderId="424" applyNumberFormat="0" applyFont="0" applyAlignment="0" applyProtection="0"/>
    <xf numFmtId="0" fontId="12" fillId="37" borderId="432" applyNumberFormat="0" applyFont="0" applyAlignment="0" applyProtection="0"/>
    <xf numFmtId="0" fontId="87" fillId="34" borderId="426" applyNumberFormat="0" applyAlignment="0" applyProtection="0"/>
    <xf numFmtId="0" fontId="87" fillId="34" borderId="434" applyNumberFormat="0" applyAlignment="0" applyProtection="0"/>
    <xf numFmtId="0" fontId="84" fillId="21" borderId="429" applyNumberFormat="0" applyAlignment="0" applyProtection="0"/>
    <xf numFmtId="0" fontId="12" fillId="37" borderId="42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79" fillId="34" borderId="419" applyNumberFormat="0" applyAlignment="0" applyProtection="0"/>
    <xf numFmtId="0" fontId="79" fillId="34" borderId="419" applyNumberFormat="0" applyAlignment="0" applyProtection="0"/>
    <xf numFmtId="0" fontId="84" fillId="21" borderId="419" applyNumberFormat="0" applyAlignment="0" applyProtection="0"/>
    <xf numFmtId="0" fontId="84" fillId="21"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32" applyNumberFormat="0" applyFont="0" applyAlignment="0" applyProtection="0"/>
    <xf numFmtId="0" fontId="12" fillId="37" borderId="418" applyNumberFormat="0" applyFont="0" applyAlignment="0" applyProtection="0"/>
    <xf numFmtId="0" fontId="12" fillId="37" borderId="432" applyNumberFormat="0" applyFont="0" applyAlignment="0" applyProtection="0"/>
    <xf numFmtId="0" fontId="12" fillId="37" borderId="422" applyNumberFormat="0" applyFont="0" applyAlignment="0" applyProtection="0"/>
    <xf numFmtId="0" fontId="87" fillId="34" borderId="434"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23" applyNumberFormat="0" applyFont="0" applyAlignment="0" applyProtection="0"/>
    <xf numFmtId="0" fontId="5" fillId="0" borderId="431" applyNumberFormat="0" applyFill="0" applyAlignment="0" applyProtection="0"/>
    <xf numFmtId="0" fontId="84" fillId="21" borderId="429" applyNumberFormat="0" applyAlignment="0" applyProtection="0"/>
    <xf numFmtId="0" fontId="12" fillId="37" borderId="422" applyNumberFormat="0" applyFont="0" applyAlignment="0" applyProtection="0"/>
    <xf numFmtId="0" fontId="87" fillId="34" borderId="426" applyNumberFormat="0" applyAlignment="0" applyProtection="0"/>
    <xf numFmtId="0" fontId="87" fillId="34" borderId="426" applyNumberFormat="0" applyAlignment="0" applyProtection="0"/>
    <xf numFmtId="0" fontId="87" fillId="34" borderId="434" applyNumberFormat="0" applyAlignment="0" applyProtection="0"/>
    <xf numFmtId="0" fontId="84" fillId="21" borderId="433" applyNumberFormat="0" applyAlignment="0" applyProtection="0"/>
    <xf numFmtId="0" fontId="87" fillId="34" borderId="426"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8"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87" fillId="34" borderId="426" applyNumberFormat="0" applyAlignment="0" applyProtection="0"/>
    <xf numFmtId="0" fontId="5" fillId="0" borderId="427" applyNumberFormat="0" applyFill="0" applyAlignment="0" applyProtection="0"/>
    <xf numFmtId="0" fontId="87" fillId="34" borderId="426" applyNumberFormat="0" applyAlignment="0" applyProtection="0"/>
    <xf numFmtId="0" fontId="12" fillId="37" borderId="424" applyNumberFormat="0" applyFont="0" applyAlignment="0" applyProtection="0"/>
    <xf numFmtId="0" fontId="84" fillId="21"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4" applyNumberFormat="0" applyFont="0" applyAlignment="0" applyProtection="0"/>
    <xf numFmtId="0" fontId="84" fillId="21"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84" fillId="21" borderId="425"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79" fillId="34" borderId="433"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5" fillId="0" borderId="439" applyNumberFormat="0" applyFill="0" applyAlignment="0" applyProtection="0"/>
    <xf numFmtId="0" fontId="12" fillId="37" borderId="424" applyNumberFormat="0" applyFont="0" applyAlignment="0" applyProtection="0"/>
    <xf numFmtId="0" fontId="79" fillId="34" borderId="433" applyNumberFormat="0" applyAlignment="0" applyProtection="0"/>
    <xf numFmtId="0" fontId="5" fillId="0" borderId="435" applyNumberFormat="0" applyFill="0" applyAlignment="0" applyProtection="0"/>
    <xf numFmtId="0" fontId="12" fillId="37" borderId="422" applyNumberFormat="0" applyFont="0" applyAlignment="0" applyProtection="0"/>
    <xf numFmtId="0" fontId="12" fillId="37" borderId="436" applyNumberFormat="0" applyFont="0" applyAlignment="0" applyProtection="0"/>
    <xf numFmtId="0" fontId="84" fillId="21" borderId="433" applyNumberFormat="0" applyAlignment="0" applyProtection="0"/>
    <xf numFmtId="0" fontId="87" fillId="34" borderId="438" applyNumberForma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5" fillId="0" borderId="435" applyNumberFormat="0" applyFill="0" applyAlignment="0" applyProtection="0"/>
    <xf numFmtId="0" fontId="5" fillId="0" borderId="435" applyNumberFormat="0" applyFill="0" applyAlignment="0" applyProtection="0"/>
    <xf numFmtId="0" fontId="87" fillId="34" borderId="434" applyNumberFormat="0" applyAlignment="0" applyProtection="0"/>
    <xf numFmtId="0" fontId="87" fillId="34" borderId="426" applyNumberFormat="0" applyAlignment="0" applyProtection="0"/>
    <xf numFmtId="0" fontId="5" fillId="0" borderId="435" applyNumberFormat="0" applyFill="0" applyAlignment="0" applyProtection="0"/>
    <xf numFmtId="0" fontId="87" fillId="34" borderId="434" applyNumberFormat="0" applyAlignment="0" applyProtection="0"/>
    <xf numFmtId="0" fontId="87" fillId="34" borderId="426" applyNumberFormat="0" applyAlignment="0" applyProtection="0"/>
    <xf numFmtId="0" fontId="5" fillId="0" borderId="427" applyNumberFormat="0" applyFill="0" applyAlignment="0" applyProtection="0"/>
    <xf numFmtId="0" fontId="87" fillId="34" borderId="434" applyNumberFormat="0" applyAlignment="0" applyProtection="0"/>
    <xf numFmtId="0" fontId="12" fillId="37" borderId="428" applyNumberFormat="0" applyFont="0" applyAlignment="0" applyProtection="0"/>
    <xf numFmtId="0" fontId="79" fillId="34" borderId="437" applyNumberFormat="0" applyAlignment="0" applyProtection="0"/>
    <xf numFmtId="0" fontId="87" fillId="34" borderId="420" applyNumberFormat="0" applyAlignment="0" applyProtection="0"/>
    <xf numFmtId="0" fontId="84" fillId="21" borderId="419" applyNumberFormat="0" applyAlignment="0" applyProtection="0"/>
    <xf numFmtId="0" fontId="12" fillId="37" borderId="422" applyNumberFormat="0" applyFont="0" applyAlignment="0" applyProtection="0"/>
    <xf numFmtId="0" fontId="87" fillId="34" borderId="434" applyNumberFormat="0" applyAlignment="0" applyProtection="0"/>
    <xf numFmtId="0" fontId="12" fillId="37" borderId="432" applyNumberFormat="0" applyFont="0" applyAlignment="0" applyProtection="0"/>
    <xf numFmtId="0" fontId="12" fillId="37" borderId="422" applyNumberFormat="0" applyFon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87" fillId="34" borderId="420" applyNumberFormat="0" applyAlignment="0" applyProtection="0"/>
    <xf numFmtId="0" fontId="5" fillId="0" borderId="421" applyNumberFormat="0" applyFill="0" applyAlignment="0" applyProtection="0"/>
    <xf numFmtId="0" fontId="84" fillId="21" borderId="419" applyNumberFormat="0" applyAlignment="0" applyProtection="0"/>
    <xf numFmtId="0" fontId="12" fillId="37" borderId="418" applyNumberFormat="0" applyFont="0" applyAlignment="0" applyProtection="0"/>
    <xf numFmtId="0" fontId="84" fillId="21" borderId="419" applyNumberFormat="0" applyAlignment="0" applyProtection="0"/>
    <xf numFmtId="0" fontId="84" fillId="21" borderId="419" applyNumberFormat="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87" fillId="34" borderId="420"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87" fillId="34" borderId="420" applyNumberFormat="0" applyAlignment="0" applyProtection="0"/>
    <xf numFmtId="0" fontId="12" fillId="37" borderId="418" applyNumberFormat="0" applyFont="0" applyAlignment="0" applyProtection="0"/>
    <xf numFmtId="0" fontId="84" fillId="21" borderId="419" applyNumberFormat="0" applyAlignment="0" applyProtection="0"/>
    <xf numFmtId="0" fontId="79" fillId="34" borderId="419" applyNumberFormat="0" applyAlignment="0" applyProtection="0"/>
    <xf numFmtId="0" fontId="79" fillId="34" borderId="419" applyNumberFormat="0" applyAlignment="0" applyProtection="0"/>
    <xf numFmtId="0" fontId="79" fillId="34" borderId="419" applyNumberFormat="0" applyAlignment="0" applyProtection="0"/>
    <xf numFmtId="0" fontId="84" fillId="21" borderId="419" applyNumberFormat="0" applyAlignment="0" applyProtection="0"/>
    <xf numFmtId="0" fontId="84" fillId="21"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12" fillId="37" borderId="418" applyNumberFormat="0" applyFont="0" applyAlignment="0" applyProtection="0"/>
    <xf numFmtId="0" fontId="79" fillId="34" borderId="419" applyNumberForma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87" fillId="34" borderId="420" applyNumberFormat="0" applyAlignment="0" applyProtection="0"/>
    <xf numFmtId="0" fontId="12" fillId="37" borderId="418" applyNumberFormat="0" applyFont="0" applyAlignment="0" applyProtection="0"/>
    <xf numFmtId="0" fontId="84" fillId="21" borderId="419" applyNumberForma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12" fillId="37" borderId="422" applyNumberFormat="0" applyFont="0" applyAlignment="0" applyProtection="0"/>
    <xf numFmtId="0" fontId="12" fillId="37" borderId="418" applyNumberFormat="0" applyFont="0" applyAlignment="0" applyProtection="0"/>
    <xf numFmtId="0" fontId="87" fillId="34" borderId="420" applyNumberFormat="0" applyAlignment="0" applyProtection="0"/>
    <xf numFmtId="0" fontId="12" fillId="37" borderId="418" applyNumberFormat="0" applyFont="0" applyAlignment="0" applyProtection="0"/>
    <xf numFmtId="0" fontId="79" fillId="34" borderId="419"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5" fillId="0" borderId="421" applyNumberFormat="0" applyFill="0" applyAlignment="0" applyProtection="0"/>
    <xf numFmtId="0" fontId="87" fillId="34" borderId="420" applyNumberFormat="0" applyAlignment="0" applyProtection="0"/>
    <xf numFmtId="0" fontId="87" fillId="34" borderId="420" applyNumberFormat="0" applyAlignment="0" applyProtection="0"/>
    <xf numFmtId="0" fontId="12" fillId="37" borderId="418" applyNumberFormat="0" applyFont="0" applyAlignment="0" applyProtection="0"/>
    <xf numFmtId="0" fontId="12" fillId="37" borderId="418" applyNumberFormat="0" applyFont="0" applyAlignment="0" applyProtection="0"/>
    <xf numFmtId="0" fontId="84" fillId="21" borderId="419" applyNumberFormat="0" applyAlignment="0" applyProtection="0"/>
    <xf numFmtId="0" fontId="84" fillId="21" borderId="419" applyNumberFormat="0" applyAlignment="0" applyProtection="0"/>
    <xf numFmtId="0" fontId="79" fillId="34" borderId="419" applyNumberFormat="0" applyAlignment="0" applyProtection="0"/>
    <xf numFmtId="0" fontId="79" fillId="34" borderId="419" applyNumberFormat="0" applyAlignment="0" applyProtection="0"/>
    <xf numFmtId="0" fontId="87" fillId="34" borderId="420" applyNumberFormat="0" applyAlignment="0" applyProtection="0"/>
    <xf numFmtId="0" fontId="5" fillId="0" borderId="421" applyNumberFormat="0" applyFill="0" applyAlignment="0" applyProtection="0"/>
    <xf numFmtId="0" fontId="5" fillId="0" borderId="421" applyNumberFormat="0" applyFill="0" applyAlignment="0" applyProtection="0"/>
    <xf numFmtId="0" fontId="12" fillId="37" borderId="418" applyNumberFormat="0" applyFont="0" applyAlignment="0" applyProtection="0"/>
    <xf numFmtId="0" fontId="5" fillId="0" borderId="421" applyNumberFormat="0" applyFill="0" applyAlignment="0" applyProtection="0"/>
    <xf numFmtId="0" fontId="12" fillId="37" borderId="418" applyNumberFormat="0" applyFont="0" applyAlignment="0" applyProtection="0"/>
    <xf numFmtId="0" fontId="84" fillId="21" borderId="419" applyNumberFormat="0" applyAlignment="0" applyProtection="0"/>
    <xf numFmtId="0" fontId="12" fillId="37" borderId="418" applyNumberFormat="0" applyFont="0" applyAlignment="0" applyProtection="0"/>
    <xf numFmtId="0" fontId="79" fillId="34" borderId="419" applyNumberFormat="0" applyAlignment="0" applyProtection="0"/>
    <xf numFmtId="0" fontId="84" fillId="21" borderId="419" applyNumberFormat="0" applyAlignment="0" applyProtection="0"/>
    <xf numFmtId="0" fontId="5" fillId="0" borderId="427" applyNumberFormat="0" applyFill="0" applyAlignment="0" applyProtection="0"/>
    <xf numFmtId="0" fontId="84" fillId="21" borderId="419" applyNumberFormat="0" applyAlignment="0" applyProtection="0"/>
    <xf numFmtId="0" fontId="5" fillId="0" borderId="421" applyNumberFormat="0" applyFill="0" applyAlignment="0" applyProtection="0"/>
    <xf numFmtId="0" fontId="84" fillId="21" borderId="419" applyNumberFormat="0" applyAlignment="0" applyProtection="0"/>
    <xf numFmtId="0" fontId="87" fillId="34" borderId="420" applyNumberFormat="0" applyAlignment="0" applyProtection="0"/>
    <xf numFmtId="0" fontId="79" fillId="34" borderId="419" applyNumberFormat="0" applyAlignment="0" applyProtection="0"/>
    <xf numFmtId="0" fontId="87" fillId="34" borderId="426" applyNumberFormat="0" applyAlignment="0" applyProtection="0"/>
    <xf numFmtId="0" fontId="12" fillId="37" borderId="418" applyNumberFormat="0" applyFont="0" applyAlignment="0" applyProtection="0"/>
    <xf numFmtId="0" fontId="87" fillId="34" borderId="420" applyNumberFormat="0" applyAlignment="0" applyProtection="0"/>
    <xf numFmtId="0" fontId="79" fillId="34" borderId="419" applyNumberFormat="0" applyAlignment="0" applyProtection="0"/>
    <xf numFmtId="0" fontId="12" fillId="37" borderId="422" applyNumberFormat="0" applyFont="0" applyAlignment="0" applyProtection="0"/>
    <xf numFmtId="0" fontId="87" fillId="34" borderId="434" applyNumberFormat="0" applyAlignment="0" applyProtection="0"/>
    <xf numFmtId="0" fontId="79" fillId="34" borderId="433" applyNumberFormat="0" applyAlignment="0" applyProtection="0"/>
    <xf numFmtId="0" fontId="5" fillId="0" borderId="427" applyNumberFormat="0" applyFill="0" applyAlignment="0" applyProtection="0"/>
    <xf numFmtId="0" fontId="12" fillId="37" borderId="43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22" applyNumberFormat="0" applyFont="0" applyAlignment="0" applyProtection="0"/>
    <xf numFmtId="0" fontId="12" fillId="37" borderId="432" applyNumberFormat="0" applyFont="0" applyAlignment="0" applyProtection="0"/>
    <xf numFmtId="0" fontId="5" fillId="0" borderId="439" applyNumberFormat="0" applyFill="0" applyAlignment="0" applyProtection="0"/>
    <xf numFmtId="0" fontId="12" fillId="37" borderId="422" applyNumberFormat="0" applyFont="0" applyAlignment="0" applyProtection="0"/>
    <xf numFmtId="0" fontId="87" fillId="34" borderId="426" applyNumberFormat="0" applyAlignment="0" applyProtection="0"/>
    <xf numFmtId="0" fontId="12" fillId="37" borderId="424"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79" fillId="34" borderId="425" applyNumberFormat="0" applyAlignment="0" applyProtection="0"/>
    <xf numFmtId="0" fontId="84" fillId="21" borderId="425" applyNumberFormat="0" applyAlignment="0" applyProtection="0"/>
    <xf numFmtId="0" fontId="84" fillId="21"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84" fillId="21" borderId="433"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79" fillId="34" borderId="425" applyNumberFormat="0" applyAlignment="0" applyProtection="0"/>
    <xf numFmtId="0" fontId="84" fillId="21" borderId="425" applyNumberFormat="0" applyAlignment="0" applyProtection="0"/>
    <xf numFmtId="0" fontId="84" fillId="21" borderId="425" applyNumberFormat="0" applyAlignment="0" applyProtection="0"/>
    <xf numFmtId="0" fontId="84" fillId="21" borderId="425" applyNumberFormat="0" applyAlignment="0" applyProtection="0"/>
    <xf numFmtId="0" fontId="5" fillId="0" borderId="427" applyNumberFormat="0" applyFill="0" applyAlignment="0" applyProtection="0"/>
    <xf numFmtId="0" fontId="84" fillId="21" borderId="433" applyNumberFormat="0" applyAlignment="0" applyProtection="0"/>
    <xf numFmtId="0" fontId="12" fillId="37" borderId="432" applyNumberFormat="0" applyFont="0" applyAlignment="0" applyProtection="0"/>
    <xf numFmtId="0" fontId="12" fillId="37" borderId="424" applyNumberFormat="0" applyFont="0" applyAlignment="0" applyProtection="0"/>
    <xf numFmtId="0" fontId="79" fillId="34" borderId="425"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12" fillId="37" borderId="422" applyNumberFormat="0" applyFont="0" applyAlignment="0" applyProtection="0"/>
    <xf numFmtId="0" fontId="5" fillId="0" borderId="427" applyNumberFormat="0" applyFill="0" applyAlignment="0" applyProtection="0"/>
    <xf numFmtId="0" fontId="12" fillId="37" borderId="42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7" fillId="34" borderId="438" applyNumberFormat="0" applyAlignment="0" applyProtection="0"/>
    <xf numFmtId="0" fontId="12" fillId="37" borderId="424" applyNumberFormat="0" applyFont="0" applyAlignment="0" applyProtection="0"/>
    <xf numFmtId="0" fontId="5" fillId="0" borderId="427" applyNumberFormat="0" applyFill="0" applyAlignment="0" applyProtection="0"/>
    <xf numFmtId="0" fontId="5" fillId="0" borderId="427" applyNumberFormat="0" applyFill="0" applyAlignment="0" applyProtection="0"/>
    <xf numFmtId="0" fontId="5" fillId="0" borderId="427" applyNumberFormat="0" applyFill="0" applyAlignment="0" applyProtection="0"/>
    <xf numFmtId="0" fontId="12" fillId="37" borderId="424" applyNumberFormat="0" applyFont="0" applyAlignment="0" applyProtection="0"/>
    <xf numFmtId="0" fontId="12" fillId="37" borderId="424" applyNumberFormat="0" applyFont="0" applyAlignment="0" applyProtection="0"/>
    <xf numFmtId="0" fontId="12" fillId="37" borderId="428"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84" fillId="21" borderId="425" applyNumberForma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79" fillId="34" borderId="433" applyNumberFormat="0" applyAlignment="0" applyProtection="0"/>
    <xf numFmtId="0" fontId="87" fillId="34" borderId="430" applyNumberFormat="0" applyAlignment="0" applyProtection="0"/>
    <xf numFmtId="0" fontId="79" fillId="34" borderId="429" applyNumberFormat="0" applyAlignment="0" applyProtection="0"/>
    <xf numFmtId="0" fontId="87" fillId="34" borderId="426"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5" fillId="0" borderId="427" applyNumberFormat="0" applyFill="0" applyAlignment="0" applyProtection="0"/>
    <xf numFmtId="0" fontId="12" fillId="37" borderId="423" applyNumberFormat="0" applyFont="0" applyAlignment="0" applyProtection="0"/>
    <xf numFmtId="0" fontId="79" fillId="34" borderId="425" applyNumberFormat="0" applyAlignment="0" applyProtection="0"/>
    <xf numFmtId="0" fontId="5" fillId="0" borderId="427" applyNumberFormat="0" applyFill="0" applyAlignment="0" applyProtection="0"/>
    <xf numFmtId="0" fontId="84" fillId="21" borderId="425" applyNumberFormat="0" applyAlignment="0" applyProtection="0"/>
    <xf numFmtId="0" fontId="79" fillId="34" borderId="425" applyNumberFormat="0" applyAlignment="0" applyProtection="0"/>
    <xf numFmtId="0" fontId="5" fillId="0" borderId="435" applyNumberFormat="0" applyFill="0" applyAlignment="0" applyProtection="0"/>
    <xf numFmtId="0" fontId="5" fillId="0" borderId="435" applyNumberFormat="0" applyFill="0" applyAlignment="0" applyProtection="0"/>
    <xf numFmtId="0" fontId="12" fillId="37" borderId="432" applyNumberFormat="0" applyFont="0" applyAlignment="0" applyProtection="0"/>
    <xf numFmtId="0" fontId="87" fillId="34" borderId="434" applyNumberFormat="0" applyAlignment="0" applyProtection="0"/>
    <xf numFmtId="0" fontId="79" fillId="34" borderId="425" applyNumberFormat="0" applyAlignment="0" applyProtection="0"/>
    <xf numFmtId="0" fontId="12" fillId="37" borderId="423" applyNumberFormat="0" applyFont="0" applyAlignment="0" applyProtection="0"/>
    <xf numFmtId="0" fontId="12" fillId="37" borderId="424" applyNumberFormat="0" applyFont="0" applyAlignment="0" applyProtection="0"/>
    <xf numFmtId="0" fontId="12" fillId="37" borderId="422" applyNumberFormat="0" applyFont="0" applyAlignment="0" applyProtection="0"/>
    <xf numFmtId="0" fontId="87" fillId="34" borderId="434" applyNumberFormat="0" applyAlignment="0" applyProtection="0"/>
    <xf numFmtId="0" fontId="79" fillId="34" borderId="433"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87" fillId="34" borderId="426" applyNumberFormat="0" applyAlignment="0" applyProtection="0"/>
    <xf numFmtId="0" fontId="12" fillId="37" borderId="424" applyNumberFormat="0" applyFont="0" applyAlignment="0" applyProtection="0"/>
    <xf numFmtId="0" fontId="84" fillId="21" borderId="425" applyNumberForma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12" fillId="37" borderId="432" applyNumberFormat="0" applyFont="0" applyAlignment="0" applyProtection="0"/>
    <xf numFmtId="0" fontId="12" fillId="37" borderId="424" applyNumberFormat="0" applyFont="0" applyAlignment="0" applyProtection="0"/>
    <xf numFmtId="0" fontId="87" fillId="34" borderId="426" applyNumberFormat="0" applyAlignment="0" applyProtection="0"/>
    <xf numFmtId="0" fontId="12" fillId="37" borderId="424"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5" fillId="0" borderId="427" applyNumberFormat="0" applyFill="0" applyAlignment="0" applyProtection="0"/>
    <xf numFmtId="0" fontId="87" fillId="34" borderId="426" applyNumberFormat="0" applyAlignment="0" applyProtection="0"/>
    <xf numFmtId="0" fontId="87" fillId="34" borderId="426" applyNumberFormat="0" applyAlignment="0" applyProtection="0"/>
    <xf numFmtId="0" fontId="12" fillId="37" borderId="424" applyNumberFormat="0" applyFont="0" applyAlignment="0" applyProtection="0"/>
    <xf numFmtId="0" fontId="12" fillId="37" borderId="424" applyNumberFormat="0" applyFont="0" applyAlignment="0" applyProtection="0"/>
    <xf numFmtId="0" fontId="84" fillId="21" borderId="425" applyNumberFormat="0" applyAlignment="0" applyProtection="0"/>
    <xf numFmtId="0" fontId="84" fillId="21" borderId="425" applyNumberFormat="0" applyAlignment="0" applyProtection="0"/>
    <xf numFmtId="0" fontId="79" fillId="34" borderId="425" applyNumberFormat="0" applyAlignment="0" applyProtection="0"/>
    <xf numFmtId="0" fontId="79" fillId="34" borderId="425" applyNumberFormat="0" applyAlignment="0" applyProtection="0"/>
    <xf numFmtId="0" fontId="87" fillId="34" borderId="426" applyNumberFormat="0" applyAlignment="0" applyProtection="0"/>
    <xf numFmtId="0" fontId="5" fillId="0" borderId="427" applyNumberFormat="0" applyFill="0" applyAlignment="0" applyProtection="0"/>
    <xf numFmtId="0" fontId="5" fillId="0" borderId="427" applyNumberFormat="0" applyFill="0" applyAlignment="0" applyProtection="0"/>
    <xf numFmtId="0" fontId="12" fillId="37" borderId="424" applyNumberFormat="0" applyFont="0" applyAlignment="0" applyProtection="0"/>
    <xf numFmtId="0" fontId="5" fillId="0" borderId="427" applyNumberFormat="0" applyFill="0" applyAlignment="0" applyProtection="0"/>
    <xf numFmtId="0" fontId="12" fillId="37" borderId="424" applyNumberFormat="0" applyFont="0" applyAlignment="0" applyProtection="0"/>
    <xf numFmtId="0" fontId="84" fillId="21" borderId="425" applyNumberFormat="0" applyAlignment="0" applyProtection="0"/>
    <xf numFmtId="0" fontId="12" fillId="37" borderId="424" applyNumberFormat="0" applyFont="0" applyAlignment="0" applyProtection="0"/>
    <xf numFmtId="0" fontId="79" fillId="34" borderId="425" applyNumberFormat="0" applyAlignment="0" applyProtection="0"/>
    <xf numFmtId="0" fontId="84" fillId="21" borderId="425" applyNumberFormat="0" applyAlignment="0" applyProtection="0"/>
    <xf numFmtId="0" fontId="84" fillId="21" borderId="433" applyNumberFormat="0" applyAlignment="0" applyProtection="0"/>
    <xf numFmtId="0" fontId="84" fillId="21" borderId="425" applyNumberFormat="0" applyAlignment="0" applyProtection="0"/>
    <xf numFmtId="0" fontId="5" fillId="0" borderId="427" applyNumberFormat="0" applyFill="0" applyAlignment="0" applyProtection="0"/>
    <xf numFmtId="0" fontId="84" fillId="21" borderId="425" applyNumberFormat="0" applyAlignment="0" applyProtection="0"/>
    <xf numFmtId="0" fontId="87" fillId="34" borderId="426" applyNumberFormat="0" applyAlignment="0" applyProtection="0"/>
    <xf numFmtId="0" fontId="12" fillId="37" borderId="432" applyNumberFormat="0" applyFont="0" applyAlignment="0" applyProtection="0"/>
    <xf numFmtId="0" fontId="79" fillId="34" borderId="425" applyNumberFormat="0" applyAlignment="0" applyProtection="0"/>
    <xf numFmtId="0" fontId="12" fillId="37" borderId="424" applyNumberFormat="0" applyFont="0" applyAlignment="0" applyProtection="0"/>
    <xf numFmtId="0" fontId="87" fillId="34" borderId="426" applyNumberFormat="0" applyAlignment="0" applyProtection="0"/>
    <xf numFmtId="0" fontId="79" fillId="34" borderId="425" applyNumberFormat="0" applyAlignment="0" applyProtection="0"/>
    <xf numFmtId="0" fontId="87" fillId="34" borderId="434" applyNumberFormat="0" applyAlignment="0" applyProtection="0"/>
    <xf numFmtId="0" fontId="79" fillId="34" borderId="433" applyNumberFormat="0" applyAlignment="0" applyProtection="0"/>
    <xf numFmtId="0" fontId="84" fillId="21" borderId="433" applyNumberFormat="0" applyAlignment="0" applyProtection="0"/>
    <xf numFmtId="0" fontId="5" fillId="0" borderId="435" applyNumberFormat="0" applyFill="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0" applyNumberFormat="0" applyAlignment="0" applyProtection="0"/>
    <xf numFmtId="0" fontId="12" fillId="37" borderId="432" applyNumberFormat="0" applyFont="0" applyAlignment="0" applyProtection="0"/>
    <xf numFmtId="0" fontId="5" fillId="0" borderId="435" applyNumberFormat="0" applyFill="0" applyAlignment="0" applyProtection="0"/>
    <xf numFmtId="0" fontId="5" fillId="0" borderId="435" applyNumberFormat="0" applyFill="0" applyAlignment="0" applyProtection="0"/>
    <xf numFmtId="0" fontId="84" fillId="21" borderId="433" applyNumberFormat="0" applyAlignment="0" applyProtection="0"/>
    <xf numFmtId="0" fontId="5" fillId="0" borderId="435" applyNumberFormat="0" applyFill="0" applyAlignment="0" applyProtection="0"/>
    <xf numFmtId="0" fontId="79" fillId="34" borderId="433" applyNumberFormat="0" applyAlignment="0" applyProtection="0"/>
    <xf numFmtId="0" fontId="87" fillId="34" borderId="434" applyNumberForma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12" fillId="37" borderId="432" applyNumberFormat="0" applyFont="0" applyAlignment="0" applyProtection="0"/>
    <xf numFmtId="0" fontId="87" fillId="34" borderId="434" applyNumberFormat="0" applyAlignment="0" applyProtection="0"/>
    <xf numFmtId="0" fontId="87" fillId="34" borderId="434" applyNumberFormat="0" applyAlignment="0" applyProtection="0"/>
    <xf numFmtId="0" fontId="12" fillId="37" borderId="436" applyNumberFormat="0" applyFont="0" applyAlignment="0" applyProtection="0"/>
    <xf numFmtId="0" fontId="5" fillId="0" borderId="435" applyNumberFormat="0" applyFill="0" applyAlignment="0" applyProtection="0"/>
    <xf numFmtId="0" fontId="12" fillId="37" borderId="432" applyNumberFormat="0" applyFont="0" applyAlignment="0" applyProtection="0"/>
    <xf numFmtId="0" fontId="79" fillId="34" borderId="433" applyNumberFormat="0" applyAlignment="0" applyProtection="0"/>
    <xf numFmtId="0" fontId="12" fillId="37" borderId="432" applyNumberFormat="0" applyFont="0" applyAlignment="0" applyProtection="0"/>
    <xf numFmtId="0" fontId="84" fillId="21" borderId="437" applyNumberFormat="0" applyAlignment="0" applyProtection="0"/>
    <xf numFmtId="0" fontId="79" fillId="34" borderId="433" applyNumberFormat="0" applyAlignment="0" applyProtection="0"/>
    <xf numFmtId="0" fontId="12" fillId="37" borderId="436" applyNumberFormat="0" applyFont="0" applyAlignment="0" applyProtection="0"/>
    <xf numFmtId="0" fontId="5" fillId="0" borderId="435" applyNumberFormat="0" applyFill="0" applyAlignment="0" applyProtection="0"/>
    <xf numFmtId="0" fontId="79" fillId="34" borderId="433" applyNumberFormat="0" applyAlignment="0" applyProtection="0"/>
    <xf numFmtId="0" fontId="12" fillId="37" borderId="432" applyNumberFormat="0" applyFont="0" applyAlignment="0" applyProtection="0"/>
    <xf numFmtId="0" fontId="79" fillId="34" borderId="433" applyNumberFormat="0" applyAlignment="0" applyProtection="0"/>
    <xf numFmtId="0" fontId="87" fillId="34" borderId="434" applyNumberFormat="0" applyAlignment="0" applyProtection="0"/>
    <xf numFmtId="0" fontId="84" fillId="21" borderId="433" applyNumberFormat="0" applyAlignment="0" applyProtection="0"/>
    <xf numFmtId="0" fontId="12" fillId="37" borderId="432" applyNumberFormat="0" applyFont="0" applyAlignment="0" applyProtection="0"/>
    <xf numFmtId="0" fontId="87" fillId="34" borderId="434" applyNumberFormat="0" applyAlignment="0" applyProtection="0"/>
    <xf numFmtId="0" fontId="79" fillId="34" borderId="433"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18" fillId="0" borderId="0"/>
    <xf numFmtId="44"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58" fillId="0" borderId="0"/>
    <xf numFmtId="0" fontId="118" fillId="0" borderId="0"/>
    <xf numFmtId="43" fontId="27" fillId="0" borderId="0" applyFont="0" applyFill="0" applyBorder="0" applyAlignment="0" applyProtection="0"/>
    <xf numFmtId="44" fontId="27" fillId="0" borderId="0" applyFont="0" applyFill="0" applyBorder="0" applyAlignment="0" applyProtection="0"/>
    <xf numFmtId="0" fontId="23" fillId="0" borderId="0" applyNumberFormat="0" applyFill="0" applyBorder="0" applyAlignment="0" applyProtection="0">
      <alignment vertical="top"/>
      <protection locked="0"/>
    </xf>
    <xf numFmtId="9" fontId="27" fillId="0" borderId="0" applyFont="0" applyFill="0" applyBorder="0" applyAlignment="0" applyProtection="0"/>
    <xf numFmtId="0" fontId="118" fillId="0" borderId="0"/>
    <xf numFmtId="44" fontId="12" fillId="0" borderId="0" applyFont="0" applyFill="0" applyBorder="0" applyAlignment="0" applyProtection="0"/>
    <xf numFmtId="43" fontId="12" fillId="0" borderId="0" applyFont="0" applyFill="0" applyBorder="0" applyAlignment="0" applyProtection="0"/>
    <xf numFmtId="0" fontId="23"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18" fillId="0" borderId="0"/>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3" fillId="35" borderId="454"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4" applyNumberFormat="0" applyAlignment="0" applyProtection="0"/>
    <xf numFmtId="0" fontId="3" fillId="35" borderId="454"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4" applyNumberFormat="0" applyAlignment="0" applyProtection="0"/>
    <xf numFmtId="0" fontId="83" fillId="0" borderId="452" applyNumberFormat="0" applyFill="0" applyAlignment="0" applyProtection="0"/>
    <xf numFmtId="0" fontId="83" fillId="0" borderId="452" applyNumberFormat="0" applyFill="0" applyAlignment="0" applyProtection="0"/>
    <xf numFmtId="0" fontId="3" fillId="35" borderId="453" applyNumberFormat="0" applyAlignment="0" applyProtection="0"/>
    <xf numFmtId="0" fontId="3" fillId="35" borderId="453" applyNumberFormat="0" applyAlignment="0" applyProtection="0"/>
    <xf numFmtId="0" fontId="3" fillId="35" borderId="453" applyNumberFormat="0" applyAlignment="0" applyProtection="0"/>
    <xf numFmtId="0" fontId="3" fillId="35" borderId="454" applyNumberFormat="0" applyAlignment="0" applyProtection="0"/>
    <xf numFmtId="0" fontId="3" fillId="35" borderId="454" applyNumberFormat="0" applyAlignment="0" applyProtection="0"/>
    <xf numFmtId="0" fontId="3" fillId="35" borderId="457" applyNumberFormat="0" applyAlignment="0" applyProtection="0"/>
    <xf numFmtId="0" fontId="83" fillId="0" borderId="459" applyNumberFormat="0" applyFill="0" applyAlignment="0" applyProtection="0"/>
    <xf numFmtId="0" fontId="79" fillId="34" borderId="250" applyNumberFormat="0" applyAlignment="0" applyProtection="0"/>
    <xf numFmtId="0" fontId="84" fillId="21" borderId="250"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9"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3" fillId="0" borderId="459"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79" fillId="34" borderId="43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3" fillId="35" borderId="457" applyNumberFormat="0" applyAlignment="0" applyProtection="0"/>
    <xf numFmtId="0" fontId="87" fillId="34" borderId="438"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4" fillId="21" borderId="250"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3" fillId="0" borderId="458"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3" fillId="0" borderId="459"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3" fillId="0" borderId="458" applyNumberFormat="0" applyFill="0" applyAlignment="0" applyProtection="0"/>
    <xf numFmtId="0" fontId="83" fillId="0" borderId="458" applyNumberFormat="0" applyFill="0" applyAlignment="0" applyProtection="0"/>
    <xf numFmtId="0" fontId="83" fillId="0" borderId="458" applyNumberFormat="0" applyFill="0" applyAlignment="0" applyProtection="0"/>
    <xf numFmtId="0" fontId="12" fillId="37" borderId="253" applyNumberFormat="0" applyFont="0" applyAlignment="0" applyProtection="0"/>
    <xf numFmtId="0" fontId="83" fillId="0" borderId="458" applyNumberFormat="0" applyFill="0" applyAlignment="0" applyProtection="0"/>
    <xf numFmtId="0" fontId="84" fillId="21" borderId="250"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79" fillId="34" borderId="437" applyNumberFormat="0" applyAlignment="0" applyProtection="0"/>
    <xf numFmtId="0" fontId="87" fillId="34" borderId="251"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438"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7" fillId="34" borderId="251"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251" applyNumberFormat="0" applyAlignment="0" applyProtection="0"/>
    <xf numFmtId="0" fontId="79" fillId="34" borderId="437" applyNumberFormat="0" applyAlignment="0" applyProtection="0"/>
    <xf numFmtId="0" fontId="87" fillId="34" borderId="251" applyNumberForma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438"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12" fillId="37" borderId="436"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437"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253"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252" applyNumberFormat="0" applyFill="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253"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439"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252"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5" fillId="0" borderId="252"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250"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250"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251"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252"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250"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250"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253"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252" applyNumberFormat="0" applyFill="0" applyAlignment="0" applyProtection="0"/>
    <xf numFmtId="0" fontId="84" fillId="21" borderId="437" applyNumberFormat="0" applyAlignment="0" applyProtection="0"/>
    <xf numFmtId="0" fontId="87" fillId="34" borderId="251"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252" applyNumberFormat="0" applyFill="0" applyAlignment="0" applyProtection="0"/>
    <xf numFmtId="0" fontId="79" fillId="34" borderId="437" applyNumberFormat="0" applyAlignment="0" applyProtection="0"/>
    <xf numFmtId="0" fontId="87" fillId="34" borderId="251"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3" fillId="0" borderId="459"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3" fillId="0" borderId="459"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3" fillId="35" borderId="457" applyNumberFormat="0" applyAlignment="0" applyProtection="0"/>
    <xf numFmtId="0" fontId="83" fillId="0" borderId="459" applyNumberFormat="0" applyFill="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3" fillId="0" borderId="458" applyNumberFormat="0" applyFill="0" applyAlignment="0" applyProtection="0"/>
    <xf numFmtId="0" fontId="83" fillId="0" borderId="458" applyNumberFormat="0" applyFill="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3" fillId="35" borderId="457"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7" fillId="34" borderId="251" applyNumberForma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7" fillId="34" borderId="251" applyNumberFormat="0" applyAlignment="0" applyProtection="0"/>
    <xf numFmtId="0" fontId="5" fillId="0" borderId="252" applyNumberFormat="0" applyFill="0" applyAlignment="0" applyProtection="0"/>
    <xf numFmtId="0" fontId="84" fillId="21" borderId="250" applyNumberForma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84" fillId="21" borderId="250" applyNumberForma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87" fillId="34" borderId="251" applyNumberFormat="0" applyAlignment="0" applyProtection="0"/>
    <xf numFmtId="0" fontId="12" fillId="37" borderId="253" applyNumberFormat="0" applyFont="0" applyAlignment="0" applyProtection="0"/>
    <xf numFmtId="0" fontId="79" fillId="34" borderId="250"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5" fillId="0" borderId="252" applyNumberFormat="0" applyFill="0" applyAlignment="0" applyProtection="0"/>
    <xf numFmtId="0" fontId="87" fillId="34" borderId="251" applyNumberFormat="0" applyAlignment="0" applyProtection="0"/>
    <xf numFmtId="0" fontId="87" fillId="34" borderId="251" applyNumberFormat="0" applyAlignment="0" applyProtection="0"/>
    <xf numFmtId="0" fontId="12" fillId="37" borderId="253" applyNumberFormat="0" applyFont="0" applyAlignment="0" applyProtection="0"/>
    <xf numFmtId="0" fontId="12" fillId="37" borderId="253" applyNumberFormat="0" applyFont="0" applyAlignment="0" applyProtection="0"/>
    <xf numFmtId="0" fontId="84" fillId="21" borderId="250" applyNumberFormat="0" applyAlignment="0" applyProtection="0"/>
    <xf numFmtId="0" fontId="84" fillId="21" borderId="250" applyNumberFormat="0" applyAlignment="0" applyProtection="0"/>
    <xf numFmtId="0" fontId="79" fillId="34" borderId="250" applyNumberFormat="0" applyAlignment="0" applyProtection="0"/>
    <xf numFmtId="0" fontId="79" fillId="34" borderId="250" applyNumberFormat="0" applyAlignment="0" applyProtection="0"/>
    <xf numFmtId="0" fontId="87" fillId="34" borderId="251" applyNumberFormat="0" applyAlignment="0" applyProtection="0"/>
    <xf numFmtId="0" fontId="5" fillId="0" borderId="252" applyNumberFormat="0" applyFill="0" applyAlignment="0" applyProtection="0"/>
    <xf numFmtId="0" fontId="5" fillId="0" borderId="252" applyNumberFormat="0" applyFill="0" applyAlignment="0" applyProtection="0"/>
    <xf numFmtId="0" fontId="12" fillId="37" borderId="253" applyNumberFormat="0" applyFont="0" applyAlignment="0" applyProtection="0"/>
    <xf numFmtId="0" fontId="5" fillId="0" borderId="252" applyNumberFormat="0" applyFill="0" applyAlignment="0" applyProtection="0"/>
    <xf numFmtId="0" fontId="12" fillId="37" borderId="253" applyNumberFormat="0" applyFont="0" applyAlignment="0" applyProtection="0"/>
    <xf numFmtId="0" fontId="84" fillId="21" borderId="250" applyNumberFormat="0" applyAlignment="0" applyProtection="0"/>
    <xf numFmtId="0" fontId="12" fillId="37" borderId="253" applyNumberFormat="0" applyFont="0" applyAlignment="0" applyProtection="0"/>
    <xf numFmtId="0" fontId="79" fillId="34" borderId="250" applyNumberFormat="0" applyAlignment="0" applyProtection="0"/>
    <xf numFmtId="0" fontId="84" fillId="21" borderId="250" applyNumberFormat="0" applyAlignment="0" applyProtection="0"/>
    <xf numFmtId="0" fontId="84" fillId="21" borderId="250" applyNumberFormat="0" applyAlignment="0" applyProtection="0"/>
    <xf numFmtId="0" fontId="5" fillId="0" borderId="252" applyNumberFormat="0" applyFill="0" applyAlignment="0" applyProtection="0"/>
    <xf numFmtId="0" fontId="84" fillId="21" borderId="250" applyNumberFormat="0" applyAlignment="0" applyProtection="0"/>
    <xf numFmtId="0" fontId="87" fillId="34" borderId="251" applyNumberFormat="0" applyAlignment="0" applyProtection="0"/>
    <xf numFmtId="0" fontId="79" fillId="34" borderId="250" applyNumberFormat="0" applyAlignment="0" applyProtection="0"/>
    <xf numFmtId="0" fontId="12" fillId="37" borderId="253" applyNumberFormat="0" applyFont="0" applyAlignment="0" applyProtection="0"/>
    <xf numFmtId="0" fontId="87" fillId="34" borderId="251" applyNumberFormat="0" applyAlignment="0" applyProtection="0"/>
    <xf numFmtId="0" fontId="79" fillId="34" borderId="250" applyNumberFormat="0" applyAlignment="0" applyProtection="0"/>
    <xf numFmtId="0" fontId="83" fillId="0" borderId="459" applyNumberFormat="0" applyFill="0" applyAlignment="0" applyProtection="0"/>
    <xf numFmtId="0" fontId="83" fillId="0" borderId="459"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3" fillId="0" borderId="460" applyNumberFormat="0" applyFill="0" applyAlignment="0" applyProtection="0"/>
    <xf numFmtId="0" fontId="83" fillId="0" borderId="460"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3" fillId="0" borderId="460" applyNumberFormat="0" applyFill="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3" fillId="0" borderId="460"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83" fillId="0" borderId="460" applyNumberFormat="0" applyFill="0" applyAlignment="0" applyProtection="0"/>
    <xf numFmtId="0" fontId="83" fillId="0" borderId="460"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3" fillId="0" borderId="466"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3" fillId="0" borderId="466"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3" fillId="0" borderId="466"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36" applyNumberFormat="0" applyFont="0" applyAlignment="0" applyProtection="0"/>
    <xf numFmtId="0" fontId="84" fillId="21" borderId="462"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62"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87" fillId="34" borderId="438" applyNumberFormat="0" applyAlignment="0" applyProtection="0"/>
    <xf numFmtId="0" fontId="84" fillId="21" borderId="437"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87" fillId="34" borderId="438" applyNumberFormat="0" applyAlignment="0" applyProtection="0"/>
    <xf numFmtId="0" fontId="87" fillId="34" borderId="463"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62"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62" applyNumberFormat="0" applyAlignment="0" applyProtection="0"/>
    <xf numFmtId="0" fontId="5" fillId="0" borderId="439" applyNumberFormat="0" applyFill="0" applyAlignment="0" applyProtection="0"/>
    <xf numFmtId="0" fontId="87" fillId="34" borderId="463" applyNumberFormat="0" applyAlignment="0" applyProtection="0"/>
    <xf numFmtId="0" fontId="5" fillId="0" borderId="439" applyNumberFormat="0" applyFill="0" applyAlignment="0" applyProtection="0"/>
    <xf numFmtId="0" fontId="12" fillId="37" borderId="461" applyNumberFormat="0" applyFon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64"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63" applyNumberFormat="0" applyAlignment="0" applyProtection="0"/>
    <xf numFmtId="0" fontId="12" fillId="37" borderId="436"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87" fillId="34" borderId="438"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63" applyNumberFormat="0" applyAlignment="0" applyProtection="0"/>
    <xf numFmtId="0" fontId="5" fillId="0" borderId="439"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62"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37" applyNumberFormat="0" applyAlignment="0" applyProtection="0"/>
    <xf numFmtId="0" fontId="83" fillId="0" borderId="465"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62"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79" fillId="34" borderId="462"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62"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37"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63"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37"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37"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84" fillId="21" borderId="462"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36"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37"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37"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39" applyNumberFormat="0" applyFill="0" applyAlignment="0" applyProtection="0"/>
    <xf numFmtId="0" fontId="5" fillId="0" borderId="464" applyNumberFormat="0" applyFill="0" applyAlignment="0" applyProtection="0"/>
    <xf numFmtId="0" fontId="87" fillId="34" borderId="438"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87" fillId="34" borderId="438"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61"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61" applyNumberFormat="0" applyFon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79" fillId="34" borderId="437"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84" fillId="21" borderId="437" applyNumberForma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5" fillId="0" borderId="439" applyNumberFormat="0" applyFill="0" applyAlignment="0" applyProtection="0"/>
    <xf numFmtId="0" fontId="87" fillId="34" borderId="438"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84" fillId="21" borderId="437" applyNumberFormat="0" applyAlignment="0" applyProtection="0"/>
    <xf numFmtId="0" fontId="84" fillId="21" borderId="437" applyNumberFormat="0" applyAlignment="0" applyProtection="0"/>
    <xf numFmtId="0" fontId="79" fillId="34" borderId="437" applyNumberFormat="0" applyAlignment="0" applyProtection="0"/>
    <xf numFmtId="0" fontId="79" fillId="34" borderId="437" applyNumberFormat="0" applyAlignment="0" applyProtection="0"/>
    <xf numFmtId="0" fontId="87" fillId="34" borderId="438" applyNumberFormat="0" applyAlignment="0" applyProtection="0"/>
    <xf numFmtId="0" fontId="5" fillId="0" borderId="439" applyNumberFormat="0" applyFill="0" applyAlignment="0" applyProtection="0"/>
    <xf numFmtId="0" fontId="5" fillId="0" borderId="439" applyNumberFormat="0" applyFill="0" applyAlignment="0" applyProtection="0"/>
    <xf numFmtId="0" fontId="12" fillId="37" borderId="436" applyNumberFormat="0" applyFont="0" applyAlignment="0" applyProtection="0"/>
    <xf numFmtId="0" fontId="5" fillId="0" borderId="439" applyNumberFormat="0" applyFill="0" applyAlignment="0" applyProtection="0"/>
    <xf numFmtId="0" fontId="12" fillId="37" borderId="436" applyNumberFormat="0" applyFont="0" applyAlignment="0" applyProtection="0"/>
    <xf numFmtId="0" fontId="84" fillId="21"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4" fillId="21" borderId="437" applyNumberFormat="0" applyAlignment="0" applyProtection="0"/>
    <xf numFmtId="0" fontId="84" fillId="21"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84" fillId="21"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87" fillId="34" borderId="438" applyNumberFormat="0" applyAlignment="0" applyProtection="0"/>
    <xf numFmtId="0" fontId="79" fillId="34" borderId="437" applyNumberFormat="0" applyAlignment="0" applyProtection="0"/>
    <xf numFmtId="0" fontId="84" fillId="21" borderId="437"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12" fillId="37" borderId="436" applyNumberFormat="0" applyFont="0" applyAlignment="0" applyProtection="0"/>
    <xf numFmtId="0" fontId="5" fillId="0" borderId="439" applyNumberFormat="0" applyFill="0" applyAlignment="0" applyProtection="0"/>
    <xf numFmtId="0" fontId="5" fillId="0" borderId="439" applyNumberFormat="0" applyFill="0" applyAlignment="0" applyProtection="0"/>
    <xf numFmtId="0" fontId="84" fillId="21" borderId="437" applyNumberFormat="0" applyAlignment="0" applyProtection="0"/>
    <xf numFmtId="0" fontId="5" fillId="0" borderId="439" applyNumberFormat="0" applyFill="0" applyAlignment="0" applyProtection="0"/>
    <xf numFmtId="0" fontId="79" fillId="34" borderId="437" applyNumberFormat="0" applyAlignment="0" applyProtection="0"/>
    <xf numFmtId="0" fontId="87" fillId="34" borderId="438" applyNumberForma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12" fillId="37" borderId="436" applyNumberFormat="0" applyFont="0" applyAlignment="0" applyProtection="0"/>
    <xf numFmtId="0" fontId="87" fillId="34" borderId="438" applyNumberFormat="0" applyAlignment="0" applyProtection="0"/>
    <xf numFmtId="0" fontId="87" fillId="34" borderId="438" applyNumberFormat="0" applyAlignment="0" applyProtection="0"/>
    <xf numFmtId="0" fontId="5" fillId="0" borderId="439" applyNumberFormat="0" applyFill="0" applyAlignment="0" applyProtection="0"/>
    <xf numFmtId="0" fontId="12" fillId="37" borderId="436" applyNumberFormat="0" applyFont="0" applyAlignment="0" applyProtection="0"/>
    <xf numFmtId="0" fontId="79" fillId="34" borderId="437" applyNumberFormat="0" applyAlignment="0" applyProtection="0"/>
    <xf numFmtId="0" fontId="12" fillId="37" borderId="436" applyNumberFormat="0" applyFont="0" applyAlignment="0" applyProtection="0"/>
    <xf numFmtId="0" fontId="87" fillId="34" borderId="463" applyNumberFormat="0" applyAlignment="0" applyProtection="0"/>
    <xf numFmtId="0" fontId="79" fillId="34" borderId="437" applyNumberFormat="0" applyAlignment="0" applyProtection="0"/>
    <xf numFmtId="0" fontId="12" fillId="37" borderId="461" applyNumberFormat="0" applyFont="0" applyAlignment="0" applyProtection="0"/>
    <xf numFmtId="0" fontId="5" fillId="0" borderId="439" applyNumberFormat="0" applyFill="0" applyAlignment="0" applyProtection="0"/>
    <xf numFmtId="0" fontId="79" fillId="34" borderId="437" applyNumberFormat="0" applyAlignment="0" applyProtection="0"/>
    <xf numFmtId="0" fontId="12" fillId="37" borderId="436" applyNumberFormat="0" applyFont="0" applyAlignment="0" applyProtection="0"/>
    <xf numFmtId="0" fontId="79" fillId="34" borderId="437" applyNumberFormat="0" applyAlignment="0" applyProtection="0"/>
    <xf numFmtId="0" fontId="87" fillId="34" borderId="438" applyNumberFormat="0" applyAlignment="0" applyProtection="0"/>
    <xf numFmtId="0" fontId="84" fillId="21" borderId="437" applyNumberFormat="0" applyAlignment="0" applyProtection="0"/>
    <xf numFmtId="0" fontId="12" fillId="37" borderId="436" applyNumberFormat="0" applyFont="0" applyAlignment="0" applyProtection="0"/>
    <xf numFmtId="0" fontId="87" fillId="34" borderId="438" applyNumberFormat="0" applyAlignment="0" applyProtection="0"/>
    <xf numFmtId="0" fontId="79" fillId="34" borderId="437"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3" fillId="0" borderId="466"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5" fillId="0" borderId="464" applyNumberFormat="0" applyFill="0" applyAlignment="0" applyProtection="0"/>
    <xf numFmtId="0" fontId="83" fillId="0" borderId="466"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83" fillId="0" borderId="466"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3" fillId="0" borderId="465"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3" fillId="0" borderId="466"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3" fillId="0" borderId="460" applyNumberFormat="0" applyFill="0" applyAlignment="0" applyProtection="0"/>
    <xf numFmtId="0" fontId="83" fillId="0" borderId="460"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6" applyNumberFormat="0" applyFill="0" applyAlignment="0" applyProtection="0"/>
    <xf numFmtId="0" fontId="83" fillId="0" borderId="466" applyNumberFormat="0" applyFill="0" applyAlignment="0" applyProtection="0"/>
    <xf numFmtId="0" fontId="83" fillId="0" borderId="466"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83" fillId="0" borderId="465"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3" fillId="0" borderId="467" applyNumberFormat="0" applyFill="0" applyAlignment="0" applyProtection="0"/>
    <xf numFmtId="0" fontId="83" fillId="0" borderId="467"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7"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3" fillId="0" borderId="467" applyNumberFormat="0" applyFill="0" applyAlignment="0" applyProtection="0"/>
    <xf numFmtId="0" fontId="83" fillId="0" borderId="467"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3" fillId="0" borderId="467"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7" fillId="34" borderId="471" applyNumberFormat="0" applyAlignment="0" applyProtection="0"/>
    <xf numFmtId="0" fontId="83" fillId="0" borderId="467"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3" fillId="0" borderId="473"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3" fillId="0" borderId="468"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3" fillId="0" borderId="468"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3" fillId="0" borderId="468"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3" fillId="0" borderId="473"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62"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72"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62"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64"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70"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9"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1" applyNumberFormat="0" applyFont="0" applyAlignment="0" applyProtection="0"/>
    <xf numFmtId="0" fontId="79" fillId="34" borderId="470"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12" fillId="37" borderId="469"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70"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9"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70"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62"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12" fillId="37" borderId="461" applyNumberFormat="0" applyFont="0" applyAlignment="0" applyProtection="0"/>
    <xf numFmtId="0" fontId="5" fillId="0" borderId="472"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9"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63" applyNumberFormat="0" applyAlignment="0" applyProtection="0"/>
    <xf numFmtId="0" fontId="84" fillId="21" borderId="462" applyNumberFormat="0" applyAlignment="0" applyProtection="0"/>
    <xf numFmtId="0" fontId="83" fillId="0" borderId="473" applyNumberFormat="0" applyFill="0" applyAlignment="0" applyProtection="0"/>
    <xf numFmtId="0" fontId="84" fillId="21" borderId="470" applyNumberFormat="0" applyAlignment="0" applyProtection="0"/>
    <xf numFmtId="0" fontId="79" fillId="34" borderId="462" applyNumberFormat="0" applyAlignment="0" applyProtection="0"/>
    <xf numFmtId="0" fontId="79" fillId="34" borderId="470"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64"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64"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62"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63" applyNumberFormat="0" applyAlignment="0" applyProtection="0"/>
    <xf numFmtId="0" fontId="12" fillId="37" borderId="469" applyNumberFormat="0" applyFont="0" applyAlignment="0" applyProtection="0"/>
    <xf numFmtId="0" fontId="5" fillId="0" borderId="464" applyNumberFormat="0" applyFill="0" applyAlignment="0" applyProtection="0"/>
    <xf numFmtId="0" fontId="84" fillId="21" borderId="470" applyNumberFormat="0" applyAlignment="0" applyProtection="0"/>
    <xf numFmtId="0" fontId="79" fillId="34" borderId="470" applyNumberFormat="0" applyAlignment="0" applyProtection="0"/>
    <xf numFmtId="0" fontId="83" fillId="0" borderId="468"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62"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62" applyNumberFormat="0" applyAlignment="0" applyProtection="0"/>
    <xf numFmtId="0" fontId="87" fillId="34" borderId="471" applyNumberFormat="0" applyAlignment="0" applyProtection="0"/>
    <xf numFmtId="0" fontId="12" fillId="37" borderId="461"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62"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64" applyNumberFormat="0" applyFill="0" applyAlignment="0" applyProtection="0"/>
    <xf numFmtId="0" fontId="87" fillId="34" borderId="471"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87" fillId="34" borderId="471"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87" fillId="34" borderId="463"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79" fillId="34" borderId="462"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79" fillId="34"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84" fillId="21" borderId="462" applyNumberFormat="0" applyAlignment="0" applyProtection="0"/>
    <xf numFmtId="0" fontId="5" fillId="0" borderId="464" applyNumberFormat="0" applyFill="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79" fillId="34"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87" fillId="34" borderId="463" applyNumberForma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7" fillId="34" borderId="463" applyNumberFormat="0" applyAlignment="0" applyProtection="0"/>
    <xf numFmtId="0" fontId="5" fillId="0" borderId="464" applyNumberFormat="0" applyFill="0" applyAlignment="0" applyProtection="0"/>
    <xf numFmtId="0" fontId="84" fillId="21" borderId="462" applyNumberForma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84" fillId="21" borderId="462" applyNumberForma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87" fillId="34" borderId="463" applyNumberFormat="0" applyAlignment="0" applyProtection="0"/>
    <xf numFmtId="0" fontId="12" fillId="37" borderId="461" applyNumberFormat="0" applyFont="0" applyAlignment="0" applyProtection="0"/>
    <xf numFmtId="0" fontId="79" fillId="34" borderId="462"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5" fillId="0" borderId="464" applyNumberFormat="0" applyFill="0" applyAlignment="0" applyProtection="0"/>
    <xf numFmtId="0" fontId="87" fillId="34" borderId="463" applyNumberFormat="0" applyAlignment="0" applyProtection="0"/>
    <xf numFmtId="0" fontId="87" fillId="34" borderId="463" applyNumberFormat="0" applyAlignment="0" applyProtection="0"/>
    <xf numFmtId="0" fontId="12" fillId="37" borderId="461" applyNumberFormat="0" applyFont="0" applyAlignment="0" applyProtection="0"/>
    <xf numFmtId="0" fontId="12" fillId="37" borderId="461" applyNumberFormat="0" applyFont="0" applyAlignment="0" applyProtection="0"/>
    <xf numFmtId="0" fontId="84" fillId="21" borderId="462" applyNumberFormat="0" applyAlignment="0" applyProtection="0"/>
    <xf numFmtId="0" fontId="84" fillId="21" borderId="462" applyNumberFormat="0" applyAlignment="0" applyProtection="0"/>
    <xf numFmtId="0" fontId="79" fillId="34" borderId="462" applyNumberFormat="0" applyAlignment="0" applyProtection="0"/>
    <xf numFmtId="0" fontId="79" fillId="34" borderId="462" applyNumberFormat="0" applyAlignment="0" applyProtection="0"/>
    <xf numFmtId="0" fontId="87" fillId="34" borderId="463" applyNumberFormat="0" applyAlignment="0" applyProtection="0"/>
    <xf numFmtId="0" fontId="5" fillId="0" borderId="464" applyNumberFormat="0" applyFill="0" applyAlignment="0" applyProtection="0"/>
    <xf numFmtId="0" fontId="5" fillId="0" borderId="464" applyNumberFormat="0" applyFill="0" applyAlignment="0" applyProtection="0"/>
    <xf numFmtId="0" fontId="12" fillId="37" borderId="461" applyNumberFormat="0" applyFont="0" applyAlignment="0" applyProtection="0"/>
    <xf numFmtId="0" fontId="5" fillId="0" borderId="464" applyNumberFormat="0" applyFill="0" applyAlignment="0" applyProtection="0"/>
    <xf numFmtId="0" fontId="12" fillId="37" borderId="461" applyNumberFormat="0" applyFont="0" applyAlignment="0" applyProtection="0"/>
    <xf numFmtId="0" fontId="84" fillId="21" borderId="462" applyNumberFormat="0" applyAlignment="0" applyProtection="0"/>
    <xf numFmtId="0" fontId="12" fillId="37" borderId="461" applyNumberFormat="0" applyFont="0" applyAlignment="0" applyProtection="0"/>
    <xf numFmtId="0" fontId="79" fillId="34" borderId="462" applyNumberFormat="0" applyAlignment="0" applyProtection="0"/>
    <xf numFmtId="0" fontId="84" fillId="21" borderId="462" applyNumberFormat="0" applyAlignment="0" applyProtection="0"/>
    <xf numFmtId="0" fontId="84" fillId="21" borderId="462" applyNumberFormat="0" applyAlignment="0" applyProtection="0"/>
    <xf numFmtId="0" fontId="5" fillId="0" borderId="464" applyNumberFormat="0" applyFill="0" applyAlignment="0" applyProtection="0"/>
    <xf numFmtId="0" fontId="84" fillId="21" borderId="462" applyNumberFormat="0" applyAlignment="0" applyProtection="0"/>
    <xf numFmtId="0" fontId="87" fillId="34" borderId="463" applyNumberFormat="0" applyAlignment="0" applyProtection="0"/>
    <xf numFmtId="0" fontId="79" fillId="34" borderId="462" applyNumberFormat="0" applyAlignment="0" applyProtection="0"/>
    <xf numFmtId="0" fontId="12" fillId="37" borderId="461" applyNumberFormat="0" applyFont="0" applyAlignment="0" applyProtection="0"/>
    <xf numFmtId="0" fontId="87" fillId="34" borderId="463" applyNumberFormat="0" applyAlignment="0" applyProtection="0"/>
    <xf numFmtId="0" fontId="79" fillId="34" borderId="462"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3" fillId="0" borderId="467" applyNumberFormat="0" applyFill="0" applyAlignment="0" applyProtection="0"/>
    <xf numFmtId="0" fontId="83" fillId="0" borderId="467"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3" fillId="0" borderId="473"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83" fillId="0" borderId="473"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3" fillId="0" borderId="473"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69"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5" fillId="0" borderId="472" applyNumberFormat="0" applyFill="0" applyAlignment="0" applyProtection="0"/>
    <xf numFmtId="0" fontId="12" fillId="37" borderId="469" applyNumberFormat="0" applyFont="0" applyAlignment="0" applyProtection="0"/>
    <xf numFmtId="0" fontId="87" fillId="34" borderId="471" applyNumberFormat="0" applyAlignment="0" applyProtection="0"/>
    <xf numFmtId="0" fontId="12" fillId="37" borderId="469" applyNumberFormat="0" applyFont="0" applyAlignment="0" applyProtection="0"/>
    <xf numFmtId="0" fontId="84" fillId="21"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68" applyNumberFormat="0" applyFill="0" applyAlignment="0" applyProtection="0"/>
    <xf numFmtId="0" fontId="83" fillId="0" borderId="468" applyNumberFormat="0" applyFill="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12" fillId="37" borderId="469" applyNumberFormat="0" applyFont="0" applyAlignment="0" applyProtection="0"/>
    <xf numFmtId="0" fontId="83" fillId="0" borderId="473" applyNumberFormat="0" applyFill="0" applyAlignment="0" applyProtection="0"/>
    <xf numFmtId="0" fontId="83" fillId="0" borderId="473"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3" fillId="0" borderId="474" applyNumberFormat="0" applyFill="0" applyAlignment="0" applyProtection="0"/>
    <xf numFmtId="0" fontId="83" fillId="0" borderId="474"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3" fillId="0" borderId="474"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79" fillId="34" borderId="476" applyNumberFormat="0" applyAlignment="0" applyProtection="0"/>
    <xf numFmtId="0" fontId="83" fillId="0" borderId="474" applyNumberFormat="0" applyFill="0" applyAlignment="0" applyProtection="0"/>
    <xf numFmtId="0" fontId="83" fillId="0" borderId="474"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8" applyNumberFormat="0" applyFill="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87" fillId="34" borderId="471" applyNumberFormat="0" applyAlignment="0" applyProtection="0"/>
    <xf numFmtId="0" fontId="87" fillId="34" borderId="471"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84" fillId="21"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84" fillId="21"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79" fillId="34" borderId="470"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12" fillId="37" borderId="475" applyNumberFormat="0" applyFon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1"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84" fillId="21" borderId="470" applyNumberFormat="0" applyAlignment="0" applyProtection="0"/>
    <xf numFmtId="0" fontId="84" fillId="21" borderId="470"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84" fillId="21" borderId="470"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0"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0"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6"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84" fillId="21" borderId="470"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0"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87" fillId="34" borderId="471"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87" fillId="34" borderId="471"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84" fillId="21" borderId="476"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5" fillId="0" borderId="478" applyNumberFormat="0" applyFill="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5" fillId="0" borderId="472"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8"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0"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1"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79" fillId="34" borderId="476" applyNumberFormat="0" applyAlignment="0" applyProtection="0"/>
    <xf numFmtId="0" fontId="5" fillId="0" borderId="472" applyNumberFormat="0" applyFill="0" applyAlignment="0" applyProtection="0"/>
    <xf numFmtId="0" fontId="79" fillId="34" borderId="476" applyNumberFormat="0" applyAlignment="0" applyProtection="0"/>
    <xf numFmtId="0" fontId="84" fillId="21" borderId="470" applyNumberFormat="0" applyAlignment="0" applyProtection="0"/>
    <xf numFmtId="0" fontId="87" fillId="34" borderId="477"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84" fillId="21" borderId="476" applyNumberFormat="0" applyAlignment="0" applyProtection="0"/>
    <xf numFmtId="0" fontId="79" fillId="34"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79" fillId="34"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4" fillId="21" borderId="470" applyNumberFormat="0" applyAlignment="0" applyProtection="0"/>
    <xf numFmtId="0" fontId="5" fillId="0" borderId="472" applyNumberFormat="0" applyFill="0" applyAlignment="0" applyProtection="0"/>
    <xf numFmtId="0" fontId="79" fillId="34" borderId="470"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1" applyNumberFormat="0" applyAlignment="0" applyProtection="0"/>
    <xf numFmtId="0" fontId="87" fillId="34" borderId="471" applyNumberFormat="0" applyAlignment="0" applyProtection="0"/>
    <xf numFmtId="0" fontId="87" fillId="34" borderId="477" applyNumberFormat="0" applyAlignment="0" applyProtection="0"/>
    <xf numFmtId="0" fontId="5" fillId="0" borderId="472" applyNumberFormat="0" applyFill="0" applyAlignment="0" applyProtection="0"/>
    <xf numFmtId="0" fontId="87" fillId="34" borderId="477"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79" fillId="34" borderId="470" applyNumberFormat="0" applyAlignment="0" applyProtection="0"/>
    <xf numFmtId="0" fontId="87" fillId="34" borderId="477"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7" fillId="34" borderId="477" applyNumberFormat="0" applyAlignment="0" applyProtection="0"/>
    <xf numFmtId="0" fontId="87" fillId="34" borderId="471" applyNumberFormat="0" applyAlignment="0" applyProtection="0"/>
    <xf numFmtId="0" fontId="79" fillId="34" borderId="470" applyNumberFormat="0" applyAlignment="0" applyProtection="0"/>
    <xf numFmtId="0" fontId="87" fillId="34" borderId="471" applyNumberForma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5" fillId="0" borderId="478" applyNumberFormat="0" applyFill="0" applyAlignment="0" applyProtection="0"/>
    <xf numFmtId="0" fontId="5" fillId="0" borderId="472"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5" fillId="0" borderId="472" applyNumberFormat="0" applyFill="0" applyAlignment="0" applyProtection="0"/>
    <xf numFmtId="0" fontId="84" fillId="21" borderId="470" applyNumberFormat="0" applyAlignment="0" applyProtection="0"/>
    <xf numFmtId="0" fontId="79" fillId="34" borderId="476"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7" fillId="34" borderId="471"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1"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0"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1"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79" fillId="34" borderId="470"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1" applyNumberFormat="0" applyAlignment="0" applyProtection="0"/>
    <xf numFmtId="0" fontId="87" fillId="34" borderId="471" applyNumberFormat="0" applyAlignment="0" applyProtection="0"/>
    <xf numFmtId="0" fontId="12" fillId="37" borderId="475" applyNumberFormat="0" applyFont="0" applyAlignment="0" applyProtection="0"/>
    <xf numFmtId="0" fontId="84" fillId="21" borderId="470" applyNumberFormat="0" applyAlignment="0" applyProtection="0"/>
    <xf numFmtId="0" fontId="79" fillId="34" borderId="470"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1" applyNumberFormat="0" applyAlignment="0" applyProtection="0"/>
    <xf numFmtId="0" fontId="84" fillId="21" borderId="476" applyNumberFormat="0" applyAlignment="0" applyProtection="0"/>
    <xf numFmtId="0" fontId="87" fillId="34" borderId="471" applyNumberFormat="0" applyAlignment="0" applyProtection="0"/>
    <xf numFmtId="0" fontId="12" fillId="37" borderId="475" applyNumberFormat="0" applyFont="0" applyAlignment="0" applyProtection="0"/>
    <xf numFmtId="0" fontId="79" fillId="34" borderId="470"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2" applyNumberFormat="0" applyFill="0" applyAlignment="0" applyProtection="0"/>
    <xf numFmtId="0" fontId="87" fillId="34" borderId="471" applyNumberFormat="0" applyAlignment="0" applyProtection="0"/>
    <xf numFmtId="0" fontId="87" fillId="34" borderId="471"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84" fillId="21" borderId="470" applyNumberFormat="0" applyAlignment="0" applyProtection="0"/>
    <xf numFmtId="0" fontId="79" fillId="34" borderId="470" applyNumberFormat="0" applyAlignment="0" applyProtection="0"/>
    <xf numFmtId="0" fontId="79" fillId="34" borderId="470" applyNumberFormat="0" applyAlignment="0" applyProtection="0"/>
    <xf numFmtId="0" fontId="87" fillId="34" borderId="471" applyNumberFormat="0" applyAlignment="0" applyProtection="0"/>
    <xf numFmtId="0" fontId="5" fillId="0" borderId="472" applyNumberFormat="0" applyFill="0" applyAlignment="0" applyProtection="0"/>
    <xf numFmtId="0" fontId="5" fillId="0" borderId="472" applyNumberFormat="0" applyFill="0" applyAlignment="0" applyProtection="0"/>
    <xf numFmtId="0" fontId="87" fillId="34" borderId="477" applyNumberFormat="0" applyAlignment="0" applyProtection="0"/>
    <xf numFmtId="0" fontId="5" fillId="0" borderId="472" applyNumberFormat="0" applyFill="0" applyAlignment="0" applyProtection="0"/>
    <xf numFmtId="0" fontId="12" fillId="37" borderId="475" applyNumberFormat="0" applyFont="0" applyAlignment="0" applyProtection="0"/>
    <xf numFmtId="0" fontId="84" fillId="21" borderId="470" applyNumberFormat="0" applyAlignment="0" applyProtection="0"/>
    <xf numFmtId="0" fontId="12" fillId="37" borderId="475" applyNumberFormat="0" applyFont="0" applyAlignment="0" applyProtection="0"/>
    <xf numFmtId="0" fontId="79" fillId="34" borderId="470" applyNumberFormat="0" applyAlignment="0" applyProtection="0"/>
    <xf numFmtId="0" fontId="84" fillId="21" borderId="470" applyNumberFormat="0" applyAlignment="0" applyProtection="0"/>
    <xf numFmtId="0" fontId="84" fillId="21" borderId="470" applyNumberFormat="0" applyAlignment="0" applyProtection="0"/>
    <xf numFmtId="0" fontId="5" fillId="0" borderId="472" applyNumberFormat="0" applyFill="0" applyAlignment="0" applyProtection="0"/>
    <xf numFmtId="0" fontId="84" fillId="21" borderId="470" applyNumberFormat="0" applyAlignment="0" applyProtection="0"/>
    <xf numFmtId="0" fontId="87" fillId="34" borderId="471" applyNumberFormat="0" applyAlignment="0" applyProtection="0"/>
    <xf numFmtId="0" fontId="79" fillId="34" borderId="470" applyNumberFormat="0" applyAlignment="0" applyProtection="0"/>
    <xf numFmtId="0" fontId="12" fillId="37" borderId="475" applyNumberFormat="0" applyFont="0" applyAlignment="0" applyProtection="0"/>
    <xf numFmtId="0" fontId="87" fillId="34" borderId="471" applyNumberFormat="0" applyAlignment="0" applyProtection="0"/>
    <xf numFmtId="0" fontId="79" fillId="34" borderId="470" applyNumberFormat="0" applyAlignment="0" applyProtection="0"/>
    <xf numFmtId="0" fontId="87" fillId="34" borderId="477" applyNumberFormat="0" applyAlignment="0" applyProtection="0"/>
    <xf numFmtId="0" fontId="5" fillId="0" borderId="478" applyNumberFormat="0" applyFill="0" applyAlignment="0" applyProtection="0"/>
    <xf numFmtId="0" fontId="83" fillId="0" borderId="474" applyNumberFormat="0" applyFill="0" applyAlignment="0" applyProtection="0"/>
    <xf numFmtId="0" fontId="83" fillId="0" borderId="474"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3" fillId="0" borderId="480"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3" fillId="0" borderId="480"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87" fillId="34" borderId="477"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79" fillId="34" borderId="476"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79" fillId="34"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84" fillId="21" borderId="476" applyNumberFormat="0" applyAlignment="0" applyProtection="0"/>
    <xf numFmtId="0" fontId="5" fillId="0" borderId="478" applyNumberFormat="0" applyFill="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79" fillId="34"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7" fillId="34" borderId="477" applyNumberForma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7" fillId="34" borderId="477" applyNumberFormat="0" applyAlignment="0" applyProtection="0"/>
    <xf numFmtId="0" fontId="5" fillId="0" borderId="478" applyNumberFormat="0" applyFill="0" applyAlignment="0" applyProtection="0"/>
    <xf numFmtId="0" fontId="84" fillId="21" borderId="476" applyNumberForma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84" fillId="21" borderId="476" applyNumberForma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87" fillId="34" borderId="477" applyNumberFormat="0" applyAlignment="0" applyProtection="0"/>
    <xf numFmtId="0" fontId="12" fillId="37" borderId="475" applyNumberFormat="0" applyFont="0" applyAlignment="0" applyProtection="0"/>
    <xf numFmtId="0" fontId="79" fillId="34" borderId="476"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5" fillId="0" borderId="478" applyNumberFormat="0" applyFill="0" applyAlignment="0" applyProtection="0"/>
    <xf numFmtId="0" fontId="87" fillId="34" borderId="477" applyNumberFormat="0" applyAlignment="0" applyProtection="0"/>
    <xf numFmtId="0" fontId="87" fillId="34" borderId="477" applyNumberFormat="0" applyAlignment="0" applyProtection="0"/>
    <xf numFmtId="0" fontId="12" fillId="37" borderId="475" applyNumberFormat="0" applyFont="0" applyAlignment="0" applyProtection="0"/>
    <xf numFmtId="0" fontId="12" fillId="37" borderId="475" applyNumberFormat="0" applyFont="0" applyAlignment="0" applyProtection="0"/>
    <xf numFmtId="0" fontId="84" fillId="21" borderId="476" applyNumberFormat="0" applyAlignment="0" applyProtection="0"/>
    <xf numFmtId="0" fontId="84" fillId="21" borderId="476" applyNumberFormat="0" applyAlignment="0" applyProtection="0"/>
    <xf numFmtId="0" fontId="79" fillId="34" borderId="476" applyNumberFormat="0" applyAlignment="0" applyProtection="0"/>
    <xf numFmtId="0" fontId="79" fillId="34" borderId="476" applyNumberFormat="0" applyAlignment="0" applyProtection="0"/>
    <xf numFmtId="0" fontId="87" fillId="34" borderId="477" applyNumberFormat="0" applyAlignment="0" applyProtection="0"/>
    <xf numFmtId="0" fontId="5" fillId="0" borderId="478" applyNumberFormat="0" applyFill="0" applyAlignment="0" applyProtection="0"/>
    <xf numFmtId="0" fontId="5" fillId="0" borderId="478" applyNumberFormat="0" applyFill="0" applyAlignment="0" applyProtection="0"/>
    <xf numFmtId="0" fontId="12" fillId="37" borderId="475" applyNumberFormat="0" applyFont="0" applyAlignment="0" applyProtection="0"/>
    <xf numFmtId="0" fontId="5" fillId="0" borderId="478" applyNumberFormat="0" applyFill="0" applyAlignment="0" applyProtection="0"/>
    <xf numFmtId="0" fontId="12" fillId="37" borderId="475" applyNumberFormat="0" applyFont="0" applyAlignment="0" applyProtection="0"/>
    <xf numFmtId="0" fontId="84" fillId="21" borderId="476" applyNumberFormat="0" applyAlignment="0" applyProtection="0"/>
    <xf numFmtId="0" fontId="12" fillId="37" borderId="475" applyNumberFormat="0" applyFont="0" applyAlignment="0" applyProtection="0"/>
    <xf numFmtId="0" fontId="79" fillId="34" borderId="476" applyNumberFormat="0" applyAlignment="0" applyProtection="0"/>
    <xf numFmtId="0" fontId="84" fillId="21" borderId="476" applyNumberFormat="0" applyAlignment="0" applyProtection="0"/>
    <xf numFmtId="0" fontId="84" fillId="21" borderId="476" applyNumberFormat="0" applyAlignment="0" applyProtection="0"/>
    <xf numFmtId="0" fontId="5" fillId="0" borderId="478" applyNumberFormat="0" applyFill="0" applyAlignment="0" applyProtection="0"/>
    <xf numFmtId="0" fontId="84" fillId="21" borderId="476" applyNumberFormat="0" applyAlignment="0" applyProtection="0"/>
    <xf numFmtId="0" fontId="87" fillId="34" borderId="477" applyNumberFormat="0" applyAlignment="0" applyProtection="0"/>
    <xf numFmtId="0" fontId="79" fillId="34" borderId="476" applyNumberFormat="0" applyAlignment="0" applyProtection="0"/>
    <xf numFmtId="0" fontId="12" fillId="37" borderId="475" applyNumberFormat="0" applyFont="0" applyAlignment="0" applyProtection="0"/>
    <xf numFmtId="0" fontId="87" fillId="34" borderId="477" applyNumberFormat="0" applyAlignment="0" applyProtection="0"/>
    <xf numFmtId="0" fontId="79" fillId="34" borderId="476" applyNumberFormat="0" applyAlignment="0" applyProtection="0"/>
    <xf numFmtId="0" fontId="83" fillId="0" borderId="479" applyNumberFormat="0" applyFill="0" applyAlignment="0" applyProtection="0"/>
    <xf numFmtId="0" fontId="83" fillId="0" borderId="479"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83" fillId="0" borderId="480"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3" fillId="0" borderId="482"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3" fillId="0" borderId="482"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3" fillId="0" borderId="482"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84" fillId="21" borderId="484" applyNumberFormat="0" applyAlignment="0" applyProtection="0"/>
    <xf numFmtId="0" fontId="87" fillId="34" borderId="485" applyNumberFormat="0" applyAlignment="0" applyProtection="0"/>
    <xf numFmtId="0" fontId="83" fillId="0" borderId="482" applyNumberFormat="0" applyFill="0" applyAlignment="0" applyProtection="0"/>
    <xf numFmtId="0" fontId="87" fillId="34" borderId="485" applyNumberFormat="0" applyAlignment="0" applyProtection="0"/>
    <xf numFmtId="0" fontId="83" fillId="0" borderId="482"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7" fillId="34" borderId="485" applyNumberFormat="0" applyAlignment="0" applyProtection="0"/>
    <xf numFmtId="0" fontId="87" fillId="34" borderId="485" applyNumberForma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5" fillId="0" borderId="486" applyNumberFormat="0" applyFill="0" applyAlignment="0" applyProtection="0"/>
    <xf numFmtId="0" fontId="79" fillId="34" borderId="484"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79" fillId="34" borderId="484" applyNumberFormat="0" applyAlignment="0" applyProtection="0"/>
    <xf numFmtId="0" fontId="84" fillId="21" borderId="484"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87" fillId="34" borderId="485" applyNumberFormat="0" applyAlignment="0" applyProtection="0"/>
    <xf numFmtId="0" fontId="79" fillId="34"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7" fillId="34" borderId="485" applyNumberFormat="0" applyAlignment="0" applyProtection="0"/>
    <xf numFmtId="0" fontId="84" fillId="21" borderId="484" applyNumberFormat="0" applyAlignment="0" applyProtection="0"/>
    <xf numFmtId="0" fontId="79" fillId="34" borderId="484" applyNumberFormat="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84" fillId="21" borderId="484"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84" fillId="21" borderId="484" applyNumberFormat="0" applyAlignment="0" applyProtection="0"/>
    <xf numFmtId="0" fontId="84" fillId="21"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5" fillId="0" borderId="486" applyNumberFormat="0" applyFill="0" applyAlignment="0" applyProtection="0"/>
    <xf numFmtId="0" fontId="12" fillId="37" borderId="483" applyNumberFormat="0" applyFont="0" applyAlignment="0" applyProtection="0"/>
    <xf numFmtId="0" fontId="84" fillId="21"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84" fillId="21" borderId="484" applyNumberFormat="0" applyAlignment="0" applyProtection="0"/>
    <xf numFmtId="0" fontId="12" fillId="37" borderId="483" applyNumberFormat="0" applyFont="0" applyAlignment="0" applyProtection="0"/>
    <xf numFmtId="0" fontId="87" fillId="34" borderId="485" applyNumberFormat="0" applyAlignment="0" applyProtection="0"/>
    <xf numFmtId="0" fontId="5" fillId="0" borderId="486" applyNumberFormat="0" applyFill="0" applyAlignment="0" applyProtection="0"/>
    <xf numFmtId="0" fontId="79" fillId="34" borderId="484" applyNumberFormat="0" applyAlignment="0" applyProtection="0"/>
    <xf numFmtId="0" fontId="79" fillId="34" borderId="484" applyNumberFormat="0" applyAlignment="0" applyProtection="0"/>
    <xf numFmtId="0" fontId="12" fillId="37" borderId="483" applyNumberFormat="0" applyFont="0" applyAlignment="0" applyProtection="0"/>
    <xf numFmtId="0" fontId="79" fillId="34" borderId="484" applyNumberForma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12" fillId="37" borderId="483" applyNumberFormat="0" applyFont="0" applyAlignment="0" applyProtection="0"/>
    <xf numFmtId="0" fontId="5" fillId="0" borderId="486" applyNumberFormat="0" applyFill="0" applyAlignment="0" applyProtection="0"/>
    <xf numFmtId="0" fontId="12" fillId="37" borderId="483" applyNumberFormat="0" applyFont="0" applyAlignment="0" applyProtection="0"/>
    <xf numFmtId="0" fontId="87" fillId="34" borderId="485" applyNumberFormat="0" applyAlignment="0" applyProtection="0"/>
    <xf numFmtId="0" fontId="84" fillId="21"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79" fillId="34" borderId="484" applyNumberFormat="0" applyAlignment="0" applyProtection="0"/>
    <xf numFmtId="0" fontId="12" fillId="37" borderId="483" applyNumberFormat="0" applyFont="0" applyAlignment="0" applyProtection="0"/>
    <xf numFmtId="0" fontId="5" fillId="0" borderId="486" applyNumberFormat="0" applyFill="0" applyAlignment="0" applyProtection="0"/>
    <xf numFmtId="0" fontId="5" fillId="0" borderId="486" applyNumberFormat="0" applyFill="0" applyAlignment="0" applyProtection="0"/>
    <xf numFmtId="0" fontId="87" fillId="34" borderId="485" applyNumberFormat="0" applyAlignment="0" applyProtection="0"/>
    <xf numFmtId="0" fontId="12" fillId="37" borderId="483" applyNumberFormat="0" applyFont="0" applyAlignment="0" applyProtection="0"/>
    <xf numFmtId="0" fontId="79" fillId="34" borderId="484" applyNumberFormat="0" applyAlignment="0" applyProtection="0"/>
    <xf numFmtId="0" fontId="83" fillId="0" borderId="482" applyNumberFormat="0" applyFill="0" applyAlignment="0" applyProtection="0"/>
    <xf numFmtId="0" fontId="83" fillId="0" borderId="482" applyNumberFormat="0" applyFill="0" applyAlignment="0" applyProtection="0"/>
    <xf numFmtId="0" fontId="84" fillId="21" borderId="484" applyNumberFormat="0" applyAlignment="0" applyProtection="0"/>
    <xf numFmtId="0" fontId="5" fillId="0" borderId="486" applyNumberFormat="0" applyFill="0" applyAlignment="0" applyProtection="0"/>
    <xf numFmtId="0" fontId="12" fillId="37" borderId="483" applyNumberFormat="0" applyFont="0" applyAlignment="0" applyProtection="0"/>
    <xf numFmtId="0" fontId="12" fillId="37" borderId="483" applyNumberFormat="0" applyFont="0" applyAlignment="0" applyProtection="0"/>
    <xf numFmtId="0" fontId="87" fillId="34" borderId="485" applyNumberFormat="0" applyAlignment="0" applyProtection="0"/>
    <xf numFmtId="0" fontId="12" fillId="37" borderId="483" applyNumberFormat="0" applyFont="0" applyAlignment="0" applyProtection="0"/>
    <xf numFmtId="43" fontId="61" fillId="0" borderId="0" applyFont="0" applyFill="0" applyBorder="0" applyAlignment="0" applyProtection="0"/>
    <xf numFmtId="44" fontId="12" fillId="0" borderId="0" applyFont="0" applyFill="0" applyBorder="0" applyAlignment="0" applyProtection="0"/>
    <xf numFmtId="0" fontId="140" fillId="0" borderId="0" applyNumberFormat="0" applyFill="0" applyBorder="0" applyAlignment="0" applyProtection="0">
      <alignment vertical="top"/>
      <protection locked="0"/>
    </xf>
    <xf numFmtId="0" fontId="61" fillId="0" borderId="0"/>
    <xf numFmtId="0" fontId="61" fillId="0" borderId="0"/>
    <xf numFmtId="0" fontId="61" fillId="0" borderId="0"/>
    <xf numFmtId="9" fontId="61" fillId="0" borderId="0" applyFont="0" applyFill="0" applyBorder="0" applyAlignment="0" applyProtection="0"/>
    <xf numFmtId="9" fontId="12" fillId="0" borderId="0" applyFont="0" applyFill="0" applyBorder="0" applyAlignment="0" applyProtection="0"/>
    <xf numFmtId="0" fontId="141" fillId="0" borderId="0"/>
    <xf numFmtId="43" fontId="141"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58" fillId="0" borderId="0"/>
    <xf numFmtId="0" fontId="61" fillId="0" borderId="0"/>
    <xf numFmtId="0" fontId="1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cellStyleXfs>
  <cellXfs count="3645">
    <xf numFmtId="0" fontId="0" fillId="0" borderId="0" xfId="0"/>
    <xf numFmtId="0" fontId="0" fillId="0" borderId="0" xfId="0" applyAlignment="1">
      <alignment wrapText="1"/>
    </xf>
    <xf numFmtId="164" fontId="0" fillId="0" borderId="0" xfId="0" applyNumberFormat="1" applyAlignment="1">
      <alignment horizontal="center"/>
    </xf>
    <xf numFmtId="0" fontId="9" fillId="0" borderId="0" xfId="0" applyFont="1" applyAlignment="1">
      <alignment wrapText="1"/>
    </xf>
    <xf numFmtId="0" fontId="10" fillId="0" borderId="0" xfId="0" applyFont="1" applyAlignment="1">
      <alignment wrapText="1"/>
    </xf>
    <xf numFmtId="0" fontId="11" fillId="0" borderId="0" xfId="0" applyFont="1" applyAlignment="1"/>
    <xf numFmtId="0" fontId="13" fillId="0" borderId="0" xfId="2" applyFont="1" applyAlignment="1">
      <alignment horizontal="right" wrapText="1"/>
    </xf>
    <xf numFmtId="0" fontId="12" fillId="0" borderId="0" xfId="2"/>
    <xf numFmtId="0" fontId="12" fillId="0" borderId="0" xfId="2" applyAlignment="1">
      <alignment wrapText="1"/>
    </xf>
    <xf numFmtId="0" fontId="0" fillId="0" borderId="0" xfId="0" applyAlignment="1">
      <alignment horizontal="center"/>
    </xf>
    <xf numFmtId="0" fontId="16" fillId="0" borderId="0" xfId="2" applyFont="1" applyFill="1" applyAlignment="1">
      <alignment horizontal="right" wrapText="1"/>
    </xf>
    <xf numFmtId="0" fontId="1" fillId="0" borderId="0" xfId="2" applyFont="1" applyFill="1"/>
    <xf numFmtId="0" fontId="1" fillId="0" borderId="0" xfId="0" applyFont="1" applyFill="1" applyAlignment="1">
      <alignment horizontal="center"/>
    </xf>
    <xf numFmtId="164" fontId="12" fillId="0" borderId="0" xfId="2" applyNumberFormat="1" applyAlignment="1">
      <alignment horizontal="center"/>
    </xf>
    <xf numFmtId="0" fontId="1" fillId="0" borderId="0" xfId="0" applyFont="1" applyFill="1"/>
    <xf numFmtId="0" fontId="13" fillId="0" borderId="0" xfId="2" applyFont="1" applyFill="1" applyAlignment="1">
      <alignment horizontal="right" wrapText="1"/>
    </xf>
    <xf numFmtId="0" fontId="19" fillId="0" borderId="0" xfId="2" applyFont="1" applyFill="1" applyBorder="1" applyAlignment="1">
      <alignment horizontal="center"/>
    </xf>
    <xf numFmtId="0" fontId="12" fillId="0" borderId="0" xfId="2" applyFill="1"/>
    <xf numFmtId="0" fontId="0" fillId="0" borderId="0" xfId="0" applyFill="1"/>
    <xf numFmtId="0" fontId="2" fillId="0" borderId="0" xfId="2" applyFont="1"/>
    <xf numFmtId="164" fontId="2" fillId="0" borderId="0" xfId="2" applyNumberFormat="1" applyFont="1" applyAlignment="1">
      <alignment horizontal="left"/>
    </xf>
    <xf numFmtId="0" fontId="13" fillId="0" borderId="0" xfId="0" applyFont="1" applyAlignment="1">
      <alignment horizontal="right" wrapText="1"/>
    </xf>
    <xf numFmtId="0" fontId="4" fillId="0" borderId="0" xfId="2" applyFont="1"/>
    <xf numFmtId="165" fontId="0" fillId="0" borderId="0" xfId="1" applyNumberFormat="1" applyFont="1"/>
    <xf numFmtId="0" fontId="0" fillId="0" borderId="0" xfId="0" applyAlignment="1">
      <alignment horizontal="right"/>
    </xf>
    <xf numFmtId="165" fontId="0" fillId="0" borderId="0" xfId="0" applyNumberFormat="1"/>
    <xf numFmtId="165" fontId="19" fillId="0" borderId="0" xfId="5" applyNumberFormat="1" applyFont="1"/>
    <xf numFmtId="0" fontId="20" fillId="0" borderId="0" xfId="0" applyFont="1" applyAlignment="1"/>
    <xf numFmtId="165" fontId="0" fillId="0" borderId="0" xfId="5" applyNumberFormat="1" applyFont="1"/>
    <xf numFmtId="0" fontId="13" fillId="0" borderId="0" xfId="0" applyFont="1" applyFill="1" applyAlignment="1">
      <alignment horizontal="right" wrapText="1"/>
    </xf>
    <xf numFmtId="0" fontId="19" fillId="0" borderId="0" xfId="0" applyFont="1" applyFill="1" applyBorder="1" applyAlignment="1">
      <alignment horizontal="center"/>
    </xf>
    <xf numFmtId="0" fontId="0" fillId="0" borderId="0" xfId="0" applyFill="1" applyBorder="1"/>
    <xf numFmtId="0" fontId="13" fillId="0" borderId="0" xfId="0" applyFont="1" applyFill="1" applyBorder="1" applyAlignment="1">
      <alignment horizontal="right" wrapText="1"/>
    </xf>
    <xf numFmtId="165" fontId="0" fillId="0" borderId="0" xfId="0" applyNumberFormat="1" applyFill="1" applyBorder="1"/>
    <xf numFmtId="0" fontId="2" fillId="0" borderId="0" xfId="0" applyFont="1"/>
    <xf numFmtId="164" fontId="2" fillId="0" borderId="0" xfId="0" applyNumberFormat="1" applyFont="1" applyAlignment="1">
      <alignment horizontal="left"/>
    </xf>
    <xf numFmtId="165" fontId="21" fillId="0" borderId="0" xfId="0" applyNumberFormat="1" applyFont="1" applyFill="1" applyBorder="1"/>
    <xf numFmtId="0" fontId="12" fillId="0" borderId="0" xfId="6"/>
    <xf numFmtId="0" fontId="4" fillId="0" borderId="0" xfId="0" applyFont="1"/>
    <xf numFmtId="0" fontId="19" fillId="0" borderId="0" xfId="0" applyFont="1"/>
    <xf numFmtId="0" fontId="4" fillId="0" borderId="0" xfId="0" applyFont="1" applyAlignment="1">
      <alignment wrapText="1"/>
    </xf>
    <xf numFmtId="165" fontId="0" fillId="0" borderId="0" xfId="0" applyNumberFormat="1" applyBorder="1"/>
    <xf numFmtId="0" fontId="13" fillId="0" borderId="0" xfId="6" applyFont="1" applyAlignment="1">
      <alignment horizontal="right" wrapText="1"/>
    </xf>
    <xf numFmtId="0" fontId="22" fillId="0" borderId="0" xfId="0" applyFont="1"/>
    <xf numFmtId="0" fontId="12" fillId="0" borderId="0" xfId="0" applyFont="1" applyFill="1" applyBorder="1"/>
    <xf numFmtId="0" fontId="24" fillId="0" borderId="0" xfId="0" applyFont="1"/>
    <xf numFmtId="0" fontId="24" fillId="0" borderId="0" xfId="0" applyFont="1" applyAlignment="1">
      <alignment horizontal="left"/>
    </xf>
    <xf numFmtId="0" fontId="26" fillId="0" borderId="18" xfId="0" applyFont="1" applyBorder="1" applyAlignment="1">
      <alignment horizontal="center"/>
    </xf>
    <xf numFmtId="0" fontId="26" fillId="0" borderId="19" xfId="0" applyFont="1" applyBorder="1" applyAlignment="1">
      <alignment horizontal="center"/>
    </xf>
    <xf numFmtId="0" fontId="26" fillId="0" borderId="18" xfId="0" applyFont="1" applyFill="1" applyBorder="1" applyAlignment="1">
      <alignment horizontal="center"/>
    </xf>
    <xf numFmtId="0" fontId="26" fillId="0" borderId="20" xfId="0" applyFont="1" applyFill="1" applyBorder="1" applyAlignment="1">
      <alignment horizontal="center"/>
    </xf>
    <xf numFmtId="166" fontId="26" fillId="4" borderId="24" xfId="8" applyNumberFormat="1" applyFont="1" applyFill="1" applyBorder="1" applyAlignment="1">
      <alignment horizontal="right"/>
    </xf>
    <xf numFmtId="44" fontId="26" fillId="4" borderId="24" xfId="1" applyFont="1" applyFill="1" applyBorder="1" applyAlignment="1">
      <alignment horizontal="right"/>
    </xf>
    <xf numFmtId="164" fontId="0" fillId="0" borderId="25" xfId="0" applyNumberFormat="1" applyBorder="1"/>
    <xf numFmtId="164" fontId="0" fillId="0" borderId="12" xfId="0" applyNumberFormat="1" applyBorder="1"/>
    <xf numFmtId="166" fontId="26" fillId="0" borderId="24" xfId="8" applyNumberFormat="1" applyFont="1" applyFill="1" applyBorder="1" applyAlignment="1">
      <alignment horizontal="right"/>
    </xf>
    <xf numFmtId="44" fontId="26" fillId="0" borderId="24" xfId="1" applyFont="1" applyFill="1" applyBorder="1" applyAlignment="1">
      <alignment horizontal="right"/>
    </xf>
    <xf numFmtId="164" fontId="0" fillId="0" borderId="27" xfId="0" applyNumberFormat="1" applyBorder="1"/>
    <xf numFmtId="164" fontId="0" fillId="0" borderId="10" xfId="0" applyNumberFormat="1" applyBorder="1"/>
    <xf numFmtId="0" fontId="28" fillId="0" borderId="0" xfId="0" applyFont="1"/>
    <xf numFmtId="169" fontId="26" fillId="0" borderId="0" xfId="0" applyNumberFormat="1" applyFont="1" applyAlignment="1">
      <alignment horizontal="right"/>
    </xf>
    <xf numFmtId="0" fontId="26" fillId="0" borderId="0" xfId="0" applyFont="1"/>
    <xf numFmtId="8" fontId="26" fillId="0" borderId="0" xfId="0" applyNumberFormat="1" applyFont="1" applyAlignment="1">
      <alignment horizontal="right"/>
    </xf>
    <xf numFmtId="10" fontId="27" fillId="0" borderId="0" xfId="8" applyNumberFormat="1" applyFont="1"/>
    <xf numFmtId="0" fontId="26" fillId="0" borderId="0" xfId="0" applyFont="1" applyFill="1" applyBorder="1" applyAlignment="1">
      <alignment horizontal="center"/>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3" fillId="0" borderId="0" xfId="9" applyAlignment="1" applyProtection="1"/>
    <xf numFmtId="0" fontId="37" fillId="0" borderId="0" xfId="0" applyFont="1"/>
    <xf numFmtId="0" fontId="40" fillId="0" borderId="0" xfId="12"/>
    <xf numFmtId="49" fontId="41" fillId="0" borderId="0" xfId="12" applyNumberFormat="1" applyFont="1" applyFill="1" applyBorder="1" applyAlignment="1">
      <alignment horizontal="left" vertical="center"/>
    </xf>
    <xf numFmtId="0" fontId="43" fillId="0" borderId="0" xfId="12" applyFont="1"/>
    <xf numFmtId="0" fontId="40" fillId="0" borderId="0" xfId="12" applyFill="1" applyBorder="1"/>
    <xf numFmtId="165" fontId="40" fillId="0" borderId="0" xfId="15" applyNumberFormat="1" applyFont="1" applyBorder="1"/>
    <xf numFmtId="165" fontId="40" fillId="0" borderId="0" xfId="15" applyNumberFormat="1" applyFont="1"/>
    <xf numFmtId="0" fontId="48" fillId="0" borderId="0" xfId="17" applyNumberFormat="1" applyFont="1" applyAlignment="1" applyProtection="1">
      <alignment horizontal="left"/>
      <protection locked="0"/>
    </xf>
    <xf numFmtId="44" fontId="40" fillId="0" borderId="0" xfId="15" applyFont="1"/>
    <xf numFmtId="0" fontId="40" fillId="0" borderId="0" xfId="18" applyNumberFormat="1" applyFont="1"/>
    <xf numFmtId="165" fontId="12" fillId="0" borderId="0" xfId="15" applyNumberFormat="1" applyFont="1"/>
    <xf numFmtId="165" fontId="18" fillId="0" borderId="0" xfId="15" applyNumberFormat="1" applyFont="1" applyFill="1"/>
    <xf numFmtId="175" fontId="18" fillId="0" borderId="0" xfId="12" applyNumberFormat="1" applyFont="1" applyFill="1" applyAlignment="1">
      <alignment horizontal="center"/>
    </xf>
    <xf numFmtId="9" fontId="36" fillId="0" borderId="0" xfId="18" applyFont="1" applyFill="1" applyBorder="1"/>
    <xf numFmtId="175" fontId="12" fillId="0" borderId="0" xfId="12" applyNumberFormat="1" applyFont="1" applyFill="1" applyAlignment="1">
      <alignment horizontal="left"/>
    </xf>
    <xf numFmtId="165" fontId="40" fillId="0" borderId="0" xfId="15" applyNumberFormat="1" applyFont="1" applyFill="1" applyBorder="1"/>
    <xf numFmtId="165" fontId="12" fillId="0" borderId="0" xfId="15" applyNumberFormat="1" applyFont="1" applyFill="1" applyBorder="1"/>
    <xf numFmtId="165" fontId="18" fillId="0" borderId="0" xfId="15" applyNumberFormat="1" applyFont="1" applyFill="1" applyBorder="1"/>
    <xf numFmtId="165" fontId="19" fillId="0" borderId="0" xfId="15" applyNumberFormat="1" applyFont="1" applyFill="1" applyBorder="1"/>
    <xf numFmtId="0" fontId="43" fillId="0" borderId="0" xfId="12" applyFont="1" applyAlignment="1">
      <alignment horizontal="right"/>
    </xf>
    <xf numFmtId="44" fontId="49" fillId="0" borderId="0" xfId="15" applyFont="1" applyBorder="1" applyAlignment="1">
      <alignment horizontal="center"/>
    </xf>
    <xf numFmtId="0" fontId="40" fillId="0" borderId="0" xfId="12" applyAlignment="1">
      <alignment horizontal="right"/>
    </xf>
    <xf numFmtId="44" fontId="54" fillId="0" borderId="0" xfId="15" applyFont="1"/>
    <xf numFmtId="9" fontId="36" fillId="0" borderId="40" xfId="18" applyFont="1" applyFill="1" applyBorder="1"/>
    <xf numFmtId="42" fontId="40" fillId="0" borderId="7" xfId="12" applyNumberFormat="1" applyBorder="1"/>
    <xf numFmtId="42" fontId="40" fillId="0" borderId="9" xfId="12" applyNumberFormat="1" applyBorder="1"/>
    <xf numFmtId="0" fontId="7" fillId="0" borderId="28" xfId="12" applyFon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44" fontId="49" fillId="0" borderId="40" xfId="15" applyFont="1" applyBorder="1" applyAlignment="1">
      <alignment horizontal="center"/>
    </xf>
    <xf numFmtId="0" fontId="43" fillId="0" borderId="28" xfId="12" applyFont="1" applyBorder="1"/>
    <xf numFmtId="9" fontId="18" fillId="0" borderId="0" xfId="18" applyFont="1" applyFill="1" applyBorder="1"/>
    <xf numFmtId="0" fontId="56" fillId="0" borderId="0" xfId="12" applyNumberFormat="1" applyFont="1" applyFill="1" applyBorder="1" applyAlignment="1">
      <alignment horizontal="left" indent="2"/>
    </xf>
    <xf numFmtId="42" fontId="40" fillId="0" borderId="2" xfId="12" applyNumberFormat="1" applyBorder="1"/>
    <xf numFmtId="0" fontId="40" fillId="0" borderId="0" xfId="12"/>
    <xf numFmtId="49" fontId="41" fillId="0" borderId="0" xfId="12" applyNumberFormat="1" applyFont="1" applyFill="1" applyBorder="1" applyAlignment="1">
      <alignment horizontal="left" vertical="center"/>
    </xf>
    <xf numFmtId="0" fontId="40" fillId="0" borderId="0" xfId="12" applyBorder="1"/>
    <xf numFmtId="0" fontId="43" fillId="0" borderId="0" xfId="12" applyFont="1"/>
    <xf numFmtId="0" fontId="40" fillId="0" borderId="0" xfId="12" applyFill="1" applyBorder="1"/>
    <xf numFmtId="0" fontId="43" fillId="0" borderId="0" xfId="12" applyFont="1"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18" fillId="0" borderId="0" xfId="12" applyFont="1"/>
    <xf numFmtId="0" fontId="48"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40" fillId="0" borderId="0" xfId="12" applyFill="1"/>
    <xf numFmtId="165" fontId="18" fillId="0" borderId="0" xfId="15" applyNumberFormat="1" applyFont="1" applyFill="1"/>
    <xf numFmtId="0" fontId="12" fillId="0" borderId="0" xfId="12" applyFont="1" applyAlignment="1">
      <alignment horizontal="left"/>
    </xf>
    <xf numFmtId="9" fontId="36" fillId="0" borderId="0" xfId="18" applyFont="1" applyFill="1" applyBorder="1"/>
    <xf numFmtId="165" fontId="43" fillId="0" borderId="0" xfId="15" applyNumberFormat="1" applyFont="1" applyBorder="1"/>
    <xf numFmtId="165" fontId="12" fillId="0" borderId="0" xfId="15" applyNumberFormat="1" applyFont="1" applyFill="1" applyBorder="1"/>
    <xf numFmtId="165" fontId="18" fillId="0" borderId="0" xfId="15" applyNumberFormat="1" applyFont="1" applyFill="1" applyBorder="1"/>
    <xf numFmtId="165" fontId="19" fillId="0" borderId="0" xfId="15" applyNumberFormat="1" applyFont="1" applyFill="1" applyBorder="1"/>
    <xf numFmtId="0" fontId="12" fillId="0" borderId="0" xfId="12" applyFont="1" applyFill="1" applyBorder="1"/>
    <xf numFmtId="165" fontId="43" fillId="0" borderId="0" xfId="15" applyNumberFormat="1" applyFont="1" applyFill="1" applyBorder="1"/>
    <xf numFmtId="0" fontId="43" fillId="0" borderId="0" xfId="12" applyFont="1" applyFill="1" applyAlignment="1">
      <alignment horizontal="right"/>
    </xf>
    <xf numFmtId="44" fontId="49" fillId="0" borderId="0" xfId="15" applyFont="1" applyBorder="1" applyAlignment="1">
      <alignment horizontal="center"/>
    </xf>
    <xf numFmtId="44" fontId="40" fillId="0" borderId="0" xfId="15"/>
    <xf numFmtId="0" fontId="40" fillId="0" borderId="0" xfId="18" applyNumberFormat="1"/>
    <xf numFmtId="165" fontId="40" fillId="0" borderId="0" xfId="15" applyNumberFormat="1" applyFill="1"/>
    <xf numFmtId="165" fontId="40" fillId="0" borderId="0" xfId="15" applyNumberFormat="1"/>
    <xf numFmtId="165" fontId="40" fillId="0" borderId="0" xfId="15" applyNumberFormat="1" applyBorder="1"/>
    <xf numFmtId="165" fontId="40" fillId="0" borderId="0" xfId="15" applyNumberFormat="1" applyFill="1" applyBorder="1"/>
    <xf numFmtId="166" fontId="43" fillId="0" borderId="0" xfId="12" applyNumberFormat="1" applyFont="1" applyFill="1" applyAlignment="1">
      <alignment horizontal="right"/>
    </xf>
    <xf numFmtId="44" fontId="54" fillId="0" borderId="0" xfId="15" applyFont="1"/>
    <xf numFmtId="165" fontId="43" fillId="0" borderId="0" xfId="12" applyNumberFormat="1" applyFont="1" applyBorder="1"/>
    <xf numFmtId="9" fontId="36" fillId="0" borderId="40" xfId="18" applyFont="1" applyFill="1" applyBorder="1"/>
    <xf numFmtId="0" fontId="40" fillId="0" borderId="28" xfId="12" applyBorder="1"/>
    <xf numFmtId="165" fontId="18" fillId="0" borderId="40" xfId="15" applyNumberFormat="1" applyFont="1" applyFill="1" applyBorder="1"/>
    <xf numFmtId="175" fontId="18" fillId="0" borderId="40" xfId="12" applyNumberFormat="1" applyFont="1" applyFill="1" applyBorder="1" applyAlignment="1">
      <alignment horizontal="center"/>
    </xf>
    <xf numFmtId="42" fontId="40" fillId="0" borderId="40" xfId="12" applyNumberFormat="1" applyBorder="1"/>
    <xf numFmtId="165" fontId="43" fillId="0" borderId="40" xfId="15" applyNumberFormat="1" applyFont="1" applyFill="1" applyBorder="1"/>
    <xf numFmtId="165" fontId="43" fillId="0" borderId="40" xfId="15" applyNumberFormat="1" applyFont="1" applyBorder="1"/>
    <xf numFmtId="42" fontId="40" fillId="0" borderId="7" xfId="12" applyNumberFormat="1" applyBorder="1"/>
    <xf numFmtId="42" fontId="40" fillId="0" borderId="9" xfId="12" applyNumberFormat="1" applyBorder="1"/>
    <xf numFmtId="42" fontId="40" fillId="0" borderId="4" xfId="12" applyNumberFormat="1" applyBorder="1"/>
    <xf numFmtId="165" fontId="40" fillId="0" borderId="40" xfId="15" applyNumberFormat="1" applyFill="1" applyBorder="1"/>
    <xf numFmtId="165" fontId="40" fillId="0" borderId="28" xfId="15" applyNumberFormat="1" applyFill="1" applyBorder="1"/>
    <xf numFmtId="165" fontId="43" fillId="0" borderId="28" xfId="15" applyNumberFormat="1" applyFont="1" applyFill="1" applyBorder="1"/>
    <xf numFmtId="165" fontId="40" fillId="0" borderId="40" xfId="15" applyNumberFormat="1" applyBorder="1"/>
    <xf numFmtId="165" fontId="40" fillId="0" borderId="28" xfId="15" applyNumberForma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1" fontId="50" fillId="0" borderId="39" xfId="18" applyNumberFormat="1" applyFont="1" applyFill="1" applyBorder="1" applyAlignment="1">
      <alignment horizontal="center"/>
    </xf>
    <xf numFmtId="165" fontId="40" fillId="0" borderId="28" xfId="12" applyNumberFormat="1" applyBorder="1"/>
    <xf numFmtId="0" fontId="43" fillId="0" borderId="28" xfId="12" applyFont="1" applyBorder="1"/>
    <xf numFmtId="3" fontId="40" fillId="0" borderId="0" xfId="12" applyNumberFormat="1" applyFill="1"/>
    <xf numFmtId="3" fontId="40" fillId="0" borderId="0" xfId="12" applyNumberFormat="1" applyFill="1" applyAlignment="1">
      <alignment horizontal="center"/>
    </xf>
    <xf numFmtId="165" fontId="40" fillId="0" borderId="0" xfId="12" applyNumberFormat="1" applyBorder="1"/>
    <xf numFmtId="42" fontId="43" fillId="0" borderId="0" xfId="12" applyNumberFormat="1" applyFont="1" applyBorder="1"/>
    <xf numFmtId="180" fontId="42" fillId="0" borderId="0" xfId="12" applyNumberFormat="1" applyFont="1" applyBorder="1"/>
    <xf numFmtId="42" fontId="42" fillId="0" borderId="28" xfId="12" applyNumberFormat="1" applyFont="1" applyBorder="1"/>
    <xf numFmtId="165" fontId="43" fillId="0" borderId="28" xfId="12" applyNumberFormat="1" applyFont="1" applyBorder="1"/>
    <xf numFmtId="0" fontId="56" fillId="0" borderId="0" xfId="12" applyNumberFormat="1" applyFont="1" applyFill="1" applyBorder="1" applyAlignment="1">
      <alignment horizontal="left" indent="1"/>
    </xf>
    <xf numFmtId="0" fontId="56" fillId="0" borderId="0" xfId="12" applyFont="1" applyFill="1" applyBorder="1" applyAlignment="1">
      <alignment horizontal="left"/>
    </xf>
    <xf numFmtId="0" fontId="56" fillId="0" borderId="0" xfId="12" applyNumberFormat="1" applyFont="1" applyBorder="1"/>
    <xf numFmtId="180" fontId="42" fillId="0" borderId="40" xfId="12" applyNumberFormat="1" applyFont="1" applyBorder="1"/>
    <xf numFmtId="0" fontId="40" fillId="0" borderId="0" xfId="12"/>
    <xf numFmtId="49" fontId="41" fillId="0" borderId="0" xfId="12" applyNumberFormat="1" applyFont="1" applyFill="1" applyBorder="1" applyAlignment="1">
      <alignment horizontal="left" vertical="center"/>
    </xf>
    <xf numFmtId="0" fontId="43" fillId="0" borderId="0" xfId="12" applyFont="1"/>
    <xf numFmtId="0" fontId="40" fillId="0" borderId="0" xfId="12"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48"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40" fillId="0" borderId="0" xfId="12" applyFill="1"/>
    <xf numFmtId="165" fontId="18" fillId="0" borderId="0" xfId="15" applyNumberFormat="1" applyFont="1" applyFill="1"/>
    <xf numFmtId="175" fontId="18" fillId="0" borderId="0" xfId="12" applyNumberFormat="1" applyFont="1" applyFill="1" applyAlignment="1">
      <alignment horizontal="center"/>
    </xf>
    <xf numFmtId="9" fontId="36" fillId="0" borderId="0" xfId="18" applyFont="1" applyFill="1" applyBorder="1"/>
    <xf numFmtId="165" fontId="40" fillId="0" borderId="0" xfId="15" applyNumberFormat="1" applyFont="1" applyFill="1" applyBorder="1"/>
    <xf numFmtId="165" fontId="12" fillId="0" borderId="0" xfId="15" applyNumberFormat="1" applyFont="1" applyFill="1" applyBorder="1"/>
    <xf numFmtId="165" fontId="18" fillId="0" borderId="0" xfId="15" applyNumberFormat="1" applyFont="1" applyFill="1" applyBorder="1"/>
    <xf numFmtId="0" fontId="19" fillId="0" borderId="0" xfId="12" applyFont="1" applyFill="1" applyBorder="1"/>
    <xf numFmtId="165" fontId="19" fillId="0" borderId="0" xfId="15" applyNumberFormat="1" applyFont="1" applyFill="1" applyBorder="1"/>
    <xf numFmtId="44" fontId="49" fillId="0" borderId="0" xfId="15" applyFont="1" applyBorder="1" applyAlignment="1">
      <alignment horizontal="center"/>
    </xf>
    <xf numFmtId="44" fontId="40" fillId="0" borderId="0" xfId="15"/>
    <xf numFmtId="0" fontId="40" fillId="0" borderId="0" xfId="18" applyNumberFormat="1"/>
    <xf numFmtId="165" fontId="40" fillId="0" borderId="0" xfId="15" applyNumberFormat="1" applyFill="1"/>
    <xf numFmtId="165" fontId="40" fillId="0" borderId="0" xfId="15" applyNumberFormat="1"/>
    <xf numFmtId="165" fontId="40" fillId="0" borderId="0" xfId="15" applyNumberFormat="1" applyBorder="1"/>
    <xf numFmtId="165" fontId="40" fillId="0" borderId="0" xfId="15" applyNumberFormat="1" applyFill="1" applyBorder="1"/>
    <xf numFmtId="3" fontId="40" fillId="0" borderId="0" xfId="15" applyNumberFormat="1" applyFill="1" applyBorder="1"/>
    <xf numFmtId="44" fontId="54" fillId="0" borderId="0" xfId="15" applyFont="1"/>
    <xf numFmtId="165" fontId="45" fillId="0" borderId="0" xfId="15" applyNumberFormat="1" applyFont="1"/>
    <xf numFmtId="42" fontId="40" fillId="0" borderId="7" xfId="12" applyNumberFormat="1" applyBorder="1"/>
    <xf numFmtId="42" fontId="40" fillId="0" borderId="9" xfId="12" applyNumberFormat="1" applyBorder="1"/>
    <xf numFmtId="42" fontId="40" fillId="0" borderId="4" xfId="12" applyNumberFormat="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1" fontId="50" fillId="0" borderId="39" xfId="18" applyNumberFormat="1" applyFont="1" applyFill="1" applyBorder="1" applyAlignment="1">
      <alignment horizontal="center"/>
    </xf>
    <xf numFmtId="165" fontId="40" fillId="0" borderId="42" xfId="18" applyNumberFormat="1" applyFont="1" applyBorder="1"/>
    <xf numFmtId="0" fontId="43" fillId="0" borderId="28" xfId="12" applyFont="1" applyBorder="1"/>
    <xf numFmtId="3" fontId="40" fillId="0" borderId="0" xfId="12" applyNumberFormat="1" applyFill="1"/>
    <xf numFmtId="3" fontId="40" fillId="0" borderId="0" xfId="12" applyNumberFormat="1" applyFill="1" applyAlignment="1">
      <alignment horizontal="center"/>
    </xf>
    <xf numFmtId="165" fontId="19" fillId="0" borderId="0" xfId="15" applyNumberFormat="1" applyFont="1" applyFill="1" applyBorder="1"/>
    <xf numFmtId="165" fontId="40" fillId="0" borderId="0" xfId="15" applyNumberFormat="1"/>
    <xf numFmtId="3" fontId="40" fillId="0" borderId="0" xfId="12" applyNumberFormat="1" applyFill="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75" fontId="12" fillId="0" borderId="0" xfId="3" applyNumberFormat="1" applyFont="1" applyFill="1" applyAlignment="1">
      <alignment horizontal="left"/>
    </xf>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0" fontId="44" fillId="0" borderId="0" xfId="3" applyFont="1"/>
    <xf numFmtId="44" fontId="54" fillId="0" borderId="0" xfId="20" applyFont="1"/>
    <xf numFmtId="0" fontId="15" fillId="0" borderId="0" xfId="3" applyAlignment="1">
      <alignment vertical="top"/>
    </xf>
    <xf numFmtId="42" fontId="15" fillId="0" borderId="7" xfId="3" applyNumberFormat="1" applyBorder="1"/>
    <xf numFmtId="42" fontId="15" fillId="0" borderId="9" xfId="3" applyNumberFormat="1" applyBorder="1"/>
    <xf numFmtId="42" fontId="15" fillId="0" borderId="4"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applyNumberFormat="1" applyFont="1" applyAlignment="1">
      <alignment horizontal="left" vertical="top" wrapText="1"/>
    </xf>
    <xf numFmtId="0" fontId="23" fillId="0" borderId="0" xfId="9" applyAlignment="1" applyProtection="1">
      <alignment horizontal="right" wrapText="1"/>
    </xf>
    <xf numFmtId="0" fontId="39" fillId="0" borderId="0" xfId="0" applyFont="1" applyAlignment="1">
      <alignment horizontal="right"/>
    </xf>
    <xf numFmtId="0" fontId="23" fillId="0" borderId="0" xfId="9" applyFill="1" applyBorder="1" applyAlignment="1" applyProtection="1">
      <alignment horizontal="center" wrapText="1"/>
    </xf>
    <xf numFmtId="0" fontId="15" fillId="0" borderId="0" xfId="3"/>
    <xf numFmtId="49" fontId="41" fillId="0" borderId="0" xfId="3" applyNumberFormat="1" applyFont="1" applyFill="1" applyBorder="1" applyAlignment="1">
      <alignment horizontal="left" vertical="center"/>
    </xf>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3" fillId="3" borderId="2" xfId="3" applyFont="1" applyFill="1" applyBorder="1" applyAlignment="1">
      <alignment horizontal="center" vertical="center" wrapText="1"/>
    </xf>
    <xf numFmtId="0" fontId="18" fillId="0" borderId="0" xfId="3" applyFont="1"/>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75" fontId="12" fillId="0" borderId="0" xfId="3" applyNumberFormat="1" applyFont="1" applyFill="1" applyAlignment="1">
      <alignment horizontal="left"/>
    </xf>
    <xf numFmtId="165" fontId="43" fillId="0" borderId="0" xfId="20" applyNumberFormat="1" applyFont="1" applyBorder="1"/>
    <xf numFmtId="165" fontId="15" fillId="0" borderId="0" xfId="20" applyNumberFormat="1" applyFont="1" applyFill="1" applyBorder="1"/>
    <xf numFmtId="165" fontId="12" fillId="0" borderId="0" xfId="20" applyNumberFormat="1" applyFont="1" applyFill="1" applyBorder="1"/>
    <xf numFmtId="0" fontId="18" fillId="0" borderId="0" xfId="3" applyFont="1" applyFill="1" applyBorder="1"/>
    <xf numFmtId="165" fontId="18" fillId="0" borderId="0" xfId="20" applyNumberFormat="1" applyFont="1" applyFill="1" applyBorder="1"/>
    <xf numFmtId="0" fontId="19" fillId="0" borderId="0" xfId="3" applyFont="1" applyFill="1" applyBorder="1"/>
    <xf numFmtId="165" fontId="19" fillId="0" borderId="0" xfId="20" applyNumberFormat="1" applyFont="1" applyFill="1" applyBorder="1"/>
    <xf numFmtId="0" fontId="12" fillId="0" borderId="0" xfId="3" applyFont="1" applyFill="1" applyBorder="1"/>
    <xf numFmtId="165" fontId="43" fillId="0" borderId="0" xfId="20" applyNumberFormat="1" applyFont="1" applyFill="1" applyBorder="1"/>
    <xf numFmtId="0" fontId="43" fillId="0" borderId="0" xfId="3" applyFont="1" applyFill="1"/>
    <xf numFmtId="0" fontId="43"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4" fillId="0" borderId="0" xfId="20" applyFont="1"/>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0" applyNumberFormat="1" applyFont="1" applyFill="1" applyBorder="1"/>
    <xf numFmtId="175" fontId="18" fillId="0" borderId="40" xfId="3" applyNumberFormat="1" applyFont="1" applyFill="1" applyBorder="1" applyAlignment="1">
      <alignment horizontal="center"/>
    </xf>
    <xf numFmtId="165" fontId="43" fillId="0" borderId="40" xfId="20" applyNumberFormat="1" applyFont="1" applyFill="1" applyBorder="1"/>
    <xf numFmtId="165" fontId="43" fillId="0" borderId="40" xfId="20" applyNumberFormat="1" applyFont="1" applyBorder="1"/>
    <xf numFmtId="42" fontId="15" fillId="0" borderId="7" xfId="3" applyNumberFormat="1" applyBorder="1"/>
    <xf numFmtId="42" fontId="15" fillId="0" borderId="9" xfId="3" applyNumberFormat="1" applyBorder="1"/>
    <xf numFmtId="42" fontId="15" fillId="0" borderId="4" xfId="3" applyNumberFormat="1" applyBorder="1"/>
    <xf numFmtId="165" fontId="15" fillId="0" borderId="40" xfId="20" applyNumberFormat="1" applyFill="1" applyBorder="1"/>
    <xf numFmtId="165" fontId="15" fillId="0" borderId="28" xfId="20" applyNumberFormat="1" applyFill="1" applyBorder="1"/>
    <xf numFmtId="165" fontId="15" fillId="0" borderId="40" xfId="20" applyNumberFormat="1" applyBorder="1"/>
    <xf numFmtId="165" fontId="15" fillId="0" borderId="28" xfId="20" applyNumberFormat="1" applyBorder="1"/>
    <xf numFmtId="3" fontId="43" fillId="0" borderId="7" xfId="20" applyNumberFormat="1" applyFont="1" applyFill="1" applyBorder="1"/>
    <xf numFmtId="3" fontId="43" fillId="0" borderId="9" xfId="20" applyNumberFormat="1" applyFont="1" applyFill="1" applyBorder="1"/>
    <xf numFmtId="3" fontId="43" fillId="0" borderId="4" xfId="20" applyNumberFormat="1" applyFont="1" applyFill="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165" fontId="15" fillId="0" borderId="28" xfId="3" applyNumberFormat="1" applyBorder="1"/>
    <xf numFmtId="0" fontId="43" fillId="0" borderId="28" xfId="3" applyFont="1" applyBorder="1"/>
    <xf numFmtId="165" fontId="15" fillId="0" borderId="42"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42" fontId="43" fillId="0" borderId="28" xfId="3" applyNumberFormat="1" applyFont="1" applyBorder="1"/>
    <xf numFmtId="165" fontId="43" fillId="0" borderId="28" xfId="3" applyNumberFormat="1" applyFont="1" applyBorder="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applyFont="1" applyFill="1" applyAlignment="1">
      <alignment horizontal="right"/>
    </xf>
    <xf numFmtId="0" fontId="43" fillId="0" borderId="0" xfId="3" quotePrefix="1" applyFont="1"/>
    <xf numFmtId="0" fontId="15" fillId="0" borderId="0" xfId="3" applyFill="1" applyAlignment="1">
      <alignment horizontal="center"/>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3" fillId="0" borderId="0" xfId="3" applyNumberFormat="1" applyFont="1" applyFill="1" applyAlignment="1">
      <alignment horizontal="right"/>
    </xf>
    <xf numFmtId="0" fontId="15" fillId="0" borderId="0" xfId="3" applyAlignment="1">
      <alignment horizontal="right"/>
    </xf>
    <xf numFmtId="44" fontId="54" fillId="0" borderId="0" xfId="20"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9" fontId="18" fillId="0" borderId="0" xfId="4" applyFont="1" applyFill="1" applyBorder="1"/>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18"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8" fillId="0" borderId="0" xfId="3" applyFont="1" applyFill="1" applyBorder="1" applyAlignment="1">
      <alignment horizontal="center"/>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quotePrefix="1" applyFont="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76" fontId="18" fillId="0" borderId="0" xfId="20" applyNumberFormat="1" applyFont="1" applyFill="1" applyBorder="1" applyAlignment="1">
      <alignment horizontal="center" vertical="center"/>
    </xf>
    <xf numFmtId="169" fontId="18" fillId="0" borderId="0" xfId="20" applyNumberFormat="1" applyFont="1" applyFill="1" applyBorder="1" applyAlignment="1">
      <alignment horizontal="center" vertical="center"/>
    </xf>
    <xf numFmtId="44" fontId="54" fillId="0" borderId="0" xfId="20" applyFont="1"/>
    <xf numFmtId="172" fontId="43" fillId="0" borderId="0" xfId="3" applyNumberFormat="1" applyFont="1" applyFill="1" applyBorder="1"/>
    <xf numFmtId="0" fontId="43" fillId="0" borderId="0" xfId="3" applyFont="1" applyFill="1" applyBorder="1" applyAlignment="1">
      <alignment horizontal="right"/>
    </xf>
    <xf numFmtId="177" fontId="18" fillId="0" borderId="0" xfId="3" applyNumberFormat="1" applyFont="1" applyFill="1" applyBorder="1" applyAlignment="1">
      <alignment horizontal="right" vertical="center"/>
    </xf>
    <xf numFmtId="177" fontId="18" fillId="0" borderId="0" xfId="3" applyNumberFormat="1" applyFont="1" applyFill="1" applyBorder="1" applyAlignment="1">
      <alignment horizontal="center" vertical="center"/>
    </xf>
    <xf numFmtId="4" fontId="18" fillId="0" borderId="0" xfId="3" applyNumberFormat="1" applyFont="1" applyFill="1" applyBorder="1" applyAlignment="1">
      <alignment horizontal="center" vertical="center"/>
    </xf>
    <xf numFmtId="178" fontId="18" fillId="0" borderId="0" xfId="3" applyNumberFormat="1" applyFont="1" applyFill="1" applyBorder="1" applyAlignment="1">
      <alignment horizontal="center" vertical="center"/>
    </xf>
    <xf numFmtId="0" fontId="52"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3" fillId="0" borderId="0" xfId="3" applyNumberFormat="1" applyFont="1" applyFill="1" applyBorder="1"/>
    <xf numFmtId="0" fontId="7" fillId="0" borderId="0" xfId="3" applyFont="1" applyFill="1" applyBorder="1" applyAlignment="1">
      <alignment horizontal="center" vertical="center"/>
    </xf>
    <xf numFmtId="169" fontId="51" fillId="0" borderId="0" xfId="3" applyNumberFormat="1" applyFont="1" applyFill="1" applyBorder="1" applyAlignment="1">
      <alignment horizontal="center" vertical="center"/>
    </xf>
    <xf numFmtId="169" fontId="26" fillId="0" borderId="0" xfId="3" applyNumberFormat="1" applyFont="1" applyFill="1" applyBorder="1" applyAlignment="1">
      <alignment horizontal="center" vertical="center"/>
    </xf>
    <xf numFmtId="176" fontId="18"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8" fillId="0" borderId="0" xfId="3" applyNumberFormat="1" applyFont="1" applyFill="1" applyBorder="1" applyAlignment="1">
      <alignment horizontal="center" vertical="center"/>
    </xf>
    <xf numFmtId="165" fontId="45" fillId="0" borderId="0" xfId="20" applyNumberFormat="1"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2" xfId="3" applyFont="1" applyFill="1" applyBorder="1" applyAlignment="1">
      <alignment horizontal="center" vertical="center" wrapText="1"/>
    </xf>
    <xf numFmtId="0" fontId="18"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8" fillId="0" borderId="0" xfId="3" applyFont="1" applyFill="1" applyBorder="1" applyAlignment="1">
      <alignment horizontal="center"/>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65" fontId="12" fillId="0" borderId="0" xfId="20" applyNumberFormat="1" applyFont="1" applyFill="1" applyBorder="1"/>
    <xf numFmtId="165" fontId="18" fillId="0" borderId="0" xfId="20" applyNumberFormat="1" applyFont="1" applyFill="1" applyBorder="1"/>
    <xf numFmtId="165" fontId="19" fillId="0" borderId="0" xfId="20" applyNumberFormat="1" applyFont="1" applyFill="1" applyBorder="1"/>
    <xf numFmtId="0" fontId="43" fillId="0" borderId="0" xfId="3" applyFont="1" applyFill="1" applyAlignment="1">
      <alignment horizontal="right"/>
    </xf>
    <xf numFmtId="0" fontId="43" fillId="0" borderId="0" xfId="3" quotePrefix="1" applyFont="1"/>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3" fillId="0" borderId="0" xfId="3" applyNumberFormat="1" applyFont="1" applyFill="1" applyAlignment="1">
      <alignment horizontal="right"/>
    </xf>
    <xf numFmtId="176" fontId="18" fillId="0" borderId="0" xfId="20" applyNumberFormat="1" applyFont="1" applyFill="1" applyBorder="1" applyAlignment="1">
      <alignment horizontal="center" vertical="center"/>
    </xf>
    <xf numFmtId="169" fontId="18" fillId="0" borderId="0" xfId="20" applyNumberFormat="1" applyFont="1" applyFill="1" applyBorder="1" applyAlignment="1">
      <alignment horizontal="center" vertical="center"/>
    </xf>
    <xf numFmtId="44" fontId="54" fillId="0" borderId="0" xfId="20" applyFont="1"/>
    <xf numFmtId="172" fontId="43" fillId="0" borderId="0" xfId="3" applyNumberFormat="1" applyFont="1" applyFill="1" applyBorder="1"/>
    <xf numFmtId="0" fontId="43" fillId="0" borderId="0" xfId="3" applyFont="1" applyFill="1" applyBorder="1" applyAlignment="1">
      <alignment horizontal="right"/>
    </xf>
    <xf numFmtId="177" fontId="18" fillId="0" borderId="0" xfId="3" applyNumberFormat="1" applyFont="1" applyFill="1" applyBorder="1" applyAlignment="1">
      <alignment horizontal="right" vertical="center"/>
    </xf>
    <xf numFmtId="177" fontId="18" fillId="0" borderId="0" xfId="3" applyNumberFormat="1" applyFont="1" applyFill="1" applyBorder="1" applyAlignment="1">
      <alignment horizontal="center" vertical="center"/>
    </xf>
    <xf numFmtId="4" fontId="18" fillId="0" borderId="0" xfId="3" applyNumberFormat="1" applyFont="1" applyFill="1" applyBorder="1" applyAlignment="1">
      <alignment horizontal="center" vertical="center"/>
    </xf>
    <xf numFmtId="178" fontId="18" fillId="0" borderId="0" xfId="3" applyNumberFormat="1" applyFont="1" applyFill="1" applyBorder="1" applyAlignment="1">
      <alignment horizontal="center" vertical="center"/>
    </xf>
    <xf numFmtId="0" fontId="52"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3" fillId="0" borderId="0" xfId="3" applyNumberFormat="1" applyFont="1" applyFill="1" applyBorder="1"/>
    <xf numFmtId="0" fontId="7" fillId="0" borderId="0" xfId="3" applyFont="1" applyFill="1" applyBorder="1" applyAlignment="1">
      <alignment horizontal="center" vertical="center"/>
    </xf>
    <xf numFmtId="169" fontId="51" fillId="0" borderId="0" xfId="3" applyNumberFormat="1" applyFont="1" applyFill="1" applyBorder="1" applyAlignment="1">
      <alignment horizontal="center" vertical="center"/>
    </xf>
    <xf numFmtId="169" fontId="26" fillId="0" borderId="0" xfId="3" applyNumberFormat="1" applyFont="1" applyFill="1" applyBorder="1" applyAlignment="1">
      <alignment horizontal="center" vertical="center"/>
    </xf>
    <xf numFmtId="176" fontId="18"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8" fillId="0" borderId="0" xfId="3" applyNumberFormat="1" applyFont="1" applyFill="1" applyBorder="1" applyAlignment="1">
      <alignment horizontal="center" vertical="center"/>
    </xf>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3" fontId="15" fillId="0" borderId="0" xfId="3" applyNumberFormat="1" applyFill="1"/>
    <xf numFmtId="3" fontId="15" fillId="0" borderId="0" xfId="3" applyNumberFormat="1" applyFill="1" applyAlignment="1">
      <alignment horizontal="center"/>
    </xf>
    <xf numFmtId="0" fontId="15" fillId="0" borderId="0" xfId="3"/>
    <xf numFmtId="49" fontId="41" fillId="0" borderId="0" xfId="3" applyNumberFormat="1" applyFont="1" applyFill="1" applyBorder="1" applyAlignment="1">
      <alignment horizontal="left" vertical="center"/>
    </xf>
    <xf numFmtId="0" fontId="43" fillId="0" borderId="0" xfId="3" applyFont="1"/>
    <xf numFmtId="0" fontId="15" fillId="0" borderId="0" xfId="3" applyFill="1" applyBorder="1"/>
    <xf numFmtId="0" fontId="3" fillId="3" borderId="0"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8" fillId="0" borderId="0" xfId="20" applyNumberFormat="1" applyFont="1" applyFill="1"/>
    <xf numFmtId="175" fontId="18" fillId="0" borderId="0" xfId="3" applyNumberFormat="1" applyFont="1" applyFill="1" applyAlignment="1">
      <alignment horizontal="center"/>
    </xf>
    <xf numFmtId="9" fontId="36" fillId="0" borderId="0" xfId="4" applyFont="1" applyFill="1" applyBorder="1"/>
    <xf numFmtId="175" fontId="12" fillId="0" borderId="0" xfId="3" applyNumberFormat="1" applyFont="1" applyFill="1" applyAlignment="1">
      <alignment horizontal="left"/>
    </xf>
    <xf numFmtId="165" fontId="15" fillId="0" borderId="0" xfId="20" applyNumberFormat="1" applyFont="1" applyFill="1" applyBorder="1"/>
    <xf numFmtId="165" fontId="12" fillId="0" borderId="0" xfId="20" applyNumberFormat="1" applyFont="1" applyFill="1" applyBorder="1"/>
    <xf numFmtId="165" fontId="18" fillId="0" borderId="0" xfId="20" applyNumberFormat="1" applyFont="1" applyFill="1" applyBorder="1"/>
    <xf numFmtId="0" fontId="19" fillId="0" borderId="0" xfId="3" applyFont="1" applyFill="1" applyBorder="1"/>
    <xf numFmtId="165" fontId="19" fillId="0" borderId="0" xfId="20" applyNumberFormat="1" applyFont="1" applyFill="1" applyBorder="1"/>
    <xf numFmtId="165" fontId="43" fillId="0" borderId="0" xfId="20" applyNumberFormat="1" applyFont="1" applyFill="1" applyBorder="1"/>
    <xf numFmtId="0" fontId="43" fillId="0" borderId="0" xfId="3" applyFont="1" applyFill="1"/>
    <xf numFmtId="0" fontId="43"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9"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4" fillId="0" borderId="0" xfId="20" applyFont="1"/>
    <xf numFmtId="42" fontId="15" fillId="0" borderId="7" xfId="3" applyNumberFormat="1" applyBorder="1"/>
    <xf numFmtId="42" fontId="15" fillId="0" borderId="9" xfId="3" applyNumberFormat="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 fontId="50" fillId="0" borderId="39" xfId="4" applyNumberFormat="1" applyFont="1" applyFill="1" applyBorder="1" applyAlignment="1">
      <alignment horizontal="center"/>
    </xf>
    <xf numFmtId="165" fontId="15" fillId="0" borderId="42" xfId="4" applyNumberFormat="1" applyFont="1" applyBorder="1"/>
    <xf numFmtId="0" fontId="43" fillId="0" borderId="28" xfId="3" applyFont="1" applyBorder="1"/>
    <xf numFmtId="165" fontId="15" fillId="0" borderId="42" xfId="3" applyNumberFormat="1" applyBorder="1"/>
    <xf numFmtId="9" fontId="18" fillId="0" borderId="0" xfId="4"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48" fillId="0" borderId="0" xfId="23" applyNumberFormat="1" applyFont="1" applyAlignment="1" applyProtection="1">
      <alignment horizontal="left"/>
      <protection locked="0"/>
    </xf>
    <xf numFmtId="165" fontId="12" fillId="0" borderId="0" xfId="20" applyNumberFormat="1" applyFont="1"/>
    <xf numFmtId="165" fontId="18" fillId="0" borderId="0" xfId="20" applyNumberFormat="1" applyFont="1" applyFill="1"/>
    <xf numFmtId="175" fontId="12" fillId="0" borderId="0" xfId="3" applyNumberFormat="1" applyFont="1" applyFill="1" applyAlignment="1">
      <alignment horizontal="left"/>
    </xf>
    <xf numFmtId="165" fontId="12" fillId="0" borderId="0" xfId="20" applyNumberFormat="1" applyFont="1" applyFill="1" applyBorder="1"/>
    <xf numFmtId="165" fontId="15" fillId="0" borderId="0" xfId="20" applyNumberFormat="1"/>
    <xf numFmtId="165" fontId="15" fillId="0" borderId="0" xfId="20" applyNumberFormat="1" applyBorder="1"/>
    <xf numFmtId="165" fontId="15" fillId="0" borderId="0" xfId="20" applyNumberFormat="1" applyFill="1" applyBorder="1"/>
    <xf numFmtId="165" fontId="43" fillId="2" borderId="14" xfId="20" applyNumberFormat="1" applyFont="1" applyFill="1" applyBorder="1"/>
    <xf numFmtId="165" fontId="15" fillId="0" borderId="28" xfId="20" applyNumberFormat="1" applyFill="1" applyBorder="1"/>
    <xf numFmtId="3" fontId="15" fillId="0" borderId="0" xfId="3" applyNumberFormat="1" applyFill="1"/>
    <xf numFmtId="3" fontId="15" fillId="0" borderId="0" xfId="3" applyNumberFormat="1" applyFill="1" applyAlignment="1">
      <alignment horizontal="center"/>
    </xf>
    <xf numFmtId="0" fontId="12" fillId="0" borderId="0" xfId="2"/>
    <xf numFmtId="0" fontId="19"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9" fillId="0" borderId="0" xfId="2" applyFont="1" applyFill="1" applyBorder="1" applyAlignment="1">
      <alignment horizontal="center"/>
    </xf>
    <xf numFmtId="0" fontId="12" fillId="0" borderId="0" xfId="2"/>
    <xf numFmtId="0" fontId="19"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9" fillId="0" borderId="0" xfId="2" applyFont="1" applyFill="1" applyBorder="1" applyAlignment="1">
      <alignment horizontal="center"/>
    </xf>
    <xf numFmtId="0" fontId="13" fillId="0" borderId="0" xfId="6" applyFont="1" applyAlignment="1">
      <alignment horizontal="right" wrapText="1"/>
    </xf>
    <xf numFmtId="0" fontId="58" fillId="0" borderId="0" xfId="28"/>
    <xf numFmtId="0" fontId="24" fillId="0" borderId="0" xfId="28" applyFont="1"/>
    <xf numFmtId="0" fontId="26" fillId="0" borderId="0" xfId="28" applyFont="1" applyAlignment="1">
      <alignment horizontal="right"/>
    </xf>
    <xf numFmtId="0" fontId="63" fillId="0" borderId="0" xfId="0" applyFont="1"/>
    <xf numFmtId="0" fontId="62" fillId="0" borderId="0" xfId="0" applyFont="1"/>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30" fillId="0" borderId="0" xfId="28" applyFont="1"/>
    <xf numFmtId="0" fontId="24" fillId="0" borderId="0" xfId="28" applyFont="1" applyAlignment="1">
      <alignment horizontal="left"/>
    </xf>
    <xf numFmtId="0" fontId="26" fillId="0" borderId="0" xfId="28" applyFont="1" applyAlignment="1">
      <alignment horizontal="right"/>
    </xf>
    <xf numFmtId="0" fontId="28" fillId="0" borderId="0" xfId="28" applyFont="1"/>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4" fillId="0" borderId="0" xfId="28" applyFont="1" applyAlignment="1">
      <alignment horizontal="left"/>
    </xf>
    <xf numFmtId="0" fontId="26" fillId="0" borderId="0" xfId="28" applyFont="1" applyAlignment="1">
      <alignment horizontal="righ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26" fillId="0" borderId="0" xfId="28" applyFont="1" applyAlignment="1">
      <alignment horizontal="right"/>
    </xf>
    <xf numFmtId="0" fontId="58" fillId="0" borderId="0" xfId="28"/>
    <xf numFmtId="0" fontId="58" fillId="0" borderId="0" xfId="28" applyFill="1"/>
    <xf numFmtId="0" fontId="24" fillId="0" borderId="0" xfId="28" applyFont="1"/>
    <xf numFmtId="0" fontId="26" fillId="0" borderId="0" xfId="28" applyFont="1" applyFill="1" applyBorder="1"/>
    <xf numFmtId="0" fontId="58" fillId="0" borderId="0" xfId="28" applyFill="1" applyBorder="1"/>
    <xf numFmtId="0" fontId="30" fillId="0" borderId="0" xfId="28" applyFont="1"/>
    <xf numFmtId="0" fontId="24" fillId="0" borderId="0" xfId="28" applyFont="1" applyAlignment="1">
      <alignment horizontal="left"/>
    </xf>
    <xf numFmtId="0" fontId="58" fillId="0" borderId="0" xfId="28"/>
    <xf numFmtId="0" fontId="58" fillId="0" borderId="0" xfId="28" applyFill="1"/>
    <xf numFmtId="0" fontId="24" fillId="0" borderId="0" xfId="28" applyFont="1"/>
    <xf numFmtId="0" fontId="58" fillId="0" borderId="0" xfId="28" applyFill="1" applyBorder="1"/>
    <xf numFmtId="0" fontId="30" fillId="0" borderId="0" xfId="28" applyFont="1"/>
    <xf numFmtId="0" fontId="26" fillId="0" borderId="0" xfId="28" applyFont="1" applyAlignment="1">
      <alignment horizontal="right"/>
    </xf>
    <xf numFmtId="0" fontId="23" fillId="0" borderId="35" xfId="9" applyFill="1" applyBorder="1" applyAlignment="1" applyProtection="1">
      <alignment horizontal="center" wrapText="1"/>
    </xf>
    <xf numFmtId="172" fontId="0" fillId="0" borderId="0" xfId="7" applyNumberFormat="1" applyFont="1"/>
    <xf numFmtId="0" fontId="39" fillId="0" borderId="0" xfId="0" applyFont="1"/>
    <xf numFmtId="0" fontId="65" fillId="0" borderId="0" xfId="9" applyFont="1" applyFill="1" applyBorder="1" applyAlignment="1" applyProtection="1">
      <alignment horizontal="center" wrapText="1"/>
    </xf>
    <xf numFmtId="165" fontId="39" fillId="0" borderId="0" xfId="1" applyNumberFormat="1" applyFont="1"/>
    <xf numFmtId="0" fontId="65" fillId="0" borderId="35" xfId="9" applyFont="1" applyFill="1" applyBorder="1" applyAlignment="1" applyProtection="1">
      <alignment horizontal="center" wrapText="1"/>
    </xf>
    <xf numFmtId="181" fontId="0" fillId="0" borderId="0" xfId="7" applyNumberFormat="1" applyFont="1"/>
    <xf numFmtId="165" fontId="26" fillId="0" borderId="0" xfId="1" applyNumberFormat="1" applyFont="1" applyFill="1" applyBorder="1" applyAlignment="1">
      <alignment horizontal="center"/>
    </xf>
    <xf numFmtId="0" fontId="66" fillId="0" borderId="0" xfId="0" applyFont="1"/>
    <xf numFmtId="0" fontId="0" fillId="0" borderId="0" xfId="0"/>
    <xf numFmtId="0" fontId="19" fillId="0" borderId="0" xfId="0" applyFont="1"/>
    <xf numFmtId="0" fontId="19" fillId="0" borderId="0" xfId="0" applyFont="1" applyBorder="1"/>
    <xf numFmtId="0" fontId="4" fillId="0" borderId="40" xfId="0" applyFont="1" applyFill="1" applyBorder="1" applyAlignment="1">
      <alignment horizontal="right"/>
    </xf>
    <xf numFmtId="0" fontId="0" fillId="0" borderId="44" xfId="0" applyBorder="1"/>
    <xf numFmtId="0" fontId="0" fillId="0" borderId="45" xfId="0" applyBorder="1"/>
    <xf numFmtId="0" fontId="0" fillId="0" borderId="48" xfId="0" applyBorder="1"/>
    <xf numFmtId="0" fontId="18" fillId="0" borderId="9" xfId="0" applyFont="1" applyBorder="1"/>
    <xf numFmtId="0" fontId="0" fillId="0" borderId="0" xfId="0" applyBorder="1"/>
    <xf numFmtId="0" fontId="14" fillId="0" borderId="0" xfId="0" applyFont="1" applyBorder="1"/>
    <xf numFmtId="0" fontId="0" fillId="0" borderId="52" xfId="0" applyBorder="1"/>
    <xf numFmtId="0" fontId="0" fillId="0" borderId="53" xfId="0" applyBorder="1"/>
    <xf numFmtId="0" fontId="0" fillId="0" borderId="46" xfId="0" applyBorder="1"/>
    <xf numFmtId="0" fontId="0" fillId="0" borderId="2" xfId="0" applyBorder="1"/>
    <xf numFmtId="0" fontId="0" fillId="0" borderId="46" xfId="0" applyFill="1" applyBorder="1"/>
    <xf numFmtId="0" fontId="12" fillId="0" borderId="0" xfId="0" applyFont="1" applyBorder="1"/>
    <xf numFmtId="0" fontId="0" fillId="0" borderId="57" xfId="0" applyBorder="1"/>
    <xf numFmtId="0" fontId="0" fillId="0" borderId="58" xfId="0" applyBorder="1"/>
    <xf numFmtId="0" fontId="0" fillId="0" borderId="47" xfId="0" applyBorder="1"/>
    <xf numFmtId="0" fontId="0" fillId="0" borderId="47" xfId="0" applyFill="1" applyBorder="1"/>
    <xf numFmtId="0" fontId="71" fillId="4" borderId="2" xfId="0" applyFont="1" applyFill="1" applyBorder="1" applyAlignment="1">
      <alignment horizontal="left"/>
    </xf>
    <xf numFmtId="0" fontId="71" fillId="4" borderId="2" xfId="0" applyFont="1" applyFill="1" applyBorder="1" applyAlignment="1">
      <alignment horizontal="right"/>
    </xf>
    <xf numFmtId="0" fontId="0" fillId="0" borderId="51" xfId="0" applyBorder="1"/>
    <xf numFmtId="0" fontId="18" fillId="0" borderId="4" xfId="0" applyFont="1" applyBorder="1"/>
    <xf numFmtId="0" fontId="18" fillId="0" borderId="6" xfId="0" applyFont="1" applyBorder="1"/>
    <xf numFmtId="0" fontId="18" fillId="0" borderId="7" xfId="0" applyFont="1" applyBorder="1"/>
    <xf numFmtId="0" fontId="18" fillId="0" borderId="13" xfId="0" applyFont="1" applyBorder="1"/>
    <xf numFmtId="0" fontId="0" fillId="0" borderId="0" xfId="0" applyFill="1" applyBorder="1" applyAlignment="1">
      <alignment vertical="center"/>
    </xf>
    <xf numFmtId="0" fontId="71" fillId="0" borderId="0" xfId="0" applyFont="1" applyFill="1" applyBorder="1" applyAlignment="1">
      <alignment vertical="center"/>
    </xf>
    <xf numFmtId="0" fontId="39" fillId="0" borderId="0" xfId="0" applyFont="1" applyAlignment="1">
      <alignment horizontal="left"/>
    </xf>
    <xf numFmtId="0" fontId="19" fillId="0" borderId="0" xfId="0" applyFont="1" applyBorder="1" applyAlignment="1"/>
    <xf numFmtId="42" fontId="0" fillId="0" borderId="0" xfId="0" applyNumberFormat="1" applyBorder="1"/>
    <xf numFmtId="0" fontId="67" fillId="8" borderId="9" xfId="0" applyFont="1" applyFill="1" applyBorder="1"/>
    <xf numFmtId="0" fontId="19" fillId="9" borderId="9" xfId="0" applyFont="1" applyFill="1" applyBorder="1"/>
    <xf numFmtId="0" fontId="67" fillId="10" borderId="42" xfId="0" applyFont="1" applyFill="1" applyBorder="1"/>
    <xf numFmtId="0" fontId="19" fillId="11" borderId="9" xfId="0" applyFont="1" applyFill="1" applyBorder="1"/>
    <xf numFmtId="0" fontId="0" fillId="0" borderId="44" xfId="0" applyFill="1" applyBorder="1"/>
    <xf numFmtId="0" fontId="18" fillId="0" borderId="13" xfId="0" applyFont="1" applyFill="1" applyBorder="1"/>
    <xf numFmtId="183" fontId="4" fillId="0" borderId="13" xfId="0" applyNumberFormat="1" applyFont="1" applyBorder="1" applyAlignment="1">
      <alignment horizontal="left"/>
    </xf>
    <xf numFmtId="42" fontId="0" fillId="0" borderId="13" xfId="0" applyNumberFormat="1" applyBorder="1"/>
    <xf numFmtId="3" fontId="18" fillId="0" borderId="13" xfId="0" applyNumberFormat="1" applyFont="1" applyBorder="1"/>
    <xf numFmtId="3" fontId="0" fillId="0" borderId="0" xfId="0" applyNumberFormat="1" applyBorder="1"/>
    <xf numFmtId="0" fontId="0" fillId="0" borderId="0" xfId="0"/>
    <xf numFmtId="0" fontId="0" fillId="0" borderId="0" xfId="0" applyAlignment="1">
      <alignment wrapText="1"/>
    </xf>
    <xf numFmtId="0" fontId="0" fillId="0" borderId="45" xfId="0" applyFill="1" applyBorder="1"/>
    <xf numFmtId="0" fontId="39" fillId="0" borderId="0" xfId="0" applyFont="1"/>
    <xf numFmtId="165" fontId="0" fillId="0" borderId="0" xfId="1" applyNumberFormat="1" applyFont="1"/>
    <xf numFmtId="164" fontId="26" fillId="0" borderId="0" xfId="28" applyNumberFormat="1" applyFont="1" applyBorder="1" applyAlignment="1">
      <alignment horizontal="right"/>
    </xf>
    <xf numFmtId="42" fontId="0" fillId="0" borderId="44" xfId="0" applyNumberFormat="1" applyFill="1" applyBorder="1" applyProtection="1"/>
    <xf numFmtId="37" fontId="5" fillId="0" borderId="9" xfId="0" applyNumberFormat="1" applyFont="1" applyFill="1" applyBorder="1" applyProtection="1"/>
    <xf numFmtId="37" fontId="5" fillId="14" borderId="9" xfId="0" applyNumberFormat="1" applyFont="1" applyFill="1" applyBorder="1" applyProtection="1"/>
    <xf numFmtId="185"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3" fontId="22" fillId="8" borderId="9" xfId="0" applyNumberFormat="1" applyFont="1" applyFill="1" applyBorder="1" applyProtection="1"/>
    <xf numFmtId="42" fontId="1" fillId="0" borderId="44" xfId="0" applyNumberFormat="1" applyFont="1" applyFill="1" applyBorder="1" applyProtection="1"/>
    <xf numFmtId="42" fontId="1" fillId="0" borderId="64" xfId="0" applyNumberFormat="1" applyFont="1" applyFill="1" applyBorder="1" applyProtection="1"/>
    <xf numFmtId="42" fontId="5" fillId="14" borderId="9" xfId="0" applyNumberFormat="1" applyFont="1" applyFill="1" applyBorder="1" applyProtection="1"/>
    <xf numFmtId="3" fontId="22" fillId="9" borderId="9" xfId="0" applyNumberFormat="1" applyFont="1" applyFill="1" applyBorder="1" applyProtection="1"/>
    <xf numFmtId="42" fontId="5" fillId="0" borderId="9" xfId="0" applyNumberFormat="1" applyFont="1" applyFill="1" applyBorder="1" applyProtection="1"/>
    <xf numFmtId="3" fontId="5" fillId="0" borderId="9" xfId="0" applyNumberFormat="1" applyFont="1" applyFill="1" applyBorder="1" applyProtection="1"/>
    <xf numFmtId="42" fontId="1" fillId="0" borderId="0" xfId="0" applyNumberFormat="1" applyFont="1" applyBorder="1" applyProtection="1"/>
    <xf numFmtId="3" fontId="1" fillId="0" borderId="0" xfId="0" applyNumberFormat="1" applyFont="1" applyBorder="1" applyProtection="1"/>
    <xf numFmtId="3" fontId="1" fillId="0" borderId="2" xfId="0" applyNumberFormat="1" applyFont="1" applyBorder="1" applyProtection="1"/>
    <xf numFmtId="42" fontId="1" fillId="0" borderId="2" xfId="0" applyNumberFormat="1" applyFont="1" applyBorder="1" applyProtection="1"/>
    <xf numFmtId="3" fontId="67" fillId="10" borderId="42"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42" fontId="0" fillId="0" borderId="44" xfId="0" applyNumberFormat="1" applyFont="1" applyBorder="1" applyProtection="1"/>
    <xf numFmtId="3" fontId="1" fillId="0" borderId="63" xfId="0" applyNumberFormat="1" applyFont="1" applyBorder="1" applyProtection="1"/>
    <xf numFmtId="42" fontId="0" fillId="0" borderId="53" xfId="0" applyNumberFormat="1" applyFont="1" applyBorder="1" applyProtection="1"/>
    <xf numFmtId="3" fontId="0" fillId="0" borderId="53" xfId="0" applyNumberFormat="1" applyFont="1" applyBorder="1" applyProtection="1"/>
    <xf numFmtId="3" fontId="70" fillId="0" borderId="45" xfId="0" applyNumberFormat="1" applyFont="1" applyBorder="1" applyProtection="1"/>
    <xf numFmtId="42" fontId="0" fillId="14" borderId="44" xfId="0" applyNumberFormat="1" applyFont="1" applyFill="1" applyBorder="1" applyProtection="1"/>
    <xf numFmtId="42" fontId="0" fillId="14" borderId="53" xfId="0" applyNumberFormat="1" applyFont="1" applyFill="1" applyBorder="1" applyProtection="1"/>
    <xf numFmtId="3" fontId="5" fillId="4" borderId="2" xfId="0" applyNumberFormat="1" applyFont="1" applyFill="1" applyBorder="1" applyProtection="1"/>
    <xf numFmtId="185" fontId="5" fillId="0" borderId="2" xfId="0" applyNumberFormat="1" applyFont="1" applyBorder="1" applyProtection="1"/>
    <xf numFmtId="3" fontId="22" fillId="11" borderId="9" xfId="0" applyNumberFormat="1" applyFont="1" applyFill="1" applyBorder="1" applyProtection="1"/>
    <xf numFmtId="3" fontId="5" fillId="0" borderId="13" xfId="0" applyNumberFormat="1" applyFont="1" applyFill="1" applyBorder="1" applyProtection="1"/>
    <xf numFmtId="42" fontId="5" fillId="0" borderId="13" xfId="0" applyNumberFormat="1" applyFont="1" applyFill="1" applyBorder="1" applyProtection="1"/>
    <xf numFmtId="185" fontId="5" fillId="0" borderId="0" xfId="0" applyNumberFormat="1" applyFont="1" applyBorder="1" applyProtection="1"/>
    <xf numFmtId="185" fontId="18" fillId="0" borderId="0" xfId="0" applyNumberFormat="1" applyFont="1" applyFill="1" applyBorder="1" applyAlignment="1" applyProtection="1">
      <alignment vertical="center"/>
    </xf>
    <xf numFmtId="42"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vertical="center"/>
    </xf>
    <xf numFmtId="184" fontId="68" fillId="0" borderId="0" xfId="0" applyNumberFormat="1" applyFont="1" applyFill="1" applyBorder="1" applyAlignment="1" applyProtection="1">
      <alignment vertical="center"/>
    </xf>
    <xf numFmtId="0" fontId="19" fillId="0" borderId="0" xfId="0" applyFont="1" applyBorder="1" applyAlignment="1" applyProtection="1"/>
    <xf numFmtId="42" fontId="18" fillId="0" borderId="0" xfId="0" applyNumberFormat="1" applyFont="1" applyBorder="1" applyProtection="1"/>
    <xf numFmtId="3" fontId="18" fillId="0" borderId="0" xfId="0" applyNumberFormat="1" applyFont="1" applyBorder="1" applyProtection="1"/>
    <xf numFmtId="42" fontId="72" fillId="0" borderId="0" xfId="0" applyNumberFormat="1" applyFont="1" applyBorder="1" applyProtection="1"/>
    <xf numFmtId="42" fontId="0" fillId="0" borderId="0" xfId="0" applyNumberFormat="1" applyBorder="1" applyProtection="1"/>
    <xf numFmtId="0" fontId="0" fillId="0" borderId="0" xfId="0" applyProtection="1"/>
    <xf numFmtId="3" fontId="0" fillId="0" borderId="9" xfId="0" applyNumberFormat="1" applyBorder="1" applyProtection="1"/>
    <xf numFmtId="166" fontId="0" fillId="14" borderId="9" xfId="8" applyNumberFormat="1" applyFont="1" applyFill="1" applyBorder="1" applyAlignment="1" applyProtection="1">
      <alignment horizontal="center"/>
    </xf>
    <xf numFmtId="0" fontId="41" fillId="0" borderId="0" xfId="156" applyFont="1" applyBorder="1" applyAlignment="1">
      <alignment vertical="top" wrapText="1"/>
    </xf>
    <xf numFmtId="165" fontId="64" fillId="0" borderId="0" xfId="1" applyNumberFormat="1" applyFont="1" applyBorder="1" applyAlignment="1">
      <alignment vertical="top"/>
    </xf>
    <xf numFmtId="165" fontId="0" fillId="0" borderId="0" xfId="1" applyNumberFormat="1" applyFont="1" applyBorder="1"/>
    <xf numFmtId="0" fontId="6" fillId="0" borderId="0" xfId="0" applyFont="1"/>
    <xf numFmtId="0" fontId="6" fillId="0" borderId="31" xfId="171" applyFont="1" applyBorder="1" applyAlignment="1">
      <alignment vertical="center" wrapText="1"/>
    </xf>
    <xf numFmtId="0" fontId="6" fillId="0" borderId="4" xfId="171" applyFont="1" applyBorder="1" applyAlignment="1">
      <alignment vertical="center" wrapText="1"/>
    </xf>
    <xf numFmtId="0" fontId="91" fillId="0" borderId="0" xfId="175" applyFont="1"/>
    <xf numFmtId="0" fontId="35" fillId="0" borderId="0" xfId="175"/>
    <xf numFmtId="0" fontId="7" fillId="0" borderId="0" xfId="171" applyFont="1" applyAlignment="1">
      <alignment horizontal="left"/>
    </xf>
    <xf numFmtId="0" fontId="6" fillId="0" borderId="0" xfId="155"/>
    <xf numFmtId="0" fontId="3" fillId="3" borderId="2" xfId="171" applyFont="1" applyFill="1" applyBorder="1" applyAlignment="1">
      <alignment horizontal="center" vertical="center" wrapText="1"/>
    </xf>
    <xf numFmtId="0" fontId="3" fillId="3" borderId="9" xfId="171" applyFont="1" applyFill="1" applyBorder="1" applyAlignment="1">
      <alignment horizontal="center" vertical="center" wrapText="1"/>
    </xf>
    <xf numFmtId="0" fontId="40" fillId="0" borderId="0" xfId="12"/>
    <xf numFmtId="49" fontId="41" fillId="0" borderId="0" xfId="12" applyNumberFormat="1" applyFont="1" applyFill="1" applyBorder="1" applyAlignment="1">
      <alignment horizontal="left" vertical="center"/>
    </xf>
    <xf numFmtId="0" fontId="40" fillId="0" borderId="0" xfId="12" applyBorder="1"/>
    <xf numFmtId="0" fontId="43" fillId="0" borderId="0" xfId="12" applyFont="1"/>
    <xf numFmtId="0" fontId="40" fillId="0" borderId="0" xfId="12" applyFill="1" applyBorder="1"/>
    <xf numFmtId="0" fontId="40" fillId="0" borderId="37" xfId="12" applyBorder="1"/>
    <xf numFmtId="0" fontId="43" fillId="0" borderId="0" xfId="12" applyFont="1" applyFill="1" applyBorder="1"/>
    <xf numFmtId="0" fontId="3" fillId="3" borderId="2" xfId="12" applyFont="1" applyFill="1" applyBorder="1" applyAlignment="1">
      <alignment horizontal="center" vertical="center" wrapText="1"/>
    </xf>
    <xf numFmtId="0" fontId="46" fillId="3" borderId="2" xfId="12" applyFont="1" applyFill="1" applyBorder="1" applyAlignment="1">
      <alignment horizontal="center" vertical="center" wrapText="1"/>
    </xf>
    <xf numFmtId="0" fontId="46" fillId="3" borderId="0" xfId="12" applyFont="1" applyFill="1" applyBorder="1" applyAlignment="1">
      <alignment horizontal="center" vertical="center" wrapText="1"/>
    </xf>
    <xf numFmtId="0" fontId="18" fillId="0" borderId="0" xfId="12" applyFont="1"/>
    <xf numFmtId="165" fontId="40" fillId="0" borderId="0" xfId="15" applyNumberFormat="1" applyFont="1" applyBorder="1"/>
    <xf numFmtId="165" fontId="40" fillId="0" borderId="0" xfId="15" applyNumberFormat="1" applyFont="1"/>
    <xf numFmtId="0" fontId="48" fillId="0" borderId="0" xfId="17" applyNumberFormat="1" applyFont="1" applyAlignment="1" applyProtection="1">
      <alignment horizontal="left"/>
      <protection locked="0"/>
    </xf>
    <xf numFmtId="44" fontId="40" fillId="0" borderId="0" xfId="15" applyFont="1"/>
    <xf numFmtId="0" fontId="40" fillId="0" borderId="0" xfId="18" applyNumberFormat="1" applyFont="1"/>
    <xf numFmtId="0" fontId="7" fillId="0" borderId="0" xfId="12" applyFont="1"/>
    <xf numFmtId="165" fontId="12" fillId="0" borderId="0" xfId="15" applyNumberFormat="1" applyFont="1"/>
    <xf numFmtId="41" fontId="12" fillId="0" borderId="0" xfId="17" applyNumberFormat="1" applyFont="1" applyFill="1" applyBorder="1" applyAlignment="1" applyProtection="1">
      <alignment horizontal="left"/>
    </xf>
    <xf numFmtId="0" fontId="40" fillId="0" borderId="0" xfId="12" applyFill="1"/>
    <xf numFmtId="165" fontId="18" fillId="0" borderId="0" xfId="15" applyNumberFormat="1" applyFont="1" applyFill="1"/>
    <xf numFmtId="175" fontId="18" fillId="0" borderId="0" xfId="12" applyNumberFormat="1" applyFont="1" applyFill="1" applyAlignment="1">
      <alignment horizontal="center"/>
    </xf>
    <xf numFmtId="165" fontId="40" fillId="0" borderId="0" xfId="15" applyNumberFormat="1" applyFont="1" applyFill="1"/>
    <xf numFmtId="0" fontId="12" fillId="0" borderId="0" xfId="12" applyFont="1" applyAlignment="1">
      <alignment horizontal="left"/>
    </xf>
    <xf numFmtId="9" fontId="36" fillId="0" borderId="0" xfId="18" applyFont="1" applyFill="1" applyBorder="1"/>
    <xf numFmtId="175" fontId="12" fillId="0" borderId="0" xfId="12" applyNumberFormat="1" applyFont="1" applyFill="1" applyAlignment="1">
      <alignment horizontal="left"/>
    </xf>
    <xf numFmtId="165" fontId="43" fillId="0" borderId="0" xfId="15" applyNumberFormat="1" applyFont="1" applyBorder="1"/>
    <xf numFmtId="165" fontId="40" fillId="0" borderId="0" xfId="15" applyNumberFormat="1" applyFont="1" applyFill="1" applyBorder="1"/>
    <xf numFmtId="165" fontId="12" fillId="0" borderId="0" xfId="15" applyNumberFormat="1" applyFont="1" applyFill="1" applyBorder="1"/>
    <xf numFmtId="0" fontId="18" fillId="0" borderId="0" xfId="12" applyFont="1" applyFill="1" applyBorder="1"/>
    <xf numFmtId="165" fontId="18" fillId="0" borderId="0" xfId="15" applyNumberFormat="1" applyFont="1" applyFill="1" applyBorder="1"/>
    <xf numFmtId="0" fontId="12" fillId="0" borderId="0" xfId="12" applyFont="1" applyFill="1" applyBorder="1"/>
    <xf numFmtId="165" fontId="43" fillId="0" borderId="0" xfId="15" applyNumberFormat="1" applyFont="1" applyFill="1" applyBorder="1"/>
    <xf numFmtId="3" fontId="43" fillId="0" borderId="0" xfId="15" applyNumberFormat="1" applyFont="1" applyFill="1" applyBorder="1"/>
    <xf numFmtId="0" fontId="43" fillId="0" borderId="0" xfId="12" applyFont="1" applyFill="1" applyAlignment="1">
      <alignment horizontal="right"/>
    </xf>
    <xf numFmtId="0" fontId="43" fillId="0" borderId="0" xfId="12" applyFont="1" applyAlignment="1">
      <alignment horizontal="right"/>
    </xf>
    <xf numFmtId="2" fontId="12" fillId="0" borderId="0" xfId="12" applyNumberFormat="1" applyFont="1" applyFill="1" applyAlignment="1">
      <alignment horizontal="right"/>
    </xf>
    <xf numFmtId="44" fontId="49" fillId="0" borderId="0" xfId="15" applyFont="1" applyBorder="1" applyAlignment="1">
      <alignment horizontal="center"/>
    </xf>
    <xf numFmtId="166" fontId="43" fillId="0" borderId="0" xfId="12" applyNumberFormat="1" applyFont="1" applyFill="1" applyAlignment="1">
      <alignment horizontal="right"/>
    </xf>
    <xf numFmtId="0" fontId="40" fillId="0" borderId="0" xfId="12" applyAlignment="1">
      <alignment horizontal="right"/>
    </xf>
    <xf numFmtId="44" fontId="54" fillId="0" borderId="0" xfId="15" applyFont="1"/>
    <xf numFmtId="165" fontId="43" fillId="0" borderId="0" xfId="12" applyNumberFormat="1" applyFont="1" applyBorder="1"/>
    <xf numFmtId="172" fontId="40" fillId="0" borderId="0" xfId="13" applyNumberFormat="1" applyFont="1" applyBorder="1"/>
    <xf numFmtId="42" fontId="38" fillId="0" borderId="40" xfId="18" applyNumberFormat="1" applyFont="1" applyFill="1" applyBorder="1"/>
    <xf numFmtId="9" fontId="36" fillId="0" borderId="40" xfId="18" applyFont="1" applyFill="1" applyBorder="1"/>
    <xf numFmtId="0" fontId="40" fillId="0" borderId="28" xfId="12" applyBorder="1"/>
    <xf numFmtId="165" fontId="18" fillId="0" borderId="40" xfId="15" applyNumberFormat="1" applyFont="1" applyFill="1" applyBorder="1"/>
    <xf numFmtId="165" fontId="18" fillId="0" borderId="40" xfId="15" applyNumberFormat="1" applyFont="1" applyBorder="1"/>
    <xf numFmtId="175" fontId="18" fillId="0" borderId="40" xfId="12" applyNumberFormat="1" applyFont="1" applyFill="1" applyBorder="1" applyAlignment="1">
      <alignment horizontal="center"/>
    </xf>
    <xf numFmtId="165" fontId="40" fillId="0" borderId="40" xfId="15" applyNumberFormat="1" applyFont="1" applyFill="1" applyBorder="1"/>
    <xf numFmtId="42" fontId="40" fillId="0" borderId="40" xfId="12" applyNumberFormat="1" applyBorder="1"/>
    <xf numFmtId="165" fontId="43" fillId="0" borderId="40" xfId="15" applyNumberFormat="1" applyFont="1" applyFill="1" applyBorder="1"/>
    <xf numFmtId="165" fontId="40" fillId="0" borderId="40" xfId="15" applyNumberFormat="1" applyFont="1" applyBorder="1"/>
    <xf numFmtId="165" fontId="43" fillId="0" borderId="40" xfId="15" applyNumberFormat="1" applyFont="1" applyBorder="1"/>
    <xf numFmtId="0" fontId="40" fillId="0" borderId="42" xfId="12" applyBorder="1"/>
    <xf numFmtId="165" fontId="43" fillId="2" borderId="14" xfId="15" applyNumberFormat="1" applyFont="1" applyFill="1" applyBorder="1"/>
    <xf numFmtId="42" fontId="40" fillId="0" borderId="7" xfId="12" applyNumberFormat="1" applyBorder="1"/>
    <xf numFmtId="42" fontId="40" fillId="0" borderId="9" xfId="12" applyNumberFormat="1" applyBorder="1"/>
    <xf numFmtId="42" fontId="40" fillId="0" borderId="4" xfId="12" applyNumberFormat="1" applyBorder="1"/>
    <xf numFmtId="0" fontId="7" fillId="0" borderId="28" xfId="12" applyFont="1" applyBorder="1"/>
    <xf numFmtId="165" fontId="40" fillId="0" borderId="28" xfId="15" applyNumberFormat="1" applyFill="1" applyBorder="1"/>
    <xf numFmtId="1" fontId="50" fillId="0" borderId="41" xfId="18" applyNumberFormat="1" applyFont="1" applyFill="1" applyBorder="1" applyAlignment="1">
      <alignment horizontal="center"/>
    </xf>
    <xf numFmtId="1" fontId="50" fillId="0" borderId="42" xfId="18" applyNumberFormat="1" applyFont="1" applyFill="1" applyBorder="1" applyAlignment="1">
      <alignment horizontal="center"/>
    </xf>
    <xf numFmtId="44" fontId="49" fillId="0" borderId="40" xfId="15" applyFont="1" applyBorder="1" applyAlignment="1">
      <alignment horizontal="center"/>
    </xf>
    <xf numFmtId="165" fontId="40" fillId="0" borderId="42" xfId="18" applyNumberFormat="1" applyFont="1" applyBorder="1"/>
    <xf numFmtId="165" fontId="40" fillId="0" borderId="28" xfId="12" applyNumberFormat="1" applyBorder="1"/>
    <xf numFmtId="0" fontId="43" fillId="0" borderId="28" xfId="12" applyFont="1" applyBorder="1"/>
    <xf numFmtId="165" fontId="40" fillId="2" borderId="14" xfId="15" applyNumberFormat="1" applyFont="1" applyFill="1" applyBorder="1"/>
    <xf numFmtId="165" fontId="40" fillId="2" borderId="15" xfId="15" applyNumberFormat="1" applyFont="1" applyFill="1" applyBorder="1"/>
    <xf numFmtId="165" fontId="40" fillId="0" borderId="42" xfId="12" applyNumberFormat="1" applyBorder="1"/>
    <xf numFmtId="1" fontId="50" fillId="0" borderId="0" xfId="18" applyNumberFormat="1" applyFont="1" applyFill="1" applyBorder="1" applyAlignment="1">
      <alignment horizontal="center"/>
    </xf>
    <xf numFmtId="180" fontId="40" fillId="0" borderId="39" xfId="12" applyNumberFormat="1" applyBorder="1"/>
    <xf numFmtId="165" fontId="12" fillId="5" borderId="0" xfId="2" applyNumberFormat="1" applyFill="1"/>
    <xf numFmtId="42" fontId="12" fillId="5" borderId="4" xfId="2" applyNumberFormat="1" applyFill="1" applyBorder="1"/>
    <xf numFmtId="0" fontId="3" fillId="3" borderId="30" xfId="12" applyFont="1" applyFill="1" applyBorder="1" applyAlignment="1">
      <alignment horizontal="center" vertical="center" wrapText="1"/>
    </xf>
    <xf numFmtId="165" fontId="12" fillId="5" borderId="40" xfId="2" applyNumberFormat="1" applyFill="1" applyBorder="1"/>
    <xf numFmtId="3" fontId="12" fillId="5" borderId="40" xfId="2" applyNumberFormat="1" applyFill="1" applyBorder="1"/>
    <xf numFmtId="3" fontId="46" fillId="3" borderId="2" xfId="12" applyNumberFormat="1" applyFont="1" applyFill="1" applyBorder="1" applyAlignment="1">
      <alignment horizontal="center" vertical="center" wrapText="1"/>
    </xf>
    <xf numFmtId="166" fontId="40" fillId="0" borderId="6" xfId="18" applyNumberFormat="1" applyFont="1" applyFill="1" applyBorder="1"/>
    <xf numFmtId="165" fontId="40" fillId="0" borderId="0" xfId="12" applyNumberFormat="1" applyBorder="1"/>
    <xf numFmtId="42" fontId="43" fillId="0" borderId="0" xfId="12" applyNumberFormat="1" applyFont="1" applyBorder="1"/>
    <xf numFmtId="9" fontId="18" fillId="0" borderId="0" xfId="18" applyFont="1" applyFill="1" applyBorder="1"/>
    <xf numFmtId="180" fontId="42" fillId="0" borderId="0" xfId="12" applyNumberFormat="1" applyFont="1" applyBorder="1"/>
    <xf numFmtId="42" fontId="42" fillId="0" borderId="28" xfId="12" applyNumberFormat="1" applyFont="1" applyBorder="1"/>
    <xf numFmtId="165" fontId="43" fillId="0" borderId="28" xfId="12" applyNumberFormat="1" applyFont="1" applyBorder="1"/>
    <xf numFmtId="3" fontId="40" fillId="0" borderId="0" xfId="12" applyNumberFormat="1" applyBorder="1"/>
    <xf numFmtId="0" fontId="40" fillId="0" borderId="42" xfId="18" applyNumberFormat="1" applyFont="1" applyBorder="1"/>
    <xf numFmtId="165" fontId="40" fillId="0" borderId="37" xfId="15" applyNumberFormat="1" applyFont="1" applyFill="1" applyBorder="1"/>
    <xf numFmtId="3" fontId="40" fillId="0" borderId="0" xfId="15" applyNumberFormat="1" applyFont="1" applyFill="1" applyBorder="1"/>
    <xf numFmtId="165" fontId="15" fillId="0" borderId="0" xfId="15" applyNumberFormat="1" applyFont="1" applyFill="1" applyBorder="1"/>
    <xf numFmtId="0" fontId="43" fillId="0" borderId="0" xfId="12" applyFont="1" applyAlignment="1">
      <alignment horizontal="left" indent="2"/>
    </xf>
    <xf numFmtId="0" fontId="17" fillId="0" borderId="6" xfId="12" applyFont="1" applyFill="1" applyBorder="1" applyAlignment="1">
      <alignment horizontal="center"/>
    </xf>
    <xf numFmtId="0" fontId="40" fillId="0" borderId="0" xfId="12" applyBorder="1" applyAlignment="1">
      <alignment horizontal="left" indent="1"/>
    </xf>
    <xf numFmtId="0" fontId="40" fillId="0" borderId="0" xfId="12" applyBorder="1" applyAlignment="1">
      <alignment horizontal="left" indent="2"/>
    </xf>
    <xf numFmtId="3" fontId="40" fillId="0" borderId="0" xfId="12" applyNumberFormat="1" applyFont="1" applyBorder="1"/>
    <xf numFmtId="3" fontId="42" fillId="0" borderId="0" xfId="15" applyNumberFormat="1" applyFont="1" applyFill="1" applyBorder="1"/>
    <xf numFmtId="165" fontId="12" fillId="0" borderId="40" xfId="15" applyNumberFormat="1" applyFont="1" applyBorder="1"/>
    <xf numFmtId="42" fontId="0" fillId="0" borderId="53" xfId="0" applyNumberFormat="1" applyFill="1" applyBorder="1" applyProtection="1"/>
    <xf numFmtId="3" fontId="43" fillId="0" borderId="75" xfId="22" applyNumberFormat="1" applyFont="1" applyFill="1" applyBorder="1"/>
    <xf numFmtId="3" fontId="43" fillId="0" borderId="0" xfId="12" applyNumberFormat="1" applyFont="1" applyBorder="1"/>
    <xf numFmtId="165" fontId="43" fillId="0" borderId="74" xfId="22" applyNumberFormat="1" applyFont="1" applyFill="1" applyBorder="1"/>
    <xf numFmtId="3" fontId="43" fillId="0" borderId="44" xfId="22" applyNumberFormat="1" applyFont="1" applyFill="1" applyBorder="1"/>
    <xf numFmtId="172" fontId="40" fillId="0" borderId="0" xfId="12" applyNumberFormat="1" applyBorder="1"/>
    <xf numFmtId="0" fontId="15" fillId="0" borderId="0" xfId="3"/>
    <xf numFmtId="0" fontId="15" fillId="0" borderId="0" xfId="3" applyBorder="1"/>
    <xf numFmtId="0" fontId="43" fillId="0" borderId="0" xfId="3" applyFont="1"/>
    <xf numFmtId="0" fontId="15" fillId="0" borderId="0" xfId="3" applyFill="1" applyBorder="1"/>
    <xf numFmtId="0" fontId="15" fillId="0" borderId="37" xfId="3" applyBorder="1"/>
    <xf numFmtId="0" fontId="43" fillId="0" borderId="0" xfId="3" applyFont="1" applyFill="1" applyBorder="1"/>
    <xf numFmtId="0" fontId="18" fillId="0" borderId="0" xfId="3" applyFont="1"/>
    <xf numFmtId="165" fontId="15" fillId="0" borderId="0" xfId="22" applyNumberFormat="1"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15" fillId="0" borderId="0" xfId="22" applyNumberFormat="1" applyFont="1" applyFill="1" applyBorder="1"/>
    <xf numFmtId="0" fontId="18" fillId="0" borderId="0" xfId="3" applyFont="1" applyFill="1" applyBorder="1"/>
    <xf numFmtId="165" fontId="18" fillId="0" borderId="0" xfId="22" applyNumberFormat="1" applyFont="1" applyFill="1" applyBorder="1"/>
    <xf numFmtId="2" fontId="12" fillId="0" borderId="0" xfId="3" applyNumberFormat="1" applyFont="1" applyFill="1" applyAlignment="1">
      <alignment horizontal="right"/>
    </xf>
    <xf numFmtId="0" fontId="15" fillId="0" borderId="0" xfId="3" applyAlignment="1">
      <alignment horizontal="right"/>
    </xf>
    <xf numFmtId="165" fontId="43" fillId="0" borderId="0" xfId="3" applyNumberFormat="1" applyFont="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15" fillId="0" borderId="40" xfId="22" applyNumberFormat="1" applyFont="1" applyFill="1" applyBorder="1"/>
    <xf numFmtId="165" fontId="43" fillId="0" borderId="40" xfId="22" applyNumberFormat="1" applyFont="1" applyFill="1" applyBorder="1"/>
    <xf numFmtId="165" fontId="15" fillId="0" borderId="40" xfId="22" applyNumberFormat="1" applyFont="1" applyBorder="1"/>
    <xf numFmtId="165" fontId="43" fillId="0" borderId="40" xfId="22" applyNumberFormat="1" applyFont="1" applyBorder="1"/>
    <xf numFmtId="3" fontId="43" fillId="0" borderId="30" xfId="22" applyNumberFormat="1" applyFont="1" applyFill="1" applyBorder="1"/>
    <xf numFmtId="165" fontId="43" fillId="2" borderId="14" xfId="22" applyNumberFormat="1" applyFont="1" applyFill="1" applyBorder="1"/>
    <xf numFmtId="1" fontId="50" fillId="0" borderId="41" xfId="4" applyNumberFormat="1" applyFont="1" applyFill="1" applyBorder="1" applyAlignment="1">
      <alignment horizontal="center"/>
    </xf>
    <xf numFmtId="1" fontId="50" fillId="0" borderId="42" xfId="4" applyNumberFormat="1" applyFont="1" applyFill="1" applyBorder="1" applyAlignment="1">
      <alignment horizontal="center"/>
    </xf>
    <xf numFmtId="165" fontId="15" fillId="0" borderId="28" xfId="3" applyNumberFormat="1" applyBorder="1"/>
    <xf numFmtId="1" fontId="50" fillId="0" borderId="0" xfId="4" applyNumberFormat="1" applyFont="1" applyFill="1" applyBorder="1" applyAlignment="1">
      <alignment horizontal="center"/>
    </xf>
    <xf numFmtId="165" fontId="15" fillId="0" borderId="0" xfId="3" applyNumberFormat="1" applyBorder="1"/>
    <xf numFmtId="165" fontId="43" fillId="0" borderId="28" xfId="3" applyNumberFormat="1" applyFont="1" applyBorder="1"/>
    <xf numFmtId="165" fontId="15" fillId="0" borderId="28" xfId="22" applyNumberFormat="1" applyFont="1" applyFill="1" applyBorder="1"/>
    <xf numFmtId="3" fontId="15" fillId="0" borderId="0" xfId="3" applyNumberFormat="1" applyBorder="1"/>
    <xf numFmtId="165" fontId="15" fillId="0" borderId="37" xfId="22" applyNumberFormat="1" applyFont="1" applyFill="1" applyBorder="1"/>
    <xf numFmtId="0" fontId="15" fillId="0" borderId="0" xfId="3" applyFont="1" applyFill="1" applyBorder="1" applyAlignment="1">
      <alignment horizontal="left" indent="1"/>
    </xf>
    <xf numFmtId="0" fontId="15" fillId="0" borderId="0" xfId="3" applyAlignment="1">
      <alignment horizontal="left" indent="2"/>
    </xf>
    <xf numFmtId="0" fontId="1" fillId="0" borderId="0" xfId="3" applyNumberFormat="1" applyFont="1" applyFill="1" applyBorder="1" applyAlignment="1">
      <alignment horizontal="left" indent="2"/>
    </xf>
    <xf numFmtId="0" fontId="15" fillId="0" borderId="0" xfId="3" applyFont="1" applyBorder="1" applyAlignment="1">
      <alignment horizontal="left" indent="1"/>
    </xf>
    <xf numFmtId="165" fontId="15" fillId="0" borderId="39" xfId="22" applyNumberFormat="1" applyFont="1" applyBorder="1"/>
    <xf numFmtId="3" fontId="43" fillId="0" borderId="2" xfId="3" applyNumberFormat="1" applyFont="1" applyBorder="1"/>
    <xf numFmtId="165" fontId="43" fillId="0" borderId="31" xfId="22" applyNumberFormat="1" applyFont="1" applyFill="1" applyBorder="1"/>
    <xf numFmtId="165" fontId="15" fillId="0" borderId="28" xfId="3" applyNumberFormat="1" applyFont="1" applyBorder="1"/>
    <xf numFmtId="0" fontId="43" fillId="0" borderId="40" xfId="3" applyFont="1" applyBorder="1"/>
    <xf numFmtId="0" fontId="43" fillId="0" borderId="0" xfId="3" applyFont="1" applyBorder="1"/>
    <xf numFmtId="165" fontId="43" fillId="0" borderId="40" xfId="4" applyNumberFormat="1" applyFont="1" applyFill="1" applyBorder="1"/>
    <xf numFmtId="3" fontId="15" fillId="0" borderId="2" xfId="3" applyNumberFormat="1" applyBorder="1"/>
    <xf numFmtId="0" fontId="15" fillId="0" borderId="31" xfId="3" applyBorder="1"/>
    <xf numFmtId="9" fontId="18" fillId="0" borderId="0" xfId="4" applyNumberFormat="1" applyFont="1" applyFill="1" applyBorder="1"/>
    <xf numFmtId="42" fontId="1" fillId="0" borderId="53" xfId="0" applyNumberFormat="1" applyFont="1" applyFill="1" applyBorder="1" applyProtection="1"/>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0" fontId="18"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3" fillId="0" borderId="0" xfId="3" applyNumberFormat="1" applyFont="1" applyBorder="1"/>
    <xf numFmtId="9" fontId="36" fillId="0" borderId="40" xfId="4" applyFont="1" applyFill="1" applyBorder="1"/>
    <xf numFmtId="0" fontId="15" fillId="0" borderId="28" xfId="3" applyBorder="1"/>
    <xf numFmtId="165" fontId="18" fillId="0" borderId="40" xfId="22" applyNumberFormat="1" applyFont="1" applyFill="1" applyBorder="1"/>
    <xf numFmtId="42" fontId="15" fillId="0" borderId="40" xfId="3" applyNumberFormat="1" applyBorder="1"/>
    <xf numFmtId="165" fontId="43" fillId="0" borderId="40" xfId="22" applyNumberFormat="1" applyFont="1" applyFill="1" applyBorder="1"/>
    <xf numFmtId="165" fontId="43" fillId="0" borderId="40" xfId="22" applyNumberFormat="1" applyFont="1" applyBorder="1"/>
    <xf numFmtId="165" fontId="43" fillId="2" borderId="14" xfId="22" applyNumberFormat="1" applyFont="1" applyFill="1"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165" fontId="43" fillId="2" borderId="15" xfId="22" applyNumberFormat="1" applyFont="1" applyFill="1" applyBorder="1"/>
    <xf numFmtId="165" fontId="43" fillId="2" borderId="16" xfId="22" applyNumberFormat="1" applyFont="1" applyFill="1" applyBorder="1"/>
    <xf numFmtId="165" fontId="15" fillId="0" borderId="28"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180" fontId="43" fillId="0" borderId="40" xfId="3" applyNumberFormat="1" applyFont="1" applyBorder="1"/>
    <xf numFmtId="165" fontId="15" fillId="0" borderId="40" xfId="3" applyNumberFormat="1" applyBorder="1"/>
    <xf numFmtId="165" fontId="12" fillId="0" borderId="40" xfId="22" applyNumberFormat="1" applyFont="1" applyBorder="1"/>
    <xf numFmtId="0" fontId="43" fillId="0" borderId="0" xfId="3" applyFont="1" applyFill="1" applyAlignment="1">
      <alignment horizontal="right"/>
    </xf>
    <xf numFmtId="166" fontId="43" fillId="0" borderId="0" xfId="3" applyNumberFormat="1" applyFont="1" applyFill="1" applyAlignment="1">
      <alignment horizontal="right"/>
    </xf>
    <xf numFmtId="165" fontId="15" fillId="0" borderId="28" xfId="3" applyNumberFormat="1" applyFont="1" applyBorder="1"/>
    <xf numFmtId="0" fontId="15" fillId="0" borderId="0" xfId="3"/>
    <xf numFmtId="0" fontId="15" fillId="0" borderId="0" xfId="3" applyBorder="1"/>
    <xf numFmtId="0" fontId="15" fillId="0" borderId="0" xfId="3" applyFill="1" applyBorder="1"/>
    <xf numFmtId="0" fontId="43" fillId="0" borderId="0" xfId="3" applyFont="1" applyFill="1" applyBorder="1"/>
    <xf numFmtId="0" fontId="18" fillId="0" borderId="0" xfId="3" applyFont="1"/>
    <xf numFmtId="165" fontId="15" fillId="0" borderId="0" xfId="22" applyNumberFormat="1" applyFont="1" applyBorder="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0" fontId="12" fillId="0" borderId="0" xfId="3" applyFont="1" applyAlignment="1">
      <alignment horizontal="left"/>
    </xf>
    <xf numFmtId="9" fontId="36" fillId="0" borderId="0" xfId="4" applyFont="1" applyFill="1" applyBorder="1"/>
    <xf numFmtId="42" fontId="38" fillId="0" borderId="0" xfId="4" applyNumberFormat="1" applyFont="1" applyFill="1" applyBorder="1"/>
    <xf numFmtId="165" fontId="15" fillId="0" borderId="0" xfId="22" applyNumberFormat="1" applyFont="1" applyFill="1" applyBorder="1"/>
    <xf numFmtId="165" fontId="12" fillId="0" borderId="0" xfId="22" applyNumberFormat="1" applyFont="1" applyFill="1" applyBorder="1"/>
    <xf numFmtId="0" fontId="18" fillId="0" borderId="0" xfId="3" applyFont="1" applyFill="1" applyBorder="1"/>
    <xf numFmtId="165" fontId="43" fillId="0" borderId="0" xfId="22" applyNumberFormat="1" applyFont="1" applyFill="1" applyBorder="1"/>
    <xf numFmtId="3" fontId="43"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9" fontId="36" fillId="0" borderId="40" xfId="4" applyFont="1" applyFill="1" applyBorder="1"/>
    <xf numFmtId="165" fontId="18" fillId="0" borderId="40" xfId="22" applyNumberFormat="1" applyFont="1" applyFill="1" applyBorder="1"/>
    <xf numFmtId="165" fontId="15" fillId="0" borderId="40" xfId="22" applyNumberFormat="1" applyFont="1" applyFill="1" applyBorder="1"/>
    <xf numFmtId="165" fontId="43" fillId="0" borderId="40" xfId="22" applyNumberFormat="1" applyFont="1" applyFill="1" applyBorder="1"/>
    <xf numFmtId="165" fontId="15" fillId="0" borderId="40" xfId="22" applyNumberFormat="1" applyFont="1" applyBorder="1"/>
    <xf numFmtId="165" fontId="43" fillId="0" borderId="40" xfId="22" applyNumberFormat="1" applyFont="1" applyBorder="1"/>
    <xf numFmtId="9" fontId="36" fillId="0" borderId="28" xfId="4" applyFont="1" applyFill="1" applyBorder="1"/>
    <xf numFmtId="42" fontId="38" fillId="0" borderId="28" xfId="4" applyNumberFormat="1" applyFont="1" applyFill="1" applyBorder="1"/>
    <xf numFmtId="165" fontId="18" fillId="0" borderId="28" xfId="22" applyNumberFormat="1" applyFont="1" applyFill="1" applyBorder="1"/>
    <xf numFmtId="165" fontId="18" fillId="0" borderId="0" xfId="22" applyNumberFormat="1" applyFont="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43" fillId="0" borderId="28" xfId="22" applyNumberFormat="1" applyFont="1" applyBorder="1"/>
    <xf numFmtId="165" fontId="15" fillId="0" borderId="28" xfId="3" applyNumberFormat="1" applyBorder="1"/>
    <xf numFmtId="0" fontId="44" fillId="0" borderId="0" xfId="3" applyFont="1" applyAlignment="1">
      <alignment horizontal="center"/>
    </xf>
    <xf numFmtId="9" fontId="18" fillId="0" borderId="0" xfId="4" applyFont="1" applyFill="1" applyBorder="1"/>
    <xf numFmtId="165" fontId="15" fillId="0" borderId="28" xfId="22" applyNumberFormat="1" applyFont="1" applyBorder="1"/>
    <xf numFmtId="165" fontId="12" fillId="0" borderId="0" xfId="22" applyNumberFormat="1" applyFont="1" applyBorder="1"/>
    <xf numFmtId="165" fontId="15" fillId="0" borderId="28" xfId="22" applyNumberFormat="1" applyFont="1" applyFill="1" applyBorder="1"/>
    <xf numFmtId="165" fontId="12" fillId="0" borderId="40" xfId="22" applyNumberFormat="1" applyFont="1" applyBorder="1"/>
    <xf numFmtId="165" fontId="12" fillId="0" borderId="28" xfId="22" applyNumberFormat="1" applyFont="1" applyBorder="1"/>
    <xf numFmtId="0" fontId="15" fillId="0" borderId="0" xfId="3"/>
    <xf numFmtId="42" fontId="43" fillId="0" borderId="0" xfId="3" applyNumberFormat="1" applyFont="1"/>
    <xf numFmtId="165" fontId="15" fillId="0" borderId="0" xfId="3" applyNumberFormat="1"/>
    <xf numFmtId="0" fontId="15" fillId="0" borderId="0" xfId="3" applyFill="1"/>
    <xf numFmtId="9" fontId="36" fillId="0" borderId="0" xfId="4" applyFont="1" applyFill="1" applyBorder="1"/>
    <xf numFmtId="42" fontId="15" fillId="0" borderId="0" xfId="3" applyNumberFormat="1" applyFill="1"/>
    <xf numFmtId="165" fontId="15" fillId="0" borderId="0" xfId="3" applyNumberFormat="1" applyFill="1"/>
    <xf numFmtId="0" fontId="43" fillId="0" borderId="0" xfId="3" applyFont="1" applyFill="1" applyAlignment="1">
      <alignment horizontal="right"/>
    </xf>
    <xf numFmtId="0" fontId="43" fillId="0" borderId="0" xfId="3" applyFont="1" applyAlignment="1">
      <alignment horizontal="right"/>
    </xf>
    <xf numFmtId="165" fontId="57" fillId="0" borderId="0" xfId="3" applyNumberFormat="1" applyFont="1"/>
    <xf numFmtId="9" fontId="50" fillId="0" borderId="0" xfId="4" applyFont="1" applyFill="1" applyBorder="1"/>
    <xf numFmtId="44" fontId="43" fillId="0" borderId="0" xfId="3" applyNumberFormat="1" applyFont="1" applyAlignment="1">
      <alignment horizontal="right"/>
    </xf>
    <xf numFmtId="3" fontId="43" fillId="0" borderId="0" xfId="3" applyNumberFormat="1" applyFont="1" applyAlignment="1">
      <alignment horizontal="right"/>
    </xf>
    <xf numFmtId="166" fontId="43" fillId="0" borderId="0" xfId="3" applyNumberFormat="1" applyFont="1" applyFill="1" applyAlignment="1">
      <alignment horizontal="right"/>
    </xf>
    <xf numFmtId="0" fontId="15" fillId="0" borderId="0" xfId="3" applyAlignment="1">
      <alignment horizontal="right"/>
    </xf>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0" fontId="12" fillId="0" borderId="0" xfId="3" applyFont="1" applyAlignment="1">
      <alignment horizontal="left"/>
    </xf>
    <xf numFmtId="165" fontId="43" fillId="0" borderId="0" xfId="22" applyNumberFormat="1" applyFont="1" applyBorder="1"/>
    <xf numFmtId="0" fontId="18" fillId="0" borderId="0" xfId="3" applyFont="1" applyFill="1" applyBorder="1"/>
    <xf numFmtId="0" fontId="12" fillId="0" borderId="0" xfId="3" applyFont="1" applyFill="1" applyBorder="1"/>
    <xf numFmtId="165" fontId="43" fillId="0" borderId="0" xfId="22" applyNumberFormat="1" applyFont="1" applyFill="1" applyBorder="1"/>
    <xf numFmtId="165" fontId="15" fillId="0" borderId="0" xfId="22" applyNumberFormat="1" applyBorder="1"/>
    <xf numFmtId="165" fontId="15" fillId="0" borderId="0" xfId="22" applyNumberFormat="1" applyFill="1" applyBorder="1"/>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43" fillId="0" borderId="40" xfId="22" applyNumberFormat="1" applyFont="1" applyFill="1" applyBorder="1"/>
    <xf numFmtId="165" fontId="43" fillId="0" borderId="40" xfId="22" applyNumberFormat="1" applyFont="1"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3" fontId="43" fillId="0" borderId="7" xfId="22" applyNumberFormat="1" applyFont="1" applyFill="1" applyBorder="1"/>
    <xf numFmtId="3" fontId="43" fillId="0" borderId="9" xfId="22" applyNumberFormat="1" applyFont="1" applyFill="1" applyBorder="1"/>
    <xf numFmtId="3" fontId="43" fillId="0" borderId="4" xfId="22" applyNumberFormat="1" applyFont="1" applyFill="1" applyBorder="1"/>
    <xf numFmtId="165" fontId="15" fillId="0" borderId="28" xfId="3" applyNumberFormat="1" applyBorder="1"/>
    <xf numFmtId="0" fontId="44" fillId="0" borderId="0" xfId="3" applyFont="1" applyAlignment="1">
      <alignment horizontal="center"/>
    </xf>
    <xf numFmtId="165" fontId="15" fillId="0" borderId="0" xfId="3" applyNumberFormat="1" applyBorder="1"/>
    <xf numFmtId="42" fontId="43" fillId="0" borderId="0" xfId="3" applyNumberFormat="1" applyFont="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165" fontId="12" fillId="0" borderId="40" xfId="22" applyNumberFormat="1" applyFont="1" applyBorder="1"/>
    <xf numFmtId="0" fontId="15" fillId="0" borderId="0" xfId="3"/>
    <xf numFmtId="42" fontId="43" fillId="0" borderId="0" xfId="3" applyNumberFormat="1" applyFont="1"/>
    <xf numFmtId="165" fontId="15" fillId="0" borderId="0" xfId="3" applyNumberFormat="1"/>
    <xf numFmtId="0" fontId="15" fillId="0" borderId="0" xfId="3" applyFill="1"/>
    <xf numFmtId="9" fontId="36" fillId="0" borderId="0" xfId="4" applyFont="1" applyFill="1" applyBorder="1"/>
    <xf numFmtId="42" fontId="15" fillId="0" borderId="0" xfId="3" applyNumberFormat="1" applyFill="1"/>
    <xf numFmtId="165" fontId="15" fillId="0" borderId="0" xfId="3" applyNumberFormat="1" applyFill="1"/>
    <xf numFmtId="0" fontId="43" fillId="0" borderId="0" xfId="3" applyFont="1" applyFill="1" applyAlignment="1">
      <alignment horizontal="right"/>
    </xf>
    <xf numFmtId="0" fontId="43" fillId="0" borderId="0" xfId="3" applyFont="1" applyAlignment="1">
      <alignment horizontal="right"/>
    </xf>
    <xf numFmtId="165" fontId="57" fillId="0" borderId="0" xfId="3" applyNumberFormat="1" applyFont="1"/>
    <xf numFmtId="9" fontId="50" fillId="0" borderId="0" xfId="4" applyFont="1" applyFill="1" applyBorder="1"/>
    <xf numFmtId="3" fontId="43" fillId="0" borderId="0" xfId="3" applyNumberFormat="1" applyFont="1" applyAlignment="1">
      <alignment horizontal="right"/>
    </xf>
    <xf numFmtId="0" fontId="15" fillId="0" borderId="0" xfId="3" applyAlignment="1">
      <alignment horizontal="right"/>
    </xf>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165" fontId="15" fillId="0" borderId="0" xfId="22" applyNumberFormat="1" applyFont="1" applyFill="1" applyBorder="1"/>
    <xf numFmtId="0" fontId="18" fillId="0" borderId="0" xfId="3" applyFont="1" applyFill="1" applyBorder="1"/>
    <xf numFmtId="165" fontId="18" fillId="0" borderId="0" xfId="22" applyNumberFormat="1" applyFont="1" applyFill="1" applyBorder="1"/>
    <xf numFmtId="165" fontId="43" fillId="0" borderId="0" xfId="22" applyNumberFormat="1"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165" fontId="43" fillId="0" borderId="0" xfId="3" applyNumberFormat="1" applyFont="1" applyBorder="1"/>
    <xf numFmtId="42" fontId="38" fillId="0" borderId="40" xfId="4" applyNumberFormat="1" applyFont="1" applyFill="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165" fontId="15" fillId="0" borderId="40" xfId="22" applyNumberFormat="1" applyFont="1" applyFill="1" applyBorder="1"/>
    <xf numFmtId="165" fontId="43" fillId="0" borderId="40" xfId="22" applyNumberFormat="1" applyFont="1" applyFill="1" applyBorder="1"/>
    <xf numFmtId="165" fontId="43" fillId="0" borderId="40" xfId="22" applyNumberFormat="1" applyFont="1" applyBorder="1"/>
    <xf numFmtId="3" fontId="43" fillId="0" borderId="30" xfId="22" applyNumberFormat="1" applyFont="1" applyFill="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15" fillId="0" borderId="28" xfId="3" applyNumberFormat="1" applyBorder="1"/>
    <xf numFmtId="0" fontId="15" fillId="0" borderId="40" xfId="3" applyBorder="1"/>
    <xf numFmtId="3" fontId="15" fillId="0" borderId="40" xfId="22" applyNumberFormat="1" applyFill="1" applyBorder="1"/>
    <xf numFmtId="3" fontId="15" fillId="0" borderId="28" xfId="22" applyNumberFormat="1" applyFill="1" applyBorder="1"/>
    <xf numFmtId="3" fontId="43" fillId="0" borderId="2" xfId="22" applyNumberFormat="1" applyFont="1" applyFill="1" applyBorder="1"/>
    <xf numFmtId="3" fontId="43" fillId="0" borderId="31" xfId="22" applyNumberFormat="1" applyFont="1" applyFill="1" applyBorder="1"/>
    <xf numFmtId="167" fontId="55" fillId="0" borderId="2" xfId="22" applyNumberFormat="1" applyFont="1" applyFill="1" applyBorder="1" applyAlignment="1">
      <alignment horizontal="center"/>
    </xf>
    <xf numFmtId="165" fontId="15" fillId="0" borderId="0" xfId="3" applyNumberFormat="1" applyBorder="1"/>
    <xf numFmtId="42" fontId="43" fillId="0" borderId="0" xfId="3" applyNumberFormat="1" applyFont="1" applyBorder="1"/>
    <xf numFmtId="9" fontId="18" fillId="0" borderId="0" xfId="4" applyFont="1" applyFill="1" applyBorder="1"/>
    <xf numFmtId="180" fontId="43" fillId="0" borderId="0" xfId="3" applyNumberFormat="1" applyFont="1" applyBorder="1"/>
    <xf numFmtId="42" fontId="43" fillId="0" borderId="28" xfId="3" applyNumberFormat="1" applyFont="1" applyBorder="1"/>
    <xf numFmtId="165" fontId="43" fillId="0" borderId="28" xfId="3" applyNumberFormat="1" applyFont="1" applyBorder="1"/>
    <xf numFmtId="0" fontId="15" fillId="0" borderId="0" xfId="3" applyAlignment="1">
      <alignment horizontal="left" indent="1"/>
    </xf>
    <xf numFmtId="0" fontId="15" fillId="0" borderId="0" xfId="3" applyAlignment="1">
      <alignment horizontal="left" indent="2"/>
    </xf>
    <xf numFmtId="0" fontId="15" fillId="0" borderId="0" xfId="3" applyFont="1" applyBorder="1" applyAlignment="1">
      <alignment horizontal="left" indent="1"/>
    </xf>
    <xf numFmtId="0" fontId="12" fillId="0" borderId="0" xfId="3" applyFont="1" applyFill="1" applyBorder="1" applyAlignment="1">
      <alignment horizontal="left" indent="2"/>
    </xf>
    <xf numFmtId="165" fontId="15" fillId="0" borderId="0" xfId="3" applyNumberFormat="1" applyFont="1" applyBorder="1"/>
    <xf numFmtId="165" fontId="15" fillId="0" borderId="40" xfId="4" applyNumberFormat="1" applyFont="1" applyFill="1" applyBorder="1"/>
    <xf numFmtId="42" fontId="15" fillId="0" borderId="28" xfId="3" applyNumberFormat="1" applyFont="1" applyBorder="1"/>
    <xf numFmtId="165" fontId="43" fillId="2" borderId="33" xfId="22" applyNumberFormat="1" applyFont="1" applyFill="1" applyBorder="1"/>
    <xf numFmtId="165" fontId="43" fillId="2" borderId="13" xfId="22" applyNumberFormat="1" applyFont="1" applyFill="1" applyBorder="1"/>
    <xf numFmtId="165" fontId="43" fillId="2" borderId="38" xfId="22" applyNumberFormat="1" applyFont="1" applyFill="1" applyBorder="1"/>
    <xf numFmtId="165" fontId="15" fillId="0" borderId="30" xfId="22" applyNumberFormat="1" applyFill="1" applyBorder="1"/>
    <xf numFmtId="165" fontId="15" fillId="0" borderId="2" xfId="22" applyNumberFormat="1" applyFill="1" applyBorder="1"/>
    <xf numFmtId="165" fontId="15" fillId="0" borderId="31" xfId="22" applyNumberFormat="1" applyFill="1" applyBorder="1"/>
    <xf numFmtId="0" fontId="15" fillId="0" borderId="0" xfId="3"/>
    <xf numFmtId="3" fontId="15" fillId="0" borderId="0" xfId="3" applyNumberFormat="1"/>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175" fontId="18" fillId="0" borderId="0" xfId="3" applyNumberFormat="1" applyFont="1" applyFill="1" applyAlignment="1">
      <alignment horizontal="center"/>
    </xf>
    <xf numFmtId="0" fontId="12" fillId="0" borderId="0" xfId="3" applyFont="1" applyAlignment="1">
      <alignment horizontal="left"/>
    </xf>
    <xf numFmtId="9" fontId="36" fillId="0" borderId="0" xfId="4" applyFont="1" applyFill="1" applyBorder="1"/>
    <xf numFmtId="0" fontId="18" fillId="0" borderId="0" xfId="3" applyFont="1" applyFill="1" applyBorder="1"/>
    <xf numFmtId="165" fontId="18" fillId="0" borderId="0" xfId="22" applyNumberFormat="1" applyFont="1" applyFill="1" applyBorder="1"/>
    <xf numFmtId="0" fontId="12"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0" fontId="15" fillId="0" borderId="28" xfId="3" applyBorder="1"/>
    <xf numFmtId="165" fontId="15" fillId="0" borderId="40" xfId="22" applyNumberFormat="1" applyFill="1" applyBorder="1"/>
    <xf numFmtId="165" fontId="15" fillId="0" borderId="28" xfId="22" applyNumberFormat="1" applyFill="1" applyBorder="1"/>
    <xf numFmtId="165" fontId="15" fillId="0" borderId="40" xfId="22" applyNumberFormat="1" applyBorder="1"/>
    <xf numFmtId="165" fontId="15" fillId="0" borderId="28" xfId="22" applyNumberFormat="1" applyBorder="1"/>
    <xf numFmtId="0" fontId="44" fillId="0" borderId="0" xfId="3" applyFont="1" applyAlignment="1">
      <alignment horizontal="center"/>
    </xf>
    <xf numFmtId="9" fontId="18" fillId="0" borderId="0" xfId="4" applyFont="1" applyFill="1" applyBorder="1"/>
    <xf numFmtId="165" fontId="12" fillId="0" borderId="40" xfId="22" applyNumberFormat="1" applyFont="1" applyBorder="1"/>
    <xf numFmtId="0" fontId="15" fillId="0" borderId="0" xfId="3"/>
    <xf numFmtId="0" fontId="15" fillId="0" borderId="0" xfId="3" applyBorder="1"/>
    <xf numFmtId="0" fontId="43" fillId="0" borderId="0" xfId="3" applyFont="1"/>
    <xf numFmtId="0" fontId="15" fillId="0" borderId="0" xfId="3" applyFill="1" applyBorder="1"/>
    <xf numFmtId="0" fontId="43" fillId="0" borderId="0" xfId="3" applyFont="1" applyFill="1" applyBorder="1"/>
    <xf numFmtId="0" fontId="18" fillId="0" borderId="0" xfId="3" applyFont="1"/>
    <xf numFmtId="0" fontId="7" fillId="0" borderId="0" xfId="3" applyFont="1"/>
    <xf numFmtId="41" fontId="12" fillId="0" borderId="0" xfId="23" applyNumberFormat="1" applyFont="1" applyFill="1" applyBorder="1" applyAlignment="1" applyProtection="1">
      <alignment horizontal="left"/>
    </xf>
    <xf numFmtId="165" fontId="18" fillId="0" borderId="0" xfId="22" applyNumberFormat="1" applyFont="1" applyFill="1"/>
    <xf numFmtId="0" fontId="12" fillId="0" borderId="0" xfId="3" applyFont="1" applyAlignment="1">
      <alignment horizontal="left"/>
    </xf>
    <xf numFmtId="9" fontId="36" fillId="0" borderId="0" xfId="4" applyFont="1" applyFill="1" applyBorder="1"/>
    <xf numFmtId="165" fontId="43" fillId="0" borderId="0" xfId="22" applyNumberFormat="1" applyFont="1" applyBorder="1"/>
    <xf numFmtId="165" fontId="15" fillId="0" borderId="0" xfId="22" applyNumberFormat="1" applyFont="1" applyFill="1" applyBorder="1"/>
    <xf numFmtId="0" fontId="18" fillId="0" borderId="0" xfId="3" applyFont="1" applyFill="1" applyBorder="1"/>
    <xf numFmtId="0" fontId="12" fillId="0" borderId="0" xfId="3" applyFont="1" applyFill="1" applyBorder="1"/>
    <xf numFmtId="165" fontId="43"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3" fillId="0" borderId="0" xfId="3" applyNumberFormat="1" applyFont="1" applyBorder="1"/>
    <xf numFmtId="9" fontId="36" fillId="0" borderId="40" xfId="4" applyFont="1" applyFill="1" applyBorder="1"/>
    <xf numFmtId="0" fontId="15" fillId="0" borderId="28" xfId="3" applyBorder="1"/>
    <xf numFmtId="165" fontId="18" fillId="0" borderId="40" xfId="22" applyNumberFormat="1" applyFont="1" applyFill="1" applyBorder="1"/>
    <xf numFmtId="175" fontId="18" fillId="0" borderId="40" xfId="3" applyNumberFormat="1" applyFont="1" applyFill="1" applyBorder="1" applyAlignment="1">
      <alignment horizontal="center"/>
    </xf>
    <xf numFmtId="42" fontId="15" fillId="0" borderId="40" xfId="3" applyNumberFormat="1" applyBorder="1"/>
    <xf numFmtId="165" fontId="43" fillId="0" borderId="40" xfId="22" applyNumberFormat="1" applyFont="1" applyFill="1" applyBorder="1"/>
    <xf numFmtId="165" fontId="43" fillId="0" borderId="40" xfId="22" applyNumberFormat="1" applyFont="1" applyBorder="1"/>
    <xf numFmtId="165" fontId="43" fillId="2" borderId="14" xfId="22" applyNumberFormat="1" applyFont="1" applyFill="1" applyBorder="1"/>
    <xf numFmtId="165" fontId="15" fillId="0" borderId="40" xfId="22" applyNumberFormat="1" applyFill="1" applyBorder="1"/>
    <xf numFmtId="165" fontId="15" fillId="0" borderId="28" xfId="22" applyNumberFormat="1" applyFill="1" applyBorder="1"/>
    <xf numFmtId="165" fontId="43" fillId="0" borderId="28" xfId="22" applyNumberFormat="1" applyFont="1" applyFill="1" applyBorder="1"/>
    <xf numFmtId="165" fontId="15" fillId="0" borderId="40" xfId="22" applyNumberFormat="1" applyBorder="1"/>
    <xf numFmtId="165" fontId="15" fillId="0" borderId="28" xfId="22" applyNumberFormat="1" applyBorder="1"/>
    <xf numFmtId="165" fontId="43" fillId="2" borderId="15" xfId="22" applyNumberFormat="1" applyFont="1" applyFill="1" applyBorder="1"/>
    <xf numFmtId="165" fontId="43" fillId="2" borderId="16" xfId="22" applyNumberFormat="1" applyFont="1" applyFill="1" applyBorder="1"/>
    <xf numFmtId="0" fontId="44" fillId="0" borderId="0" xfId="3" applyFont="1" applyAlignment="1">
      <alignment horizontal="center"/>
    </xf>
    <xf numFmtId="9" fontId="18" fillId="0" borderId="0" xfId="4" applyFont="1" applyFill="1" applyBorder="1"/>
    <xf numFmtId="165" fontId="43" fillId="0" borderId="28" xfId="3" applyNumberFormat="1" applyFont="1" applyBorder="1"/>
    <xf numFmtId="0" fontId="43" fillId="0" borderId="0" xfId="3" applyFont="1" applyFill="1" applyAlignment="1">
      <alignment horizontal="right"/>
    </xf>
    <xf numFmtId="166" fontId="43" fillId="0" borderId="0" xfId="3" applyNumberFormat="1" applyFont="1" applyFill="1" applyAlignment="1">
      <alignment horizontal="right"/>
    </xf>
    <xf numFmtId="0" fontId="0" fillId="0" borderId="0" xfId="0"/>
    <xf numFmtId="0" fontId="0" fillId="0" borderId="0" xfId="0" applyAlignment="1">
      <alignment wrapText="1"/>
    </xf>
    <xf numFmtId="0" fontId="0" fillId="0" borderId="0" xfId="0" applyBorder="1"/>
    <xf numFmtId="42" fontId="0" fillId="0" borderId="0" xfId="0" applyNumberFormat="1" applyBorder="1"/>
    <xf numFmtId="165" fontId="42" fillId="0" borderId="0" xfId="179" applyNumberFormat="1" applyFont="1" applyBorder="1"/>
    <xf numFmtId="165" fontId="42" fillId="0" borderId="40" xfId="179" applyNumberFormat="1" applyFont="1" applyBorder="1"/>
    <xf numFmtId="165" fontId="12" fillId="0" borderId="40" xfId="179" applyNumberFormat="1" applyFont="1" applyBorder="1"/>
    <xf numFmtId="165" fontId="39" fillId="0" borderId="0" xfId="0" applyNumberFormat="1" applyFont="1"/>
    <xf numFmtId="165" fontId="15" fillId="0" borderId="0" xfId="22" applyNumberFormat="1" applyFont="1"/>
    <xf numFmtId="165" fontId="15" fillId="0" borderId="40" xfId="22" applyNumberFormat="1" applyFont="1" applyFill="1" applyBorder="1"/>
    <xf numFmtId="165" fontId="15" fillId="0" borderId="0" xfId="3" applyNumberFormat="1" applyBorder="1"/>
    <xf numFmtId="165" fontId="15" fillId="0" borderId="0" xfId="3" applyNumberFormat="1" applyFont="1" applyBorder="1"/>
    <xf numFmtId="165" fontId="15" fillId="0" borderId="28" xfId="22" applyNumberFormat="1" applyFont="1" applyFill="1" applyBorder="1"/>
    <xf numFmtId="3" fontId="15" fillId="0" borderId="0" xfId="3" applyNumberFormat="1" applyBorder="1"/>
    <xf numFmtId="0" fontId="1" fillId="0" borderId="0" xfId="3" applyFont="1" applyFill="1" applyBorder="1" applyAlignment="1">
      <alignment horizontal="left" indent="2"/>
    </xf>
    <xf numFmtId="49" fontId="41" fillId="0" borderId="0" xfId="3" applyNumberFormat="1" applyFont="1" applyFill="1" applyBorder="1" applyAlignment="1">
      <alignment horizontal="left" vertical="center"/>
    </xf>
    <xf numFmtId="165" fontId="15" fillId="0" borderId="0" xfId="22" applyNumberFormat="1"/>
    <xf numFmtId="165" fontId="15" fillId="0" borderId="0" xfId="22" applyNumberFormat="1" applyFill="1" applyBorder="1"/>
    <xf numFmtId="165" fontId="15" fillId="0" borderId="40" xfId="22" applyNumberFormat="1" applyFont="1" applyFill="1" applyBorder="1"/>
    <xf numFmtId="165" fontId="15" fillId="0" borderId="40" xfId="22" applyNumberFormat="1" applyFill="1" applyBorder="1"/>
    <xf numFmtId="165" fontId="15" fillId="0" borderId="28" xfId="22" applyNumberFormat="1" applyFill="1" applyBorder="1"/>
    <xf numFmtId="0" fontId="15" fillId="0" borderId="0" xfId="3" applyFill="1" applyBorder="1"/>
    <xf numFmtId="165" fontId="15" fillId="0" borderId="0" xfId="22" applyNumberFormat="1" applyFont="1" applyFill="1" applyBorder="1"/>
    <xf numFmtId="3" fontId="15" fillId="0" borderId="0" xfId="22" applyNumberFormat="1" applyFill="1" applyBorder="1"/>
    <xf numFmtId="165" fontId="15" fillId="0" borderId="28" xfId="22" applyNumberFormat="1" applyFill="1" applyBorder="1"/>
    <xf numFmtId="165" fontId="15" fillId="0" borderId="28" xfId="3" applyNumberFormat="1" applyBorder="1"/>
    <xf numFmtId="3" fontId="15" fillId="0" borderId="40" xfId="22" applyNumberFormat="1" applyFill="1" applyBorder="1"/>
    <xf numFmtId="3" fontId="15" fillId="0" borderId="28" xfId="22" applyNumberFormat="1" applyFill="1" applyBorder="1"/>
    <xf numFmtId="0" fontId="15" fillId="0" borderId="0" xfId="3" applyAlignment="1">
      <alignment horizontal="left" indent="2"/>
    </xf>
    <xf numFmtId="0" fontId="12" fillId="0" borderId="0" xfId="3" applyFont="1" applyFill="1" applyBorder="1" applyAlignment="1">
      <alignment horizontal="left" indent="2"/>
    </xf>
    <xf numFmtId="10" fontId="0" fillId="0" borderId="0" xfId="8" applyNumberFormat="1" applyFont="1"/>
    <xf numFmtId="0" fontId="0" fillId="0" borderId="48" xfId="0" applyFill="1" applyBorder="1"/>
    <xf numFmtId="0" fontId="0" fillId="0" borderId="51" xfId="0" applyFill="1" applyBorder="1"/>
    <xf numFmtId="0" fontId="0" fillId="0" borderId="53" xfId="0" applyFill="1" applyBorder="1"/>
    <xf numFmtId="0" fontId="0" fillId="0" borderId="57" xfId="0" applyFill="1" applyBorder="1"/>
    <xf numFmtId="42" fontId="69" fillId="0" borderId="46" xfId="0" applyNumberFormat="1" applyFont="1" applyFill="1" applyBorder="1"/>
    <xf numFmtId="0" fontId="0" fillId="0" borderId="58" xfId="0" applyFill="1" applyBorder="1"/>
    <xf numFmtId="42" fontId="42" fillId="0" borderId="40" xfId="0" applyNumberFormat="1" applyFont="1" applyBorder="1"/>
    <xf numFmtId="42" fontId="42" fillId="0" borderId="0" xfId="0" applyNumberFormat="1" applyFont="1" applyBorder="1"/>
    <xf numFmtId="3" fontId="0" fillId="0" borderId="40" xfId="179" applyNumberFormat="1" applyFont="1" applyFill="1" applyBorder="1"/>
    <xf numFmtId="3" fontId="93" fillId="0" borderId="40" xfId="179" applyNumberFormat="1" applyFont="1" applyFill="1" applyBorder="1"/>
    <xf numFmtId="172" fontId="0" fillId="0" borderId="0" xfId="178" applyNumberFormat="1" applyFont="1" applyBorder="1"/>
    <xf numFmtId="3" fontId="93" fillId="0" borderId="30" xfId="0" applyNumberFormat="1" applyFont="1" applyBorder="1"/>
    <xf numFmtId="3" fontId="0" fillId="0" borderId="2" xfId="0" applyNumberFormat="1" applyBorder="1"/>
    <xf numFmtId="165" fontId="43" fillId="2" borderId="15" xfId="20" applyNumberFormat="1" applyFont="1" applyFill="1" applyBorder="1"/>
    <xf numFmtId="165" fontId="0" fillId="0" borderId="77" xfId="1" applyNumberFormat="1" applyFont="1" applyFill="1" applyBorder="1" applyProtection="1"/>
    <xf numFmtId="165" fontId="5" fillId="0" borderId="78" xfId="1" applyNumberFormat="1" applyFont="1" applyFill="1" applyBorder="1" applyProtection="1"/>
    <xf numFmtId="42" fontId="1" fillId="0" borderId="76" xfId="0" applyNumberFormat="1" applyFont="1" applyFill="1" applyBorder="1" applyProtection="1"/>
    <xf numFmtId="3" fontId="22" fillId="8" borderId="78" xfId="0" applyNumberFormat="1" applyFont="1" applyFill="1" applyBorder="1" applyProtection="1"/>
    <xf numFmtId="165" fontId="1" fillId="0" borderId="79" xfId="1" applyNumberFormat="1" applyFont="1" applyFill="1" applyBorder="1" applyProtection="1"/>
    <xf numFmtId="165" fontId="1" fillId="0" borderId="80" xfId="1" applyNumberFormat="1" applyFont="1" applyFill="1" applyBorder="1" applyProtection="1"/>
    <xf numFmtId="165" fontId="1" fillId="0" borderId="77" xfId="1" applyNumberFormat="1" applyFont="1" applyFill="1" applyBorder="1" applyProtection="1"/>
    <xf numFmtId="42" fontId="5" fillId="0" borderId="78" xfId="0" applyNumberFormat="1" applyFont="1" applyBorder="1" applyProtection="1"/>
    <xf numFmtId="3" fontId="22" fillId="9" borderId="78" xfId="0" applyNumberFormat="1" applyFont="1" applyFill="1" applyBorder="1" applyProtection="1"/>
    <xf numFmtId="42" fontId="1" fillId="0" borderId="76" xfId="0" applyNumberFormat="1" applyFont="1" applyBorder="1" applyProtection="1"/>
    <xf numFmtId="42" fontId="1" fillId="0" borderId="81" xfId="0" applyNumberFormat="1" applyFont="1" applyBorder="1" applyProtection="1"/>
    <xf numFmtId="3" fontId="67" fillId="10" borderId="82" xfId="0" applyNumberFormat="1" applyFont="1" applyFill="1" applyBorder="1" applyProtection="1"/>
    <xf numFmtId="42" fontId="5" fillId="4" borderId="78" xfId="0" applyNumberFormat="1" applyFont="1" applyFill="1" applyBorder="1" applyProtection="1"/>
    <xf numFmtId="3" fontId="22" fillId="11" borderId="78" xfId="0" applyNumberFormat="1" applyFont="1" applyFill="1" applyBorder="1" applyProtection="1"/>
    <xf numFmtId="165" fontId="5" fillId="0" borderId="38" xfId="1" applyNumberFormat="1" applyFont="1" applyFill="1" applyBorder="1" applyProtection="1"/>
    <xf numFmtId="0" fontId="25" fillId="0" borderId="0" xfId="28" applyFont="1" applyBorder="1" applyAlignment="1">
      <alignment horizontal="center"/>
    </xf>
    <xf numFmtId="0" fontId="58" fillId="0" borderId="0" xfId="28"/>
    <xf numFmtId="0" fontId="94" fillId="0" borderId="0" xfId="28" applyFont="1" applyAlignment="1">
      <alignment horizontal="left"/>
    </xf>
    <xf numFmtId="0" fontId="58" fillId="0" borderId="0" xfId="28" applyBorder="1"/>
    <xf numFmtId="0" fontId="24" fillId="0" borderId="0" xfId="28" applyFont="1"/>
    <xf numFmtId="0" fontId="0" fillId="0" borderId="63" xfId="0" applyBorder="1"/>
    <xf numFmtId="3" fontId="0" fillId="0" borderId="53" xfId="0" applyNumberFormat="1" applyFill="1" applyBorder="1" applyProtection="1"/>
    <xf numFmtId="3" fontId="67" fillId="10" borderId="80" xfId="0" applyNumberFormat="1" applyFont="1" applyFill="1" applyBorder="1" applyProtection="1"/>
    <xf numFmtId="42" fontId="5" fillId="4" borderId="81" xfId="0" applyNumberFormat="1" applyFont="1" applyFill="1" applyBorder="1" applyProtection="1"/>
    <xf numFmtId="0" fontId="0" fillId="0" borderId="63" xfId="0" applyFill="1" applyBorder="1"/>
    <xf numFmtId="165" fontId="1" fillId="0" borderId="2" xfId="1" applyNumberFormat="1" applyFont="1" applyBorder="1" applyProtection="1"/>
    <xf numFmtId="165" fontId="1" fillId="0" borderId="65" xfId="1" applyNumberFormat="1" applyFont="1" applyBorder="1" applyProtection="1"/>
    <xf numFmtId="42" fontId="70" fillId="0" borderId="2" xfId="0" applyNumberFormat="1" applyFont="1" applyBorder="1" applyProtection="1"/>
    <xf numFmtId="165" fontId="1" fillId="0" borderId="81" xfId="1" applyNumberFormat="1" applyFont="1" applyFill="1" applyBorder="1" applyProtection="1"/>
    <xf numFmtId="0" fontId="0" fillId="0" borderId="30" xfId="0" applyBorder="1"/>
    <xf numFmtId="0" fontId="0" fillId="0" borderId="46" xfId="0" applyBorder="1" applyAlignment="1">
      <alignment vertical="center"/>
    </xf>
    <xf numFmtId="42" fontId="70" fillId="0" borderId="65" xfId="0" applyNumberFormat="1" applyFont="1" applyBorder="1" applyProtection="1"/>
    <xf numFmtId="185" fontId="5" fillId="0" borderId="0" xfId="0" applyNumberFormat="1" applyFont="1" applyFill="1" applyBorder="1" applyAlignment="1" applyProtection="1">
      <alignment vertical="center"/>
    </xf>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5" fontId="1" fillId="0" borderId="53" xfId="1" applyNumberFormat="1" applyFont="1" applyFill="1" applyBorder="1" applyProtection="1"/>
    <xf numFmtId="165" fontId="1" fillId="0" borderId="44" xfId="1" applyNumberFormat="1" applyFont="1" applyFill="1" applyBorder="1" applyProtection="1"/>
    <xf numFmtId="165" fontId="0" fillId="0" borderId="44" xfId="1" applyNumberFormat="1" applyFont="1" applyFill="1" applyBorder="1" applyProtection="1"/>
    <xf numFmtId="165" fontId="1" fillId="0" borderId="64" xfId="1" applyNumberFormat="1" applyFont="1" applyFill="1" applyBorder="1" applyProtection="1"/>
    <xf numFmtId="175" fontId="12" fillId="0" borderId="0" xfId="177" applyNumberFormat="1" applyFont="1" applyFill="1" applyAlignment="1">
      <alignment horizontal="left"/>
    </xf>
    <xf numFmtId="2" fontId="12" fillId="0" borderId="0" xfId="177" applyNumberFormat="1" applyFont="1" applyFill="1" applyAlignment="1">
      <alignment horizontal="right"/>
    </xf>
    <xf numFmtId="0" fontId="12" fillId="0" borderId="0" xfId="177" applyFont="1" applyAlignment="1">
      <alignment horizontal="left" indent="2"/>
    </xf>
    <xf numFmtId="165" fontId="15" fillId="0" borderId="0" xfId="177" applyNumberFormat="1" applyFont="1" applyBorder="1"/>
    <xf numFmtId="0" fontId="53" fillId="0" borderId="0" xfId="177" applyFont="1" applyAlignment="1">
      <alignment horizontal="left" indent="2"/>
    </xf>
    <xf numFmtId="0" fontId="42" fillId="0" borderId="0" xfId="177" applyFont="1" applyFill="1" applyBorder="1"/>
    <xf numFmtId="165" fontId="42" fillId="0" borderId="28" xfId="177" applyNumberFormat="1" applyFont="1" applyBorder="1"/>
    <xf numFmtId="165" fontId="15" fillId="0" borderId="40" xfId="179" applyNumberFormat="1" applyFont="1" applyBorder="1"/>
    <xf numFmtId="0" fontId="15" fillId="0" borderId="0" xfId="177" applyFont="1" applyFill="1" applyBorder="1" applyAlignment="1">
      <alignment horizontal="left" indent="2"/>
    </xf>
    <xf numFmtId="165" fontId="15" fillId="0" borderId="0" xfId="177" applyNumberFormat="1" applyFont="1" applyBorder="1"/>
    <xf numFmtId="165" fontId="15" fillId="0" borderId="28" xfId="177" applyNumberFormat="1" applyFont="1" applyBorder="1"/>
    <xf numFmtId="165" fontId="42" fillId="0" borderId="0" xfId="179" applyNumberFormat="1" applyFont="1" applyBorder="1"/>
    <xf numFmtId="165" fontId="42" fillId="0" borderId="40" xfId="179" applyNumberFormat="1" applyFont="1" applyBorder="1"/>
    <xf numFmtId="165" fontId="42" fillId="0" borderId="28" xfId="179" applyNumberFormat="1" applyFont="1" applyBorder="1"/>
    <xf numFmtId="0" fontId="12" fillId="0" borderId="0" xfId="177" applyFont="1" applyAlignment="1">
      <alignment horizontal="left" indent="2"/>
    </xf>
    <xf numFmtId="0" fontId="42" fillId="0" borderId="0" xfId="177" applyFont="1" applyFill="1" applyBorder="1"/>
    <xf numFmtId="165" fontId="42" fillId="0" borderId="0" xfId="179" applyNumberFormat="1" applyFont="1" applyBorder="1"/>
    <xf numFmtId="165" fontId="42" fillId="0" borderId="40" xfId="179" applyNumberFormat="1" applyFont="1" applyBorder="1"/>
    <xf numFmtId="165" fontId="42" fillId="0" borderId="28" xfId="179" applyNumberFormat="1" applyFont="1" applyBorder="1"/>
    <xf numFmtId="0" fontId="40" fillId="0" borderId="42" xfId="12" applyFill="1" applyBorder="1" applyAlignment="1"/>
    <xf numFmtId="0" fontId="40" fillId="0" borderId="39" xfId="12" applyFill="1" applyBorder="1" applyAlignment="1"/>
    <xf numFmtId="0" fontId="40" fillId="0" borderId="2" xfId="12" applyFill="1" applyBorder="1" applyAlignment="1"/>
    <xf numFmtId="0" fontId="40" fillId="0" borderId="31" xfId="12" applyFill="1" applyBorder="1" applyAlignment="1"/>
    <xf numFmtId="0" fontId="12" fillId="0" borderId="0" xfId="184" applyFont="1" applyAlignment="1">
      <alignment horizontal="left"/>
    </xf>
    <xf numFmtId="165" fontId="18" fillId="0" borderId="40" xfId="186" applyNumberFormat="1" applyFont="1" applyBorder="1"/>
    <xf numFmtId="165" fontId="95" fillId="0" borderId="28" xfId="184" applyNumberFormat="1" applyBorder="1"/>
    <xf numFmtId="165" fontId="95" fillId="0" borderId="0" xfId="184" applyNumberFormat="1" applyBorder="1"/>
    <xf numFmtId="165" fontId="12" fillId="0" borderId="40" xfId="186" applyNumberFormat="1" applyFont="1" applyBorder="1"/>
    <xf numFmtId="0" fontId="18" fillId="0" borderId="0" xfId="184" applyFont="1" applyAlignment="1">
      <alignment horizontal="left"/>
    </xf>
    <xf numFmtId="165" fontId="42" fillId="0" borderId="0" xfId="186" applyNumberFormat="1" applyFont="1" applyBorder="1"/>
    <xf numFmtId="165" fontId="42" fillId="0" borderId="40" xfId="186" applyNumberFormat="1" applyFont="1" applyBorder="1"/>
    <xf numFmtId="165" fontId="42" fillId="0" borderId="28" xfId="184" applyNumberFormat="1" applyFont="1" applyBorder="1"/>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19" fillId="0" borderId="0" xfId="0" applyFont="1" applyFill="1" applyBorder="1" applyAlignment="1"/>
    <xf numFmtId="172" fontId="0" fillId="0" borderId="0" xfId="7" applyNumberFormat="1" applyFont="1" applyAlignment="1">
      <alignment horizontal="center"/>
    </xf>
    <xf numFmtId="0" fontId="12" fillId="0" borderId="0" xfId="3" applyFont="1" applyAlignment="1">
      <alignment horizontal="center"/>
    </xf>
    <xf numFmtId="0" fontId="98" fillId="0" borderId="28" xfId="9" applyFont="1" applyBorder="1" applyAlignment="1" applyProtection="1">
      <alignment horizontal="center" vertical="top"/>
    </xf>
    <xf numFmtId="0" fontId="98" fillId="0" borderId="0" xfId="9" applyFont="1" applyAlignment="1" applyProtection="1"/>
    <xf numFmtId="0" fontId="98" fillId="0" borderId="0" xfId="9" applyFont="1" applyAlignment="1" applyProtection="1">
      <alignment horizontal="right" wrapText="1"/>
    </xf>
    <xf numFmtId="0" fontId="98" fillId="0" borderId="0" xfId="9" applyFont="1" applyAlignment="1" applyProtection="1">
      <alignment horizontal="center" vertical="top"/>
    </xf>
    <xf numFmtId="0" fontId="95" fillId="0" borderId="0" xfId="184"/>
    <xf numFmtId="0" fontId="42" fillId="0" borderId="0" xfId="184" applyFont="1"/>
    <xf numFmtId="0" fontId="42" fillId="0" borderId="0" xfId="184" applyFont="1" applyFill="1" applyBorder="1" applyAlignment="1">
      <alignment horizontal="right"/>
    </xf>
    <xf numFmtId="0" fontId="95" fillId="0" borderId="28" xfId="184" applyBorder="1"/>
    <xf numFmtId="165" fontId="95" fillId="0" borderId="40" xfId="186" applyNumberFormat="1" applyFont="1" applyBorder="1"/>
    <xf numFmtId="0" fontId="95" fillId="0" borderId="39" xfId="184" applyBorder="1"/>
    <xf numFmtId="165" fontId="95" fillId="0" borderId="41" xfId="186" applyNumberFormat="1" applyFont="1" applyBorder="1"/>
    <xf numFmtId="0" fontId="42" fillId="0" borderId="42" xfId="184" applyFont="1" applyFill="1" applyBorder="1" applyAlignment="1">
      <alignment horizontal="right"/>
    </xf>
    <xf numFmtId="165" fontId="42" fillId="0" borderId="42" xfId="184" applyNumberFormat="1" applyFont="1" applyBorder="1" applyAlignment="1">
      <alignment horizontal="right"/>
    </xf>
    <xf numFmtId="165" fontId="42" fillId="0" borderId="0" xfId="184" applyNumberFormat="1" applyFont="1" applyBorder="1" applyAlignment="1">
      <alignment horizontal="right"/>
    </xf>
    <xf numFmtId="165" fontId="95" fillId="0" borderId="30" xfId="186" applyNumberFormat="1" applyFont="1" applyBorder="1"/>
    <xf numFmtId="9" fontId="36" fillId="0" borderId="2" xfId="187" applyFont="1" applyFill="1" applyBorder="1"/>
    <xf numFmtId="44" fontId="42" fillId="0" borderId="2" xfId="184" applyNumberFormat="1" applyFont="1" applyBorder="1" applyAlignment="1">
      <alignment horizontal="right"/>
    </xf>
    <xf numFmtId="0" fontId="42" fillId="0" borderId="31" xfId="184" quotePrefix="1" applyFont="1" applyBorder="1"/>
    <xf numFmtId="0" fontId="98" fillId="0" borderId="0" xfId="9" applyFont="1" applyFill="1" applyAlignment="1" applyProtection="1">
      <alignment horizontal="center"/>
    </xf>
    <xf numFmtId="0" fontId="23" fillId="0" borderId="0" xfId="9" applyFill="1" applyAlignment="1" applyProtection="1">
      <alignment horizontal="center"/>
    </xf>
    <xf numFmtId="0" fontId="23" fillId="0" borderId="0" xfId="9" applyFill="1" applyBorder="1" applyAlignment="1" applyProtection="1">
      <alignment horizontal="center"/>
    </xf>
    <xf numFmtId="0" fontId="26" fillId="0" borderId="0" xfId="28" applyFont="1" applyFill="1"/>
    <xf numFmtId="8" fontId="26" fillId="0" borderId="0" xfId="28" applyNumberFormat="1" applyFont="1" applyFill="1" applyAlignment="1">
      <alignment horizontal="right"/>
    </xf>
    <xf numFmtId="9" fontId="26" fillId="0" borderId="0" xfId="11" applyFont="1" applyFill="1"/>
    <xf numFmtId="165" fontId="0" fillId="0" borderId="0" xfId="1" applyNumberFormat="1" applyFont="1"/>
    <xf numFmtId="44" fontId="26" fillId="4" borderId="24" xfId="1" applyFont="1" applyFill="1" applyBorder="1" applyAlignment="1">
      <alignment horizontal="right"/>
    </xf>
    <xf numFmtId="44" fontId="26" fillId="0" borderId="24" xfId="1" applyFont="1" applyFill="1" applyBorder="1" applyAlignment="1">
      <alignment horizontal="right"/>
    </xf>
    <xf numFmtId="0" fontId="58" fillId="0" borderId="0" xfId="28"/>
    <xf numFmtId="0" fontId="58" fillId="0" borderId="0" xfId="28" applyFill="1"/>
    <xf numFmtId="0" fontId="58" fillId="0" borderId="0" xfId="28"/>
    <xf numFmtId="166" fontId="0" fillId="0" borderId="0" xfId="8" applyNumberFormat="1" applyFont="1" applyFill="1" applyBorder="1"/>
    <xf numFmtId="166" fontId="0" fillId="0" borderId="0" xfId="8" applyNumberFormat="1" applyFont="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20" xfId="0" applyFont="1" applyFill="1" applyBorder="1" applyAlignment="1">
      <alignment horizontal="center"/>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3" fillId="0" borderId="35" xfId="9" applyFill="1" applyBorder="1" applyAlignment="1" applyProtection="1">
      <alignment horizontal="center" wrapText="1"/>
    </xf>
    <xf numFmtId="0" fontId="95" fillId="0" borderId="0" xfId="184"/>
    <xf numFmtId="42" fontId="42" fillId="0" borderId="0" xfId="184" applyNumberFormat="1" applyFont="1"/>
    <xf numFmtId="165" fontId="95" fillId="0" borderId="0" xfId="184" applyNumberFormat="1"/>
    <xf numFmtId="0" fontId="95" fillId="0" borderId="0" xfId="184" applyFill="1"/>
    <xf numFmtId="165" fontId="18" fillId="0" borderId="0" xfId="186" applyNumberFormat="1" applyFont="1" applyFill="1"/>
    <xf numFmtId="175" fontId="18" fillId="0" borderId="0" xfId="184" applyNumberFormat="1" applyFont="1" applyFill="1" applyAlignment="1">
      <alignment horizontal="center"/>
    </xf>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40" xfId="184" applyBorder="1"/>
    <xf numFmtId="0" fontId="95" fillId="0" borderId="41" xfId="184" applyBorder="1"/>
    <xf numFmtId="165" fontId="95" fillId="0" borderId="41" xfId="186" applyNumberFormat="1" applyFont="1" applyBorder="1" applyAlignment="1">
      <alignment horizontal="right"/>
    </xf>
    <xf numFmtId="165" fontId="95" fillId="0" borderId="40" xfId="186" applyNumberFormat="1" applyFont="1" applyBorder="1" applyAlignment="1">
      <alignment horizontal="right"/>
    </xf>
    <xf numFmtId="165" fontId="95" fillId="0" borderId="30" xfId="186" applyNumberFormat="1" applyFont="1" applyBorder="1" applyAlignment="1">
      <alignment horizontal="right"/>
    </xf>
    <xf numFmtId="0" fontId="95" fillId="0" borderId="30" xfId="184" applyBorder="1"/>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0" xfId="184"/>
    <xf numFmtId="42" fontId="42" fillId="0" borderId="0" xfId="184" applyNumberFormat="1" applyFont="1"/>
    <xf numFmtId="165" fontId="95" fillId="0" borderId="0" xfId="184" applyNumberFormat="1"/>
    <xf numFmtId="0" fontId="95" fillId="0" borderId="0" xfId="184" applyFill="1"/>
    <xf numFmtId="9" fontId="36" fillId="0" borderId="0" xfId="187"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165" fontId="96" fillId="0" borderId="0" xfId="184" applyNumberFormat="1" applyFont="1"/>
    <xf numFmtId="9" fontId="50" fillId="0" borderId="0" xfId="187" applyFont="1" applyFill="1" applyBorder="1"/>
    <xf numFmtId="44" fontId="42" fillId="0" borderId="0" xfId="184" applyNumberFormat="1" applyFont="1" applyAlignment="1">
      <alignment horizontal="right"/>
    </xf>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0" fillId="0" borderId="0" xfId="0" applyBorder="1" applyAlignment="1">
      <alignment horizontal="right"/>
    </xf>
    <xf numFmtId="0" fontId="101" fillId="0" borderId="0" xfId="28" applyFont="1" applyAlignment="1">
      <alignment horizontal="left"/>
    </xf>
    <xf numFmtId="0" fontId="58" fillId="0" borderId="0" xfId="28"/>
    <xf numFmtId="0" fontId="58" fillId="0" borderId="0" xfId="28" applyFill="1" applyBorder="1"/>
    <xf numFmtId="0" fontId="24" fillId="0" borderId="0" xfId="28" applyFont="1" applyAlignment="1">
      <alignment horizontal="left"/>
    </xf>
    <xf numFmtId="0" fontId="97" fillId="0" borderId="0" xfId="28" applyFont="1" applyAlignment="1">
      <alignment horizontal="left"/>
    </xf>
    <xf numFmtId="0" fontId="19" fillId="0" borderId="0" xfId="2" applyFont="1" applyFill="1" applyBorder="1" applyAlignment="1"/>
    <xf numFmtId="0" fontId="95" fillId="0" borderId="0" xfId="184"/>
    <xf numFmtId="0" fontId="95" fillId="0" borderId="0" xfId="184" applyBorder="1"/>
    <xf numFmtId="42" fontId="42" fillId="0" borderId="0" xfId="184" applyNumberFormat="1" applyFont="1"/>
    <xf numFmtId="165" fontId="95" fillId="0" borderId="0" xfId="184" applyNumberFormat="1"/>
    <xf numFmtId="0" fontId="95" fillId="0" borderId="0" xfId="184" applyFill="1"/>
    <xf numFmtId="165" fontId="18" fillId="0" borderId="0" xfId="186" applyNumberFormat="1" applyFont="1" applyFill="1"/>
    <xf numFmtId="175" fontId="18" fillId="0" borderId="0" xfId="184" applyNumberFormat="1" applyFont="1" applyFill="1" applyAlignment="1">
      <alignment horizontal="center"/>
    </xf>
    <xf numFmtId="9" fontId="36" fillId="0" borderId="0" xfId="187" applyFont="1" applyFill="1" applyBorder="1"/>
    <xf numFmtId="165" fontId="18" fillId="0" borderId="0" xfId="186" applyNumberFormat="1" applyFont="1" applyFill="1" applyBorder="1"/>
    <xf numFmtId="42" fontId="95" fillId="0" borderId="0" xfId="184" applyNumberFormat="1" applyFill="1"/>
    <xf numFmtId="165" fontId="95" fillId="0" borderId="0" xfId="184" applyNumberFormat="1" applyFill="1"/>
    <xf numFmtId="0" fontId="42" fillId="0" borderId="0" xfId="184" applyFont="1" applyFill="1"/>
    <xf numFmtId="0" fontId="42" fillId="0" borderId="0" xfId="184" applyFont="1" applyFill="1" applyAlignment="1">
      <alignment horizontal="right"/>
    </xf>
    <xf numFmtId="0" fontId="42" fillId="0" borderId="0" xfId="184" applyFont="1" applyAlignment="1">
      <alignment horizontal="right"/>
    </xf>
    <xf numFmtId="0" fontId="42" fillId="0" borderId="0" xfId="184" quotePrefix="1" applyFont="1"/>
    <xf numFmtId="9" fontId="50" fillId="0" borderId="0" xfId="187" applyFont="1" applyFill="1" applyBorder="1"/>
    <xf numFmtId="44" fontId="42" fillId="0" borderId="0" xfId="184" applyNumberFormat="1" applyFont="1" applyAlignment="1">
      <alignment horizontal="right"/>
    </xf>
    <xf numFmtId="165" fontId="95" fillId="0" borderId="0" xfId="186" applyNumberFormat="1" applyFill="1"/>
    <xf numFmtId="165" fontId="95" fillId="0" borderId="0" xfId="186" applyNumberFormat="1"/>
    <xf numFmtId="3" fontId="42" fillId="0" borderId="0" xfId="184" applyNumberFormat="1" applyFont="1" applyAlignment="1">
      <alignment horizontal="right"/>
    </xf>
    <xf numFmtId="166" fontId="42" fillId="0" borderId="0" xfId="184" applyNumberFormat="1" applyFont="1" applyFill="1" applyAlignment="1">
      <alignment horizontal="right"/>
    </xf>
    <xf numFmtId="0" fontId="95" fillId="0" borderId="0" xfId="184" applyAlignment="1">
      <alignment horizontal="right"/>
    </xf>
    <xf numFmtId="0" fontId="95" fillId="0" borderId="40" xfId="184" applyBorder="1"/>
    <xf numFmtId="165" fontId="95" fillId="0" borderId="0" xfId="184" applyNumberFormat="1" applyFont="1"/>
    <xf numFmtId="0" fontId="95" fillId="0" borderId="41" xfId="184" applyBorder="1"/>
    <xf numFmtId="165" fontId="95" fillId="0" borderId="39" xfId="184" applyNumberFormat="1" applyFill="1" applyBorder="1"/>
    <xf numFmtId="165" fontId="95" fillId="0" borderId="28" xfId="184" applyNumberFormat="1" applyFill="1" applyBorder="1"/>
    <xf numFmtId="165" fontId="95" fillId="0" borderId="31" xfId="184" applyNumberFormat="1" applyFill="1" applyBorder="1"/>
    <xf numFmtId="0" fontId="95" fillId="0" borderId="30" xfId="184" applyBorder="1"/>
    <xf numFmtId="165" fontId="95" fillId="0" borderId="2" xfId="186" applyNumberFormat="1" applyFont="1" applyBorder="1" applyAlignment="1">
      <alignment horizontal="right"/>
    </xf>
    <xf numFmtId="3" fontId="0" fillId="0" borderId="13" xfId="0" applyNumberFormat="1" applyFill="1" applyBorder="1"/>
    <xf numFmtId="0" fontId="25" fillId="0" borderId="0" xfId="0" applyFont="1" applyFill="1" applyAlignment="1">
      <alignment horizontal="right"/>
    </xf>
    <xf numFmtId="169" fontId="34" fillId="0" borderId="0" xfId="10" applyNumberFormat="1" applyFill="1" applyAlignment="1" applyProtection="1">
      <alignment horizontal="right"/>
    </xf>
    <xf numFmtId="169" fontId="26" fillId="0" borderId="0" xfId="0" applyNumberFormat="1" applyFont="1" applyFill="1" applyAlignment="1">
      <alignment horizontal="right"/>
    </xf>
    <xf numFmtId="0" fontId="26" fillId="0" borderId="0" xfId="0" applyFont="1" applyFill="1"/>
    <xf numFmtId="169" fontId="25" fillId="0" borderId="0" xfId="0" applyNumberFormat="1" applyFont="1" applyFill="1" applyAlignment="1">
      <alignment horizontal="right"/>
    </xf>
    <xf numFmtId="0" fontId="75" fillId="0" borderId="0" xfId="28" applyFont="1" applyFill="1" applyBorder="1"/>
    <xf numFmtId="0" fontId="102" fillId="0" borderId="0" xfId="28" applyFont="1" applyFill="1" applyBorder="1" applyAlignment="1">
      <alignment horizontal="center"/>
    </xf>
    <xf numFmtId="0" fontId="24" fillId="0" borderId="0" xfId="0" applyFont="1"/>
    <xf numFmtId="0" fontId="24" fillId="0" borderId="0" xfId="0" applyFont="1"/>
    <xf numFmtId="0" fontId="24" fillId="0" borderId="0" xfId="0" applyFont="1"/>
    <xf numFmtId="0" fontId="24" fillId="0" borderId="0" xfId="0" applyFont="1"/>
    <xf numFmtId="0" fontId="73" fillId="0" borderId="0" xfId="155" applyFont="1"/>
    <xf numFmtId="0" fontId="0" fillId="0" borderId="0" xfId="0"/>
    <xf numFmtId="0" fontId="0" fillId="0" borderId="0" xfId="0" applyAlignment="1">
      <alignment horizontal="left"/>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07" xfId="0" applyFont="1" applyFill="1" applyBorder="1" applyAlignment="1">
      <alignment horizontal="center"/>
    </xf>
    <xf numFmtId="44" fontId="26" fillId="4" borderId="109" xfId="1" applyFont="1" applyFill="1" applyBorder="1" applyAlignment="1">
      <alignment horizontal="right"/>
    </xf>
    <xf numFmtId="44" fontId="26" fillId="0" borderId="109" xfId="1" applyFont="1" applyFill="1" applyBorder="1" applyAlignment="1">
      <alignment horizontal="right"/>
    </xf>
    <xf numFmtId="166" fontId="26" fillId="4" borderId="109" xfId="11" applyNumberFormat="1" applyFont="1" applyFill="1" applyBorder="1" applyAlignment="1">
      <alignment horizontal="right"/>
    </xf>
    <xf numFmtId="166" fontId="26" fillId="0" borderId="109" xfId="11" applyNumberFormat="1" applyFont="1" applyFill="1" applyBorder="1" applyAlignment="1">
      <alignment horizontal="right"/>
    </xf>
    <xf numFmtId="0" fontId="110" fillId="0" borderId="0" xfId="0" applyFont="1" applyAlignment="1">
      <alignment horizontal="left"/>
    </xf>
    <xf numFmtId="0" fontId="0" fillId="0" borderId="0" xfId="0"/>
    <xf numFmtId="0" fontId="24" fillId="0" borderId="0" xfId="0" applyFont="1" applyAlignment="1">
      <alignment horizontal="right"/>
    </xf>
    <xf numFmtId="0" fontId="0" fillId="0" borderId="0" xfId="0"/>
    <xf numFmtId="0" fontId="24" fillId="0" borderId="0" xfId="0" applyFont="1"/>
    <xf numFmtId="0" fontId="24" fillId="0" borderId="0" xfId="0" applyFont="1" applyAlignment="1">
      <alignment horizontal="left"/>
    </xf>
    <xf numFmtId="0" fontId="26" fillId="0" borderId="0" xfId="0" applyFont="1"/>
    <xf numFmtId="0" fontId="26" fillId="0" borderId="0" xfId="0" applyFont="1" applyFill="1" applyBorder="1" applyAlignment="1">
      <alignment horizontal="center"/>
    </xf>
    <xf numFmtId="166" fontId="26" fillId="0" borderId="109" xfId="11" applyNumberFormat="1" applyFont="1" applyFill="1" applyBorder="1" applyAlignment="1">
      <alignment horizontal="right"/>
    </xf>
    <xf numFmtId="44" fontId="26" fillId="4" borderId="109" xfId="40" applyFont="1" applyFill="1" applyBorder="1" applyAlignment="1">
      <alignment horizontal="right"/>
    </xf>
    <xf numFmtId="44" fontId="26" fillId="0" borderId="109" xfId="40" applyFont="1" applyFill="1" applyBorder="1" applyAlignment="1">
      <alignment horizontal="right"/>
    </xf>
    <xf numFmtId="0" fontId="112" fillId="0" borderId="0" xfId="1116" applyFont="1" applyAlignment="1" applyProtection="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07" xfId="0" applyFont="1" applyFill="1" applyBorder="1" applyAlignment="1">
      <alignment horizontal="center"/>
    </xf>
    <xf numFmtId="44" fontId="26" fillId="4" borderId="109" xfId="1" applyFont="1" applyFill="1" applyBorder="1" applyAlignment="1">
      <alignment horizontal="right"/>
    </xf>
    <xf numFmtId="44" fontId="26" fillId="0" borderId="109" xfId="1" applyFont="1" applyFill="1" applyBorder="1" applyAlignment="1">
      <alignment horizontal="right"/>
    </xf>
    <xf numFmtId="0" fontId="24" fillId="0" borderId="0" xfId="0" applyFont="1" applyAlignment="1">
      <alignment horizontal="right"/>
    </xf>
    <xf numFmtId="166" fontId="26" fillId="4" borderId="109" xfId="11" applyNumberFormat="1" applyFont="1" applyFill="1" applyBorder="1" applyAlignment="1">
      <alignment horizontal="right"/>
    </xf>
    <xf numFmtId="166" fontId="26" fillId="0" borderId="109" xfId="11" applyNumberFormat="1" applyFont="1" applyFill="1" applyBorder="1" applyAlignment="1">
      <alignment horizontal="right"/>
    </xf>
    <xf numFmtId="0" fontId="113" fillId="0" borderId="0" xfId="0" applyFont="1" applyAlignment="1">
      <alignment horizontal="left"/>
    </xf>
    <xf numFmtId="0" fontId="0" fillId="0" borderId="0" xfId="0" applyFill="1" applyBorder="1" applyAlignment="1">
      <alignment horizontal="center"/>
    </xf>
    <xf numFmtId="0" fontId="24" fillId="0" borderId="0" xfId="0" applyFont="1"/>
    <xf numFmtId="0" fontId="24" fillId="0" borderId="0" xfId="0" applyFont="1"/>
    <xf numFmtId="0" fontId="26" fillId="0" borderId="19" xfId="0" applyFont="1" applyBorder="1" applyAlignment="1">
      <alignment horizontal="center"/>
    </xf>
    <xf numFmtId="44" fontId="26" fillId="4" borderId="24" xfId="1" applyFont="1" applyFill="1" applyBorder="1" applyAlignment="1">
      <alignment horizontal="right"/>
    </xf>
    <xf numFmtId="44" fontId="26" fillId="0" borderId="24" xfId="1" applyFont="1" applyFill="1" applyBorder="1" applyAlignment="1">
      <alignment horizontal="right"/>
    </xf>
    <xf numFmtId="166" fontId="26" fillId="4" borderId="24" xfId="11" applyNumberFormat="1" applyFont="1" applyFill="1" applyBorder="1" applyAlignment="1">
      <alignment horizontal="right"/>
    </xf>
    <xf numFmtId="166" fontId="26" fillId="0" borderId="24" xfId="11" applyNumberFormat="1" applyFont="1" applyFill="1" applyBorder="1" applyAlignment="1">
      <alignment horizontal="right"/>
    </xf>
    <xf numFmtId="0" fontId="26" fillId="0" borderId="20" xfId="0" applyFont="1" applyFill="1" applyBorder="1" applyAlignment="1">
      <alignment horizontal="center"/>
    </xf>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164" fontId="0" fillId="0" borderId="12" xfId="0" applyNumberFormat="1" applyBorder="1"/>
    <xf numFmtId="0" fontId="28" fillId="0" borderId="0" xfId="0" applyFont="1"/>
    <xf numFmtId="0" fontId="100" fillId="0" borderId="0" xfId="0" applyFont="1" applyFill="1" applyBorder="1" applyAlignment="1">
      <alignment horizontal="center" wrapText="1"/>
    </xf>
    <xf numFmtId="0" fontId="113" fillId="0" borderId="0" xfId="0" applyFont="1"/>
    <xf numFmtId="3" fontId="42" fillId="0" borderId="29" xfId="20" applyNumberFormat="1" applyFont="1" applyFill="1" applyBorder="1"/>
    <xf numFmtId="0" fontId="113" fillId="0" borderId="0" xfId="0" applyFont="1" applyAlignment="1">
      <alignment horizontal="right"/>
    </xf>
    <xf numFmtId="0" fontId="0" fillId="0" borderId="0" xfId="0" applyBorder="1" applyAlignment="1">
      <alignment horizontal="center"/>
    </xf>
    <xf numFmtId="0" fontId="0" fillId="0" borderId="0" xfId="0"/>
    <xf numFmtId="0" fontId="24" fillId="0" borderId="0" xfId="0" applyFont="1"/>
    <xf numFmtId="0" fontId="24" fillId="0" borderId="0" xfId="0" applyFont="1" applyAlignment="1">
      <alignment horizontal="left"/>
    </xf>
    <xf numFmtId="0" fontId="26" fillId="0" borderId="18" xfId="0" applyFont="1" applyFill="1" applyBorder="1" applyAlignment="1">
      <alignment horizontal="center"/>
    </xf>
    <xf numFmtId="0" fontId="26" fillId="0" borderId="197" xfId="0" applyFont="1" applyFill="1" applyBorder="1" applyAlignment="1">
      <alignment horizontal="center"/>
    </xf>
    <xf numFmtId="44" fontId="26" fillId="4" borderId="198" xfId="1" applyFont="1" applyFill="1" applyBorder="1" applyAlignment="1">
      <alignment horizontal="right"/>
    </xf>
    <xf numFmtId="44" fontId="26" fillId="0" borderId="198" xfId="1" applyFont="1" applyFill="1" applyBorder="1" applyAlignment="1">
      <alignment horizontal="right"/>
    </xf>
    <xf numFmtId="0" fontId="28" fillId="0" borderId="0" xfId="0" applyFont="1"/>
    <xf numFmtId="164" fontId="26" fillId="0" borderId="18" xfId="0" applyNumberFormat="1" applyFont="1" applyBorder="1"/>
    <xf numFmtId="166" fontId="26" fillId="4" borderId="198" xfId="11" applyNumberFormat="1" applyFont="1" applyFill="1" applyBorder="1" applyAlignment="1">
      <alignment horizontal="right"/>
    </xf>
    <xf numFmtId="166" fontId="26" fillId="0" borderId="198" xfId="11" applyNumberFormat="1" applyFont="1" applyFill="1" applyBorder="1" applyAlignment="1">
      <alignment horizontal="right"/>
    </xf>
    <xf numFmtId="0" fontId="113" fillId="0" borderId="0" xfId="0" applyFont="1" applyAlignment="1">
      <alignment horizontal="left"/>
    </xf>
    <xf numFmtId="0" fontId="0" fillId="0" borderId="0" xfId="0" applyFont="1"/>
    <xf numFmtId="0" fontId="39" fillId="0" borderId="0" xfId="0" applyFont="1" applyFill="1"/>
    <xf numFmtId="165" fontId="42" fillId="0" borderId="29" xfId="20" applyNumberFormat="1" applyFont="1" applyFill="1" applyBorder="1"/>
    <xf numFmtId="165" fontId="42" fillId="0" borderId="14" xfId="15" applyNumberFormat="1" applyFont="1" applyFill="1" applyBorder="1"/>
    <xf numFmtId="0" fontId="0" fillId="0" borderId="0" xfId="0"/>
    <xf numFmtId="0" fontId="0" fillId="0" borderId="0" xfId="0" applyAlignment="1">
      <alignment horizontal="center"/>
    </xf>
    <xf numFmtId="0" fontId="24" fillId="0" borderId="0" xfId="0" applyFont="1"/>
    <xf numFmtId="0" fontId="24" fillId="0" borderId="0" xfId="0" applyFont="1" applyAlignment="1">
      <alignment horizontal="left"/>
    </xf>
    <xf numFmtId="0" fontId="25" fillId="0" borderId="0" xfId="0" applyFont="1"/>
    <xf numFmtId="0" fontId="26" fillId="0" borderId="18" xfId="0" applyFont="1" applyBorder="1" applyAlignment="1">
      <alignment horizontal="center"/>
    </xf>
    <xf numFmtId="0" fontId="26" fillId="0" borderId="196" xfId="0" applyFont="1" applyBorder="1" applyAlignment="1">
      <alignment horizontal="center"/>
    </xf>
    <xf numFmtId="0" fontId="26" fillId="0" borderId="18" xfId="0" applyFont="1" applyFill="1" applyBorder="1" applyAlignment="1">
      <alignment horizontal="center"/>
    </xf>
    <xf numFmtId="0" fontId="26" fillId="0" borderId="197" xfId="0" applyFont="1" applyFill="1" applyBorder="1" applyAlignment="1">
      <alignment horizontal="center"/>
    </xf>
    <xf numFmtId="44" fontId="26" fillId="4" borderId="198" xfId="1" applyFont="1" applyFill="1" applyBorder="1" applyAlignment="1">
      <alignment horizontal="right"/>
    </xf>
    <xf numFmtId="164" fontId="0" fillId="0" borderId="25" xfId="0" applyNumberFormat="1" applyBorder="1"/>
    <xf numFmtId="44" fontId="26" fillId="0" borderId="198" xfId="1" applyFont="1" applyFill="1" applyBorder="1" applyAlignment="1">
      <alignment horizontal="right"/>
    </xf>
    <xf numFmtId="0" fontId="28" fillId="0" borderId="0" xfId="0" applyFont="1"/>
    <xf numFmtId="166" fontId="26" fillId="4" borderId="198" xfId="11" applyNumberFormat="1" applyFont="1" applyFill="1" applyBorder="1" applyAlignment="1">
      <alignment horizontal="right"/>
    </xf>
    <xf numFmtId="166" fontId="26" fillId="0" borderId="198" xfId="11" applyNumberFormat="1" applyFont="1" applyFill="1" applyBorder="1" applyAlignment="1">
      <alignment horizontal="right"/>
    </xf>
    <xf numFmtId="0" fontId="37" fillId="0" borderId="0" xfId="0" applyFont="1"/>
    <xf numFmtId="0" fontId="24" fillId="0" borderId="0" xfId="0" applyFont="1"/>
    <xf numFmtId="0" fontId="24" fillId="0" borderId="0" xfId="0" applyFont="1" applyAlignment="1">
      <alignment horizontal="right"/>
    </xf>
    <xf numFmtId="42" fontId="1" fillId="0" borderId="81" xfId="0" applyNumberFormat="1" applyFont="1" applyBorder="1" applyProtection="1"/>
    <xf numFmtId="0" fontId="42" fillId="0" borderId="0" xfId="12" applyFont="1" applyFill="1" applyAlignment="1">
      <alignment horizontal="right"/>
    </xf>
    <xf numFmtId="0" fontId="24" fillId="0" borderId="0" xfId="0" applyFont="1"/>
    <xf numFmtId="165" fontId="42" fillId="0" borderId="15" xfId="15" applyNumberFormat="1" applyFont="1" applyFill="1" applyBorder="1"/>
    <xf numFmtId="165" fontId="42" fillId="0" borderId="19" xfId="15" applyNumberFormat="1" applyFont="1" applyFill="1" applyBorder="1"/>
    <xf numFmtId="165" fontId="42" fillId="0" borderId="15" xfId="20" applyNumberFormat="1" applyFont="1" applyFill="1" applyBorder="1"/>
    <xf numFmtId="165" fontId="42" fillId="0" borderId="14" xfId="20" applyNumberFormat="1" applyFont="1" applyFill="1" applyBorder="1"/>
    <xf numFmtId="0" fontId="18" fillId="0" borderId="13" xfId="0" applyFont="1" applyBorder="1"/>
    <xf numFmtId="183" fontId="4" fillId="0" borderId="13" xfId="0" applyNumberFormat="1" applyFont="1" applyBorder="1" applyAlignment="1">
      <alignment horizontal="left"/>
    </xf>
    <xf numFmtId="42" fontId="0" fillId="0" borderId="13" xfId="0" applyNumberFormat="1" applyBorder="1"/>
    <xf numFmtId="3" fontId="5" fillId="0" borderId="13" xfId="0" applyNumberFormat="1" applyFont="1" applyFill="1" applyBorder="1" applyProtection="1"/>
    <xf numFmtId="42" fontId="5" fillId="0" borderId="13" xfId="0" applyNumberFormat="1" applyFont="1" applyFill="1" applyBorder="1" applyProtection="1"/>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19" fillId="0" borderId="0" xfId="0" applyFont="1"/>
    <xf numFmtId="0" fontId="0" fillId="0" borderId="0" xfId="0" applyBorder="1"/>
    <xf numFmtId="0" fontId="24" fillId="0" borderId="0" xfId="0" applyFont="1" applyAlignment="1">
      <alignment horizontal="right"/>
    </xf>
    <xf numFmtId="169" fontId="26" fillId="0" borderId="0" xfId="0" applyNumberFormat="1" applyFont="1" applyAlignment="1">
      <alignment horizontal="right"/>
    </xf>
    <xf numFmtId="0" fontId="26" fillId="0" borderId="0" xfId="0" applyFont="1"/>
    <xf numFmtId="8" fontId="26" fillId="0" borderId="0" xfId="0" applyNumberFormat="1" applyFont="1" applyAlignment="1">
      <alignment horizontal="right"/>
    </xf>
    <xf numFmtId="164" fontId="26" fillId="0" borderId="0" xfId="0" applyNumberFormat="1" applyFont="1" applyAlignment="1">
      <alignment horizontal="right"/>
    </xf>
    <xf numFmtId="0" fontId="39" fillId="0" borderId="0" xfId="0" applyFont="1" applyAlignment="1">
      <alignment horizontal="center"/>
    </xf>
    <xf numFmtId="0" fontId="19" fillId="0" borderId="0" xfId="0" applyFont="1" applyBorder="1"/>
    <xf numFmtId="0" fontId="4" fillId="0" borderId="40" xfId="0" applyFont="1" applyFill="1" applyBorder="1" applyAlignment="1">
      <alignment horizontal="right"/>
    </xf>
    <xf numFmtId="0" fontId="0" fillId="0" borderId="45" xfId="0" applyBorder="1"/>
    <xf numFmtId="0" fontId="14" fillId="0" borderId="0" xfId="0" applyFont="1" applyBorder="1"/>
    <xf numFmtId="0" fontId="0" fillId="0" borderId="52" xfId="0" applyBorder="1"/>
    <xf numFmtId="0" fontId="12" fillId="0" borderId="0" xfId="0" applyFont="1" applyBorder="1"/>
    <xf numFmtId="0" fontId="0" fillId="0" borderId="61" xfId="0" applyBorder="1"/>
    <xf numFmtId="0" fontId="0" fillId="0" borderId="62" xfId="0" applyBorder="1"/>
    <xf numFmtId="0" fontId="71" fillId="0" borderId="0" xfId="0" applyFont="1" applyFill="1" applyBorder="1" applyAlignment="1">
      <alignment vertical="center"/>
    </xf>
    <xf numFmtId="42" fontId="0" fillId="0" borderId="0" xfId="0" applyNumberFormat="1" applyBorder="1"/>
    <xf numFmtId="3" fontId="0" fillId="0" borderId="0" xfId="0" applyNumberFormat="1" applyBorder="1"/>
    <xf numFmtId="42" fontId="0" fillId="0" borderId="44" xfId="0" applyNumberFormat="1" applyFill="1" applyBorder="1" applyProtection="1"/>
    <xf numFmtId="42" fontId="0" fillId="0" borderId="44" xfId="0" applyNumberFormat="1" applyFont="1" applyFill="1" applyBorder="1" applyProtection="1"/>
    <xf numFmtId="185"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42" fontId="0" fillId="0" borderId="65" xfId="0" applyNumberFormat="1" applyFill="1" applyBorder="1" applyProtection="1"/>
    <xf numFmtId="42" fontId="0" fillId="0" borderId="64" xfId="0" applyNumberFormat="1" applyFill="1" applyBorder="1" applyProtection="1"/>
    <xf numFmtId="42" fontId="1" fillId="0" borderId="0" xfId="0" applyNumberFormat="1" applyFont="1" applyBorder="1" applyProtection="1"/>
    <xf numFmtId="3" fontId="1" fillId="0" borderId="0" xfId="0" applyNumberFormat="1" applyFont="1" applyBorder="1" applyProtection="1"/>
    <xf numFmtId="3" fontId="0" fillId="0" borderId="44"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42" fontId="0" fillId="0" borderId="44" xfId="0" applyNumberFormat="1" applyFont="1" applyBorder="1" applyProtection="1"/>
    <xf numFmtId="3" fontId="1" fillId="0" borderId="63" xfId="0" applyNumberFormat="1" applyFont="1" applyBorder="1" applyProtection="1"/>
    <xf numFmtId="42" fontId="0" fillId="0" borderId="53" xfId="0" applyNumberFormat="1" applyFont="1" applyBorder="1" applyProtection="1"/>
    <xf numFmtId="3" fontId="0" fillId="0" borderId="53" xfId="0" applyNumberFormat="1" applyFont="1" applyBorder="1" applyProtection="1"/>
    <xf numFmtId="3" fontId="70" fillId="0" borderId="45" xfId="0" applyNumberFormat="1" applyFont="1" applyBorder="1" applyProtection="1"/>
    <xf numFmtId="42" fontId="0" fillId="14" borderId="44" xfId="0" applyNumberFormat="1" applyFont="1" applyFill="1" applyBorder="1" applyProtection="1"/>
    <xf numFmtId="42" fontId="0" fillId="14" borderId="53" xfId="0" applyNumberFormat="1" applyFont="1" applyFill="1" applyBorder="1" applyProtection="1"/>
    <xf numFmtId="3" fontId="1" fillId="0" borderId="62" xfId="0" applyNumberFormat="1" applyFont="1" applyBorder="1" applyProtection="1"/>
    <xf numFmtId="42" fontId="1" fillId="0" borderId="65" xfId="0" applyNumberFormat="1" applyFont="1" applyBorder="1" applyProtection="1"/>
    <xf numFmtId="3" fontId="1" fillId="0" borderId="65" xfId="0" applyNumberFormat="1" applyFont="1" applyBorder="1" applyProtection="1"/>
    <xf numFmtId="185" fontId="5" fillId="0" borderId="0" xfId="0" applyNumberFormat="1" applyFont="1" applyBorder="1" applyProtection="1"/>
    <xf numFmtId="185" fontId="18" fillId="0" borderId="0" xfId="0" applyNumberFormat="1" applyFont="1" applyFill="1" applyBorder="1" applyAlignment="1" applyProtection="1">
      <alignment vertical="center"/>
    </xf>
    <xf numFmtId="42"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vertical="center"/>
    </xf>
    <xf numFmtId="184" fontId="68" fillId="0" borderId="0" xfId="0" applyNumberFormat="1" applyFont="1" applyFill="1" applyBorder="1" applyAlignment="1" applyProtection="1">
      <alignment vertical="center"/>
    </xf>
    <xf numFmtId="0" fontId="0" fillId="0" borderId="0" xfId="0" applyProtection="1"/>
    <xf numFmtId="42" fontId="0" fillId="0" borderId="0" xfId="0" applyNumberFormat="1" applyAlignment="1" applyProtection="1">
      <alignment horizontal="center"/>
    </xf>
    <xf numFmtId="42" fontId="0" fillId="0" borderId="53" xfId="0" applyNumberFormat="1" applyFill="1" applyBorder="1" applyProtection="1"/>
    <xf numFmtId="10" fontId="0" fillId="0" borderId="0" xfId="8" applyNumberFormat="1" applyFont="1"/>
    <xf numFmtId="165" fontId="6" fillId="0" borderId="77" xfId="1" applyNumberFormat="1" applyFont="1" applyFill="1" applyBorder="1" applyProtection="1"/>
    <xf numFmtId="165" fontId="0" fillId="0" borderId="77" xfId="1" applyNumberFormat="1" applyFont="1" applyFill="1" applyBorder="1" applyProtection="1"/>
    <xf numFmtId="42" fontId="1" fillId="0" borderId="76" xfId="0" applyNumberFormat="1" applyFont="1" applyFill="1" applyBorder="1" applyProtection="1"/>
    <xf numFmtId="165" fontId="1" fillId="0" borderId="79" xfId="1" applyNumberFormat="1" applyFont="1" applyFill="1" applyBorder="1" applyProtection="1"/>
    <xf numFmtId="165" fontId="1" fillId="0" borderId="77" xfId="1" applyNumberFormat="1" applyFont="1" applyFill="1" applyBorder="1" applyProtection="1"/>
    <xf numFmtId="42" fontId="1" fillId="0" borderId="76" xfId="0" applyNumberFormat="1" applyFont="1" applyBorder="1" applyProtection="1"/>
    <xf numFmtId="165" fontId="5" fillId="0" borderId="38" xfId="1" applyNumberFormat="1" applyFont="1" applyFill="1" applyBorder="1" applyProtection="1"/>
    <xf numFmtId="0" fontId="0" fillId="0" borderId="46" xfId="0" applyFill="1" applyBorder="1"/>
    <xf numFmtId="49" fontId="15" fillId="15" borderId="242" xfId="222" applyNumberFormat="1" applyFill="1" applyBorder="1"/>
    <xf numFmtId="165" fontId="15" fillId="15" borderId="199" xfId="206" applyNumberFormat="1" applyFont="1" applyFill="1" applyBorder="1"/>
    <xf numFmtId="165" fontId="15" fillId="15" borderId="199" xfId="222" applyNumberFormat="1" applyFill="1" applyBorder="1"/>
    <xf numFmtId="42" fontId="15" fillId="15" borderId="241" xfId="222" applyNumberFormat="1" applyFill="1" applyBorder="1"/>
    <xf numFmtId="42" fontId="15" fillId="15" borderId="242" xfId="222" applyNumberFormat="1" applyFill="1" applyBorder="1"/>
    <xf numFmtId="42" fontId="15" fillId="15" borderId="240" xfId="222" applyNumberFormat="1" applyFill="1" applyBorder="1"/>
    <xf numFmtId="165" fontId="15" fillId="15" borderId="199" xfId="206" applyNumberFormat="1" applyFont="1" applyFill="1" applyBorder="1"/>
    <xf numFmtId="165" fontId="15" fillId="15" borderId="199" xfId="222" applyNumberFormat="1" applyFill="1" applyBorder="1"/>
    <xf numFmtId="0" fontId="42" fillId="0" borderId="0" xfId="3" applyFont="1" applyFill="1" applyAlignment="1">
      <alignment horizontal="right"/>
    </xf>
    <xf numFmtId="42" fontId="15" fillId="15" borderId="256" xfId="3" applyNumberFormat="1" applyFill="1" applyBorder="1"/>
    <xf numFmtId="42" fontId="15" fillId="15" borderId="257" xfId="3" applyNumberFormat="1" applyFill="1" applyBorder="1"/>
    <xf numFmtId="165" fontId="15" fillId="15" borderId="254" xfId="3" applyNumberFormat="1" applyFill="1" applyBorder="1"/>
    <xf numFmtId="42" fontId="15" fillId="15" borderId="255" xfId="3" applyNumberFormat="1" applyFill="1" applyBorder="1"/>
    <xf numFmtId="0" fontId="42" fillId="0" borderId="0" xfId="3" applyFont="1" applyFill="1" applyAlignment="1">
      <alignment horizontal="right"/>
    </xf>
    <xf numFmtId="42" fontId="15" fillId="15" borderId="268" xfId="3" applyNumberFormat="1" applyFill="1" applyBorder="1"/>
    <xf numFmtId="42" fontId="15" fillId="15" borderId="262" xfId="3" applyNumberFormat="1" applyFill="1" applyBorder="1"/>
    <xf numFmtId="165" fontId="15" fillId="15" borderId="254" xfId="3" applyNumberFormat="1" applyFill="1" applyBorder="1"/>
    <xf numFmtId="42" fontId="15" fillId="15" borderId="267" xfId="3" applyNumberFormat="1" applyFill="1" applyBorder="1"/>
    <xf numFmtId="165" fontId="15" fillId="15" borderId="254" xfId="4" applyNumberFormat="1" applyFont="1" applyFill="1" applyBorder="1"/>
    <xf numFmtId="0" fontId="42" fillId="0" borderId="0" xfId="3" applyFont="1" applyFill="1" applyAlignment="1">
      <alignment horizontal="right"/>
    </xf>
    <xf numFmtId="42" fontId="15" fillId="15" borderId="281" xfId="3" applyNumberFormat="1" applyFill="1" applyBorder="1"/>
    <xf numFmtId="42" fontId="15" fillId="15" borderId="282" xfId="3" applyNumberFormat="1" applyFill="1" applyBorder="1"/>
    <xf numFmtId="165" fontId="15" fillId="15" borderId="254" xfId="3" applyNumberFormat="1" applyFill="1" applyBorder="1"/>
    <xf numFmtId="165" fontId="15" fillId="15" borderId="254" xfId="4" applyNumberFormat="1" applyFont="1" applyFill="1" applyBorder="1"/>
    <xf numFmtId="0" fontId="42" fillId="0" borderId="0" xfId="3" applyFont="1" applyFill="1" applyAlignment="1">
      <alignment horizontal="right"/>
    </xf>
    <xf numFmtId="42" fontId="15" fillId="15" borderId="291" xfId="3" applyNumberFormat="1" applyFill="1" applyBorder="1"/>
    <xf numFmtId="42" fontId="15" fillId="15" borderId="292" xfId="3" applyNumberFormat="1" applyFill="1" applyBorder="1"/>
    <xf numFmtId="165" fontId="15" fillId="15" borderId="254" xfId="3" applyNumberFormat="1" applyFill="1" applyBorder="1"/>
    <xf numFmtId="0" fontId="42" fillId="0" borderId="0" xfId="3" applyFont="1" applyFill="1" applyAlignment="1">
      <alignment horizontal="right"/>
    </xf>
    <xf numFmtId="42" fontId="15" fillId="15" borderId="297" xfId="3" applyNumberFormat="1" applyFill="1" applyBorder="1"/>
    <xf numFmtId="42" fontId="15" fillId="15" borderId="298" xfId="3" applyNumberFormat="1" applyFill="1" applyBorder="1"/>
    <xf numFmtId="165" fontId="15" fillId="15" borderId="254" xfId="3" applyNumberFormat="1" applyFill="1" applyBorder="1"/>
    <xf numFmtId="165" fontId="15" fillId="15" borderId="254" xfId="4" applyNumberFormat="1" applyFont="1" applyFill="1" applyBorder="1"/>
    <xf numFmtId="0" fontId="0" fillId="0" borderId="0" xfId="0" applyFill="1"/>
    <xf numFmtId="0" fontId="15" fillId="0" borderId="0" xfId="3" applyFill="1"/>
    <xf numFmtId="0" fontId="42" fillId="0" borderId="0" xfId="3" applyFont="1" applyFill="1" applyAlignment="1">
      <alignment horizontal="right"/>
    </xf>
    <xf numFmtId="42" fontId="15" fillId="15" borderId="307" xfId="3" applyNumberFormat="1" applyFill="1" applyBorder="1"/>
    <xf numFmtId="42" fontId="15" fillId="15" borderId="308" xfId="3" applyNumberFormat="1" applyFill="1" applyBorder="1"/>
    <xf numFmtId="165" fontId="15" fillId="15" borderId="254" xfId="3" applyNumberFormat="1" applyFill="1" applyBorder="1"/>
    <xf numFmtId="165" fontId="15" fillId="15" borderId="254" xfId="4" applyNumberFormat="1" applyFont="1" applyFill="1" applyBorder="1"/>
    <xf numFmtId="0" fontId="103" fillId="0" borderId="0" xfId="0" applyFont="1" applyAlignment="1">
      <alignment horizontal="right"/>
    </xf>
    <xf numFmtId="9" fontId="27" fillId="0" borderId="0" xfId="11" applyFont="1" applyFill="1" applyBorder="1"/>
    <xf numFmtId="9" fontId="26" fillId="0" borderId="0" xfId="11" applyFont="1" applyFill="1" applyBorder="1"/>
    <xf numFmtId="169" fontId="58" fillId="0" borderId="0" xfId="28" applyNumberFormat="1" applyFill="1" applyBorder="1"/>
    <xf numFmtId="171" fontId="26" fillId="0" borderId="0" xfId="28" applyNumberFormat="1" applyFont="1" applyFill="1" applyBorder="1"/>
    <xf numFmtId="173" fontId="27" fillId="0" borderId="0" xfId="30" applyNumberFormat="1" applyFont="1" applyFill="1" applyBorder="1"/>
    <xf numFmtId="0" fontId="0" fillId="0" borderId="0" xfId="0" applyFont="1" applyAlignment="1">
      <alignment horizontal="right"/>
    </xf>
    <xf numFmtId="9" fontId="26" fillId="0" borderId="0" xfId="28" applyNumberFormat="1" applyFont="1" applyFill="1" applyBorder="1"/>
    <xf numFmtId="0" fontId="58" fillId="0" borderId="0" xfId="28" applyFill="1" applyBorder="1" applyAlignment="1">
      <alignment horizontal="right"/>
    </xf>
    <xf numFmtId="10" fontId="27" fillId="0" borderId="0" xfId="11" applyNumberFormat="1" applyFont="1" applyFill="1" applyBorder="1"/>
    <xf numFmtId="0" fontId="116" fillId="0" borderId="0" xfId="9" applyFont="1" applyAlignment="1" applyProtection="1">
      <alignment horizontal="right" wrapText="1"/>
    </xf>
    <xf numFmtId="164" fontId="0" fillId="0" borderId="0" xfId="0" applyNumberFormat="1" applyFont="1" applyAlignment="1">
      <alignment horizontal="center"/>
    </xf>
    <xf numFmtId="0" fontId="30" fillId="0" borderId="0" xfId="28" applyFont="1" applyFill="1"/>
    <xf numFmtId="0" fontId="6" fillId="0" borderId="0" xfId="0" applyFont="1" applyAlignment="1">
      <alignment wrapText="1"/>
    </xf>
    <xf numFmtId="0" fontId="66" fillId="0" borderId="0" xfId="0" applyFont="1" applyFill="1" applyBorder="1" applyAlignment="1"/>
    <xf numFmtId="164" fontId="6" fillId="0" borderId="0" xfId="0" applyNumberFormat="1" applyFont="1" applyAlignment="1">
      <alignment horizontal="center"/>
    </xf>
    <xf numFmtId="165" fontId="6" fillId="0" borderId="0" xfId="5" applyNumberFormat="1" applyFont="1"/>
    <xf numFmtId="172" fontId="26" fillId="0" borderId="0" xfId="28" applyNumberFormat="1" applyFont="1" applyFill="1" applyBorder="1"/>
    <xf numFmtId="164" fontId="58" fillId="0" borderId="0" xfId="28" applyNumberFormat="1" applyFill="1" applyBorder="1"/>
    <xf numFmtId="171" fontId="58" fillId="0" borderId="0" xfId="28" applyNumberFormat="1" applyFill="1" applyBorder="1" applyAlignment="1">
      <alignment horizontal="right"/>
    </xf>
    <xf numFmtId="171" fontId="58" fillId="0" borderId="0" xfId="28" applyNumberFormat="1" applyFill="1" applyBorder="1"/>
    <xf numFmtId="2" fontId="31" fillId="0" borderId="0" xfId="28" applyNumberFormat="1" applyFont="1" applyFill="1" applyBorder="1" applyAlignment="1">
      <alignment horizontal="center"/>
    </xf>
    <xf numFmtId="0" fontId="115" fillId="0" borderId="0" xfId="28" applyFont="1"/>
    <xf numFmtId="168" fontId="27" fillId="0" borderId="0" xfId="30" applyNumberFormat="1" applyFont="1" applyFill="1" applyBorder="1"/>
    <xf numFmtId="170" fontId="58" fillId="0" borderId="0" xfId="28" applyNumberFormat="1" applyFill="1" applyBorder="1"/>
    <xf numFmtId="0" fontId="58" fillId="0" borderId="0" xfId="28" applyFill="1" applyBorder="1" applyAlignment="1">
      <alignment horizontal="center"/>
    </xf>
    <xf numFmtId="174" fontId="58" fillId="0" borderId="0" xfId="28" applyNumberFormat="1" applyFill="1" applyBorder="1"/>
    <xf numFmtId="0" fontId="0" fillId="0" borderId="0" xfId="0" applyFont="1" applyAlignment="1">
      <alignment wrapText="1"/>
    </xf>
    <xf numFmtId="0" fontId="0" fillId="0" borderId="0" xfId="0" applyFill="1" applyBorder="1"/>
    <xf numFmtId="0" fontId="26" fillId="0" borderId="0" xfId="28" applyFont="1" applyFill="1" applyBorder="1"/>
    <xf numFmtId="0" fontId="58" fillId="0" borderId="0" xfId="28" applyFill="1" applyBorder="1"/>
    <xf numFmtId="0" fontId="28" fillId="0" borderId="0" xfId="28" applyFont="1"/>
    <xf numFmtId="0" fontId="24" fillId="0" borderId="0" xfId="28" applyFont="1" applyAlignment="1">
      <alignment horizontal="right"/>
    </xf>
    <xf numFmtId="0" fontId="39" fillId="0" borderId="0" xfId="0" applyFont="1"/>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68" fontId="26" fillId="0" borderId="0" xfId="28" applyNumberFormat="1" applyFont="1" applyFill="1" applyBorder="1"/>
    <xf numFmtId="0" fontId="26" fillId="0" borderId="0" xfId="28" applyFont="1" applyFill="1" applyBorder="1"/>
    <xf numFmtId="0" fontId="58" fillId="0" borderId="0" xfId="28" applyFill="1" applyBorder="1"/>
    <xf numFmtId="0" fontId="24" fillId="0" borderId="0" xfId="28" applyFont="1" applyAlignment="1">
      <alignment horizontal="right"/>
    </xf>
    <xf numFmtId="168" fontId="26" fillId="0" borderId="0" xfId="28" applyNumberFormat="1" applyFont="1" applyFill="1" applyBorder="1"/>
    <xf numFmtId="165" fontId="6" fillId="0" borderId="0" xfId="5" applyNumberFormat="1" applyFont="1" applyAlignment="1">
      <alignment wrapText="1"/>
    </xf>
    <xf numFmtId="0" fontId="0" fillId="0" borderId="0" xfId="0" applyFont="1" applyAlignment="1">
      <alignment horizontal="center"/>
    </xf>
    <xf numFmtId="0" fontId="26" fillId="0" borderId="0" xfId="28" applyFont="1" applyFill="1" applyBorder="1"/>
    <xf numFmtId="0" fontId="58" fillId="0" borderId="0" xfId="28" applyFill="1" applyBorder="1"/>
    <xf numFmtId="0" fontId="24" fillId="0" borderId="0" xfId="28" applyFont="1" applyAlignment="1">
      <alignment horizontal="right"/>
    </xf>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68" fontId="26" fillId="0" borderId="0" xfId="28" applyNumberFormat="1" applyFont="1" applyFill="1" applyBorder="1"/>
    <xf numFmtId="165" fontId="6" fillId="0" borderId="0" xfId="5" applyNumberFormat="1" applyFont="1" applyFill="1"/>
    <xf numFmtId="0" fontId="6" fillId="0" borderId="0" xfId="0" applyFont="1"/>
    <xf numFmtId="0" fontId="0" fillId="0" borderId="0" xfId="0" applyFont="1"/>
    <xf numFmtId="0" fontId="0" fillId="0" borderId="0" xfId="0" applyFont="1" applyFill="1"/>
    <xf numFmtId="0" fontId="0" fillId="0" borderId="0" xfId="0" applyFont="1"/>
    <xf numFmtId="0" fontId="0" fillId="0" borderId="0" xfId="0" applyFill="1" applyBorder="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0" fontId="24" fillId="0" borderId="0" xfId="28" applyFont="1" applyFill="1" applyBorder="1"/>
    <xf numFmtId="0" fontId="24" fillId="0" borderId="0" xfId="28" applyFont="1" applyFill="1" applyBorder="1" applyAlignment="1">
      <alignment horizontal="center"/>
    </xf>
    <xf numFmtId="173" fontId="26" fillId="0" borderId="0" xfId="28" applyNumberFormat="1" applyFont="1" applyFill="1" applyBorder="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173" fontId="26" fillId="0" borderId="0" xfId="28" applyNumberFormat="1" applyFont="1" applyFill="1" applyBorder="1"/>
    <xf numFmtId="0" fontId="58" fillId="0" borderId="0" xfId="28" applyFill="1"/>
    <xf numFmtId="0" fontId="26" fillId="0" borderId="0" xfId="28" applyFont="1" applyFill="1" applyBorder="1"/>
    <xf numFmtId="0" fontId="58" fillId="0" borderId="0" xfId="28" applyFill="1" applyBorder="1"/>
    <xf numFmtId="0" fontId="26" fillId="0" borderId="0" xfId="28" applyFont="1" applyFill="1"/>
    <xf numFmtId="9" fontId="26" fillId="0" borderId="0" xfId="11" applyFont="1" applyFill="1"/>
    <xf numFmtId="173" fontId="26" fillId="0" borderId="0" xfId="28" applyNumberFormat="1" applyFont="1" applyFill="1" applyBorder="1"/>
    <xf numFmtId="0" fontId="26" fillId="0" borderId="0" xfId="28" applyFont="1" applyFill="1" applyBorder="1"/>
    <xf numFmtId="0" fontId="58" fillId="0" borderId="0" xfId="28" applyFill="1" applyBorder="1"/>
    <xf numFmtId="0" fontId="24" fillId="0" borderId="0" xfId="28" applyFont="1" applyFill="1" applyBorder="1"/>
    <xf numFmtId="0" fontId="24" fillId="0" borderId="0" xfId="28" applyFont="1" applyFill="1" applyBorder="1" applyAlignment="1">
      <alignment horizontal="center"/>
    </xf>
    <xf numFmtId="173" fontId="26" fillId="0" borderId="0" xfId="28" applyNumberFormat="1" applyFont="1" applyFill="1" applyBorder="1"/>
    <xf numFmtId="164" fontId="12" fillId="0" borderId="0" xfId="2" applyNumberFormat="1" applyAlignment="1">
      <alignment horizontal="center"/>
    </xf>
    <xf numFmtId="0" fontId="0" fillId="0" borderId="76" xfId="0" applyBorder="1"/>
    <xf numFmtId="0" fontId="0" fillId="0" borderId="0" xfId="0"/>
    <xf numFmtId="0" fontId="0" fillId="0" borderId="0" xfId="0" applyAlignment="1">
      <alignment wrapText="1"/>
    </xf>
    <xf numFmtId="164" fontId="0" fillId="0" borderId="0" xfId="0" applyNumberFormat="1" applyAlignment="1">
      <alignment horizontal="center"/>
    </xf>
    <xf numFmtId="0" fontId="4" fillId="0" borderId="0" xfId="0" applyFont="1" applyAlignment="1">
      <alignment wrapText="1"/>
    </xf>
    <xf numFmtId="0" fontId="0" fillId="0" borderId="0" xfId="0" applyAlignment="1">
      <alignment horizontal="center"/>
    </xf>
    <xf numFmtId="0" fontId="0" fillId="0" borderId="0" xfId="0" applyFill="1"/>
    <xf numFmtId="0" fontId="13" fillId="0" borderId="0" xfId="0" applyFont="1" applyAlignment="1">
      <alignment horizontal="right" wrapText="1"/>
    </xf>
    <xf numFmtId="0" fontId="13" fillId="0" borderId="0" xfId="0" applyFont="1" applyFill="1" applyAlignment="1">
      <alignment horizontal="right" wrapText="1"/>
    </xf>
    <xf numFmtId="0" fontId="19" fillId="0" borderId="0" xfId="0" applyFont="1" applyFill="1" applyBorder="1" applyAlignment="1">
      <alignment horizontal="center"/>
    </xf>
    <xf numFmtId="0" fontId="2" fillId="0" borderId="0" xfId="0" applyFont="1"/>
    <xf numFmtId="164" fontId="2" fillId="0" borderId="0" xfId="0" applyNumberFormat="1" applyFont="1" applyAlignment="1">
      <alignment horizontal="left"/>
    </xf>
    <xf numFmtId="0" fontId="4" fillId="0" borderId="0" xfId="0" applyFont="1"/>
    <xf numFmtId="0" fontId="19" fillId="0" borderId="0" xfId="0" applyFont="1"/>
    <xf numFmtId="0" fontId="13" fillId="0" borderId="0" xfId="6" applyFont="1" applyAlignment="1">
      <alignment horizontal="right" wrapText="1"/>
    </xf>
    <xf numFmtId="0" fontId="19" fillId="0" borderId="0" xfId="0" applyFont="1" applyFill="1" applyBorder="1" applyAlignment="1"/>
    <xf numFmtId="0" fontId="98" fillId="0" borderId="0" xfId="9" applyFont="1" applyAlignment="1" applyProtection="1">
      <alignment horizontal="right" wrapText="1"/>
    </xf>
    <xf numFmtId="0" fontId="103" fillId="0" borderId="0" xfId="0" applyFont="1" applyAlignment="1">
      <alignment horizontal="right"/>
    </xf>
    <xf numFmtId="0" fontId="58" fillId="0" borderId="0" xfId="28"/>
    <xf numFmtId="0" fontId="0" fillId="0" borderId="0" xfId="0" applyAlignment="1">
      <alignment wrapText="1"/>
    </xf>
    <xf numFmtId="0" fontId="12" fillId="0" borderId="0" xfId="0" applyFont="1" applyAlignment="1">
      <alignment horizontal="center" wrapText="1"/>
    </xf>
    <xf numFmtId="0" fontId="0"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6" fillId="0" borderId="0" xfId="2" applyFont="1" applyAlignment="1">
      <alignment horizontal="center"/>
    </xf>
    <xf numFmtId="0" fontId="99" fillId="0" borderId="0" xfId="2" applyFont="1" applyFill="1" applyAlignment="1">
      <alignment horizontal="center" wrapText="1"/>
    </xf>
    <xf numFmtId="0" fontId="6" fillId="0" borderId="0" xfId="2" applyFont="1" applyAlignment="1">
      <alignment horizontal="center" wrapText="1"/>
    </xf>
    <xf numFmtId="0" fontId="6" fillId="0" borderId="0" xfId="2" applyFont="1" applyAlignment="1">
      <alignment horizontal="center" vertical="center"/>
    </xf>
    <xf numFmtId="0" fontId="6" fillId="0" borderId="0" xfId="2" applyFont="1" applyAlignment="1">
      <alignment horizontal="center" vertical="center" wrapText="1"/>
    </xf>
    <xf numFmtId="0" fontId="99" fillId="0" borderId="0" xfId="0" applyFont="1" applyFill="1" applyAlignment="1">
      <alignment horizontal="right" wrapText="1"/>
    </xf>
    <xf numFmtId="0" fontId="99" fillId="0" borderId="0" xfId="0" applyFont="1" applyFill="1" applyAlignment="1">
      <alignment horizontal="center" wrapText="1"/>
    </xf>
    <xf numFmtId="0" fontId="99" fillId="0" borderId="0" xfId="0" applyFont="1" applyFill="1" applyAlignment="1">
      <alignment horizontal="center" vertical="center" wrapText="1"/>
    </xf>
    <xf numFmtId="0" fontId="99" fillId="0" borderId="0" xfId="2" applyFont="1" applyAlignment="1">
      <alignment horizontal="center" wrapText="1"/>
    </xf>
    <xf numFmtId="0" fontId="99" fillId="0" borderId="0" xfId="0" applyFont="1" applyAlignment="1">
      <alignment horizontal="center" wrapText="1"/>
    </xf>
    <xf numFmtId="0" fontId="6" fillId="0" borderId="0" xfId="28" applyFont="1" applyAlignment="1">
      <alignment horizontal="center" wrapText="1"/>
    </xf>
    <xf numFmtId="0" fontId="6" fillId="0" borderId="0" xfId="28" applyFont="1" applyAlignment="1">
      <alignment horizontal="center" vertical="center" wrapText="1"/>
    </xf>
    <xf numFmtId="0" fontId="24" fillId="0" borderId="0" xfId="28" applyFont="1" applyFill="1"/>
    <xf numFmtId="0" fontId="24" fillId="0" borderId="0" xfId="28" applyFont="1" applyFill="1" applyAlignment="1">
      <alignment horizontal="left"/>
    </xf>
    <xf numFmtId="0" fontId="94" fillId="0" borderId="0" xfId="28" applyFont="1" applyFill="1" applyBorder="1" applyAlignment="1">
      <alignment horizontal="left"/>
    </xf>
    <xf numFmtId="0" fontId="24" fillId="0" borderId="0" xfId="28" applyFont="1" applyFill="1" applyBorder="1" applyAlignment="1">
      <alignment horizontal="left"/>
    </xf>
    <xf numFmtId="165" fontId="6" fillId="0" borderId="0" xfId="5" applyNumberFormat="1" applyFont="1" applyAlignment="1">
      <alignment horizontal="center" wrapText="1"/>
    </xf>
    <xf numFmtId="165" fontId="6" fillId="0" borderId="0" xfId="5" applyNumberFormat="1" applyFont="1" applyAlignment="1">
      <alignment horizontal="center" vertical="center" wrapText="1"/>
    </xf>
    <xf numFmtId="0" fontId="0" fillId="0" borderId="0" xfId="0" applyAlignment="1">
      <alignment horizontal="center" vertical="center" wrapText="1"/>
    </xf>
    <xf numFmtId="0" fontId="28" fillId="0" borderId="0" xfId="28" applyFont="1" applyFill="1"/>
    <xf numFmtId="0" fontId="6" fillId="0" borderId="0" xfId="17" applyNumberFormat="1" applyFont="1" applyAlignment="1" applyProtection="1">
      <alignment horizontal="center" wrapText="1"/>
      <protection locked="0"/>
    </xf>
    <xf numFmtId="0" fontId="100" fillId="15" borderId="1" xfId="0" applyFont="1" applyFill="1" applyBorder="1" applyAlignment="1">
      <alignment wrapText="1"/>
    </xf>
    <xf numFmtId="0" fontId="6" fillId="0" borderId="0" xfId="23" applyNumberFormat="1" applyFont="1" applyAlignment="1" applyProtection="1">
      <alignment horizontal="center" vertical="center" wrapText="1"/>
      <protection locked="0"/>
    </xf>
    <xf numFmtId="0" fontId="100" fillId="0" borderId="0" xfId="0" applyFont="1" applyFill="1" applyBorder="1" applyAlignment="1">
      <alignment wrapText="1"/>
    </xf>
    <xf numFmtId="0" fontId="0" fillId="0" borderId="0" xfId="0" applyFont="1" applyFill="1" applyAlignment="1">
      <alignment horizontal="center" vertical="center" wrapText="1"/>
    </xf>
    <xf numFmtId="0" fontId="6" fillId="0" borderId="0" xfId="17" applyNumberFormat="1" applyFont="1" applyAlignment="1" applyProtection="1">
      <alignment horizontal="center" vertical="center" wrapText="1"/>
      <protection locked="0"/>
    </xf>
    <xf numFmtId="0" fontId="0" fillId="0" borderId="0" xfId="0" applyFont="1" applyFill="1" applyAlignment="1">
      <alignment horizontal="center" wrapText="1"/>
    </xf>
    <xf numFmtId="0" fontId="6" fillId="0" borderId="0" xfId="23" applyNumberFormat="1" applyFont="1" applyAlignment="1" applyProtection="1">
      <alignment horizontal="center" wrapText="1"/>
      <protection locked="0"/>
    </xf>
    <xf numFmtId="0" fontId="0" fillId="0" borderId="0" xfId="0"/>
    <xf numFmtId="0" fontId="0" fillId="0" borderId="0" xfId="0" applyAlignment="1">
      <alignment horizontal="center"/>
    </xf>
    <xf numFmtId="0" fontId="12" fillId="0" borderId="0" xfId="0" applyFont="1" applyAlignment="1">
      <alignment horizontal="right"/>
    </xf>
    <xf numFmtId="0" fontId="0" fillId="0" borderId="0" xfId="0" applyAlignment="1">
      <alignment horizontal="center" wrapText="1"/>
    </xf>
    <xf numFmtId="0" fontId="24" fillId="5" borderId="14" xfId="0" applyFont="1" applyFill="1" applyBorder="1" applyAlignment="1">
      <alignment horizontal="center"/>
    </xf>
    <xf numFmtId="0" fontId="26" fillId="6" borderId="21" xfId="0" applyFont="1" applyFill="1" applyBorder="1" applyAlignment="1">
      <alignment horizontal="center" wrapText="1"/>
    </xf>
    <xf numFmtId="16" fontId="26" fillId="0" borderId="103" xfId="0" applyNumberFormat="1" applyFont="1" applyBorder="1" applyAlignment="1">
      <alignment horizontal="center"/>
    </xf>
    <xf numFmtId="0" fontId="24" fillId="5" borderId="104" xfId="0" applyFont="1" applyFill="1" applyBorder="1" applyAlignment="1">
      <alignment horizontal="center"/>
    </xf>
    <xf numFmtId="0" fontId="24" fillId="5" borderId="105" xfId="0" applyFont="1" applyFill="1" applyBorder="1" applyAlignment="1">
      <alignment horizontal="center"/>
    </xf>
    <xf numFmtId="0" fontId="26" fillId="6" borderId="106" xfId="0" applyFont="1" applyFill="1" applyBorder="1" applyAlignment="1">
      <alignment horizontal="center" wrapText="1"/>
    </xf>
    <xf numFmtId="16" fontId="26" fillId="0" borderId="13" xfId="28" applyNumberFormat="1" applyFont="1" applyBorder="1" applyAlignment="1">
      <alignment horizontal="center"/>
    </xf>
    <xf numFmtId="0" fontId="27" fillId="0" borderId="0" xfId="0" applyFont="1" applyAlignment="1">
      <alignment horizontal="center" wrapText="1"/>
    </xf>
    <xf numFmtId="0" fontId="27" fillId="0" borderId="0" xfId="0" applyFont="1" applyAlignment="1">
      <alignment horizontal="center" vertical="center" wrapText="1"/>
    </xf>
    <xf numFmtId="0" fontId="91" fillId="0" borderId="0" xfId="0" applyFont="1" applyAlignment="1">
      <alignment horizontal="center" wrapText="1"/>
    </xf>
    <xf numFmtId="0" fontId="91" fillId="0" borderId="0" xfId="0" applyFont="1" applyAlignment="1">
      <alignment horizontal="center" vertical="center" wrapText="1"/>
    </xf>
    <xf numFmtId="0" fontId="27" fillId="0" borderId="0" xfId="0" applyFont="1" applyFill="1" applyAlignment="1">
      <alignment horizontal="center" wrapText="1"/>
    </xf>
    <xf numFmtId="0" fontId="27" fillId="0" borderId="0" xfId="0" applyFont="1" applyFill="1" applyAlignment="1">
      <alignment horizontal="center" vertical="center" wrapText="1"/>
    </xf>
    <xf numFmtId="49" fontId="117" fillId="0" borderId="0" xfId="22" applyNumberFormat="1" applyFont="1" applyAlignment="1">
      <alignment horizontal="center"/>
    </xf>
    <xf numFmtId="0" fontId="1" fillId="0" borderId="0" xfId="3" applyFont="1" applyBorder="1" applyAlignment="1">
      <alignment horizontal="left" indent="2"/>
    </xf>
    <xf numFmtId="165" fontId="15" fillId="0" borderId="40" xfId="22" applyNumberFormat="1" applyBorder="1"/>
    <xf numFmtId="0" fontId="0" fillId="0" borderId="0" xfId="0" applyAlignment="1">
      <alignment horizontal="center"/>
    </xf>
    <xf numFmtId="0" fontId="0" fillId="0" borderId="0" xfId="0" applyFill="1"/>
    <xf numFmtId="0" fontId="13" fillId="0" borderId="0" xfId="0" applyFont="1" applyFill="1" applyAlignment="1">
      <alignment horizontal="right" wrapText="1"/>
    </xf>
    <xf numFmtId="0" fontId="0" fillId="0" borderId="0" xfId="0"/>
    <xf numFmtId="0" fontId="13" fillId="0" borderId="0" xfId="0" applyFont="1" applyAlignment="1">
      <alignment horizontal="right" wrapText="1"/>
    </xf>
    <xf numFmtId="0" fontId="0" fillId="0" borderId="0" xfId="0"/>
    <xf numFmtId="0" fontId="0" fillId="0" borderId="0" xfId="0" applyAlignment="1">
      <alignment horizontal="center"/>
    </xf>
    <xf numFmtId="16" fontId="26" fillId="0" borderId="13" xfId="0" applyNumberFormat="1" applyFont="1" applyBorder="1" applyAlignment="1">
      <alignment horizontal="center"/>
    </xf>
    <xf numFmtId="16" fontId="26" fillId="0" borderId="13" xfId="28" applyNumberFormat="1" applyFont="1" applyBorder="1" applyAlignment="1">
      <alignment horizontal="center"/>
    </xf>
    <xf numFmtId="165" fontId="26" fillId="13" borderId="18" xfId="1" applyNumberFormat="1" applyFont="1" applyFill="1" applyBorder="1" applyAlignment="1">
      <alignment horizontal="center"/>
    </xf>
    <xf numFmtId="165" fontId="26" fillId="13" borderId="19" xfId="1" applyNumberFormat="1" applyFont="1" applyFill="1" applyBorder="1" applyAlignment="1">
      <alignment horizontal="center"/>
    </xf>
    <xf numFmtId="165" fontId="26" fillId="13" borderId="20" xfId="1" applyNumberFormat="1" applyFont="1" applyFill="1" applyBorder="1" applyAlignment="1">
      <alignment horizontal="center"/>
    </xf>
    <xf numFmtId="172" fontId="26" fillId="13" borderId="20" xfId="7" applyNumberFormat="1" applyFont="1" applyFill="1" applyBorder="1" applyAlignment="1">
      <alignment horizontal="center" wrapText="1"/>
    </xf>
    <xf numFmtId="9" fontId="26" fillId="0" borderId="0" xfId="8" applyFont="1" applyFill="1"/>
    <xf numFmtId="9" fontId="26" fillId="0" borderId="0" xfId="8" applyFont="1" applyFill="1" applyBorder="1"/>
    <xf numFmtId="0" fontId="120" fillId="40" borderId="443" xfId="8201" applyFont="1" applyFill="1" applyBorder="1" applyAlignment="1" applyProtection="1">
      <alignment horizontal="left" vertical="center" indent="1"/>
      <protection locked="0"/>
    </xf>
    <xf numFmtId="0" fontId="0" fillId="0" borderId="76" xfId="0" applyBorder="1" applyAlignment="1">
      <alignment horizontal="left" indent="2"/>
    </xf>
    <xf numFmtId="169" fontId="25" fillId="0" borderId="0" xfId="0" applyNumberFormat="1" applyFont="1" applyFill="1" applyBorder="1" applyAlignment="1">
      <alignment horizontal="right"/>
    </xf>
    <xf numFmtId="169" fontId="0" fillId="0" borderId="442" xfId="0" applyNumberFormat="1" applyBorder="1" applyAlignment="1">
      <alignment horizontal="right"/>
    </xf>
    <xf numFmtId="1" fontId="0" fillId="0" borderId="0" xfId="0" applyNumberFormat="1" applyFont="1" applyFill="1" applyBorder="1" applyAlignment="1">
      <alignment horizontal="center" vertical="center" wrapText="1"/>
    </xf>
    <xf numFmtId="1" fontId="6" fillId="0" borderId="0" xfId="2" applyNumberFormat="1" applyFont="1" applyFill="1" applyBorder="1" applyAlignment="1">
      <alignment horizontal="center" vertical="center" wrapText="1"/>
    </xf>
    <xf numFmtId="1" fontId="0" fillId="0" borderId="0" xfId="0" applyNumberFormat="1" applyFont="1" applyFill="1" applyBorder="1" applyAlignment="1">
      <alignment horizontal="center" vertical="center"/>
    </xf>
    <xf numFmtId="1" fontId="6" fillId="0" borderId="0" xfId="2" applyNumberFormat="1" applyFont="1" applyFill="1" applyBorder="1" applyAlignment="1">
      <alignment horizontal="center" vertical="center"/>
    </xf>
    <xf numFmtId="169" fontId="0" fillId="0" borderId="76" xfId="0" applyNumberFormat="1" applyBorder="1" applyAlignment="1">
      <alignment horizontal="right"/>
    </xf>
    <xf numFmtId="39" fontId="124" fillId="40" borderId="365" xfId="8203" applyNumberFormat="1" applyFont="1" applyFill="1" applyBorder="1" applyAlignment="1" applyProtection="1">
      <alignment horizontal="center" vertical="center"/>
      <protection locked="0"/>
    </xf>
    <xf numFmtId="0" fontId="118" fillId="50" borderId="365" xfId="8201" applyFont="1" applyFill="1" applyBorder="1" applyAlignment="1" applyProtection="1">
      <alignment horizontal="right" vertical="center" indent="1"/>
      <protection hidden="1"/>
    </xf>
    <xf numFmtId="0" fontId="118" fillId="49" borderId="443" xfId="8211" applyFont="1" applyFill="1" applyBorder="1" applyAlignment="1" applyProtection="1">
      <alignment vertical="center"/>
      <protection hidden="1"/>
    </xf>
    <xf numFmtId="0" fontId="24" fillId="0" borderId="76" xfId="0" applyFont="1" applyBorder="1"/>
    <xf numFmtId="169" fontId="0" fillId="0" borderId="444" xfId="0" applyNumberFormat="1" applyBorder="1" applyAlignment="1">
      <alignment horizontal="right"/>
    </xf>
    <xf numFmtId="169" fontId="0" fillId="0" borderId="441" xfId="0" applyNumberFormat="1" applyBorder="1" applyAlignment="1">
      <alignment horizontal="right"/>
    </xf>
    <xf numFmtId="169" fontId="0" fillId="0" borderId="204" xfId="0" applyNumberFormat="1" applyBorder="1" applyAlignment="1">
      <alignment horizontal="right"/>
    </xf>
    <xf numFmtId="169" fontId="0" fillId="0" borderId="0" xfId="0" applyNumberFormat="1" applyBorder="1" applyAlignment="1">
      <alignment horizontal="right"/>
    </xf>
    <xf numFmtId="1" fontId="12" fillId="0" borderId="0" xfId="0" applyNumberFormat="1" applyFont="1" applyFill="1" applyBorder="1" applyAlignment="1">
      <alignment horizontal="center" vertical="center" wrapText="1"/>
    </xf>
    <xf numFmtId="44" fontId="118" fillId="49" borderId="441" xfId="8202" applyFont="1" applyFill="1" applyBorder="1" applyAlignment="1" applyProtection="1">
      <alignment horizontal="center" vertical="center"/>
      <protection hidden="1"/>
    </xf>
    <xf numFmtId="164" fontId="111" fillId="0" borderId="0" xfId="0" applyNumberFormat="1" applyFont="1" applyAlignment="1">
      <alignment horizontal="right"/>
    </xf>
    <xf numFmtId="169" fontId="0" fillId="40" borderId="442" xfId="0" applyNumberFormat="1" applyFill="1" applyBorder="1" applyAlignment="1">
      <alignment horizontal="right"/>
    </xf>
    <xf numFmtId="169" fontId="0" fillId="40" borderId="445" xfId="0" applyNumberFormat="1" applyFill="1" applyBorder="1" applyAlignment="1">
      <alignment horizontal="right"/>
    </xf>
    <xf numFmtId="169" fontId="0" fillId="40" borderId="444" xfId="0" applyNumberFormat="1" applyFill="1" applyBorder="1" applyAlignment="1">
      <alignment horizontal="right"/>
    </xf>
    <xf numFmtId="169" fontId="0" fillId="40" borderId="443" xfId="0" applyNumberFormat="1" applyFill="1" applyBorder="1" applyAlignment="1">
      <alignment horizontal="right"/>
    </xf>
    <xf numFmtId="169" fontId="0" fillId="40" borderId="441" xfId="0" applyNumberFormat="1" applyFill="1" applyBorder="1" applyAlignment="1">
      <alignment horizontal="right"/>
    </xf>
    <xf numFmtId="0" fontId="0" fillId="40" borderId="443" xfId="0" applyFill="1" applyBorder="1" applyAlignment="1">
      <alignment horizontal="left" indent="2"/>
    </xf>
    <xf numFmtId="169" fontId="0" fillId="40" borderId="26" xfId="0" applyNumberFormat="1" applyFill="1" applyBorder="1" applyAlignment="1">
      <alignment horizontal="right"/>
    </xf>
    <xf numFmtId="169" fontId="0" fillId="40" borderId="204" xfId="0" applyNumberFormat="1" applyFill="1" applyBorder="1" applyAlignment="1">
      <alignment horizontal="right"/>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39" fontId="0" fillId="0" borderId="0" xfId="0" applyNumberFormat="1"/>
    <xf numFmtId="0" fontId="118" fillId="52" borderId="440" xfId="8206" applyFont="1" applyFill="1" applyBorder="1" applyAlignment="1" applyProtection="1">
      <alignment horizontal="left" vertical="center" indent="1"/>
      <protection hidden="1"/>
    </xf>
    <xf numFmtId="0" fontId="118" fillId="49" borderId="440" xfId="8206" applyFont="1" applyFill="1" applyBorder="1" applyAlignment="1" applyProtection="1">
      <alignment vertical="center"/>
      <protection hidden="1"/>
    </xf>
    <xf numFmtId="44" fontId="118" fillId="49" borderId="442" xfId="8202" applyFont="1" applyFill="1" applyBorder="1" applyAlignment="1" applyProtection="1">
      <alignment horizontal="center" vertical="center"/>
      <protection hidden="1"/>
    </xf>
    <xf numFmtId="10" fontId="118" fillId="13" borderId="442" xfId="8204" applyNumberFormat="1" applyFont="1" applyFill="1" applyBorder="1" applyAlignment="1" applyProtection="1">
      <alignment horizontal="center" vertical="center"/>
      <protection hidden="1"/>
    </xf>
    <xf numFmtId="10" fontId="118" fillId="13" borderId="443" xfId="8204" applyNumberFormat="1" applyFont="1" applyFill="1" applyBorder="1" applyAlignment="1" applyProtection="1">
      <alignment horizontal="center" vertical="center"/>
      <protection hidden="1"/>
    </xf>
    <xf numFmtId="39" fontId="124" fillId="0" borderId="0" xfId="8203" applyNumberFormat="1" applyFont="1" applyFill="1" applyBorder="1" applyAlignment="1" applyProtection="1">
      <alignment horizontal="center" vertical="center"/>
      <protection locked="0"/>
    </xf>
    <xf numFmtId="0" fontId="121" fillId="39" borderId="0" xfId="8220" applyFont="1" applyFill="1" applyBorder="1" applyAlignment="1" applyProtection="1">
      <alignment vertical="center"/>
      <protection hidden="1"/>
    </xf>
    <xf numFmtId="0" fontId="29" fillId="0" borderId="0" xfId="0" applyFont="1" applyBorder="1" applyAlignment="1"/>
    <xf numFmtId="0" fontId="118" fillId="0" borderId="0" xfId="8220"/>
    <xf numFmtId="0" fontId="118" fillId="0" borderId="0" xfId="8220" applyFont="1" applyAlignment="1" applyProtection="1">
      <alignment horizontal="center" vertical="center"/>
      <protection hidden="1"/>
    </xf>
    <xf numFmtId="0" fontId="123" fillId="40" borderId="0" xfId="8220" applyFont="1" applyFill="1" applyAlignment="1" applyProtection="1">
      <alignment horizontal="center" vertical="center"/>
      <protection hidden="1"/>
    </xf>
    <xf numFmtId="2" fontId="120" fillId="12" borderId="325" xfId="8220" applyNumberFormat="1" applyFont="1" applyFill="1" applyBorder="1" applyAlignment="1" applyProtection="1">
      <alignment horizontal="center" vertical="center"/>
      <protection hidden="1"/>
    </xf>
    <xf numFmtId="44" fontId="120" fillId="12" borderId="325" xfId="8202" applyFont="1" applyFill="1" applyBorder="1" applyAlignment="1" applyProtection="1">
      <alignment horizontal="center" vertical="center"/>
      <protection hidden="1"/>
    </xf>
    <xf numFmtId="0" fontId="120" fillId="40" borderId="325" xfId="8220" applyFont="1" applyFill="1" applyBorder="1" applyAlignment="1" applyProtection="1">
      <alignment horizontal="center" vertical="center"/>
      <protection locked="0"/>
    </xf>
    <xf numFmtId="9" fontId="120" fillId="40" borderId="325" xfId="8202" applyNumberFormat="1" applyFont="1" applyFill="1" applyBorder="1" applyAlignment="1" applyProtection="1">
      <alignment horizontal="center" vertical="center"/>
      <protection locked="0"/>
    </xf>
    <xf numFmtId="44" fontId="118" fillId="49" borderId="441" xfId="8202" applyFont="1" applyFill="1" applyBorder="1" applyAlignment="1" applyProtection="1">
      <alignment horizontal="center" vertical="center"/>
      <protection hidden="1"/>
    </xf>
    <xf numFmtId="0" fontId="124" fillId="40" borderId="325" xfId="8220" applyFont="1" applyFill="1" applyBorder="1" applyAlignment="1" applyProtection="1">
      <alignment horizontal="center" vertical="center"/>
      <protection locked="0"/>
    </xf>
    <xf numFmtId="44" fontId="118" fillId="49" borderId="443" xfId="8202" applyFont="1" applyFill="1" applyBorder="1" applyAlignment="1" applyProtection="1">
      <alignment horizontal="center" vertical="center"/>
      <protection hidden="1"/>
    </xf>
    <xf numFmtId="0" fontId="121" fillId="39" borderId="0" xfId="8220" applyFont="1" applyFill="1" applyAlignment="1" applyProtection="1">
      <alignment vertical="center"/>
      <protection hidden="1"/>
    </xf>
    <xf numFmtId="37" fontId="124" fillId="40" borderId="325" xfId="8203" applyNumberFormat="1" applyFont="1" applyFill="1" applyBorder="1" applyAlignment="1" applyProtection="1">
      <alignment horizontal="center" vertical="center"/>
      <protection locked="0"/>
    </xf>
    <xf numFmtId="44" fontId="124" fillId="40" borderId="325" xfId="8202"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37" fontId="120" fillId="12" borderId="325" xfId="8203" applyNumberFormat="1" applyFont="1" applyFill="1" applyBorder="1" applyAlignment="1" applyProtection="1">
      <alignment horizontal="center" vertical="center"/>
      <protection hidden="1"/>
    </xf>
    <xf numFmtId="0" fontId="120" fillId="12" borderId="325" xfId="8220" applyFont="1" applyFill="1" applyBorder="1" applyAlignment="1" applyProtection="1">
      <alignment horizontal="center" vertical="center"/>
      <protection hidden="1"/>
    </xf>
    <xf numFmtId="0" fontId="118" fillId="38" borderId="0" xfId="8220" applyFont="1" applyFill="1" applyAlignment="1" applyProtection="1">
      <alignment horizontal="center" vertical="center"/>
      <protection hidden="1"/>
    </xf>
    <xf numFmtId="0" fontId="118" fillId="47" borderId="0" xfId="8220" applyFont="1" applyFill="1" applyAlignment="1" applyProtection="1">
      <alignment horizontal="center" vertical="center"/>
      <protection hidden="1"/>
    </xf>
    <xf numFmtId="0" fontId="118" fillId="46" borderId="0" xfId="8220" applyFont="1" applyFill="1" applyAlignment="1" applyProtection="1">
      <alignment horizontal="center" vertical="center"/>
      <protection hidden="1"/>
    </xf>
    <xf numFmtId="0" fontId="118" fillId="45" borderId="0" xfId="8220" applyFont="1" applyFill="1" applyAlignment="1" applyProtection="1">
      <alignment horizontal="center" vertical="center"/>
      <protection hidden="1"/>
    </xf>
    <xf numFmtId="0" fontId="118" fillId="13" borderId="0" xfId="8220" applyFont="1" applyFill="1" applyAlignment="1" applyProtection="1">
      <alignment horizontal="center" vertical="center"/>
      <protection hidden="1"/>
    </xf>
    <xf numFmtId="0" fontId="121" fillId="48" borderId="0" xfId="8220" applyFont="1" applyFill="1" applyAlignment="1" applyProtection="1">
      <alignment horizontal="right" vertical="center"/>
      <protection hidden="1"/>
    </xf>
    <xf numFmtId="0" fontId="125" fillId="48" borderId="0" xfId="8220" applyFont="1" applyFill="1" applyAlignment="1" applyProtection="1">
      <alignment horizontal="center" vertical="center"/>
      <protection hidden="1"/>
    </xf>
    <xf numFmtId="0" fontId="121" fillId="48" borderId="0" xfId="8220" applyFont="1" applyFill="1" applyAlignment="1" applyProtection="1">
      <alignment horizontal="center" vertical="center"/>
      <protection hidden="1"/>
    </xf>
    <xf numFmtId="44" fontId="121" fillId="48" borderId="0" xfId="8220" applyNumberFormat="1" applyFont="1" applyFill="1" applyAlignment="1" applyProtection="1">
      <alignment horizontal="center" vertical="center"/>
      <protection hidden="1"/>
    </xf>
    <xf numFmtId="9" fontId="121" fillId="48" borderId="0" xfId="8220" applyNumberFormat="1" applyFont="1" applyFill="1" applyAlignment="1" applyProtection="1">
      <alignment horizontal="center" vertical="center"/>
      <protection hidden="1"/>
    </xf>
    <xf numFmtId="37" fontId="121" fillId="48" borderId="0" xfId="8220" applyNumberFormat="1" applyFont="1" applyFill="1" applyAlignment="1" applyProtection="1">
      <alignment horizontal="center" vertical="center"/>
      <protection hidden="1"/>
    </xf>
    <xf numFmtId="2" fontId="121" fillId="48" borderId="0" xfId="8220" applyNumberFormat="1" applyFont="1" applyFill="1" applyAlignment="1" applyProtection="1">
      <alignment horizontal="center" vertical="center"/>
      <protection hidden="1"/>
    </xf>
    <xf numFmtId="0" fontId="121" fillId="48" borderId="0" xfId="8220" applyNumberFormat="1" applyFont="1" applyFill="1" applyAlignment="1" applyProtection="1">
      <alignment horizontal="center" vertical="center"/>
      <protection hidden="1"/>
    </xf>
    <xf numFmtId="0" fontId="124" fillId="40" borderId="325" xfId="8202" applyNumberFormat="1" applyFont="1" applyFill="1" applyBorder="1" applyAlignment="1" applyProtection="1">
      <alignment horizontal="center" vertical="center"/>
      <protection locked="0"/>
    </xf>
    <xf numFmtId="0" fontId="0" fillId="0" borderId="446" xfId="0" applyBorder="1"/>
    <xf numFmtId="44" fontId="118" fillId="49" borderId="447" xfId="8202" applyFont="1" applyFill="1" applyBorder="1" applyAlignment="1" applyProtection="1">
      <alignment horizontal="center" vertical="center"/>
      <protection hidden="1"/>
    </xf>
    <xf numFmtId="44" fontId="118" fillId="0" borderId="442" xfId="8202" applyFont="1" applyFill="1" applyBorder="1" applyAlignment="1" applyProtection="1">
      <alignment horizontal="center" vertical="center"/>
      <protection hidden="1"/>
    </xf>
    <xf numFmtId="0" fontId="24" fillId="0" borderId="36" xfId="0" applyFont="1" applyBorder="1" applyAlignment="1">
      <alignment horizontal="center"/>
    </xf>
    <xf numFmtId="0" fontId="0" fillId="0" borderId="40" xfId="0" applyBorder="1"/>
    <xf numFmtId="0" fontId="0" fillId="0" borderId="447" xfId="0" applyBorder="1" applyAlignment="1">
      <alignment horizontal="left" indent="2"/>
    </xf>
    <xf numFmtId="0" fontId="0" fillId="0" borderId="28" xfId="0" applyBorder="1"/>
    <xf numFmtId="169" fontId="0" fillId="0" borderId="448" xfId="0" applyNumberFormat="1" applyBorder="1" applyAlignment="1">
      <alignment horizontal="right"/>
    </xf>
    <xf numFmtId="169" fontId="0" fillId="0" borderId="447" xfId="0" applyNumberFormat="1" applyBorder="1" applyAlignment="1">
      <alignment horizontal="right"/>
    </xf>
    <xf numFmtId="169" fontId="0" fillId="51" borderId="442" xfId="0" applyNumberFormat="1" applyFont="1" applyFill="1" applyBorder="1" applyAlignment="1">
      <alignment horizontal="right"/>
    </xf>
    <xf numFmtId="169" fontId="0" fillId="0" borderId="199" xfId="0" applyNumberFormat="1" applyBorder="1" applyAlignment="1">
      <alignment horizontal="right"/>
    </xf>
    <xf numFmtId="169" fontId="0" fillId="0" borderId="449" xfId="0" applyNumberFormat="1" applyBorder="1" applyAlignment="1">
      <alignment horizontal="right"/>
    </xf>
    <xf numFmtId="0" fontId="27" fillId="51" borderId="447" xfId="0" applyFont="1" applyFill="1" applyBorder="1"/>
    <xf numFmtId="0" fontId="0" fillId="0" borderId="11" xfId="0" applyBorder="1"/>
    <xf numFmtId="169" fontId="0" fillId="52" borderId="441" xfId="0" applyNumberFormat="1" applyFont="1" applyFill="1" applyBorder="1" applyAlignment="1">
      <alignment horizontal="right"/>
    </xf>
    <xf numFmtId="169" fontId="0" fillId="52" borderId="443" xfId="0" applyNumberFormat="1" applyFont="1" applyFill="1" applyBorder="1" applyAlignment="1">
      <alignment horizontal="right"/>
    </xf>
    <xf numFmtId="169" fontId="0" fillId="0" borderId="448" xfId="0" applyNumberFormat="1" applyFont="1" applyFill="1" applyBorder="1" applyAlignment="1">
      <alignment horizontal="right"/>
    </xf>
    <xf numFmtId="169" fontId="0" fillId="0" borderId="447" xfId="0" applyNumberFormat="1" applyFont="1" applyFill="1" applyBorder="1" applyAlignment="1">
      <alignment horizontal="right"/>
    </xf>
    <xf numFmtId="169" fontId="0" fillId="0" borderId="449" xfId="0" applyNumberFormat="1" applyFont="1" applyFill="1" applyBorder="1" applyAlignment="1">
      <alignment horizontal="right"/>
    </xf>
    <xf numFmtId="169" fontId="0" fillId="52" borderId="442" xfId="0" applyNumberFormat="1" applyFont="1" applyFill="1" applyBorder="1" applyAlignment="1">
      <alignment horizontal="right"/>
    </xf>
    <xf numFmtId="0" fontId="27" fillId="52" borderId="447" xfId="0" applyFont="1" applyFill="1" applyBorder="1"/>
    <xf numFmtId="0" fontId="27" fillId="0" borderId="447" xfId="0" applyFont="1" applyFill="1" applyBorder="1"/>
    <xf numFmtId="0" fontId="24" fillId="0" borderId="54" xfId="0" applyFont="1" applyBorder="1" applyAlignment="1">
      <alignment horizontal="center"/>
    </xf>
    <xf numFmtId="0" fontId="24" fillId="0" borderId="81" xfId="0" applyFont="1" applyBorder="1" applyAlignment="1">
      <alignment horizontal="center"/>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169" fontId="120" fillId="40" borderId="441" xfId="0" applyNumberFormat="1" applyFont="1" applyFill="1" applyBorder="1" applyAlignment="1">
      <alignment horizontal="right"/>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horizontal="center" wrapText="1"/>
    </xf>
    <xf numFmtId="0" fontId="0" fillId="0" borderId="0" xfId="0" applyFont="1" applyBorder="1" applyAlignment="1">
      <alignment horizontal="center" vertical="center" wrapText="1"/>
    </xf>
    <xf numFmtId="0" fontId="99" fillId="0" borderId="0" xfId="0" applyFont="1" applyFill="1" applyBorder="1" applyAlignment="1">
      <alignment horizontal="center" wrapText="1"/>
    </xf>
    <xf numFmtId="0" fontId="13" fillId="0" borderId="0" xfId="0" applyFont="1" applyFill="1" applyBorder="1" applyAlignment="1">
      <alignment horizontal="center" wrapText="1"/>
    </xf>
    <xf numFmtId="0" fontId="6" fillId="0" borderId="0" xfId="2" applyFont="1" applyBorder="1" applyAlignment="1">
      <alignment horizontal="center" vertical="center"/>
    </xf>
    <xf numFmtId="0" fontId="6" fillId="0" borderId="0" xfId="2" applyFont="1" applyBorder="1" applyAlignment="1">
      <alignment horizontal="center" vertical="center" wrapText="1"/>
    </xf>
    <xf numFmtId="0" fontId="6" fillId="0" borderId="0" xfId="2" applyFont="1" applyBorder="1" applyAlignment="1">
      <alignment horizontal="center"/>
    </xf>
    <xf numFmtId="0" fontId="6" fillId="0" borderId="0" xfId="2" applyFont="1" applyBorder="1" applyAlignment="1">
      <alignment horizontal="center" wrapText="1"/>
    </xf>
    <xf numFmtId="0" fontId="6" fillId="0" borderId="0" xfId="28" applyFont="1" applyBorder="1" applyAlignment="1">
      <alignment horizontal="center" vertical="center" wrapText="1"/>
    </xf>
    <xf numFmtId="0" fontId="6" fillId="0" borderId="0" xfId="28" applyFont="1" applyBorder="1" applyAlignment="1">
      <alignment horizontal="center" wrapText="1"/>
    </xf>
    <xf numFmtId="165" fontId="6" fillId="0" borderId="0" xfId="5" applyNumberFormat="1" applyFont="1" applyBorder="1" applyAlignment="1">
      <alignment horizontal="center" vertical="center" wrapText="1"/>
    </xf>
    <xf numFmtId="165" fontId="6" fillId="0" borderId="0" xfId="5" applyNumberFormat="1" applyFont="1" applyBorder="1" applyAlignment="1">
      <alignment horizontal="center" wrapText="1"/>
    </xf>
    <xf numFmtId="169" fontId="120" fillId="40" borderId="81" xfId="0" applyNumberFormat="1" applyFont="1" applyFill="1" applyBorder="1" applyAlignment="1">
      <alignment horizontal="right"/>
    </xf>
    <xf numFmtId="164" fontId="0" fillId="0" borderId="444" xfId="0" applyNumberFormat="1" applyBorder="1"/>
    <xf numFmtId="164" fontId="0" fillId="0" borderId="450" xfId="0" applyNumberFormat="1" applyBorder="1"/>
    <xf numFmtId="164" fontId="26" fillId="0" borderId="196" xfId="0" applyNumberFormat="1" applyFont="1" applyBorder="1"/>
    <xf numFmtId="164" fontId="26" fillId="0" borderId="335" xfId="0" applyNumberFormat="1" applyFont="1" applyBorder="1"/>
    <xf numFmtId="164" fontId="26" fillId="0" borderId="451" xfId="0" applyNumberFormat="1" applyFont="1" applyBorder="1"/>
    <xf numFmtId="168" fontId="26" fillId="0" borderId="197" xfId="0" applyNumberFormat="1" applyFont="1" applyBorder="1"/>
    <xf numFmtId="0" fontId="26" fillId="0" borderId="360" xfId="0" applyFont="1" applyBorder="1" applyAlignment="1">
      <alignment horizontal="center"/>
    </xf>
    <xf numFmtId="168" fontId="26" fillId="0" borderId="76" xfId="0" applyNumberFormat="1" applyFont="1" applyBorder="1"/>
    <xf numFmtId="164" fontId="26" fillId="0" borderId="34" xfId="0" applyNumberFormat="1" applyFont="1" applyBorder="1"/>
    <xf numFmtId="168" fontId="26" fillId="15" borderId="446" xfId="0" applyNumberFormat="1" applyFont="1" applyFill="1" applyBorder="1"/>
    <xf numFmtId="168" fontId="26" fillId="0" borderId="443" xfId="0" applyNumberFormat="1" applyFont="1" applyBorder="1"/>
    <xf numFmtId="164" fontId="26" fillId="15" borderId="450" xfId="0" applyNumberFormat="1" applyFont="1" applyFill="1" applyBorder="1"/>
    <xf numFmtId="164" fontId="26" fillId="0" borderId="365" xfId="0" applyNumberFormat="1" applyFont="1" applyBorder="1"/>
    <xf numFmtId="164" fontId="0" fillId="15" borderId="23" xfId="0" applyNumberFormat="1" applyFill="1" applyBorder="1"/>
    <xf numFmtId="164" fontId="0" fillId="15" borderId="22" xfId="0" applyNumberFormat="1" applyFill="1" applyBorder="1"/>
    <xf numFmtId="0" fontId="23" fillId="0" borderId="455" xfId="9" applyFill="1" applyBorder="1" applyAlignment="1" applyProtection="1">
      <alignment horizontal="center" wrapText="1"/>
    </xf>
    <xf numFmtId="0" fontId="23" fillId="0" borderId="456" xfId="9" applyFill="1" applyBorder="1" applyAlignment="1" applyProtection="1">
      <alignment horizontal="center" wrapText="1"/>
    </xf>
    <xf numFmtId="0" fontId="0" fillId="0" borderId="0" xfId="0" applyAlignment="1">
      <alignment wrapText="1"/>
    </xf>
    <xf numFmtId="0" fontId="0" fillId="0" borderId="0" xfId="0"/>
    <xf numFmtId="0" fontId="0" fillId="0" borderId="0" xfId="0" applyAlignment="1">
      <alignment horizontal="center"/>
    </xf>
    <xf numFmtId="165" fontId="0" fillId="0" borderId="0" xfId="1" applyNumberFormat="1" applyFont="1"/>
    <xf numFmtId="0" fontId="39" fillId="0" borderId="0" xfId="0" applyFont="1" applyAlignment="1">
      <alignment horizontal="right"/>
    </xf>
    <xf numFmtId="0" fontId="39" fillId="0" borderId="0" xfId="0" applyFont="1" applyAlignment="1">
      <alignment horizontal="center"/>
    </xf>
    <xf numFmtId="165" fontId="39" fillId="0" borderId="0" xfId="1" applyNumberFormat="1" applyFont="1"/>
    <xf numFmtId="172" fontId="39" fillId="0" borderId="0" xfId="7" applyNumberFormat="1" applyFont="1"/>
    <xf numFmtId="0" fontId="0" fillId="0" borderId="0" xfId="0" applyProtection="1">
      <protection locked="0"/>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7" fillId="11" borderId="9" xfId="0" applyFont="1" applyFill="1" applyBorder="1"/>
    <xf numFmtId="0" fontId="0" fillId="0" borderId="49" xfId="0" applyBorder="1"/>
    <xf numFmtId="49" fontId="0" fillId="0" borderId="46" xfId="0" applyNumberFormat="1" applyFont="1" applyBorder="1" applyAlignment="1"/>
    <xf numFmtId="42" fontId="0" fillId="0" borderId="46" xfId="0" applyNumberFormat="1" applyFont="1" applyBorder="1"/>
    <xf numFmtId="0" fontId="0" fillId="0" borderId="47" xfId="0" applyFont="1" applyBorder="1"/>
    <xf numFmtId="0" fontId="0" fillId="0" borderId="46" xfId="0" applyFont="1" applyFill="1" applyBorder="1"/>
    <xf numFmtId="0" fontId="0" fillId="0" borderId="45" xfId="0" applyFont="1" applyFill="1" applyBorder="1"/>
    <xf numFmtId="0" fontId="0" fillId="0" borderId="47" xfId="0" applyNumberFormat="1" applyFont="1" applyBorder="1" applyAlignment="1">
      <alignment horizontal="center"/>
    </xf>
    <xf numFmtId="0" fontId="0" fillId="0" borderId="47" xfId="0" applyFont="1" applyFill="1" applyBorder="1"/>
    <xf numFmtId="0" fontId="0" fillId="0" borderId="44" xfId="0" applyFont="1" applyFill="1" applyBorder="1"/>
    <xf numFmtId="165" fontId="128" fillId="0" borderId="28" xfId="177" applyNumberFormat="1" applyFont="1" applyBorder="1"/>
    <xf numFmtId="164" fontId="0" fillId="0" borderId="0" xfId="0" applyNumberFormat="1" applyFill="1" applyBorder="1"/>
    <xf numFmtId="164" fontId="26" fillId="0" borderId="0" xfId="0" applyNumberFormat="1" applyFont="1" applyFill="1" applyBorder="1"/>
    <xf numFmtId="168" fontId="26" fillId="0" borderId="0" xfId="0" applyNumberFormat="1" applyFont="1" applyFill="1" applyBorder="1"/>
    <xf numFmtId="164" fontId="0" fillId="0" borderId="0" xfId="0" applyNumberFormat="1" applyFill="1" applyBorder="1" applyAlignment="1">
      <alignment wrapText="1"/>
    </xf>
    <xf numFmtId="164" fontId="26" fillId="0" borderId="0" xfId="0" applyNumberFormat="1" applyFont="1" applyFill="1" applyBorder="1" applyAlignment="1">
      <alignment wrapText="1"/>
    </xf>
    <xf numFmtId="168" fontId="26" fillId="0" borderId="0" xfId="0" applyNumberFormat="1" applyFont="1" applyFill="1" applyBorder="1" applyAlignment="1">
      <alignment wrapText="1"/>
    </xf>
    <xf numFmtId="165" fontId="15" fillId="0" borderId="0" xfId="186" applyNumberFormat="1" applyFont="1" applyBorder="1" applyAlignment="1">
      <alignment horizontal="right"/>
    </xf>
    <xf numFmtId="165" fontId="15" fillId="0" borderId="42" xfId="186" applyNumberFormat="1" applyFont="1" applyBorder="1" applyAlignment="1">
      <alignment horizontal="right"/>
    </xf>
    <xf numFmtId="0" fontId="26" fillId="0" borderId="18" xfId="0" applyFont="1" applyBorder="1" applyAlignment="1">
      <alignment horizontal="center" wrapText="1"/>
    </xf>
    <xf numFmtId="0" fontId="26" fillId="0" borderId="19" xfId="0" applyFont="1" applyBorder="1" applyAlignment="1">
      <alignment horizontal="center" wrapText="1"/>
    </xf>
    <xf numFmtId="0" fontId="26" fillId="0" borderId="196" xfId="0" applyFont="1" applyBorder="1" applyAlignment="1">
      <alignment horizontal="center" wrapText="1"/>
    </xf>
    <xf numFmtId="0" fontId="26" fillId="0" borderId="360" xfId="0" applyFont="1" applyBorder="1" applyAlignment="1">
      <alignment horizontal="center" wrapText="1"/>
    </xf>
    <xf numFmtId="0" fontId="0" fillId="0" borderId="0" xfId="0" applyFont="1" applyAlignment="1">
      <alignment horizontal="center" wrapText="1"/>
    </xf>
    <xf numFmtId="173" fontId="26" fillId="15" borderId="446" xfId="0" applyNumberFormat="1" applyFont="1" applyFill="1" applyBorder="1"/>
    <xf numFmtId="173" fontId="26" fillId="0" borderId="443" xfId="0" applyNumberFormat="1" applyFont="1" applyBorder="1"/>
    <xf numFmtId="173" fontId="26" fillId="0" borderId="76" xfId="0" applyNumberFormat="1" applyFont="1" applyBorder="1"/>
    <xf numFmtId="168" fontId="26" fillId="15" borderId="450" xfId="0" applyNumberFormat="1" applyFont="1" applyFill="1" applyBorder="1"/>
    <xf numFmtId="168" fontId="26" fillId="0" borderId="365" xfId="0" applyNumberFormat="1" applyFont="1" applyBorder="1"/>
    <xf numFmtId="168" fontId="26" fillId="0" borderId="34" xfId="0" applyNumberFormat="1" applyFont="1" applyBorder="1"/>
    <xf numFmtId="168" fontId="40" fillId="0" borderId="4" xfId="12" applyNumberFormat="1" applyBorder="1"/>
    <xf numFmtId="168" fontId="40" fillId="2" borderId="15" xfId="15" applyNumberFormat="1" applyFont="1" applyFill="1" applyBorder="1"/>
    <xf numFmtId="49" fontId="0" fillId="0" borderId="47" xfId="0" applyNumberFormat="1" applyFont="1" applyFill="1" applyBorder="1"/>
    <xf numFmtId="42" fontId="0" fillId="0" borderId="46" xfId="0" applyNumberFormat="1" applyFont="1" applyFill="1" applyBorder="1"/>
    <xf numFmtId="0" fontId="129" fillId="0" borderId="0" xfId="0" applyFont="1"/>
    <xf numFmtId="0" fontId="23" fillId="0" borderId="436" xfId="9" applyFill="1" applyBorder="1" applyAlignment="1" applyProtection="1">
      <alignment horizontal="center" wrapText="1"/>
    </xf>
    <xf numFmtId="169" fontId="58" fillId="40" borderId="441" xfId="0" applyNumberFormat="1" applyFont="1" applyFill="1" applyBorder="1" applyAlignment="1">
      <alignment horizontal="right"/>
    </xf>
    <xf numFmtId="169" fontId="58" fillId="40" borderId="443" xfId="0" applyNumberFormat="1" applyFont="1" applyFill="1" applyBorder="1" applyAlignment="1">
      <alignment horizontal="right"/>
    </xf>
    <xf numFmtId="169" fontId="58" fillId="40" borderId="444" xfId="0" applyNumberFormat="1" applyFont="1" applyFill="1" applyBorder="1" applyAlignment="1">
      <alignment horizontal="right"/>
    </xf>
    <xf numFmtId="169" fontId="58" fillId="40" borderId="445" xfId="0" applyNumberFormat="1" applyFont="1" applyFill="1" applyBorder="1" applyAlignment="1">
      <alignment horizontal="right"/>
    </xf>
    <xf numFmtId="169" fontId="58" fillId="40" borderId="442"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18" fillId="49" borderId="442"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169" fontId="58" fillId="40" borderId="204" xfId="28" applyNumberFormat="1" applyFill="1" applyBorder="1" applyAlignment="1">
      <alignment horizontal="right"/>
    </xf>
    <xf numFmtId="0" fontId="0" fillId="0" borderId="0" xfId="0"/>
    <xf numFmtId="165" fontId="0" fillId="0" borderId="0" xfId="1" applyNumberFormat="1" applyFont="1"/>
    <xf numFmtId="0" fontId="39" fillId="0" borderId="0" xfId="0" applyFont="1"/>
    <xf numFmtId="0" fontId="120" fillId="40" borderId="443" xfId="8201" applyFont="1" applyFill="1" applyBorder="1" applyAlignment="1" applyProtection="1">
      <alignment horizontal="left" vertical="center" indent="1"/>
      <protection locked="0"/>
    </xf>
    <xf numFmtId="0" fontId="0" fillId="0" borderId="0" xfId="0" applyAlignment="1"/>
    <xf numFmtId="0" fontId="0" fillId="0" borderId="0" xfId="0" applyFill="1" applyBorder="1" applyAlignment="1"/>
    <xf numFmtId="164" fontId="0" fillId="0" borderId="0" xfId="1" applyNumberFormat="1" applyFont="1" applyBorder="1" applyAlignment="1">
      <alignment horizontal="right" vertical="top"/>
    </xf>
    <xf numFmtId="5" fontId="0" fillId="0" borderId="0" xfId="1" applyNumberFormat="1" applyFont="1" applyBorder="1" applyAlignment="1">
      <alignment horizontal="right"/>
    </xf>
    <xf numFmtId="5" fontId="0" fillId="0" borderId="0" xfId="0" applyNumberFormat="1" applyFill="1" applyAlignment="1">
      <alignment horizontal="right"/>
    </xf>
    <xf numFmtId="0" fontId="74" fillId="0" borderId="0" xfId="0" applyFont="1"/>
    <xf numFmtId="0" fontId="132" fillId="0" borderId="35" xfId="9" applyFont="1" applyFill="1" applyBorder="1" applyAlignment="1" applyProtection="1">
      <alignment horizontal="center" wrapText="1"/>
    </xf>
    <xf numFmtId="165" fontId="74" fillId="0" borderId="0" xfId="1" applyNumberFormat="1" applyFont="1"/>
    <xf numFmtId="172" fontId="74" fillId="0" borderId="0" xfId="7" applyNumberFormat="1" applyFont="1"/>
    <xf numFmtId="0" fontId="0" fillId="0" borderId="0" xfId="0"/>
    <xf numFmtId="0" fontId="13" fillId="0" borderId="0" xfId="2" applyFont="1" applyAlignment="1">
      <alignment horizontal="right" wrapText="1"/>
    </xf>
    <xf numFmtId="0" fontId="12" fillId="0" borderId="0" xfId="2"/>
    <xf numFmtId="169" fontId="118" fillId="49" borderId="443" xfId="8202" applyNumberFormat="1" applyFont="1" applyFill="1" applyBorder="1" applyAlignment="1" applyProtection="1">
      <alignment horizontal="center" vertical="center"/>
      <protection hidden="1"/>
    </xf>
    <xf numFmtId="169" fontId="58" fillId="40" borderId="26" xfId="0" applyNumberFormat="1" applyFont="1" applyFill="1" applyBorder="1" applyAlignment="1">
      <alignment horizontal="right"/>
    </xf>
    <xf numFmtId="0" fontId="12" fillId="0" borderId="0" xfId="2"/>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0" fontId="120" fillId="40" borderId="443" xfId="8201" applyFont="1" applyFill="1" applyBorder="1" applyAlignment="1" applyProtection="1">
      <alignment horizontal="left" vertical="center" indent="1"/>
      <protection locked="0"/>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118" fillId="49" borderId="440" xfId="8206" applyFont="1" applyFill="1" applyBorder="1" applyAlignment="1" applyProtection="1">
      <alignment vertical="center"/>
      <protection hidden="1"/>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118" fillId="49" borderId="441" xfId="8202" applyNumberFormat="1" applyFont="1" applyFill="1" applyBorder="1" applyAlignment="1" applyProtection="1">
      <alignment horizontal="center" vertical="center"/>
      <protection hidden="1"/>
    </xf>
    <xf numFmtId="0" fontId="120" fillId="40" borderId="443" xfId="8201" applyFont="1" applyFill="1" applyBorder="1" applyAlignment="1" applyProtection="1">
      <alignment vertical="center"/>
      <protection locked="0"/>
    </xf>
    <xf numFmtId="0" fontId="120" fillId="40" borderId="443" xfId="8201" applyFont="1" applyFill="1" applyBorder="1" applyAlignment="1" applyProtection="1">
      <alignment horizontal="left" vertical="center" indent="1"/>
      <protection locked="0"/>
    </xf>
    <xf numFmtId="0" fontId="0" fillId="0" borderId="0" xfId="0"/>
    <xf numFmtId="0" fontId="13" fillId="0" borderId="0" xfId="2" applyFont="1" applyAlignment="1">
      <alignment horizontal="right" wrapText="1"/>
    </xf>
    <xf numFmtId="0" fontId="13" fillId="0" borderId="0" xfId="0" applyFont="1" applyAlignment="1">
      <alignment horizontal="right" wrapText="1"/>
    </xf>
    <xf numFmtId="0" fontId="120" fillId="40" borderId="443" xfId="8201" applyFont="1" applyFill="1" applyBorder="1" applyAlignment="1" applyProtection="1">
      <alignment horizontal="left" vertical="center" indent="1"/>
      <protection locked="0"/>
    </xf>
    <xf numFmtId="39" fontId="124" fillId="40" borderId="365" xfId="8203" applyNumberFormat="1" applyFont="1" applyFill="1" applyBorder="1" applyAlignment="1" applyProtection="1">
      <alignment horizontal="center" vertical="center"/>
      <protection locked="0"/>
    </xf>
    <xf numFmtId="169" fontId="0" fillId="0" borderId="204" xfId="0" applyNumberFormat="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0" fontId="0" fillId="0" borderId="55" xfId="0" applyBorder="1"/>
    <xf numFmtId="0" fontId="0" fillId="0" borderId="55" xfId="0" applyFill="1" applyBorder="1"/>
    <xf numFmtId="0" fontId="120" fillId="40" borderId="443" xfId="8201" applyFont="1" applyFill="1" applyBorder="1" applyAlignment="1" applyProtection="1">
      <alignment horizontal="left" vertical="center" indent="1"/>
      <protection locked="0"/>
    </xf>
    <xf numFmtId="42" fontId="0" fillId="14" borderId="48" xfId="0" applyNumberFormat="1" applyFont="1" applyFill="1" applyBorder="1" applyProtection="1"/>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0" fontId="0" fillId="0" borderId="0" xfId="0"/>
    <xf numFmtId="0" fontId="0" fillId="0" borderId="0" xfId="0" applyAlignment="1">
      <alignment horizontal="center"/>
    </xf>
    <xf numFmtId="165" fontId="0" fillId="0" borderId="0" xfId="1" applyNumberFormat="1" applyFont="1"/>
    <xf numFmtId="0" fontId="23" fillId="0" borderId="469" xfId="9" applyFill="1" applyBorder="1" applyAlignment="1" applyProtection="1">
      <alignment horizontal="center" wrapText="1"/>
    </xf>
    <xf numFmtId="172" fontId="0" fillId="0" borderId="0" xfId="7" applyNumberFormat="1" applyFont="1"/>
    <xf numFmtId="0" fontId="0" fillId="0" borderId="59" xfId="0" applyBorder="1"/>
    <xf numFmtId="0" fontId="0" fillId="0" borderId="60" xfId="0" applyBorder="1"/>
    <xf numFmtId="42" fontId="0" fillId="14" borderId="53" xfId="0" applyNumberFormat="1" applyFont="1" applyFill="1" applyBorder="1" applyProtection="1"/>
    <xf numFmtId="3" fontId="1" fillId="0" borderId="60" xfId="0" applyNumberFormat="1" applyFont="1" applyBorder="1" applyProtection="1"/>
    <xf numFmtId="3" fontId="0" fillId="0" borderId="48" xfId="0" applyNumberFormat="1" applyFont="1" applyBorder="1" applyProtection="1"/>
    <xf numFmtId="0" fontId="0" fillId="0" borderId="60" xfId="0" applyFill="1" applyBorder="1"/>
    <xf numFmtId="0" fontId="0" fillId="0" borderId="59" xfId="0" applyFill="1" applyBorder="1"/>
    <xf numFmtId="165" fontId="1" fillId="0" borderId="79" xfId="1" applyNumberFormat="1" applyFont="1" applyFill="1" applyBorder="1" applyProtection="1"/>
    <xf numFmtId="166" fontId="0" fillId="0" borderId="0" xfId="8" applyNumberFormat="1" applyFont="1"/>
    <xf numFmtId="0" fontId="120" fillId="40" borderId="443" xfId="8201" applyFont="1" applyFill="1" applyBorder="1" applyAlignment="1" applyProtection="1">
      <alignment horizontal="left" vertical="center" indent="1"/>
      <protection locked="0"/>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44" fontId="118" fillId="49" borderId="441" xfId="8202" applyFont="1" applyFill="1" applyBorder="1" applyAlignment="1" applyProtection="1">
      <alignment horizontal="center" vertical="center"/>
      <protection hidden="1"/>
    </xf>
    <xf numFmtId="44" fontId="118" fillId="49" borderId="442" xfId="8202" applyFont="1" applyFill="1" applyBorder="1" applyAlignment="1" applyProtection="1">
      <alignment horizontal="center" vertical="center"/>
      <protection hidden="1"/>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120" fillId="40" borderId="204" xfId="0" applyNumberFormat="1" applyFont="1" applyFill="1" applyBorder="1" applyAlignment="1">
      <alignment horizontal="right"/>
    </xf>
    <xf numFmtId="169" fontId="120" fillId="40" borderId="26"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4" xfId="0" applyNumberFormat="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118" fillId="40" borderId="443" xfId="0" applyNumberFormat="1" applyFont="1" applyFill="1" applyBorder="1" applyAlignment="1">
      <alignment horizontal="right"/>
    </xf>
    <xf numFmtId="169" fontId="118" fillId="40" borderId="442" xfId="0" applyNumberFormat="1" applyFont="1" applyFill="1" applyBorder="1" applyAlignment="1">
      <alignment horizontal="right"/>
    </xf>
    <xf numFmtId="169" fontId="0" fillId="0" borderId="204" xfId="0" applyNumberFormat="1" applyBorder="1" applyAlignment="1">
      <alignment horizontal="right"/>
    </xf>
    <xf numFmtId="169" fontId="120" fillId="40" borderId="204"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4" xfId="0" applyNumberFormat="1" applyBorder="1" applyAlignment="1">
      <alignment horizontal="right"/>
    </xf>
    <xf numFmtId="169" fontId="118" fillId="49" borderId="443" xfId="8202" applyNumberFormat="1" applyFont="1" applyFill="1" applyBorder="1" applyAlignment="1" applyProtection="1">
      <alignment horizontal="center" vertical="center"/>
      <protection hidden="1"/>
    </xf>
    <xf numFmtId="0" fontId="0" fillId="0" borderId="0" xfId="0"/>
    <xf numFmtId="0" fontId="13" fillId="0" borderId="0" xfId="0" applyFont="1" applyAlignment="1">
      <alignment horizontal="right" wrapText="1"/>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169" fontId="118" fillId="49" borderId="442" xfId="8202" applyNumberFormat="1" applyFont="1" applyFill="1" applyBorder="1" applyAlignment="1" applyProtection="1">
      <alignment horizontal="center" vertical="center"/>
      <protection hidden="1"/>
    </xf>
    <xf numFmtId="169" fontId="118" fillId="49" borderId="443" xfId="8202" applyNumberFormat="1" applyFont="1" applyFill="1" applyBorder="1" applyAlignment="1" applyProtection="1">
      <alignment horizontal="center" vertical="center"/>
      <protection hidden="1"/>
    </xf>
    <xf numFmtId="169" fontId="0" fillId="0" borderId="242" xfId="0" applyNumberFormat="1" applyBorder="1" applyAlignment="1">
      <alignment horizontal="right"/>
    </xf>
    <xf numFmtId="44" fontId="118" fillId="49" borderId="247" xfId="8202" applyFont="1" applyFill="1" applyBorder="1" applyAlignment="1" applyProtection="1">
      <alignment horizontal="center" vertical="center"/>
      <protection hidden="1"/>
    </xf>
    <xf numFmtId="0" fontId="118" fillId="49" borderId="443" xfId="8206" applyFont="1" applyFill="1" applyBorder="1" applyAlignment="1" applyProtection="1">
      <alignment vertical="center"/>
      <protection hidden="1"/>
    </xf>
    <xf numFmtId="169" fontId="0" fillId="0" borderId="481" xfId="0" applyNumberFormat="1" applyBorder="1" applyAlignment="1">
      <alignment horizontal="right"/>
    </xf>
    <xf numFmtId="169" fontId="120" fillId="40" borderId="443" xfId="0" applyNumberFormat="1" applyFont="1" applyFill="1" applyBorder="1" applyAlignment="1">
      <alignment horizontal="right"/>
    </xf>
    <xf numFmtId="0" fontId="120" fillId="40" borderId="443" xfId="8201" applyFont="1" applyFill="1" applyBorder="1" applyAlignment="1" applyProtection="1">
      <alignment horizontal="left" vertical="center" indent="1"/>
      <protection locked="0"/>
    </xf>
    <xf numFmtId="169" fontId="0" fillId="0" borderId="204" xfId="0" applyNumberFormat="1" applyBorder="1" applyAlignment="1">
      <alignment horizontal="right"/>
    </xf>
    <xf numFmtId="0" fontId="0" fillId="0" borderId="0" xfId="0" applyAlignment="1">
      <alignment wrapText="1"/>
    </xf>
    <xf numFmtId="0" fontId="0" fillId="0" borderId="0" xfId="0" applyAlignment="1">
      <alignment horizontal="center"/>
    </xf>
    <xf numFmtId="0" fontId="0" fillId="0" borderId="0" xfId="0" applyFill="1"/>
    <xf numFmtId="0" fontId="0" fillId="0" borderId="0" xfId="0" applyFont="1" applyFill="1"/>
    <xf numFmtId="0" fontId="0" fillId="0" borderId="0" xfId="0" applyAlignment="1">
      <alignment horizontal="center" vertical="center"/>
    </xf>
    <xf numFmtId="0" fontId="120" fillId="40" borderId="443" xfId="8201" applyFont="1" applyFill="1" applyBorder="1" applyAlignment="1" applyProtection="1">
      <alignment horizontal="left" vertical="center" indent="1"/>
      <protection locked="0"/>
    </xf>
    <xf numFmtId="169" fontId="58" fillId="40" borderId="443" xfId="28" applyNumberFormat="1" applyFill="1" applyBorder="1" applyAlignment="1">
      <alignment horizontal="right"/>
    </xf>
    <xf numFmtId="169" fontId="58" fillId="40" borderId="441" xfId="28" applyNumberFormat="1" applyFill="1" applyBorder="1" applyAlignment="1">
      <alignment horizontal="right"/>
    </xf>
    <xf numFmtId="169" fontId="58" fillId="40" borderId="26" xfId="28" applyNumberFormat="1" applyFill="1" applyBorder="1" applyAlignment="1">
      <alignment horizontal="right"/>
    </xf>
    <xf numFmtId="169" fontId="58" fillId="40" borderId="204" xfId="28" applyNumberFormat="1" applyFill="1" applyBorder="1" applyAlignment="1">
      <alignment horizontal="right"/>
    </xf>
    <xf numFmtId="169" fontId="120" fillId="40" borderId="204" xfId="0" applyNumberFormat="1" applyFont="1" applyFill="1" applyBorder="1" applyAlignment="1">
      <alignment horizontal="right"/>
    </xf>
    <xf numFmtId="169" fontId="120" fillId="40" borderId="81" xfId="0" applyNumberFormat="1" applyFont="1" applyFill="1" applyBorder="1" applyAlignment="1">
      <alignment horizontal="right"/>
    </xf>
    <xf numFmtId="5" fontId="0" fillId="0" borderId="0" xfId="0" applyNumberFormat="1" applyFill="1" applyBorder="1"/>
    <xf numFmtId="0" fontId="131" fillId="0" borderId="0" xfId="0" applyFont="1" applyFill="1" applyBorder="1" applyAlignment="1">
      <alignment horizontal="left" vertical="top"/>
    </xf>
    <xf numFmtId="164" fontId="131" fillId="0" borderId="0" xfId="1" applyNumberFormat="1" applyFont="1" applyFill="1" applyBorder="1" applyAlignment="1">
      <alignment horizontal="right" vertical="top" wrapText="1"/>
    </xf>
    <xf numFmtId="5" fontId="131" fillId="0" borderId="0" xfId="1" applyNumberFormat="1" applyFont="1" applyFill="1" applyBorder="1" applyAlignment="1">
      <alignment vertical="top" wrapText="1"/>
    </xf>
    <xf numFmtId="5" fontId="0" fillId="0" borderId="0" xfId="0" applyNumberFormat="1" applyFill="1" applyBorder="1" applyAlignment="1">
      <alignment horizontal="right"/>
    </xf>
    <xf numFmtId="0" fontId="39" fillId="0" borderId="0" xfId="0" applyFont="1" applyFill="1" applyBorder="1"/>
    <xf numFmtId="0" fontId="130" fillId="0" borderId="0" xfId="0" applyFont="1" applyFill="1" applyBorder="1" applyAlignment="1">
      <alignment horizontal="center" vertical="top"/>
    </xf>
    <xf numFmtId="0" fontId="130" fillId="0" borderId="0" xfId="0" applyFont="1" applyFill="1" applyBorder="1" applyAlignment="1">
      <alignment horizontal="right" vertical="top"/>
    </xf>
    <xf numFmtId="0" fontId="0" fillId="0" borderId="0" xfId="0" applyFill="1" applyBorder="1" applyAlignment="1">
      <alignment horizontal="left" vertical="top"/>
    </xf>
    <xf numFmtId="164" fontId="0" fillId="0" borderId="0" xfId="1" applyNumberFormat="1" applyFont="1" applyFill="1" applyBorder="1" applyAlignment="1">
      <alignment horizontal="right" vertical="top"/>
    </xf>
    <xf numFmtId="164" fontId="0" fillId="0" borderId="0" xfId="0" applyNumberFormat="1" applyFill="1" applyBorder="1" applyAlignment="1">
      <alignment horizontal="right" vertical="top"/>
    </xf>
    <xf numFmtId="9" fontId="0" fillId="0" borderId="0" xfId="8" applyFont="1" applyFill="1" applyBorder="1"/>
    <xf numFmtId="5" fontId="0" fillId="0" borderId="0" xfId="1" applyNumberFormat="1" applyFont="1" applyFill="1" applyBorder="1"/>
    <xf numFmtId="164" fontId="0" fillId="0" borderId="0" xfId="0" applyNumberFormat="1" applyFill="1" applyBorder="1" applyAlignment="1">
      <alignment horizontal="right"/>
    </xf>
    <xf numFmtId="164" fontId="0" fillId="0" borderId="0" xfId="1" applyNumberFormat="1" applyFont="1" applyFill="1" applyBorder="1" applyAlignment="1">
      <alignment horizontal="right" wrapText="1"/>
    </xf>
    <xf numFmtId="164" fontId="131" fillId="0" borderId="0" xfId="1" applyNumberFormat="1" applyFont="1" applyFill="1" applyBorder="1" applyAlignment="1">
      <alignment horizontal="right" vertical="top"/>
    </xf>
    <xf numFmtId="5" fontId="131" fillId="0" borderId="0" xfId="1" applyNumberFormat="1" applyFont="1" applyFill="1" applyBorder="1" applyAlignment="1">
      <alignment horizontal="center" vertical="top"/>
    </xf>
    <xf numFmtId="5" fontId="0" fillId="0" borderId="0" xfId="1" applyNumberFormat="1" applyFont="1" applyFill="1" applyBorder="1" applyAlignment="1">
      <alignment horizontal="right" vertical="top"/>
    </xf>
    <xf numFmtId="5" fontId="0" fillId="0" borderId="0" xfId="1" applyNumberFormat="1" applyFont="1" applyFill="1" applyBorder="1" applyAlignment="1">
      <alignment horizontal="right"/>
    </xf>
    <xf numFmtId="5" fontId="131" fillId="0" borderId="0" xfId="1" applyNumberFormat="1" applyFont="1" applyFill="1" applyBorder="1" applyAlignment="1">
      <alignment horizontal="right" vertical="top"/>
    </xf>
    <xf numFmtId="165" fontId="130" fillId="0" borderId="0" xfId="1" applyNumberFormat="1" applyFont="1" applyFill="1" applyBorder="1" applyAlignment="1">
      <alignment vertical="top" wrapText="1"/>
    </xf>
    <xf numFmtId="5" fontId="130" fillId="0" borderId="0" xfId="1" applyNumberFormat="1" applyFont="1" applyFill="1" applyBorder="1" applyAlignment="1">
      <alignment horizontal="right" vertical="top" wrapText="1"/>
    </xf>
    <xf numFmtId="9" fontId="0" fillId="0" borderId="0" xfId="8" quotePrefix="1" applyFont="1" applyBorder="1" applyAlignment="1">
      <alignment horizontal="right"/>
    </xf>
    <xf numFmtId="9" fontId="0" fillId="0" borderId="0" xfId="8" applyFont="1" applyBorder="1" applyAlignment="1">
      <alignment horizontal="right"/>
    </xf>
    <xf numFmtId="9" fontId="0" fillId="0" borderId="0" xfId="8" applyFont="1" applyBorder="1"/>
    <xf numFmtId="5" fontId="131" fillId="0" borderId="0" xfId="1" applyNumberFormat="1" applyFont="1" applyFill="1" applyBorder="1" applyAlignment="1">
      <alignment horizontal="right" vertical="top" wrapText="1"/>
    </xf>
    <xf numFmtId="164" fontId="131" fillId="0" borderId="0" xfId="1" applyNumberFormat="1" applyFont="1" applyFill="1" applyBorder="1" applyAlignment="1">
      <alignment vertical="top" wrapText="1"/>
    </xf>
    <xf numFmtId="0" fontId="0" fillId="0" borderId="0" xfId="0" applyBorder="1" applyAlignment="1">
      <alignment horizontal="left" vertical="top"/>
    </xf>
    <xf numFmtId="0" fontId="0" fillId="0" borderId="0" xfId="28" applyFont="1" applyAlignment="1">
      <alignment horizontal="center" vertical="center" wrapText="1"/>
    </xf>
    <xf numFmtId="0" fontId="0" fillId="0" borderId="0" xfId="28" applyFont="1" applyAlignment="1">
      <alignment horizontal="center" wrapText="1"/>
    </xf>
    <xf numFmtId="173" fontId="5" fillId="4" borderId="2" xfId="0" applyNumberFormat="1" applyFont="1" applyFill="1" applyBorder="1" applyProtection="1"/>
    <xf numFmtId="0" fontId="0" fillId="0" borderId="487" xfId="0" applyBorder="1"/>
    <xf numFmtId="0" fontId="0" fillId="0" borderId="487" xfId="0" applyBorder="1" applyProtection="1"/>
    <xf numFmtId="44" fontId="118" fillId="49" borderId="481" xfId="8202" applyFont="1" applyFill="1" applyBorder="1" applyAlignment="1" applyProtection="1">
      <alignment horizontal="center" vertical="center"/>
      <protection hidden="1"/>
    </xf>
    <xf numFmtId="169" fontId="118" fillId="49" borderId="442" xfId="8202" applyNumberFormat="1" applyFont="1" applyFill="1" applyBorder="1" applyAlignment="1" applyProtection="1">
      <alignment horizontal="right" vertical="center"/>
      <protection hidden="1"/>
    </xf>
    <xf numFmtId="169" fontId="118" fillId="49" borderId="443" xfId="8202" applyNumberFormat="1" applyFont="1" applyFill="1" applyBorder="1" applyAlignment="1" applyProtection="1">
      <alignment horizontal="right" vertical="center"/>
      <protection hidden="1"/>
    </xf>
    <xf numFmtId="43" fontId="58" fillId="40" borderId="441" xfId="7" applyFont="1" applyFill="1" applyBorder="1"/>
    <xf numFmtId="43" fontId="134" fillId="40" borderId="441" xfId="7" applyFont="1" applyFill="1" applyBorder="1"/>
    <xf numFmtId="169" fontId="58" fillId="40" borderId="204" xfId="0" applyNumberFormat="1" applyFont="1" applyFill="1" applyBorder="1" applyAlignment="1">
      <alignment horizontal="right"/>
    </xf>
    <xf numFmtId="42" fontId="0" fillId="0" borderId="48" xfId="0" applyNumberFormat="1" applyFont="1" applyFill="1" applyBorder="1" applyProtection="1"/>
    <xf numFmtId="0" fontId="19" fillId="0" borderId="37" xfId="0" applyFont="1" applyBorder="1" applyAlignment="1">
      <alignment vertical="center"/>
    </xf>
    <xf numFmtId="0" fontId="19" fillId="0" borderId="37" xfId="0" applyFont="1" applyBorder="1" applyAlignment="1">
      <alignment vertical="center" wrapText="1"/>
    </xf>
    <xf numFmtId="0" fontId="19" fillId="0" borderId="0" xfId="0" applyFont="1" applyBorder="1" applyAlignment="1">
      <alignment vertical="center" wrapText="1"/>
    </xf>
    <xf numFmtId="0" fontId="23" fillId="0" borderId="0" xfId="9" applyBorder="1" applyAlignment="1" applyProtection="1">
      <alignment horizontal="center" vertical="center" wrapText="1"/>
    </xf>
    <xf numFmtId="0" fontId="19" fillId="0" borderId="76" xfId="0" applyFont="1" applyBorder="1" applyAlignment="1">
      <alignment horizontal="center" vertical="center" wrapText="1"/>
    </xf>
    <xf numFmtId="0" fontId="19" fillId="0" borderId="37" xfId="0" applyFont="1" applyBorder="1" applyAlignment="1"/>
    <xf numFmtId="0" fontId="19" fillId="0" borderId="32" xfId="0" applyFont="1" applyBorder="1" applyAlignment="1">
      <alignment horizontal="center" wrapText="1"/>
    </xf>
    <xf numFmtId="0" fontId="23" fillId="0" borderId="37" xfId="9" applyBorder="1" applyAlignment="1" applyProtection="1">
      <alignment horizontal="center" wrapText="1"/>
    </xf>
    <xf numFmtId="0" fontId="23" fillId="0" borderId="0" xfId="9" applyBorder="1" applyAlignment="1" applyProtection="1">
      <alignment horizontal="center" wrapText="1"/>
    </xf>
    <xf numFmtId="3" fontId="23" fillId="0" borderId="0" xfId="9" applyNumberFormat="1" applyBorder="1" applyAlignment="1" applyProtection="1">
      <alignment horizontal="center" vertical="center" wrapText="1"/>
    </xf>
    <xf numFmtId="42" fontId="19" fillId="0" borderId="76" xfId="0" applyNumberFormat="1" applyFont="1" applyBorder="1" applyAlignment="1" applyProtection="1">
      <alignment horizontal="center" vertical="center" wrapText="1"/>
    </xf>
    <xf numFmtId="3" fontId="23" fillId="0" borderId="0" xfId="9" applyNumberFormat="1" applyBorder="1" applyAlignment="1" applyProtection="1">
      <alignment horizontal="center" wrapText="1"/>
    </xf>
    <xf numFmtId="42" fontId="19" fillId="0" borderId="32" xfId="0" applyNumberFormat="1" applyFont="1" applyBorder="1" applyAlignment="1" applyProtection="1">
      <alignment horizontal="center" wrapText="1"/>
    </xf>
    <xf numFmtId="0" fontId="62" fillId="0" borderId="46" xfId="0" applyFont="1" applyFill="1" applyBorder="1"/>
    <xf numFmtId="0" fontId="66" fillId="0" borderId="46" xfId="0" applyFont="1" applyFill="1" applyBorder="1"/>
    <xf numFmtId="0" fontId="64" fillId="0" borderId="0" xfId="0" applyFont="1" applyAlignment="1">
      <alignment horizontal="center"/>
    </xf>
    <xf numFmtId="0" fontId="135" fillId="0" borderId="0" xfId="0" applyFont="1" applyAlignment="1">
      <alignment horizontal="center"/>
    </xf>
    <xf numFmtId="0" fontId="0" fillId="0" borderId="0" xfId="0" applyFont="1" applyAlignment="1">
      <alignment horizontal="center" wrapText="1"/>
    </xf>
    <xf numFmtId="1" fontId="0" fillId="0" borderId="0" xfId="0" applyNumberFormat="1" applyFill="1" applyBorder="1" applyAlignment="1">
      <alignment horizontal="center" vertical="center"/>
    </xf>
    <xf numFmtId="0" fontId="23" fillId="0" borderId="483" xfId="9" applyFill="1" applyBorder="1" applyAlignment="1" applyProtection="1">
      <alignment horizontal="center" wrapText="1"/>
    </xf>
    <xf numFmtId="0" fontId="19" fillId="0" borderId="37" xfId="0" applyFont="1" applyBorder="1" applyAlignment="1">
      <alignment horizontal="center" vertical="center" wrapText="1"/>
    </xf>
    <xf numFmtId="0" fontId="19" fillId="0" borderId="0" xfId="0" applyFont="1" applyBorder="1" applyAlignment="1">
      <alignment horizontal="center" vertical="center" wrapText="1"/>
    </xf>
    <xf numFmtId="0" fontId="0" fillId="0" borderId="47" xfId="0" applyBorder="1" applyAlignment="1">
      <alignment horizontal="center"/>
    </xf>
    <xf numFmtId="0" fontId="0" fillId="0" borderId="57" xfId="0" applyBorder="1" applyAlignment="1">
      <alignment horizontal="center"/>
    </xf>
    <xf numFmtId="0" fontId="0" fillId="0" borderId="449" xfId="0" applyBorder="1" applyAlignment="1">
      <alignment horizontal="center"/>
    </xf>
    <xf numFmtId="0" fontId="19" fillId="8" borderId="449" xfId="0" applyFont="1" applyFill="1" applyBorder="1" applyAlignment="1">
      <alignment horizontal="center"/>
    </xf>
    <xf numFmtId="0" fontId="0" fillId="0" borderId="53" xfId="0" applyBorder="1" applyAlignment="1">
      <alignment horizontal="center"/>
    </xf>
    <xf numFmtId="0" fontId="0" fillId="0" borderId="44" xfId="0" applyBorder="1" applyAlignment="1">
      <alignment horizontal="center"/>
    </xf>
    <xf numFmtId="0" fontId="0" fillId="0" borderId="48" xfId="0" applyBorder="1" applyAlignment="1">
      <alignment horizontal="center"/>
    </xf>
    <xf numFmtId="0" fontId="19" fillId="9" borderId="449" xfId="0" applyFont="1" applyFill="1" applyBorder="1" applyAlignment="1">
      <alignment horizontal="center"/>
    </xf>
    <xf numFmtId="0" fontId="0" fillId="0" borderId="61" xfId="0" applyBorder="1" applyAlignment="1">
      <alignment horizontal="center"/>
    </xf>
    <xf numFmtId="0" fontId="0" fillId="0" borderId="204" xfId="0" applyBorder="1" applyAlignment="1">
      <alignment horizontal="center"/>
    </xf>
    <xf numFmtId="0" fontId="0" fillId="0" borderId="487" xfId="0" applyBorder="1" applyAlignment="1">
      <alignment horizontal="center"/>
    </xf>
    <xf numFmtId="3" fontId="67" fillId="10" borderId="488" xfId="0" applyNumberFormat="1" applyFont="1" applyFill="1" applyBorder="1" applyAlignment="1">
      <alignment horizontal="center"/>
    </xf>
    <xf numFmtId="0" fontId="0" fillId="0" borderId="59" xfId="0" applyBorder="1" applyAlignment="1">
      <alignment horizontal="center"/>
    </xf>
    <xf numFmtId="0" fontId="71" fillId="4" borderId="487" xfId="0" applyFont="1" applyFill="1" applyBorder="1" applyAlignment="1">
      <alignment horizontal="left"/>
    </xf>
    <xf numFmtId="3" fontId="19" fillId="11" borderId="449" xfId="0" applyNumberFormat="1" applyFont="1" applyFill="1" applyBorder="1" applyAlignment="1">
      <alignment horizontal="center"/>
    </xf>
    <xf numFmtId="0" fontId="0" fillId="0" borderId="13" xfId="0" applyBorder="1" applyAlignment="1">
      <alignment horizontal="center"/>
    </xf>
    <xf numFmtId="0" fontId="0" fillId="0" borderId="13" xfId="0" applyBorder="1"/>
    <xf numFmtId="0" fontId="0" fillId="0" borderId="37" xfId="0" applyBorder="1"/>
    <xf numFmtId="0" fontId="64" fillId="0" borderId="47" xfId="0" applyFont="1" applyBorder="1" applyAlignment="1">
      <alignment horizontal="center"/>
    </xf>
    <xf numFmtId="0" fontId="64" fillId="0" borderId="449" xfId="0" applyFont="1" applyBorder="1" applyAlignment="1">
      <alignment horizontal="center"/>
    </xf>
    <xf numFmtId="0" fontId="64" fillId="0" borderId="0" xfId="0" applyFont="1" applyBorder="1" applyAlignment="1">
      <alignment horizontal="center"/>
    </xf>
    <xf numFmtId="0" fontId="136" fillId="8" borderId="442" xfId="0" applyFont="1" applyFill="1" applyBorder="1" applyAlignment="1">
      <alignment horizontal="center"/>
    </xf>
    <xf numFmtId="0" fontId="64" fillId="0" borderId="56" xfId="0" applyFont="1" applyBorder="1" applyAlignment="1">
      <alignment horizontal="center"/>
    </xf>
    <xf numFmtId="0" fontId="64" fillId="0" borderId="43" xfId="0" applyFont="1" applyBorder="1" applyAlignment="1">
      <alignment horizontal="center"/>
    </xf>
    <xf numFmtId="0" fontId="136" fillId="9" borderId="449" xfId="0" applyFont="1" applyFill="1" applyBorder="1" applyAlignment="1">
      <alignment horizontal="center"/>
    </xf>
    <xf numFmtId="0" fontId="64" fillId="0" borderId="61" xfId="0" applyFont="1" applyBorder="1" applyAlignment="1">
      <alignment horizontal="center"/>
    </xf>
    <xf numFmtId="0" fontId="64" fillId="0" borderId="204" xfId="0" applyFont="1" applyBorder="1" applyAlignment="1">
      <alignment horizontal="center"/>
    </xf>
    <xf numFmtId="0" fontId="64" fillId="0" borderId="487" xfId="0" applyFont="1" applyBorder="1" applyAlignment="1">
      <alignment horizontal="center"/>
    </xf>
    <xf numFmtId="3" fontId="137" fillId="10" borderId="488" xfId="0" applyNumberFormat="1" applyFont="1" applyFill="1" applyBorder="1" applyAlignment="1">
      <alignment horizontal="center"/>
    </xf>
    <xf numFmtId="0" fontId="64" fillId="0" borderId="57" xfId="0" applyFont="1" applyBorder="1" applyAlignment="1">
      <alignment horizontal="center"/>
    </xf>
    <xf numFmtId="3" fontId="136" fillId="11" borderId="449" xfId="0" applyNumberFormat="1" applyFont="1" applyFill="1" applyBorder="1" applyAlignment="1">
      <alignment horizontal="center"/>
    </xf>
    <xf numFmtId="0" fontId="0" fillId="0" borderId="449" xfId="0" applyBorder="1"/>
    <xf numFmtId="49" fontId="0" fillId="0" borderId="47" xfId="0" applyNumberFormat="1" applyFont="1" applyBorder="1" applyAlignment="1">
      <alignment horizontal="center"/>
    </xf>
    <xf numFmtId="0" fontId="0" fillId="0" borderId="51" xfId="0" applyBorder="1" applyAlignment="1">
      <alignment horizontal="center"/>
    </xf>
    <xf numFmtId="0" fontId="59" fillId="4" borderId="487" xfId="0" applyFont="1" applyFill="1" applyBorder="1" applyAlignment="1">
      <alignment horizontal="center"/>
    </xf>
    <xf numFmtId="0" fontId="0" fillId="0" borderId="0" xfId="0" applyFill="1" applyAlignment="1">
      <alignment horizontal="center"/>
    </xf>
    <xf numFmtId="0" fontId="0" fillId="0" borderId="31" xfId="171" applyFont="1" applyFill="1" applyBorder="1" applyAlignment="1">
      <alignment vertical="center" wrapText="1"/>
    </xf>
    <xf numFmtId="0" fontId="0" fillId="0" borderId="31" xfId="171" applyFont="1" applyBorder="1" applyAlignment="1">
      <alignment vertical="center" wrapText="1"/>
    </xf>
    <xf numFmtId="0" fontId="0" fillId="0" borderId="4" xfId="171" applyFont="1" applyBorder="1" applyAlignment="1">
      <alignment vertical="center" wrapText="1"/>
    </xf>
    <xf numFmtId="0" fontId="138" fillId="53" borderId="6" xfId="171" applyFont="1" applyFill="1" applyBorder="1" applyAlignment="1">
      <alignment horizontal="center" vertical="center" wrapText="1"/>
    </xf>
    <xf numFmtId="0" fontId="0" fillId="0" borderId="6" xfId="171" applyFont="1" applyBorder="1" applyAlignment="1">
      <alignment vertical="center" wrapText="1"/>
    </xf>
    <xf numFmtId="0" fontId="6" fillId="0" borderId="0" xfId="155" applyAlignment="1">
      <alignment vertical="center"/>
    </xf>
    <xf numFmtId="0" fontId="0" fillId="0" borderId="0" xfId="0" applyAlignment="1">
      <alignment vertical="center"/>
    </xf>
    <xf numFmtId="165" fontId="26" fillId="13" borderId="18" xfId="1" applyNumberFormat="1" applyFont="1" applyFill="1" applyBorder="1" applyAlignment="1">
      <alignment horizontal="center" wrapText="1"/>
    </xf>
    <xf numFmtId="165" fontId="26" fillId="13" borderId="19" xfId="1" applyNumberFormat="1" applyFont="1" applyFill="1" applyBorder="1" applyAlignment="1">
      <alignment horizontal="center" wrapText="1"/>
    </xf>
    <xf numFmtId="165" fontId="26" fillId="13" borderId="20" xfId="1" applyNumberFormat="1" applyFont="1" applyFill="1" applyBorder="1" applyAlignment="1">
      <alignment horizontal="center" wrapText="1"/>
    </xf>
    <xf numFmtId="165" fontId="26" fillId="0" borderId="0" xfId="1" applyNumberFormat="1" applyFont="1" applyFill="1" applyBorder="1" applyAlignment="1">
      <alignment horizontal="center" wrapText="1"/>
    </xf>
    <xf numFmtId="165" fontId="0" fillId="0" borderId="0" xfId="5" applyNumberFormat="1" applyFont="1" applyAlignment="1">
      <alignment horizontal="center" wrapText="1"/>
    </xf>
    <xf numFmtId="0" fontId="59" fillId="0" borderId="0" xfId="0" applyFont="1" applyBorder="1" applyAlignment="1">
      <alignment vertical="center"/>
    </xf>
    <xf numFmtId="0" fontId="64" fillId="0" borderId="0" xfId="0" applyFont="1" applyBorder="1" applyAlignment="1">
      <alignment horizontal="center" vertical="top"/>
    </xf>
    <xf numFmtId="0" fontId="64" fillId="0" borderId="0" xfId="0" applyFont="1" applyBorder="1" applyAlignment="1">
      <alignment vertical="top"/>
    </xf>
    <xf numFmtId="0" fontId="139" fillId="0" borderId="0" xfId="156" applyFont="1" applyFill="1" applyBorder="1" applyAlignment="1">
      <alignment horizontal="right" vertical="top" wrapText="1"/>
    </xf>
    <xf numFmtId="172" fontId="64" fillId="0" borderId="0" xfId="7" applyNumberFormat="1" applyFont="1" applyBorder="1" applyAlignment="1">
      <alignment vertical="top"/>
    </xf>
    <xf numFmtId="0" fontId="64" fillId="0" borderId="0" xfId="171" applyFont="1" applyBorder="1" applyAlignment="1">
      <alignment vertical="top" wrapText="1"/>
    </xf>
    <xf numFmtId="0" fontId="64" fillId="0" borderId="0" xfId="171" applyFont="1" applyFill="1" applyBorder="1" applyAlignment="1">
      <alignment vertical="top" wrapText="1"/>
    </xf>
    <xf numFmtId="0" fontId="89" fillId="0" borderId="0" xfId="156" applyFont="1" applyFill="1" applyBorder="1" applyAlignment="1">
      <alignment horizontal="right" vertical="top"/>
    </xf>
    <xf numFmtId="0" fontId="0" fillId="0" borderId="0" xfId="0" applyFont="1" applyAlignment="1">
      <alignment horizontal="center" wrapText="1"/>
    </xf>
    <xf numFmtId="0" fontId="40" fillId="0" borderId="0" xfId="12"/>
    <xf numFmtId="0" fontId="121" fillId="0" borderId="0" xfId="8220" applyFont="1" applyFill="1" applyBorder="1" applyAlignment="1" applyProtection="1">
      <alignment vertical="center"/>
      <protection hidden="1"/>
    </xf>
    <xf numFmtId="0" fontId="118" fillId="0" borderId="0" xfId="8220" applyFill="1" applyBorder="1"/>
    <xf numFmtId="0" fontId="118" fillId="0" borderId="0" xfId="8220" applyFont="1" applyFill="1" applyBorder="1" applyAlignment="1" applyProtection="1">
      <alignment horizontal="center" vertical="center"/>
      <protection hidden="1"/>
    </xf>
    <xf numFmtId="0" fontId="123" fillId="0" borderId="0" xfId="8220" applyFont="1" applyFill="1" applyBorder="1" applyAlignment="1" applyProtection="1">
      <alignment horizontal="center" vertical="center"/>
      <protection hidden="1"/>
    </xf>
    <xf numFmtId="44" fontId="121" fillId="0" borderId="0" xfId="8220" applyNumberFormat="1" applyFont="1" applyFill="1" applyBorder="1" applyAlignment="1" applyProtection="1">
      <alignment horizontal="center" vertical="center"/>
      <protection hidden="1"/>
    </xf>
    <xf numFmtId="0" fontId="121" fillId="0" borderId="0" xfId="8220" applyNumberFormat="1" applyFont="1" applyFill="1" applyBorder="1" applyAlignment="1" applyProtection="1">
      <alignment horizontal="center" vertical="center"/>
      <protection hidden="1"/>
    </xf>
    <xf numFmtId="2" fontId="121" fillId="0" borderId="0" xfId="8220" applyNumberFormat="1" applyFont="1" applyFill="1" applyBorder="1" applyAlignment="1" applyProtection="1">
      <alignment horizontal="center" vertical="center"/>
      <protection hidden="1"/>
    </xf>
    <xf numFmtId="37" fontId="118" fillId="0" borderId="0" xfId="8220" applyNumberFormat="1" applyFont="1" applyFill="1" applyBorder="1" applyAlignment="1" applyProtection="1">
      <alignment horizontal="center" vertical="center"/>
      <protection hidden="1"/>
    </xf>
    <xf numFmtId="44" fontId="124" fillId="0" borderId="0" xfId="8202" applyFont="1" applyFill="1" applyBorder="1" applyAlignment="1" applyProtection="1">
      <alignment horizontal="center" vertical="center"/>
      <protection locked="0"/>
    </xf>
    <xf numFmtId="37" fontId="120" fillId="0" borderId="0" xfId="8203" applyNumberFormat="1" applyFont="1" applyFill="1" applyBorder="1" applyAlignment="1" applyProtection="1">
      <alignment horizontal="center" vertical="center"/>
      <protection hidden="1"/>
    </xf>
    <xf numFmtId="44" fontId="120" fillId="0" borderId="0" xfId="8202" applyFont="1" applyFill="1" applyBorder="1" applyAlignment="1" applyProtection="1">
      <alignment horizontal="center" vertical="center"/>
      <protection hidden="1"/>
    </xf>
    <xf numFmtId="0" fontId="124" fillId="0" borderId="0" xfId="8202" applyNumberFormat="1" applyFont="1" applyFill="1" applyBorder="1" applyAlignment="1" applyProtection="1">
      <alignment horizontal="center" vertical="center"/>
      <protection locked="0"/>
    </xf>
    <xf numFmtId="2" fontId="120" fillId="0" borderId="0" xfId="8220" applyNumberFormat="1" applyFont="1" applyFill="1" applyBorder="1" applyAlignment="1" applyProtection="1">
      <alignment horizontal="center" vertical="center"/>
      <protection hidden="1"/>
    </xf>
    <xf numFmtId="165" fontId="15" fillId="54" borderId="40" xfId="4" applyNumberFormat="1" applyFont="1" applyFill="1" applyBorder="1"/>
    <xf numFmtId="165" fontId="15" fillId="54" borderId="40" xfId="194" applyNumberFormat="1" applyFont="1" applyFill="1" applyBorder="1"/>
    <xf numFmtId="165" fontId="117" fillId="54" borderId="0" xfId="183" applyNumberFormat="1" applyFont="1" applyFill="1" applyBorder="1"/>
    <xf numFmtId="0" fontId="15" fillId="0" borderId="0" xfId="3"/>
    <xf numFmtId="165" fontId="42" fillId="0" borderId="0" xfId="184" applyNumberFormat="1" applyFont="1" applyBorder="1"/>
    <xf numFmtId="0" fontId="18" fillId="0" borderId="28" xfId="3" applyFont="1" applyFill="1" applyBorder="1" applyAlignment="1"/>
    <xf numFmtId="165" fontId="43" fillId="2" borderId="335" xfId="22" applyNumberFormat="1" applyFont="1" applyFill="1" applyBorder="1"/>
    <xf numFmtId="165" fontId="43" fillId="2" borderId="29" xfId="22" applyNumberFormat="1" applyFont="1" applyFill="1" applyBorder="1"/>
    <xf numFmtId="3" fontId="43" fillId="0" borderId="449" xfId="22" applyNumberFormat="1" applyFont="1" applyFill="1" applyBorder="1"/>
    <xf numFmtId="180" fontId="15" fillId="0" borderId="40" xfId="12" applyNumberFormat="1" applyFont="1" applyBorder="1"/>
    <xf numFmtId="0" fontId="46" fillId="3" borderId="83" xfId="12" applyFont="1" applyFill="1" applyBorder="1" applyAlignment="1">
      <alignment horizontal="center" vertical="center" wrapText="1"/>
    </xf>
    <xf numFmtId="42" fontId="15" fillId="15" borderId="481" xfId="222" applyNumberFormat="1" applyFill="1" applyBorder="1"/>
    <xf numFmtId="42" fontId="40" fillId="0" borderId="481" xfId="12" applyNumberFormat="1" applyBorder="1"/>
    <xf numFmtId="165" fontId="42" fillId="0" borderId="360" xfId="15" applyNumberFormat="1" applyFont="1" applyFill="1" applyBorder="1"/>
    <xf numFmtId="0" fontId="6" fillId="0" borderId="0" xfId="17" applyNumberFormat="1" applyFont="1" applyBorder="1" applyAlignment="1" applyProtection="1">
      <alignment horizontal="center" vertical="center" wrapText="1"/>
      <protection locked="0"/>
    </xf>
    <xf numFmtId="0" fontId="26" fillId="0" borderId="13" xfId="0" applyFont="1" applyBorder="1" applyAlignment="1">
      <alignment horizontal="center"/>
    </xf>
    <xf numFmtId="0" fontId="40" fillId="0" borderId="13" xfId="12" applyBorder="1"/>
    <xf numFmtId="165" fontId="36" fillId="0" borderId="0" xfId="1" applyNumberFormat="1" applyFont="1" applyFill="1" applyBorder="1"/>
    <xf numFmtId="180" fontId="36" fillId="0" borderId="28" xfId="18" applyNumberFormat="1" applyFont="1" applyFill="1" applyBorder="1"/>
    <xf numFmtId="0" fontId="15" fillId="0" borderId="0" xfId="12" applyFont="1"/>
    <xf numFmtId="0" fontId="0" fillId="0" borderId="0" xfId="17" applyNumberFormat="1" applyFont="1" applyAlignment="1" applyProtection="1">
      <alignment horizontal="center" wrapText="1"/>
      <protection locked="0"/>
    </xf>
    <xf numFmtId="165" fontId="36" fillId="0" borderId="28" xfId="1" applyNumberFormat="1" applyFont="1" applyFill="1" applyBorder="1"/>
    <xf numFmtId="165" fontId="36" fillId="0" borderId="40" xfId="1" applyNumberFormat="1" applyFont="1" applyFill="1" applyBorder="1"/>
    <xf numFmtId="3" fontId="42" fillId="0" borderId="493" xfId="15" applyNumberFormat="1" applyFont="1" applyFill="1" applyBorder="1"/>
    <xf numFmtId="3" fontId="40" fillId="0" borderId="441" xfId="12" applyNumberFormat="1" applyBorder="1"/>
    <xf numFmtId="3" fontId="46" fillId="3" borderId="204" xfId="12" applyNumberFormat="1" applyFont="1" applyFill="1" applyBorder="1" applyAlignment="1">
      <alignment horizontal="center" vertical="center" wrapText="1"/>
    </xf>
    <xf numFmtId="165" fontId="43" fillId="2" borderId="492" xfId="15" applyNumberFormat="1" applyFont="1" applyFill="1" applyBorder="1"/>
    <xf numFmtId="165" fontId="43" fillId="2" borderId="491" xfId="15" applyNumberFormat="1" applyFont="1" applyFill="1" applyBorder="1"/>
    <xf numFmtId="0" fontId="18" fillId="0" borderId="0" xfId="183" applyFont="1" applyFill="1"/>
    <xf numFmtId="0" fontId="12" fillId="0" borderId="0" xfId="183" applyFont="1" applyFill="1" applyAlignment="1">
      <alignment horizontal="left"/>
    </xf>
    <xf numFmtId="0" fontId="12" fillId="0" borderId="0" xfId="183" applyFont="1" applyFill="1" applyAlignment="1">
      <alignment horizontal="left" wrapText="1"/>
    </xf>
    <xf numFmtId="0" fontId="12" fillId="0" borderId="0" xfId="201"/>
    <xf numFmtId="0" fontId="42" fillId="0" borderId="0" xfId="183" applyFont="1" applyAlignment="1">
      <alignment horizontal="right"/>
    </xf>
    <xf numFmtId="0" fontId="42" fillId="0" borderId="0" xfId="183" applyFont="1" applyFill="1" applyBorder="1"/>
    <xf numFmtId="1" fontId="50" fillId="0" borderId="0" xfId="4" applyNumberFormat="1" applyFont="1" applyFill="1" applyBorder="1" applyAlignment="1">
      <alignment horizontal="center"/>
    </xf>
    <xf numFmtId="3" fontId="42" fillId="0" borderId="487" xfId="183" applyNumberFormat="1" applyFont="1" applyBorder="1"/>
    <xf numFmtId="0" fontId="44" fillId="0" borderId="0" xfId="183" applyFont="1" applyBorder="1" applyAlignment="1">
      <alignment horizontal="center"/>
    </xf>
    <xf numFmtId="3" fontId="15" fillId="0" borderId="0" xfId="194" applyNumberFormat="1" applyFill="1" applyBorder="1"/>
    <xf numFmtId="165" fontId="15" fillId="0" borderId="0" xfId="194" applyNumberFormat="1" applyFont="1" applyFill="1" applyBorder="1"/>
    <xf numFmtId="9" fontId="18" fillId="0" borderId="0" xfId="4" applyFont="1" applyFill="1" applyBorder="1"/>
    <xf numFmtId="165" fontId="15" fillId="0" borderId="28" xfId="194" applyNumberFormat="1" applyFont="1" applyFill="1" applyBorder="1"/>
    <xf numFmtId="3" fontId="15" fillId="15" borderId="441" xfId="222" applyNumberFormat="1" applyFill="1" applyBorder="1"/>
    <xf numFmtId="165" fontId="15" fillId="0" borderId="204" xfId="194" applyNumberFormat="1" applyFont="1" applyFill="1" applyBorder="1"/>
    <xf numFmtId="3" fontId="15" fillId="0" borderId="489" xfId="194" applyNumberFormat="1" applyFont="1" applyFill="1" applyBorder="1"/>
    <xf numFmtId="3" fontId="15" fillId="0" borderId="488" xfId="194" applyNumberFormat="1" applyFont="1" applyFill="1" applyBorder="1"/>
    <xf numFmtId="165" fontId="15" fillId="0" borderId="444" xfId="194" applyNumberFormat="1" applyFont="1" applyFill="1" applyBorder="1"/>
    <xf numFmtId="3" fontId="42" fillId="0" borderId="30" xfId="183" applyNumberFormat="1" applyFont="1" applyBorder="1"/>
    <xf numFmtId="0" fontId="12" fillId="0" borderId="0" xfId="183" applyFont="1" applyFill="1" applyBorder="1" applyAlignment="1">
      <alignment horizontal="left"/>
    </xf>
    <xf numFmtId="0" fontId="12" fillId="0" borderId="0" xfId="183" applyFont="1" applyFill="1" applyBorder="1"/>
    <xf numFmtId="165" fontId="15" fillId="0" borderId="204" xfId="22" applyNumberFormat="1" applyFont="1" applyFill="1" applyBorder="1"/>
    <xf numFmtId="3" fontId="15" fillId="0" borderId="489" xfId="22" applyNumberFormat="1" applyFont="1" applyFill="1" applyBorder="1"/>
    <xf numFmtId="3" fontId="15" fillId="0" borderId="488" xfId="22" applyNumberFormat="1" applyFont="1" applyFill="1" applyBorder="1"/>
    <xf numFmtId="165" fontId="15" fillId="0" borderId="444" xfId="22" applyNumberFormat="1" applyFont="1" applyFill="1" applyBorder="1"/>
    <xf numFmtId="3" fontId="15" fillId="0" borderId="30" xfId="22" applyNumberFormat="1" applyFont="1" applyFill="1" applyBorder="1"/>
    <xf numFmtId="3" fontId="15" fillId="0" borderId="487" xfId="22" applyNumberFormat="1" applyFont="1" applyFill="1" applyBorder="1"/>
    <xf numFmtId="3" fontId="39" fillId="0" borderId="440" xfId="0" applyNumberFormat="1" applyFont="1" applyBorder="1"/>
    <xf numFmtId="3" fontId="39" fillId="0" borderId="449" xfId="0" applyNumberFormat="1" applyFont="1" applyBorder="1"/>
    <xf numFmtId="165" fontId="42" fillId="0" borderId="441" xfId="22" applyNumberFormat="1" applyFont="1" applyFill="1" applyBorder="1"/>
    <xf numFmtId="0" fontId="12" fillId="0" borderId="0" xfId="3" applyFont="1"/>
    <xf numFmtId="42" fontId="36" fillId="0" borderId="40" xfId="4" applyNumberFormat="1" applyFont="1" applyFill="1" applyBorder="1"/>
    <xf numFmtId="42" fontId="36" fillId="0" borderId="0" xfId="4" applyNumberFormat="1" applyFont="1" applyFill="1" applyBorder="1"/>
    <xf numFmtId="42" fontId="36" fillId="0" borderId="28" xfId="4" applyNumberFormat="1" applyFont="1" applyFill="1" applyBorder="1"/>
    <xf numFmtId="165" fontId="95" fillId="0" borderId="0" xfId="184" applyNumberFormat="1" applyFill="1" applyBorder="1"/>
    <xf numFmtId="165" fontId="15" fillId="0" borderId="0" xfId="186" quotePrefix="1" applyNumberFormat="1" applyFont="1" applyBorder="1" applyAlignment="1">
      <alignment horizontal="right"/>
    </xf>
    <xf numFmtId="165" fontId="15" fillId="0" borderId="487" xfId="186" applyNumberFormat="1" applyFont="1" applyBorder="1" applyAlignment="1">
      <alignment horizontal="right"/>
    </xf>
    <xf numFmtId="0" fontId="12" fillId="0" borderId="28" xfId="177" applyFont="1" applyBorder="1" applyAlignment="1">
      <alignment horizontal="left" indent="2"/>
    </xf>
    <xf numFmtId="165" fontId="0" fillId="0" borderId="28" xfId="1" applyNumberFormat="1" applyFont="1" applyBorder="1"/>
    <xf numFmtId="165" fontId="43" fillId="2" borderId="492" xfId="22" applyNumberFormat="1" applyFont="1" applyFill="1" applyBorder="1"/>
    <xf numFmtId="165" fontId="43" fillId="2" borderId="491" xfId="22" applyNumberFormat="1" applyFont="1" applyFill="1" applyBorder="1"/>
    <xf numFmtId="180" fontId="38" fillId="0" borderId="0" xfId="3" applyNumberFormat="1" applyFont="1" applyBorder="1"/>
    <xf numFmtId="165" fontId="12" fillId="0" borderId="40" xfId="20" applyNumberFormat="1" applyFont="1" applyBorder="1"/>
    <xf numFmtId="165" fontId="42" fillId="0" borderId="28" xfId="3" applyNumberFormat="1" applyFont="1" applyBorder="1"/>
    <xf numFmtId="165" fontId="42" fillId="0" borderId="28" xfId="20" applyNumberFormat="1" applyFont="1" applyFill="1" applyBorder="1"/>
    <xf numFmtId="165" fontId="43" fillId="2" borderId="360" xfId="20" applyNumberFormat="1" applyFont="1" applyFill="1" applyBorder="1"/>
    <xf numFmtId="44" fontId="42" fillId="0" borderId="0" xfId="3" applyNumberFormat="1" applyFont="1" applyAlignment="1">
      <alignment horizontal="right"/>
    </xf>
    <xf numFmtId="0" fontId="15" fillId="0" borderId="0" xfId="3"/>
    <xf numFmtId="0" fontId="0" fillId="0" borderId="0" xfId="0" applyFont="1" applyAlignment="1">
      <alignment horizontal="center" wrapText="1"/>
    </xf>
    <xf numFmtId="0" fontId="15" fillId="0" borderId="0" xfId="3"/>
    <xf numFmtId="0" fontId="3" fillId="3" borderId="204" xfId="3" applyFont="1" applyFill="1" applyBorder="1" applyAlignment="1">
      <alignment horizontal="center" vertical="center" wrapText="1"/>
    </xf>
    <xf numFmtId="3" fontId="3" fillId="3" borderId="487" xfId="3" applyNumberFormat="1" applyFont="1" applyFill="1" applyBorder="1" applyAlignment="1">
      <alignment horizontal="center" vertical="center" wrapText="1"/>
    </xf>
    <xf numFmtId="3" fontId="15" fillId="15" borderId="257" xfId="3" applyNumberFormat="1" applyFill="1" applyBorder="1"/>
    <xf numFmtId="3" fontId="15" fillId="0" borderId="257" xfId="3" applyNumberFormat="1" applyBorder="1"/>
    <xf numFmtId="3" fontId="46" fillId="3" borderId="487" xfId="12" applyNumberFormat="1" applyFont="1" applyFill="1" applyBorder="1" applyAlignment="1">
      <alignment horizontal="center" vertical="center" wrapText="1"/>
    </xf>
    <xf numFmtId="3" fontId="15" fillId="15" borderId="257" xfId="222" applyNumberFormat="1" applyFill="1" applyBorder="1"/>
    <xf numFmtId="3" fontId="40" fillId="0" borderId="257" xfId="12" applyNumberFormat="1" applyBorder="1"/>
    <xf numFmtId="3" fontId="39" fillId="0" borderId="0" xfId="0" applyNumberFormat="1" applyFont="1"/>
    <xf numFmtId="3" fontId="15" fillId="0" borderId="0" xfId="22" applyNumberFormat="1" applyFont="1" applyFill="1" applyBorder="1"/>
    <xf numFmtId="0" fontId="42" fillId="0" borderId="0" xfId="3" applyFont="1" applyFill="1" applyBorder="1" applyAlignment="1">
      <alignment horizontal="right"/>
    </xf>
    <xf numFmtId="0" fontId="15" fillId="0" borderId="0" xfId="3" applyAlignment="1">
      <alignment horizontal="right" wrapText="1"/>
    </xf>
    <xf numFmtId="165" fontId="43" fillId="2" borderId="494" xfId="22" applyNumberFormat="1" applyFont="1" applyFill="1" applyBorder="1"/>
    <xf numFmtId="165" fontId="42" fillId="0" borderId="40" xfId="1" applyNumberFormat="1" applyFont="1" applyFill="1" applyBorder="1"/>
    <xf numFmtId="165" fontId="42" fillId="0" borderId="28" xfId="1" applyNumberFormat="1" applyFont="1" applyBorder="1"/>
    <xf numFmtId="165" fontId="42" fillId="0" borderId="0" xfId="1" applyNumberFormat="1" applyFont="1" applyBorder="1"/>
    <xf numFmtId="180" fontId="15" fillId="0" borderId="0" xfId="3" applyNumberFormat="1" applyFont="1" applyBorder="1"/>
    <xf numFmtId="180" fontId="15" fillId="0" borderId="40" xfId="3" applyNumberFormat="1" applyFont="1" applyBorder="1"/>
    <xf numFmtId="0" fontId="3" fillId="3" borderId="114" xfId="3" applyFont="1" applyFill="1" applyBorder="1" applyAlignment="1">
      <alignment horizontal="center" vertical="center" wrapText="1"/>
    </xf>
    <xf numFmtId="9" fontId="36" fillId="0" borderId="0" xfId="4" applyFont="1" applyFill="1" applyBorder="1"/>
    <xf numFmtId="0" fontId="15" fillId="0" borderId="0" xfId="183"/>
    <xf numFmtId="165" fontId="42" fillId="0" borderId="0" xfId="22" applyNumberFormat="1" applyFont="1" applyFill="1" applyBorder="1"/>
    <xf numFmtId="1" fontId="50" fillId="0" borderId="40" xfId="4" applyNumberFormat="1" applyFont="1" applyFill="1" applyBorder="1" applyAlignment="1">
      <alignment horizontal="center"/>
    </xf>
    <xf numFmtId="1" fontId="50" fillId="0" borderId="28" xfId="4" applyNumberFormat="1" applyFont="1" applyFill="1" applyBorder="1" applyAlignment="1">
      <alignment horizontal="center"/>
    </xf>
    <xf numFmtId="165" fontId="42" fillId="0" borderId="40" xfId="1" applyNumberFormat="1" applyFont="1" applyBorder="1"/>
    <xf numFmtId="3" fontId="42" fillId="0" borderId="0" xfId="3" applyNumberFormat="1" applyFont="1"/>
    <xf numFmtId="166" fontId="42" fillId="0" borderId="0" xfId="3" applyNumberFormat="1" applyFont="1" applyFill="1" applyAlignment="1">
      <alignment horizontal="right"/>
    </xf>
    <xf numFmtId="165" fontId="128" fillId="0" borderId="40" xfId="22" applyNumberFormat="1" applyFont="1" applyFill="1" applyBorder="1"/>
    <xf numFmtId="165" fontId="128" fillId="0" borderId="0" xfId="3" applyNumberFormat="1" applyFont="1" applyBorder="1"/>
    <xf numFmtId="165" fontId="128" fillId="0" borderId="28" xfId="3" applyNumberFormat="1" applyFont="1" applyBorder="1"/>
    <xf numFmtId="165" fontId="128" fillId="0" borderId="40" xfId="22" applyNumberFormat="1" applyFont="1" applyBorder="1"/>
    <xf numFmtId="165" fontId="128" fillId="0" borderId="0" xfId="22" applyNumberFormat="1" applyFont="1" applyFill="1" applyBorder="1"/>
    <xf numFmtId="165" fontId="128" fillId="0" borderId="28" xfId="22" applyNumberFormat="1" applyFont="1" applyFill="1" applyBorder="1"/>
    <xf numFmtId="165" fontId="128" fillId="0" borderId="40" xfId="1" applyNumberFormat="1" applyFont="1" applyFill="1" applyBorder="1"/>
    <xf numFmtId="165" fontId="128" fillId="0" borderId="0" xfId="1" applyNumberFormat="1" applyFont="1" applyBorder="1"/>
    <xf numFmtId="165" fontId="128" fillId="0" borderId="28" xfId="1" applyNumberFormat="1" applyFont="1" applyBorder="1"/>
    <xf numFmtId="165" fontId="42" fillId="0" borderId="491" xfId="20" applyNumberFormat="1" applyFont="1" applyFill="1" applyBorder="1"/>
    <xf numFmtId="165" fontId="42" fillId="0" borderId="490" xfId="20" applyNumberFormat="1" applyFont="1" applyFill="1" applyBorder="1"/>
    <xf numFmtId="165" fontId="42" fillId="0" borderId="1" xfId="20" applyNumberFormat="1" applyFont="1" applyFill="1" applyBorder="1"/>
    <xf numFmtId="165" fontId="128" fillId="0" borderId="40" xfId="4" applyNumberFormat="1" applyFont="1" applyFill="1" applyBorder="1"/>
    <xf numFmtId="42" fontId="128" fillId="0" borderId="28" xfId="3" applyNumberFormat="1" applyFont="1" applyBorder="1"/>
    <xf numFmtId="3" fontId="128" fillId="0" borderId="40" xfId="22" applyNumberFormat="1" applyFont="1" applyFill="1" applyBorder="1"/>
    <xf numFmtId="3" fontId="128" fillId="0" borderId="0" xfId="22" applyNumberFormat="1" applyFont="1" applyFill="1" applyBorder="1"/>
    <xf numFmtId="3" fontId="128" fillId="0" borderId="28" xfId="22" applyNumberFormat="1" applyFont="1" applyFill="1" applyBorder="1"/>
    <xf numFmtId="0" fontId="0" fillId="0" borderId="0" xfId="23" applyNumberFormat="1" applyFont="1" applyAlignment="1" applyProtection="1">
      <alignment horizontal="center" wrapText="1"/>
      <protection locked="0"/>
    </xf>
    <xf numFmtId="165" fontId="128" fillId="0" borderId="40" xfId="20" applyNumberFormat="1" applyFont="1" applyFill="1" applyBorder="1" applyAlignment="1">
      <alignment horizontal="center"/>
    </xf>
    <xf numFmtId="165" fontId="128" fillId="0" borderId="0" xfId="3" applyNumberFormat="1" applyFont="1" applyBorder="1" applyAlignment="1">
      <alignment horizontal="center"/>
    </xf>
    <xf numFmtId="165" fontId="128" fillId="0" borderId="28" xfId="3" applyNumberFormat="1" applyFont="1" applyBorder="1" applyAlignment="1">
      <alignment horizontal="center"/>
    </xf>
    <xf numFmtId="165" fontId="128" fillId="0" borderId="40" xfId="20" applyNumberFormat="1" applyFont="1" applyBorder="1"/>
    <xf numFmtId="3" fontId="15" fillId="15" borderId="267" xfId="3" applyNumberFormat="1" applyFill="1" applyBorder="1"/>
    <xf numFmtId="3" fontId="15" fillId="0" borderId="267" xfId="3" applyNumberFormat="1" applyBorder="1"/>
    <xf numFmtId="3" fontId="42" fillId="0" borderId="492" xfId="20" applyNumberFormat="1" applyFont="1" applyFill="1" applyBorder="1"/>
    <xf numFmtId="42" fontId="143" fillId="0" borderId="40" xfId="4" applyNumberFormat="1" applyFont="1" applyFill="1" applyBorder="1"/>
    <xf numFmtId="42" fontId="143" fillId="0" borderId="0" xfId="4" applyNumberFormat="1" applyFont="1" applyFill="1" applyBorder="1"/>
    <xf numFmtId="42" fontId="143" fillId="0" borderId="28" xfId="4" applyNumberFormat="1" applyFont="1" applyFill="1" applyBorder="1"/>
    <xf numFmtId="165" fontId="143" fillId="0" borderId="40" xfId="1" applyNumberFormat="1" applyFont="1" applyFill="1" applyBorder="1"/>
    <xf numFmtId="165" fontId="143" fillId="0" borderId="0" xfId="1" applyNumberFormat="1" applyFont="1" applyFill="1" applyBorder="1"/>
    <xf numFmtId="165" fontId="143" fillId="0" borderId="28" xfId="1" applyNumberFormat="1" applyFont="1" applyFill="1" applyBorder="1"/>
    <xf numFmtId="165" fontId="143" fillId="0" borderId="40" xfId="22" applyNumberFormat="1" applyFont="1" applyFill="1" applyBorder="1"/>
    <xf numFmtId="165" fontId="143" fillId="0" borderId="0" xfId="3" applyNumberFormat="1" applyFont="1" applyBorder="1"/>
    <xf numFmtId="165" fontId="143" fillId="0" borderId="28" xfId="3" applyNumberFormat="1" applyFont="1" applyBorder="1"/>
    <xf numFmtId="165" fontId="143" fillId="0" borderId="40" xfId="22" applyNumberFormat="1" applyFont="1" applyBorder="1"/>
    <xf numFmtId="165" fontId="143" fillId="0" borderId="0" xfId="22" applyNumberFormat="1" applyFont="1" applyFill="1" applyBorder="1"/>
    <xf numFmtId="165" fontId="143" fillId="0" borderId="28" xfId="22" applyNumberFormat="1" applyFont="1" applyFill="1" applyBorder="1"/>
    <xf numFmtId="3" fontId="42" fillId="0" borderId="18" xfId="15" applyNumberFormat="1" applyFont="1" applyFill="1" applyBorder="1"/>
    <xf numFmtId="180" fontId="142" fillId="0" borderId="40" xfId="12" applyNumberFormat="1" applyFont="1" applyBorder="1"/>
    <xf numFmtId="165" fontId="144" fillId="0" borderId="0" xfId="1" applyNumberFormat="1" applyFont="1" applyFill="1" applyBorder="1"/>
    <xf numFmtId="180" fontId="144" fillId="0" borderId="28" xfId="18" applyNumberFormat="1" applyFont="1" applyFill="1" applyBorder="1"/>
    <xf numFmtId="165" fontId="142" fillId="0" borderId="40" xfId="15" applyNumberFormat="1" applyFont="1" applyFill="1" applyBorder="1"/>
    <xf numFmtId="165" fontId="142" fillId="0" borderId="0" xfId="12" applyNumberFormat="1" applyFont="1" applyBorder="1"/>
    <xf numFmtId="165" fontId="142" fillId="0" borderId="28" xfId="12" applyNumberFormat="1" applyFont="1" applyBorder="1"/>
    <xf numFmtId="165" fontId="142" fillId="0" borderId="40" xfId="15" applyNumberFormat="1" applyFont="1" applyBorder="1"/>
    <xf numFmtId="165" fontId="142" fillId="0" borderId="0" xfId="15" applyNumberFormat="1" applyFont="1" applyFill="1" applyBorder="1"/>
    <xf numFmtId="165" fontId="142" fillId="0" borderId="28" xfId="15" applyNumberFormat="1" applyFont="1" applyFill="1" applyBorder="1"/>
    <xf numFmtId="3" fontId="142" fillId="0" borderId="40" xfId="194" applyNumberFormat="1" applyFont="1" applyFill="1" applyBorder="1"/>
    <xf numFmtId="3" fontId="142" fillId="0" borderId="0" xfId="194" applyNumberFormat="1" applyFont="1" applyFill="1" applyBorder="1"/>
    <xf numFmtId="165" fontId="128" fillId="54" borderId="40" xfId="183" applyNumberFormat="1" applyFont="1" applyFill="1" applyBorder="1"/>
    <xf numFmtId="165" fontId="128" fillId="54" borderId="0" xfId="183" applyNumberFormat="1" applyFont="1" applyFill="1" applyBorder="1"/>
    <xf numFmtId="0" fontId="46" fillId="3" borderId="3" xfId="12" applyFont="1" applyFill="1" applyBorder="1" applyAlignment="1">
      <alignment horizontal="center" vertical="center" wrapText="1"/>
    </xf>
    <xf numFmtId="42" fontId="40" fillId="0" borderId="5" xfId="12" applyNumberFormat="1" applyBorder="1"/>
    <xf numFmtId="165" fontId="42" fillId="0" borderId="1" xfId="15" applyNumberFormat="1" applyFont="1" applyFill="1" applyBorder="1"/>
    <xf numFmtId="0" fontId="120" fillId="40" borderId="440" xfId="54572" applyFont="1" applyFill="1" applyBorder="1" applyAlignment="1" applyProtection="1">
      <alignment horizontal="left" vertical="center" indent="1"/>
      <protection locked="0"/>
    </xf>
    <xf numFmtId="44" fontId="120" fillId="40" borderId="448" xfId="8202" applyFont="1" applyFill="1" applyBorder="1" applyAlignment="1" applyProtection="1">
      <alignment horizontal="center" vertical="center"/>
      <protection locked="0"/>
    </xf>
    <xf numFmtId="0" fontId="120" fillId="40" borderId="365" xfId="5458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12" borderId="365" xfId="54573" applyFont="1" applyFill="1" applyBorder="1" applyAlignment="1" applyProtection="1">
      <alignment horizontal="center" vertical="center"/>
      <protection hidden="1"/>
    </xf>
    <xf numFmtId="0" fontId="120" fillId="40" borderId="365" xfId="54634" applyFont="1" applyFill="1" applyBorder="1" applyAlignment="1" applyProtection="1">
      <alignment horizontal="center" vertical="center"/>
      <protection locked="0"/>
    </xf>
    <xf numFmtId="0" fontId="120" fillId="12" borderId="365" xfId="54634"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0" fontId="120" fillId="40" borderId="365" xfId="54583" applyFont="1" applyFill="1" applyBorder="1" applyAlignment="1" applyProtection="1">
      <alignment horizontal="center" vertical="center"/>
      <protection locked="0"/>
    </xf>
    <xf numFmtId="0" fontId="124" fillId="40" borderId="365" xfId="54583" applyFont="1" applyFill="1" applyBorder="1" applyAlignment="1" applyProtection="1">
      <alignment horizontal="center" vertical="center"/>
      <protection locked="0"/>
    </xf>
    <xf numFmtId="0" fontId="124" fillId="53" borderId="365" xfId="54583" applyFont="1" applyFill="1" applyBorder="1" applyAlignment="1" applyProtection="1">
      <alignment horizontal="center" vertical="center"/>
      <protection hidden="1"/>
    </xf>
    <xf numFmtId="37" fontId="120" fillId="12" borderId="365" xfId="8203" applyNumberFormat="1" applyFont="1" applyFill="1" applyBorder="1" applyAlignment="1" applyProtection="1">
      <alignment horizontal="center" vertical="center"/>
      <protection hidden="1"/>
    </xf>
    <xf numFmtId="37" fontId="120" fillId="53" borderId="365" xfId="8203" applyNumberFormat="1" applyFont="1" applyFill="1" applyBorder="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0" fontId="123" fillId="40" borderId="0" xfId="54575" applyFont="1" applyFill="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1" fillId="48" borderId="0" xfId="54575" applyNumberFormat="1" applyFont="1" applyFill="1" applyAlignment="1" applyProtection="1">
      <alignment horizontal="center" vertical="center"/>
      <protection hidden="1"/>
    </xf>
    <xf numFmtId="0" fontId="118" fillId="55" borderId="0" xfId="54575" applyFill="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10" fontId="120" fillId="12" borderId="365" xfId="8204" applyNumberFormat="1" applyFont="1" applyFill="1" applyBorder="1" applyAlignment="1" applyProtection="1">
      <alignment horizontal="center" vertical="center"/>
      <protection hidden="1"/>
    </xf>
    <xf numFmtId="8" fontId="124" fillId="40" borderId="365" xfId="8202" applyNumberFormat="1" applyFont="1" applyFill="1" applyBorder="1" applyAlignment="1" applyProtection="1">
      <alignment horizontal="center" vertical="center"/>
      <protection locked="0"/>
    </xf>
    <xf numFmtId="0" fontId="120" fillId="40" borderId="365" xfId="54636"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581"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0" fontId="124" fillId="40" borderId="365" xfId="54581"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37" fontId="120" fillId="12" borderId="365" xfId="8203" applyNumberFormat="1" applyFont="1" applyFill="1" applyBorder="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44" fontId="0" fillId="0" borderId="0" xfId="1" applyFont="1"/>
    <xf numFmtId="44" fontId="123" fillId="40" borderId="0" xfId="1" applyFont="1" applyFill="1" applyAlignment="1" applyProtection="1">
      <alignment horizontal="center" vertical="center"/>
      <protection hidden="1"/>
    </xf>
    <xf numFmtId="169" fontId="118" fillId="49" borderId="447" xfId="8202" applyNumberFormat="1" applyFont="1" applyFill="1" applyBorder="1" applyAlignment="1" applyProtection="1">
      <alignment horizontal="center" vertical="center"/>
      <protection hidden="1"/>
    </xf>
    <xf numFmtId="44" fontId="124" fillId="40" borderId="325" xfId="1" applyFont="1" applyFill="1" applyBorder="1" applyAlignment="1" applyProtection="1">
      <alignment horizontal="center" vertical="center"/>
      <protection locked="0"/>
    </xf>
    <xf numFmtId="44" fontId="121" fillId="48" borderId="0" xfId="1" applyFont="1" applyFill="1" applyAlignment="1" applyProtection="1">
      <alignment horizontal="center" vertical="center"/>
      <protection hidden="1"/>
    </xf>
    <xf numFmtId="44" fontId="0" fillId="0" borderId="0" xfId="1" applyFont="1" applyAlignment="1">
      <alignment horizontal="center" vertical="center" wrapText="1"/>
    </xf>
    <xf numFmtId="0" fontId="120" fillId="40" borderId="365" xfId="54637"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0" fontId="124" fillId="40" borderId="365" xfId="8203" applyNumberFormat="1" applyFont="1" applyFill="1" applyBorder="1" applyAlignment="1" applyProtection="1">
      <alignment horizontal="center" vertical="center"/>
      <protection locked="0"/>
    </xf>
    <xf numFmtId="0" fontId="120" fillId="40" borderId="365" xfId="54642"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40" borderId="365" xfId="54638" applyFont="1" applyFill="1" applyBorder="1" applyAlignment="1" applyProtection="1">
      <alignment horizontal="center" vertical="center"/>
      <protection locked="0"/>
    </xf>
    <xf numFmtId="0" fontId="120" fillId="40" borderId="365" xfId="5464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44" fontId="118" fillId="0" borderId="0" xfId="1" applyFont="1"/>
    <xf numFmtId="44" fontId="118" fillId="45" borderId="0" xfId="1" applyFont="1" applyFill="1" applyAlignment="1" applyProtection="1">
      <alignment horizontal="center" vertical="center"/>
      <protection hidden="1"/>
    </xf>
    <xf numFmtId="0" fontId="120" fillId="40" borderId="365" xfId="54639" applyFont="1" applyFill="1" applyBorder="1" applyAlignment="1" applyProtection="1">
      <alignment horizontal="center" vertical="center"/>
      <protection locked="0"/>
    </xf>
    <xf numFmtId="0" fontId="120" fillId="40" borderId="365" xfId="54640"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639" applyFont="1" applyFill="1" applyBorder="1" applyAlignment="1" applyProtection="1">
      <alignment horizontal="center" vertical="center" wrapText="1"/>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0" fillId="40" borderId="365" xfId="54742" applyFont="1" applyFill="1" applyBorder="1" applyAlignment="1" applyProtection="1">
      <alignment horizontal="center" vertical="center"/>
      <protection locked="0"/>
    </xf>
    <xf numFmtId="0" fontId="120" fillId="40" borderId="365" xfId="8220" applyFont="1" applyFill="1" applyBorder="1" applyAlignment="1" applyProtection="1">
      <alignment horizontal="center" vertical="center"/>
      <protection locked="0"/>
    </xf>
    <xf numFmtId="0" fontId="120" fillId="12" borderId="365" xfId="8220" applyFont="1" applyFill="1" applyBorder="1" applyAlignment="1" applyProtection="1">
      <alignment horizontal="center" vertical="center"/>
      <protection hidden="1"/>
    </xf>
    <xf numFmtId="44" fontId="124" fillId="40" borderId="365" xfId="1" applyFont="1" applyFill="1" applyBorder="1" applyAlignment="1" applyProtection="1">
      <alignment horizontal="center" vertical="center"/>
      <protection locked="0"/>
    </xf>
    <xf numFmtId="44" fontId="27" fillId="0" borderId="0" xfId="1" applyFont="1" applyAlignment="1">
      <alignment horizontal="center" vertical="center" wrapText="1"/>
    </xf>
    <xf numFmtId="0" fontId="120" fillId="40" borderId="365" xfId="54733"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742" applyFont="1" applyFill="1" applyBorder="1" applyAlignment="1" applyProtection="1">
      <alignment horizontal="center" vertical="center"/>
    </xf>
    <xf numFmtId="0" fontId="120" fillId="40" borderId="365" xfId="54745" applyFont="1" applyFill="1" applyBorder="1" applyAlignment="1" applyProtection="1">
      <alignment horizontal="center" vertical="center"/>
      <protection locked="0"/>
    </xf>
    <xf numFmtId="0" fontId="124" fillId="40" borderId="365" xfId="54743"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3" fontId="124" fillId="40" borderId="365" xfId="8203" applyNumberFormat="1" applyFont="1" applyFill="1" applyBorder="1" applyAlignment="1" applyProtection="1">
      <alignment horizontal="center" vertical="center"/>
      <protection locked="0"/>
    </xf>
    <xf numFmtId="0" fontId="120" fillId="40" borderId="365" xfId="54735"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186" fontId="124" fillId="40" borderId="365" xfId="8202" applyNumberFormat="1" applyFont="1" applyFill="1" applyBorder="1" applyAlignment="1" applyProtection="1">
      <alignment horizontal="center" vertical="center"/>
      <protection locked="0"/>
    </xf>
    <xf numFmtId="0" fontId="124" fillId="40" borderId="365" xfId="54734"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0" fillId="40" borderId="365" xfId="54747" applyFont="1" applyFill="1" applyBorder="1" applyAlignment="1" applyProtection="1">
      <alignment horizontal="center" vertical="center"/>
      <protection locked="0"/>
    </xf>
    <xf numFmtId="37" fontId="120" fillId="12" borderId="365" xfId="8203" applyNumberFormat="1" applyFont="1" applyFill="1" applyBorder="1" applyAlignment="1" applyProtection="1">
      <alignment horizontal="center" vertical="center"/>
      <protection hidden="1"/>
    </xf>
    <xf numFmtId="0" fontId="120" fillId="40" borderId="365" xfId="54758" applyFont="1" applyFill="1" applyBorder="1" applyAlignment="1" applyProtection="1">
      <alignment horizontal="center" vertical="center"/>
      <protection locked="0"/>
    </xf>
    <xf numFmtId="0" fontId="120" fillId="12" borderId="365" xfId="54758"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4" fillId="53" borderId="365" xfId="8202" applyFont="1" applyFill="1" applyBorder="1" applyAlignment="1" applyProtection="1">
      <alignment horizontal="center" vertical="center"/>
      <protection hidden="1"/>
    </xf>
    <xf numFmtId="0" fontId="124" fillId="40" borderId="365" xfId="54754" applyFont="1" applyFill="1" applyBorder="1" applyAlignment="1" applyProtection="1">
      <alignment horizontal="center" vertical="center"/>
      <protection locked="0"/>
    </xf>
    <xf numFmtId="0" fontId="124" fillId="53" borderId="365" xfId="54754" applyFont="1" applyFill="1" applyBorder="1" applyAlignment="1" applyProtection="1">
      <alignment horizontal="center" vertical="center"/>
      <protection hidden="1"/>
    </xf>
    <xf numFmtId="0" fontId="124" fillId="53" borderId="365" xfId="54755" applyFont="1" applyFill="1" applyBorder="1" applyAlignment="1" applyProtection="1">
      <alignment horizontal="center" vertical="center"/>
      <protection hidden="1"/>
    </xf>
    <xf numFmtId="0" fontId="124" fillId="53" borderId="365" xfId="54749" applyFont="1" applyFill="1" applyBorder="1" applyAlignment="1" applyProtection="1">
      <alignment horizontal="center" vertical="center"/>
      <protection hidden="1"/>
    </xf>
    <xf numFmtId="0" fontId="120" fillId="40" borderId="365" xfId="54750" applyFont="1" applyFill="1" applyBorder="1" applyAlignment="1" applyProtection="1">
      <alignment horizontal="center" vertical="center"/>
      <protection locked="0"/>
    </xf>
    <xf numFmtId="0" fontId="120" fillId="40" borderId="365" xfId="54760"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0" fillId="40" borderId="365" xfId="54761" applyFont="1" applyFill="1" applyBorder="1" applyAlignment="1" applyProtection="1">
      <alignment horizontal="center" vertical="center"/>
      <protection locked="0"/>
    </xf>
    <xf numFmtId="39" fontId="124" fillId="40" borderId="365" xfId="8203" applyNumberFormat="1" applyFont="1" applyFill="1" applyBorder="1" applyAlignment="1" applyProtection="1">
      <alignment horizontal="center" vertical="center"/>
      <protection locked="0"/>
    </xf>
    <xf numFmtId="0" fontId="124" fillId="40" borderId="365" xfId="8202" applyNumberFormat="1" applyFont="1" applyFill="1" applyBorder="1" applyAlignment="1" applyProtection="1">
      <alignment horizontal="center" vertical="center"/>
      <protection locked="0"/>
    </xf>
    <xf numFmtId="0" fontId="120" fillId="40" borderId="365" xfId="54771" applyFont="1" applyFill="1" applyBorder="1" applyAlignment="1" applyProtection="1">
      <alignment horizontal="center" vertical="center"/>
      <protection locked="0"/>
    </xf>
    <xf numFmtId="173" fontId="26" fillId="0" borderId="197" xfId="0" applyNumberFormat="1" applyFont="1" applyBorder="1"/>
    <xf numFmtId="0" fontId="120" fillId="40" borderId="365" xfId="54762" applyFont="1" applyFill="1" applyBorder="1" applyAlignment="1" applyProtection="1">
      <alignment horizontal="center" vertical="center"/>
      <protection locked="0"/>
    </xf>
    <xf numFmtId="0" fontId="120" fillId="40" borderId="365" xfId="54769" applyFont="1" applyFill="1" applyBorder="1" applyAlignment="1" applyProtection="1">
      <alignment horizontal="center" vertical="center"/>
      <protection locked="0"/>
    </xf>
    <xf numFmtId="0" fontId="120" fillId="40" borderId="365" xfId="54764" applyFont="1" applyFill="1" applyBorder="1" applyAlignment="1" applyProtection="1">
      <alignment horizontal="center" vertical="center"/>
      <protection locked="0"/>
    </xf>
    <xf numFmtId="0" fontId="124" fillId="40" borderId="365" xfId="8203" applyNumberFormat="1" applyFont="1" applyFill="1" applyBorder="1" applyAlignment="1" applyProtection="1">
      <alignment horizontal="center" vertical="center"/>
      <protection locked="0"/>
    </xf>
    <xf numFmtId="0" fontId="120" fillId="40" borderId="365" xfId="54765"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9" fontId="120" fillId="40" borderId="365" xfId="8202"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44" fontId="124" fillId="40" borderId="365" xfId="8202" applyFont="1" applyFill="1" applyBorder="1" applyAlignment="1" applyProtection="1">
      <alignment horizontal="center" vertical="center"/>
      <protection locked="0"/>
    </xf>
    <xf numFmtId="39" fontId="124" fillId="40" borderId="365" xfId="8203" applyNumberFormat="1" applyFont="1" applyFill="1" applyBorder="1" applyAlignment="1" applyProtection="1">
      <alignment horizontal="center" vertical="center"/>
      <protection locked="0"/>
    </xf>
    <xf numFmtId="37" fontId="124" fillId="40" borderId="365" xfId="8203" applyNumberFormat="1" applyFont="1" applyFill="1" applyBorder="1" applyAlignment="1" applyProtection="1">
      <alignment horizontal="center" vertical="center"/>
      <protection locked="0"/>
    </xf>
    <xf numFmtId="0" fontId="124" fillId="40" borderId="365" xfId="54767"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166" fontId="0" fillId="52" borderId="441" xfId="8" applyNumberFormat="1" applyFont="1" applyFill="1" applyBorder="1" applyAlignment="1">
      <alignment horizontal="right"/>
    </xf>
    <xf numFmtId="166" fontId="0" fillId="52" borderId="443" xfId="8" applyNumberFormat="1" applyFont="1" applyFill="1" applyBorder="1" applyAlignment="1">
      <alignment horizontal="right"/>
    </xf>
    <xf numFmtId="0" fontId="121" fillId="48" borderId="0" xfId="8220" applyFont="1" applyFill="1" applyBorder="1" applyAlignment="1" applyProtection="1">
      <alignment horizontal="right" vertical="center"/>
      <protection hidden="1"/>
    </xf>
    <xf numFmtId="0" fontId="123" fillId="40" borderId="0" xfId="8220" applyFont="1" applyFill="1" applyBorder="1" applyAlignment="1" applyProtection="1">
      <alignment horizontal="center" vertical="center"/>
      <protection hidden="1"/>
    </xf>
    <xf numFmtId="0" fontId="125" fillId="48" borderId="0" xfId="8220" applyFont="1" applyFill="1" applyBorder="1" applyAlignment="1" applyProtection="1">
      <alignment horizontal="center" vertical="center"/>
      <protection hidden="1"/>
    </xf>
    <xf numFmtId="44" fontId="121" fillId="48" borderId="0" xfId="8220" applyNumberFormat="1" applyFont="1" applyFill="1" applyBorder="1" applyAlignment="1" applyProtection="1">
      <alignment horizontal="center" vertical="center"/>
      <protection hidden="1"/>
    </xf>
    <xf numFmtId="9" fontId="121" fillId="48" borderId="0" xfId="8220" applyNumberFormat="1" applyFont="1" applyFill="1" applyBorder="1" applyAlignment="1" applyProtection="1">
      <alignment horizontal="center" vertical="center"/>
      <protection hidden="1"/>
    </xf>
    <xf numFmtId="0" fontId="121" fillId="48" borderId="0" xfId="8220" applyFont="1" applyFill="1" applyBorder="1" applyAlignment="1" applyProtection="1">
      <alignment horizontal="center" vertical="center"/>
      <protection hidden="1"/>
    </xf>
    <xf numFmtId="0" fontId="118" fillId="47" borderId="0" xfId="8220" applyFont="1" applyFill="1" applyBorder="1" applyAlignment="1" applyProtection="1">
      <alignment horizontal="center" vertical="center"/>
      <protection hidden="1"/>
    </xf>
    <xf numFmtId="37" fontId="121" fillId="48" borderId="0" xfId="8220" applyNumberFormat="1" applyFont="1" applyFill="1" applyBorder="1" applyAlignment="1" applyProtection="1">
      <alignment horizontal="center" vertical="center"/>
      <protection hidden="1"/>
    </xf>
    <xf numFmtId="0" fontId="118" fillId="46" borderId="0" xfId="8220" applyFont="1" applyFill="1" applyBorder="1" applyAlignment="1" applyProtection="1">
      <alignment horizontal="center" vertical="center"/>
      <protection hidden="1"/>
    </xf>
    <xf numFmtId="0" fontId="118" fillId="13" borderId="0" xfId="8220" applyFont="1" applyFill="1" applyBorder="1" applyAlignment="1" applyProtection="1">
      <alignment horizontal="center" vertical="center"/>
      <protection hidden="1"/>
    </xf>
    <xf numFmtId="0" fontId="121" fillId="48" borderId="0" xfId="8220" applyNumberFormat="1" applyFont="1" applyFill="1" applyBorder="1" applyAlignment="1" applyProtection="1">
      <alignment horizontal="center" vertical="center"/>
      <protection hidden="1"/>
    </xf>
    <xf numFmtId="165" fontId="18" fillId="0" borderId="0" xfId="186" applyNumberFormat="1" applyFont="1" applyBorder="1"/>
    <xf numFmtId="165" fontId="18" fillId="0" borderId="28" xfId="186" applyNumberFormat="1" applyFont="1" applyBorder="1"/>
    <xf numFmtId="42" fontId="43" fillId="0" borderId="40" xfId="12" applyNumberFormat="1" applyFont="1" applyBorder="1"/>
    <xf numFmtId="0" fontId="15" fillId="0" borderId="0" xfId="12" applyFont="1" applyBorder="1" applyAlignment="1">
      <alignment horizontal="left" indent="1"/>
    </xf>
    <xf numFmtId="0" fontId="0" fillId="0" borderId="30" xfId="0" applyFill="1" applyBorder="1"/>
    <xf numFmtId="0" fontId="0" fillId="0" borderId="487" xfId="0" applyFill="1" applyBorder="1"/>
    <xf numFmtId="0" fontId="0" fillId="0" borderId="204" xfId="0" applyFill="1" applyBorder="1"/>
    <xf numFmtId="42" fontId="70" fillId="0" borderId="487" xfId="0" applyNumberFormat="1" applyFont="1" applyBorder="1" applyProtection="1"/>
    <xf numFmtId="0" fontId="0" fillId="0" borderId="52" xfId="0" applyFill="1" applyBorder="1"/>
    <xf numFmtId="10" fontId="120" fillId="0" borderId="0" xfId="8202" applyNumberFormat="1" applyFont="1" applyFill="1" applyBorder="1" applyAlignment="1" applyProtection="1">
      <alignment horizontal="center" vertical="center"/>
      <protection locked="0"/>
    </xf>
    <xf numFmtId="44" fontId="124" fillId="40" borderId="450" xfId="8202" applyFont="1" applyFill="1" applyBorder="1" applyAlignment="1" applyProtection="1">
      <alignment horizontal="center" vertical="center"/>
      <protection locked="0"/>
    </xf>
    <xf numFmtId="44" fontId="120" fillId="12" borderId="450" xfId="8202" applyFont="1" applyFill="1" applyBorder="1" applyAlignment="1" applyProtection="1">
      <alignment horizontal="center" vertical="center"/>
      <protection hidden="1"/>
    </xf>
    <xf numFmtId="10" fontId="120" fillId="40" borderId="450" xfId="8202" applyNumberFormat="1" applyFont="1" applyFill="1" applyBorder="1" applyAlignment="1" applyProtection="1">
      <alignment horizontal="center" vertical="center"/>
      <protection locked="0"/>
    </xf>
    <xf numFmtId="0" fontId="118" fillId="0" borderId="0" xfId="54772"/>
    <xf numFmtId="0" fontId="123" fillId="40" borderId="0" xfId="54772" applyFont="1" applyFill="1" applyAlignment="1" applyProtection="1">
      <alignment horizontal="center" vertical="center"/>
      <protection hidden="1"/>
    </xf>
    <xf numFmtId="44" fontId="120" fillId="12" borderId="365" xfId="8202" applyFont="1" applyFill="1" applyBorder="1" applyAlignment="1" applyProtection="1">
      <alignment horizontal="center" vertical="center"/>
      <protection hidden="1"/>
    </xf>
    <xf numFmtId="44" fontId="124" fillId="40" borderId="365" xfId="8202" applyFont="1" applyFill="1" applyBorder="1" applyAlignment="1" applyProtection="1">
      <alignment horizontal="center" vertical="center"/>
      <protection locked="0"/>
    </xf>
    <xf numFmtId="44" fontId="121" fillId="48" borderId="0" xfId="54772" applyNumberFormat="1" applyFont="1" applyFill="1" applyAlignment="1" applyProtection="1">
      <alignment horizontal="center" vertical="center"/>
      <protection hidden="1"/>
    </xf>
    <xf numFmtId="10" fontId="118" fillId="0" borderId="0" xfId="8204" applyNumberFormat="1" applyFont="1" applyAlignment="1" applyProtection="1">
      <alignment horizontal="center" vertical="center"/>
      <protection hidden="1"/>
    </xf>
    <xf numFmtId="0" fontId="118" fillId="55" borderId="0" xfId="54772" applyFill="1" applyAlignment="1" applyProtection="1">
      <alignment horizontal="center" vertical="center"/>
      <protection hidden="1"/>
    </xf>
    <xf numFmtId="44" fontId="120" fillId="53" borderId="365" xfId="8202" applyFont="1" applyFill="1" applyBorder="1" applyAlignment="1" applyProtection="1">
      <alignment horizontal="center" vertical="center"/>
      <protection hidden="1"/>
    </xf>
    <xf numFmtId="10" fontId="120" fillId="12" borderId="365" xfId="8204" applyNumberFormat="1" applyFont="1" applyFill="1" applyBorder="1" applyAlignment="1" applyProtection="1">
      <alignment horizontal="center" vertical="center"/>
      <protection hidden="1"/>
    </xf>
    <xf numFmtId="10" fontId="120" fillId="40" borderId="365" xfId="8202" applyNumberFormat="1" applyFont="1" applyFill="1" applyBorder="1" applyAlignment="1" applyProtection="1">
      <alignment horizontal="center" vertical="center"/>
      <protection locked="0"/>
    </xf>
    <xf numFmtId="8" fontId="124" fillId="40" borderId="365" xfId="8202" applyNumberFormat="1" applyFont="1" applyFill="1" applyBorder="1" applyAlignment="1" applyProtection="1">
      <alignment horizontal="center" vertical="center"/>
      <protection locked="0"/>
    </xf>
    <xf numFmtId="0" fontId="146" fillId="0" borderId="0" xfId="54772" applyFont="1" applyAlignment="1" applyProtection="1">
      <alignment vertical="center"/>
      <protection hidden="1"/>
    </xf>
    <xf numFmtId="0" fontId="0" fillId="0" borderId="0" xfId="0" applyFont="1" applyFill="1" applyAlignment="1">
      <alignment horizontal="center"/>
    </xf>
    <xf numFmtId="49" fontId="0" fillId="0" borderId="0" xfId="0" applyNumberFormat="1" applyAlignment="1">
      <alignment horizontal="center" wrapText="1"/>
    </xf>
    <xf numFmtId="0" fontId="0" fillId="0" borderId="0" xfId="23" applyNumberFormat="1" applyFont="1" applyAlignment="1" applyProtection="1">
      <alignment horizontal="center" vertical="center" wrapText="1"/>
      <protection locked="0"/>
    </xf>
    <xf numFmtId="0" fontId="0" fillId="0" borderId="0" xfId="0" applyFont="1" applyFill="1" applyAlignment="1">
      <alignment horizontal="center" vertical="center"/>
    </xf>
    <xf numFmtId="49" fontId="0" fillId="0" borderId="0" xfId="0" applyNumberFormat="1" applyAlignment="1">
      <alignment horizontal="center" vertical="center" wrapText="1"/>
    </xf>
    <xf numFmtId="188" fontId="124" fillId="40" borderId="325" xfId="8203" applyNumberFormat="1" applyFont="1" applyFill="1" applyBorder="1" applyAlignment="1" applyProtection="1">
      <alignment horizontal="center" vertical="center"/>
      <protection locked="0"/>
    </xf>
    <xf numFmtId="0" fontId="0" fillId="0" borderId="76" xfId="0" applyFont="1" applyBorder="1"/>
    <xf numFmtId="3" fontId="66" fillId="0" borderId="44" xfId="0" applyNumberFormat="1" applyFont="1" applyFill="1" applyBorder="1" applyAlignment="1">
      <alignment horizontal="center"/>
    </xf>
    <xf numFmtId="0" fontId="0" fillId="0" borderId="46" xfId="0" applyFont="1" applyFill="1" applyBorder="1" applyAlignment="1">
      <alignment horizontal="left"/>
    </xf>
    <xf numFmtId="3" fontId="66" fillId="0" borderId="45" xfId="0" applyNumberFormat="1" applyFont="1" applyFill="1" applyBorder="1" applyProtection="1"/>
    <xf numFmtId="0" fontId="0" fillId="0" borderId="44" xfId="0" applyFont="1" applyBorder="1" applyAlignment="1">
      <alignment horizontal="center"/>
    </xf>
    <xf numFmtId="3" fontId="0" fillId="0" borderId="45" xfId="0" applyNumberFormat="1" applyFont="1" applyFill="1" applyBorder="1" applyProtection="1"/>
    <xf numFmtId="42" fontId="0" fillId="0" borderId="0" xfId="0" applyNumberFormat="1" applyFont="1" applyFill="1" applyBorder="1" applyProtection="1"/>
    <xf numFmtId="0" fontId="147" fillId="0" borderId="76" xfId="0" applyFont="1" applyBorder="1"/>
    <xf numFmtId="0" fontId="148" fillId="0" borderId="43" xfId="0" applyFont="1" applyBorder="1" applyAlignment="1">
      <alignment horizontal="center"/>
    </xf>
    <xf numFmtId="0" fontId="147" fillId="0" borderId="44" xfId="0" applyFont="1" applyBorder="1" applyAlignment="1">
      <alignment horizontal="center"/>
    </xf>
    <xf numFmtId="0" fontId="147" fillId="0" borderId="46" xfId="0" applyFont="1" applyFill="1" applyBorder="1"/>
    <xf numFmtId="3" fontId="147" fillId="0" borderId="45" xfId="0" applyNumberFormat="1" applyFont="1" applyFill="1" applyBorder="1" applyProtection="1"/>
    <xf numFmtId="42" fontId="147" fillId="0" borderId="44" xfId="0" applyNumberFormat="1" applyFont="1" applyFill="1" applyBorder="1" applyProtection="1"/>
    <xf numFmtId="3" fontId="147" fillId="0" borderId="44" xfId="0" applyNumberFormat="1" applyFont="1" applyFill="1" applyBorder="1" applyProtection="1"/>
    <xf numFmtId="165" fontId="147" fillId="0" borderId="77" xfId="1" applyNumberFormat="1" applyFont="1" applyFill="1" applyBorder="1" applyProtection="1"/>
    <xf numFmtId="166" fontId="147" fillId="0" borderId="0" xfId="8" applyNumberFormat="1" applyFont="1"/>
    <xf numFmtId="0" fontId="147" fillId="0" borderId="0" xfId="0" applyFont="1"/>
    <xf numFmtId="0" fontId="147" fillId="0" borderId="45" xfId="0" applyFont="1" applyFill="1" applyBorder="1"/>
    <xf numFmtId="0" fontId="149" fillId="0" borderId="47" xfId="0" applyFont="1" applyFill="1" applyBorder="1"/>
    <xf numFmtId="0" fontId="62" fillId="0" borderId="47" xfId="0" applyFont="1" applyFill="1" applyBorder="1"/>
    <xf numFmtId="0" fontId="0" fillId="0" borderId="45" xfId="0" applyFont="1" applyFill="1" applyBorder="1" applyAlignment="1">
      <alignment horizontal="left"/>
    </xf>
    <xf numFmtId="0" fontId="150" fillId="0" borderId="76" xfId="0" applyFont="1" applyBorder="1"/>
    <xf numFmtId="0" fontId="151" fillId="0" borderId="43" xfId="0" applyFont="1" applyBorder="1" applyAlignment="1">
      <alignment horizontal="center"/>
    </xf>
    <xf numFmtId="0" fontId="150" fillId="0" borderId="44" xfId="0" applyFont="1" applyBorder="1" applyAlignment="1">
      <alignment horizontal="center"/>
    </xf>
    <xf numFmtId="0" fontId="150" fillId="0" borderId="45" xfId="0" applyFont="1" applyFill="1" applyBorder="1"/>
    <xf numFmtId="0" fontId="150" fillId="0" borderId="47" xfId="0" applyFont="1" applyFill="1" applyBorder="1"/>
    <xf numFmtId="0" fontId="150" fillId="0" borderId="46" xfId="0" applyFont="1" applyFill="1" applyBorder="1"/>
    <xf numFmtId="42" fontId="150" fillId="0" borderId="44" xfId="0" applyNumberFormat="1" applyFont="1" applyFill="1" applyBorder="1" applyProtection="1"/>
    <xf numFmtId="165" fontId="150" fillId="0" borderId="77" xfId="1" applyNumberFormat="1" applyFont="1" applyFill="1" applyBorder="1" applyProtection="1"/>
    <xf numFmtId="166" fontId="150" fillId="0" borderId="0" xfId="8" applyNumberFormat="1" applyFont="1"/>
    <xf numFmtId="0" fontId="150" fillId="0" borderId="0" xfId="0" applyFont="1"/>
    <xf numFmtId="0" fontId="0" fillId="0" borderId="28" xfId="0" applyBorder="1" applyAlignment="1">
      <alignment horizontal="center" vertical="center"/>
    </xf>
    <xf numFmtId="166" fontId="0" fillId="14" borderId="441" xfId="8" applyNumberFormat="1" applyFont="1" applyFill="1" applyBorder="1" applyAlignment="1" applyProtection="1">
      <alignment horizontal="center"/>
    </xf>
    <xf numFmtId="0" fontId="149" fillId="0" borderId="76" xfId="0" applyFont="1" applyBorder="1"/>
    <xf numFmtId="0" fontId="149" fillId="0" borderId="44" xfId="0" applyFont="1" applyBorder="1" applyAlignment="1">
      <alignment horizontal="center"/>
    </xf>
    <xf numFmtId="0" fontId="149" fillId="0" borderId="45" xfId="0" applyFont="1" applyFill="1" applyBorder="1"/>
    <xf numFmtId="0" fontId="149" fillId="0" borderId="46" xfId="0" applyFont="1" applyFill="1" applyBorder="1"/>
    <xf numFmtId="37" fontId="149" fillId="0" borderId="45" xfId="0" applyNumberFormat="1" applyFont="1" applyFill="1" applyBorder="1" applyProtection="1"/>
    <xf numFmtId="42" fontId="149" fillId="0" borderId="44" xfId="0" applyNumberFormat="1" applyFont="1" applyFill="1" applyBorder="1" applyProtection="1"/>
    <xf numFmtId="3" fontId="149" fillId="0" borderId="44" xfId="0" applyNumberFormat="1" applyFont="1" applyFill="1" applyBorder="1" applyProtection="1"/>
    <xf numFmtId="165" fontId="149" fillId="0" borderId="77" xfId="1" applyNumberFormat="1" applyFont="1" applyFill="1" applyBorder="1" applyProtection="1"/>
    <xf numFmtId="166" fontId="149" fillId="0" borderId="0" xfId="8" applyNumberFormat="1" applyFont="1"/>
    <xf numFmtId="0" fontId="149" fillId="0" borderId="0" xfId="0" applyFont="1"/>
    <xf numFmtId="0" fontId="149" fillId="0" borderId="44" xfId="0" applyFont="1" applyFill="1" applyBorder="1"/>
    <xf numFmtId="3" fontId="149" fillId="0" borderId="0" xfId="0" applyNumberFormat="1" applyFont="1" applyFill="1" applyProtection="1"/>
    <xf numFmtId="0" fontId="121" fillId="39" borderId="0" xfId="8220" applyFont="1" applyFill="1" applyAlignment="1" applyProtection="1">
      <alignment horizontal="left" vertical="center" indent="2"/>
      <protection hidden="1"/>
    </xf>
    <xf numFmtId="0" fontId="0" fillId="0" borderId="0" xfId="0" applyFont="1" applyAlignment="1">
      <alignment horizontal="center" wrapText="1"/>
    </xf>
    <xf numFmtId="0" fontId="39" fillId="0" borderId="0" xfId="0" applyFont="1" applyFill="1" applyAlignment="1">
      <alignment horizontal="center"/>
    </xf>
    <xf numFmtId="0" fontId="39" fillId="0" borderId="0" xfId="0" applyFont="1" applyFill="1" applyAlignment="1">
      <alignment horizontal="right"/>
    </xf>
    <xf numFmtId="0" fontId="0" fillId="0" borderId="0" xfId="0" applyFont="1" applyFill="1" applyBorder="1"/>
    <xf numFmtId="165" fontId="6" fillId="0" borderId="0" xfId="1" applyNumberFormat="1" applyFont="1" applyFill="1" applyBorder="1"/>
    <xf numFmtId="172" fontId="6" fillId="0" borderId="0" xfId="7" applyNumberFormat="1" applyFont="1" applyFill="1" applyBorder="1"/>
    <xf numFmtId="0" fontId="23" fillId="0" borderId="0" xfId="9" applyAlignment="1" applyProtection="1">
      <alignment horizontal="center"/>
    </xf>
    <xf numFmtId="165" fontId="1" fillId="0" borderId="487" xfId="1" applyNumberFormat="1" applyFont="1" applyBorder="1" applyProtection="1"/>
    <xf numFmtId="42" fontId="1" fillId="0" borderId="487" xfId="0" applyNumberFormat="1" applyFont="1" applyBorder="1" applyProtection="1"/>
    <xf numFmtId="185" fontId="1" fillId="0" borderId="0" xfId="0" applyNumberFormat="1" applyFont="1" applyFill="1" applyBorder="1" applyAlignment="1" applyProtection="1">
      <alignment vertical="center"/>
    </xf>
    <xf numFmtId="0" fontId="154" fillId="0" borderId="0" xfId="0" applyFont="1"/>
    <xf numFmtId="165" fontId="43" fillId="0" borderId="0" xfId="4" applyNumberFormat="1" applyFont="1" applyFill="1" applyBorder="1"/>
    <xf numFmtId="0" fontId="155" fillId="0" borderId="0" xfId="0" applyFont="1"/>
    <xf numFmtId="165" fontId="128" fillId="0" borderId="40" xfId="194" applyNumberFormat="1" applyFont="1" applyFill="1" applyBorder="1"/>
    <xf numFmtId="165" fontId="128" fillId="0" borderId="0" xfId="183" applyNumberFormat="1" applyFont="1" applyFill="1" applyBorder="1"/>
    <xf numFmtId="3" fontId="15" fillId="0" borderId="40" xfId="194" applyNumberFormat="1" applyFont="1" applyFill="1" applyBorder="1"/>
    <xf numFmtId="3" fontId="15" fillId="0" borderId="0" xfId="194" applyNumberFormat="1" applyFont="1" applyFill="1" applyBorder="1"/>
    <xf numFmtId="7" fontId="27" fillId="0" borderId="11" xfId="1" applyNumberFormat="1" applyFont="1" applyBorder="1"/>
    <xf numFmtId="7" fontId="27" fillId="0" borderId="0" xfId="1" applyNumberFormat="1" applyFont="1" applyBorder="1"/>
    <xf numFmtId="7" fontId="26" fillId="0" borderId="0" xfId="0" applyNumberFormat="1" applyFont="1" applyBorder="1"/>
    <xf numFmtId="0" fontId="156" fillId="0" borderId="0" xfId="0" applyFont="1"/>
    <xf numFmtId="0" fontId="157" fillId="0" borderId="0" xfId="28" applyFont="1" applyAlignment="1">
      <alignment horizontal="left"/>
    </xf>
    <xf numFmtId="182" fontId="64" fillId="0" borderId="0" xfId="1" applyNumberFormat="1" applyFont="1" applyBorder="1" applyAlignment="1"/>
    <xf numFmtId="182" fontId="158" fillId="0" borderId="0" xfId="1" applyNumberFormat="1" applyFont="1" applyBorder="1" applyAlignment="1"/>
    <xf numFmtId="0" fontId="0" fillId="0" borderId="0" xfId="0" applyFont="1" applyFill="1" applyBorder="1" applyAlignment="1">
      <alignment horizontal="center" vertical="center"/>
    </xf>
    <xf numFmtId="0" fontId="18" fillId="0" borderId="0" xfId="0" applyFont="1" applyFill="1" applyBorder="1" applyAlignment="1">
      <alignment vertical="center"/>
    </xf>
    <xf numFmtId="0" fontId="159" fillId="10" borderId="37" xfId="0" applyFont="1" applyFill="1" applyBorder="1" applyAlignment="1">
      <alignment horizontal="center"/>
    </xf>
    <xf numFmtId="0" fontId="159" fillId="10" borderId="487" xfId="0" applyFont="1" applyFill="1" applyBorder="1" applyAlignment="1">
      <alignment horizontal="center"/>
    </xf>
    <xf numFmtId="0" fontId="0" fillId="53" borderId="0" xfId="0" applyFill="1"/>
    <xf numFmtId="0" fontId="0" fillId="12" borderId="36" xfId="0" applyFill="1" applyBorder="1" applyAlignment="1">
      <alignment horizontal="center"/>
    </xf>
    <xf numFmtId="0" fontId="0" fillId="12" borderId="231" xfId="0" applyFill="1" applyBorder="1" applyAlignment="1">
      <alignment horizontal="center"/>
    </xf>
    <xf numFmtId="0" fontId="0" fillId="12" borderId="450" xfId="0" applyFill="1" applyBorder="1" applyAlignment="1">
      <alignment horizontal="center"/>
    </xf>
    <xf numFmtId="190" fontId="0" fillId="12" borderId="450" xfId="0" applyNumberFormat="1" applyFill="1" applyBorder="1" applyAlignment="1">
      <alignment horizontal="center"/>
    </xf>
    <xf numFmtId="0" fontId="0" fillId="12" borderId="0" xfId="0" applyFill="1" applyBorder="1" applyAlignment="1">
      <alignment horizontal="center"/>
    </xf>
    <xf numFmtId="0" fontId="0" fillId="12" borderId="28" xfId="0" applyFill="1" applyBorder="1" applyAlignment="1">
      <alignment horizontal="center"/>
    </xf>
    <xf numFmtId="0" fontId="0" fillId="12" borderId="76" xfId="0" applyFill="1" applyBorder="1" applyAlignment="1">
      <alignment horizontal="center"/>
    </xf>
    <xf numFmtId="0" fontId="39" fillId="12" borderId="54" xfId="0" applyFont="1" applyFill="1" applyBorder="1" applyAlignment="1">
      <alignment horizontal="center"/>
    </xf>
    <xf numFmtId="0" fontId="39" fillId="12" borderId="204" xfId="0" applyFont="1" applyFill="1" applyBorder="1" applyAlignment="1">
      <alignment horizontal="center" wrapText="1"/>
    </xf>
    <xf numFmtId="0" fontId="39" fillId="12" borderId="12" xfId="0" applyFont="1" applyFill="1" applyBorder="1" applyAlignment="1">
      <alignment horizontal="center"/>
    </xf>
    <xf numFmtId="190" fontId="39" fillId="12" borderId="12" xfId="0" applyNumberFormat="1" applyFont="1" applyFill="1" applyBorder="1" applyAlignment="1">
      <alignment horizontal="center"/>
    </xf>
    <xf numFmtId="0" fontId="39" fillId="12" borderId="81" xfId="0" applyFont="1" applyFill="1" applyBorder="1" applyAlignment="1">
      <alignment horizontal="center"/>
    </xf>
    <xf numFmtId="0" fontId="39" fillId="53" borderId="0" xfId="0" applyFont="1" applyFill="1"/>
    <xf numFmtId="0" fontId="0" fillId="0" borderId="11" xfId="0" applyFont="1" applyBorder="1"/>
    <xf numFmtId="0" fontId="0" fillId="0" borderId="0" xfId="0" applyFont="1" applyBorder="1"/>
    <xf numFmtId="0" fontId="0" fillId="0" borderId="28" xfId="0" applyFont="1" applyBorder="1"/>
    <xf numFmtId="0" fontId="0" fillId="53" borderId="0" xfId="0" applyFont="1" applyFill="1"/>
    <xf numFmtId="0" fontId="0" fillId="0" borderId="499" xfId="0" applyBorder="1" applyAlignment="1">
      <alignment horizontal="center"/>
    </xf>
    <xf numFmtId="0" fontId="0" fillId="0" borderId="500" xfId="0" applyBorder="1" applyAlignment="1">
      <alignment horizontal="center"/>
    </xf>
    <xf numFmtId="0" fontId="0" fillId="0" borderId="501" xfId="0" applyBorder="1"/>
    <xf numFmtId="190" fontId="0" fillId="0" borderId="501" xfId="0" applyNumberFormat="1" applyBorder="1" applyAlignment="1">
      <alignment horizontal="center"/>
    </xf>
    <xf numFmtId="0" fontId="0" fillId="0" borderId="496" xfId="0" applyBorder="1"/>
    <xf numFmtId="0" fontId="0" fillId="0" borderId="500" xfId="0" applyBorder="1"/>
    <xf numFmtId="0" fontId="0" fillId="53" borderId="0" xfId="0" applyFill="1" applyAlignment="1">
      <alignment horizontal="center"/>
    </xf>
    <xf numFmtId="3" fontId="0" fillId="12" borderId="450" xfId="0" applyNumberFormat="1" applyFill="1" applyBorder="1" applyAlignment="1">
      <alignment horizontal="center"/>
    </xf>
    <xf numFmtId="3" fontId="39" fillId="12" borderId="12" xfId="0" applyNumberFormat="1" applyFont="1" applyFill="1" applyBorder="1" applyAlignment="1">
      <alignment horizontal="center"/>
    </xf>
    <xf numFmtId="3" fontId="0" fillId="0" borderId="501" xfId="0" applyNumberFormat="1" applyBorder="1" applyAlignment="1">
      <alignment horizontal="center"/>
    </xf>
    <xf numFmtId="3" fontId="0" fillId="53" borderId="0" xfId="0" applyNumberFormat="1" applyFill="1" applyAlignment="1">
      <alignment horizontal="center"/>
    </xf>
    <xf numFmtId="165" fontId="39" fillId="12" borderId="440" xfId="1" applyNumberFormat="1" applyFont="1" applyFill="1" applyBorder="1"/>
    <xf numFmtId="165" fontId="39" fillId="12" borderId="449" xfId="1" applyNumberFormat="1" applyFont="1" applyFill="1" applyBorder="1"/>
    <xf numFmtId="165" fontId="39" fillId="12" borderId="441" xfId="1" applyNumberFormat="1" applyFont="1" applyFill="1" applyBorder="1"/>
    <xf numFmtId="0" fontId="64" fillId="0" borderId="0" xfId="0" applyFont="1"/>
    <xf numFmtId="0" fontId="64" fillId="0" borderId="0" xfId="0" applyFont="1" applyFill="1" applyBorder="1" applyAlignment="1">
      <alignment horizontal="right"/>
    </xf>
    <xf numFmtId="165" fontId="64" fillId="0" borderId="440" xfId="1" applyNumberFormat="1" applyFont="1" applyFill="1" applyBorder="1"/>
    <xf numFmtId="165" fontId="64" fillId="0" borderId="449" xfId="1" applyNumberFormat="1" applyFont="1" applyFill="1" applyBorder="1"/>
    <xf numFmtId="165" fontId="64" fillId="0" borderId="441" xfId="1" applyNumberFormat="1" applyFont="1" applyFill="1" applyBorder="1"/>
    <xf numFmtId="172" fontId="64" fillId="0" borderId="0" xfId="7" applyNumberFormat="1" applyFont="1"/>
    <xf numFmtId="165" fontId="64" fillId="0" borderId="0" xfId="1" applyNumberFormat="1" applyFont="1" applyFill="1" applyBorder="1"/>
    <xf numFmtId="165" fontId="1" fillId="0" borderId="76" xfId="1" applyNumberFormat="1" applyFont="1" applyFill="1" applyBorder="1" applyProtection="1"/>
    <xf numFmtId="165" fontId="1" fillId="0" borderId="44" xfId="1" applyNumberFormat="1" applyFont="1" applyBorder="1" applyProtection="1"/>
    <xf numFmtId="0" fontId="165" fillId="0" borderId="47" xfId="0" applyFont="1" applyFill="1" applyBorder="1"/>
    <xf numFmtId="3" fontId="0" fillId="0" borderId="0" xfId="0" applyNumberFormat="1" applyFont="1" applyFill="1" applyBorder="1" applyProtection="1"/>
    <xf numFmtId="165" fontId="0" fillId="0" borderId="76" xfId="1" applyNumberFormat="1" applyFont="1" applyFill="1" applyBorder="1" applyProtection="1"/>
    <xf numFmtId="0" fontId="0" fillId="0" borderId="40" xfId="0" applyFont="1" applyFill="1" applyBorder="1"/>
    <xf numFmtId="0" fontId="0" fillId="0" borderId="46" xfId="0" applyFont="1" applyBorder="1" applyAlignment="1">
      <alignment horizontal="center"/>
    </xf>
    <xf numFmtId="0" fontId="0" fillId="0" borderId="59" xfId="0" applyFont="1" applyFill="1" applyBorder="1"/>
    <xf numFmtId="0" fontId="18" fillId="0" borderId="441" xfId="0" applyFont="1" applyBorder="1"/>
    <xf numFmtId="0" fontId="18" fillId="0" borderId="449" xfId="0" applyFont="1" applyBorder="1"/>
    <xf numFmtId="0" fontId="0" fillId="0" borderId="59" xfId="0" applyFont="1" applyBorder="1" applyAlignment="1">
      <alignment horizontal="center"/>
    </xf>
    <xf numFmtId="0" fontId="0" fillId="0" borderId="441" xfId="0" applyBorder="1" applyAlignment="1">
      <alignment horizontal="center"/>
    </xf>
    <xf numFmtId="0" fontId="64" fillId="0" borderId="504" xfId="0" applyFont="1" applyBorder="1" applyAlignment="1">
      <alignment horizontal="center"/>
    </xf>
    <xf numFmtId="0" fontId="64" fillId="0" borderId="442" xfId="0" applyFont="1" applyBorder="1" applyAlignment="1">
      <alignment horizontal="center"/>
    </xf>
    <xf numFmtId="165" fontId="6" fillId="0" borderId="79" xfId="1" applyNumberFormat="1" applyFont="1" applyFill="1" applyBorder="1" applyProtection="1"/>
    <xf numFmtId="42" fontId="1" fillId="0" borderId="53" xfId="0" applyNumberFormat="1" applyFont="1" applyBorder="1" applyProtection="1"/>
    <xf numFmtId="3" fontId="1" fillId="0" borderId="53" xfId="0" applyNumberFormat="1" applyFont="1" applyBorder="1" applyProtection="1"/>
    <xf numFmtId="0" fontId="64" fillId="0" borderId="508" xfId="0" applyFont="1" applyBorder="1" applyAlignment="1">
      <alignment horizontal="center"/>
    </xf>
    <xf numFmtId="0" fontId="0" fillId="0" borderId="45" xfId="0" applyFont="1" applyBorder="1" applyAlignment="1">
      <alignment horizontal="center"/>
    </xf>
    <xf numFmtId="0" fontId="0" fillId="0" borderId="50" xfId="0" applyFont="1" applyBorder="1" applyAlignment="1">
      <alignment horizontal="center"/>
    </xf>
    <xf numFmtId="3" fontId="0" fillId="0" borderId="49" xfId="0" applyNumberFormat="1" applyFont="1" applyFill="1" applyBorder="1" applyProtection="1"/>
    <xf numFmtId="0" fontId="64" fillId="0" borderId="503" xfId="0" applyFont="1" applyBorder="1" applyAlignment="1">
      <alignment horizontal="center"/>
    </xf>
    <xf numFmtId="0" fontId="0" fillId="0" borderId="204" xfId="0" applyFont="1" applyFill="1" applyBorder="1"/>
    <xf numFmtId="165" fontId="0" fillId="0" borderId="53" xfId="1" applyNumberFormat="1" applyFont="1" applyFill="1" applyBorder="1" applyProtection="1"/>
    <xf numFmtId="0" fontId="15" fillId="0" borderId="0" xfId="3"/>
    <xf numFmtId="0" fontId="0" fillId="0" borderId="0" xfId="0" applyFont="1" applyAlignment="1">
      <alignment horizontal="center" wrapText="1"/>
    </xf>
    <xf numFmtId="0" fontId="40" fillId="0" borderId="0" xfId="12"/>
    <xf numFmtId="44" fontId="120" fillId="40" borderId="5" xfId="8202" applyFont="1" applyFill="1" applyBorder="1" applyAlignment="1" applyProtection="1">
      <alignment horizontal="center" vertical="center"/>
      <protection locked="0"/>
    </xf>
    <xf numFmtId="0" fontId="121" fillId="39" borderId="0" xfId="8220" applyFont="1" applyFill="1" applyAlignment="1" applyProtection="1">
      <alignment horizontal="left" vertical="center" indent="2"/>
      <protection hidden="1"/>
    </xf>
    <xf numFmtId="16" fontId="26" fillId="0" borderId="13" xfId="0" applyNumberFormat="1" applyFont="1" applyBorder="1" applyAlignment="1">
      <alignment horizontal="center"/>
    </xf>
    <xf numFmtId="0" fontId="0" fillId="0" borderId="0" xfId="0" applyFont="1" applyAlignment="1">
      <alignment horizontal="center" wrapText="1"/>
    </xf>
    <xf numFmtId="1" fontId="0" fillId="0" borderId="0" xfId="0" applyNumberFormat="1" applyAlignment="1">
      <alignment horizontal="left"/>
    </xf>
    <xf numFmtId="9" fontId="0" fillId="0" borderId="40" xfId="8" applyFont="1" applyBorder="1" applyAlignment="1">
      <alignment horizontal="left" indent="2"/>
    </xf>
    <xf numFmtId="166" fontId="0" fillId="0" borderId="40" xfId="8" applyNumberFormat="1" applyFont="1" applyBorder="1" applyAlignment="1">
      <alignment horizontal="left" indent="2"/>
    </xf>
    <xf numFmtId="6" fontId="15" fillId="15" borderId="241" xfId="222" applyNumberFormat="1" applyFill="1" applyBorder="1"/>
    <xf numFmtId="6" fontId="15" fillId="15" borderId="242" xfId="222" applyNumberFormat="1" applyFill="1" applyBorder="1"/>
    <xf numFmtId="6" fontId="15" fillId="15" borderId="114" xfId="222" applyNumberFormat="1" applyFill="1" applyBorder="1"/>
    <xf numFmtId="6" fontId="15" fillId="15" borderId="5" xfId="222" applyNumberFormat="1" applyFill="1" applyBorder="1"/>
    <xf numFmtId="0" fontId="0" fillId="0" borderId="0" xfId="0" applyFont="1" applyAlignment="1">
      <alignment horizontal="center" wrapText="1"/>
    </xf>
    <xf numFmtId="6" fontId="15" fillId="15" borderId="248" xfId="222" applyNumberFormat="1" applyFill="1" applyBorder="1"/>
    <xf numFmtId="6" fontId="15" fillId="15" borderId="235" xfId="222" applyNumberFormat="1" applyFill="1" applyBorder="1"/>
    <xf numFmtId="6" fontId="15" fillId="15" borderId="247" xfId="222" applyNumberFormat="1" applyFill="1" applyBorder="1"/>
    <xf numFmtId="0" fontId="0" fillId="14" borderId="449" xfId="0" applyFill="1" applyBorder="1" applyAlignment="1">
      <alignment horizontal="center"/>
    </xf>
    <xf numFmtId="0" fontId="26" fillId="0" borderId="11" xfId="0" applyFont="1" applyFill="1" applyBorder="1" applyAlignment="1">
      <alignment horizontal="center"/>
    </xf>
    <xf numFmtId="0" fontId="58" fillId="0" borderId="496" xfId="28" applyBorder="1"/>
    <xf numFmtId="0" fontId="0" fillId="0" borderId="0" xfId="2" applyFont="1" applyAlignment="1">
      <alignment horizontal="center" vertical="center" wrapText="1"/>
    </xf>
    <xf numFmtId="0" fontId="0" fillId="0" borderId="0" xfId="2" applyFont="1" applyAlignment="1">
      <alignment horizontal="center" wrapText="1"/>
    </xf>
    <xf numFmtId="0" fontId="26" fillId="0" borderId="493" xfId="0" applyFont="1" applyBorder="1" applyAlignment="1">
      <alignment horizontal="center"/>
    </xf>
    <xf numFmtId="3" fontId="98" fillId="0" borderId="37" xfId="9" applyNumberFormat="1" applyFont="1" applyBorder="1" applyAlignment="1" applyProtection="1">
      <alignment horizontal="center" wrapText="1"/>
    </xf>
    <xf numFmtId="0" fontId="166" fillId="0" borderId="0" xfId="0" applyFont="1" applyAlignment="1">
      <alignment horizontal="center"/>
    </xf>
    <xf numFmtId="0" fontId="161" fillId="0" borderId="0" xfId="0" applyFont="1"/>
    <xf numFmtId="0" fontId="167" fillId="0" borderId="0" xfId="9" applyFont="1" applyFill="1" applyBorder="1" applyAlignment="1" applyProtection="1">
      <alignment horizontal="center" wrapText="1"/>
    </xf>
    <xf numFmtId="165" fontId="161" fillId="0" borderId="0" xfId="1" applyNumberFormat="1" applyFont="1"/>
    <xf numFmtId="0" fontId="167" fillId="0" borderId="35" xfId="9" applyFont="1" applyFill="1" applyBorder="1" applyAlignment="1" applyProtection="1">
      <alignment horizontal="center" wrapText="1"/>
    </xf>
    <xf numFmtId="172" fontId="161" fillId="0" borderId="0" xfId="7" applyNumberFormat="1" applyFont="1"/>
    <xf numFmtId="1" fontId="12" fillId="0" borderId="0" xfId="15" applyNumberFormat="1" applyFont="1" applyBorder="1" applyAlignment="1">
      <alignment horizontal="left"/>
    </xf>
    <xf numFmtId="0" fontId="168" fillId="40" borderId="0" xfId="0" applyFont="1" applyFill="1"/>
    <xf numFmtId="0" fontId="168" fillId="0" borderId="0" xfId="0" applyFont="1"/>
    <xf numFmtId="0" fontId="169" fillId="0" borderId="0" xfId="0" applyFont="1"/>
    <xf numFmtId="42" fontId="1" fillId="0" borderId="44" xfId="0" applyNumberFormat="1" applyFont="1" applyBorder="1" applyProtection="1"/>
    <xf numFmtId="0" fontId="0" fillId="0" borderId="0" xfId="0" applyFont="1" applyAlignment="1">
      <alignment horizontal="center" wrapText="1"/>
    </xf>
    <xf numFmtId="180" fontId="15" fillId="15" borderId="488" xfId="222" applyNumberFormat="1" applyFill="1" applyBorder="1"/>
    <xf numFmtId="42" fontId="40" fillId="0" borderId="449" xfId="12" applyNumberFormat="1" applyBorder="1"/>
    <xf numFmtId="180" fontId="40" fillId="0" borderId="488" xfId="12" applyNumberFormat="1" applyBorder="1"/>
    <xf numFmtId="165" fontId="42" fillId="0" borderId="491" xfId="15" applyNumberFormat="1" applyFont="1" applyFill="1" applyBorder="1"/>
    <xf numFmtId="180" fontId="15" fillId="15" borderId="488" xfId="3" applyNumberFormat="1" applyFill="1" applyBorder="1"/>
    <xf numFmtId="42" fontId="15" fillId="0" borderId="449" xfId="3" applyNumberFormat="1" applyBorder="1"/>
    <xf numFmtId="180" fontId="15" fillId="0" borderId="488" xfId="3" applyNumberFormat="1" applyBorder="1"/>
    <xf numFmtId="6" fontId="15" fillId="15" borderId="449" xfId="222" applyNumberFormat="1" applyFill="1" applyBorder="1"/>
    <xf numFmtId="42" fontId="15" fillId="0" borderId="365" xfId="3" applyNumberFormat="1" applyBorder="1"/>
    <xf numFmtId="42" fontId="15" fillId="0" borderId="441" xfId="3" applyNumberFormat="1" applyBorder="1"/>
    <xf numFmtId="44" fontId="15" fillId="15" borderId="444" xfId="1" applyFont="1" applyFill="1" applyBorder="1"/>
    <xf numFmtId="44" fontId="40" fillId="0" borderId="441" xfId="1" applyFont="1" applyBorder="1"/>
    <xf numFmtId="44" fontId="40" fillId="0" borderId="444" xfId="1" applyFont="1" applyBorder="1"/>
    <xf numFmtId="44" fontId="42" fillId="0" borderId="494" xfId="1" applyFont="1" applyFill="1" applyBorder="1"/>
    <xf numFmtId="44" fontId="15" fillId="0" borderId="441" xfId="1" applyFont="1" applyBorder="1"/>
    <xf numFmtId="44" fontId="15" fillId="0" borderId="444" xfId="1" applyFont="1" applyBorder="1"/>
    <xf numFmtId="44" fontId="15" fillId="15" borderId="449" xfId="1" applyFont="1" applyFill="1" applyBorder="1"/>
    <xf numFmtId="44" fontId="40" fillId="0" borderId="449" xfId="1" applyFont="1" applyBorder="1"/>
    <xf numFmtId="44" fontId="42" fillId="0" borderId="491" xfId="1" applyFont="1" applyFill="1" applyBorder="1"/>
    <xf numFmtId="42" fontId="15" fillId="15" borderId="365" xfId="3" applyNumberFormat="1" applyFill="1" applyBorder="1"/>
    <xf numFmtId="42" fontId="15" fillId="0" borderId="495" xfId="3" applyNumberFormat="1" applyBorder="1"/>
    <xf numFmtId="165" fontId="42" fillId="0" borderId="18" xfId="20" applyNumberFormat="1" applyFont="1" applyFill="1" applyBorder="1"/>
    <xf numFmtId="3" fontId="42" fillId="0" borderId="18" xfId="20" applyNumberFormat="1" applyFont="1" applyFill="1" applyBorder="1"/>
    <xf numFmtId="42" fontId="15" fillId="15" borderId="441" xfId="3" applyNumberFormat="1" applyFill="1" applyBorder="1"/>
    <xf numFmtId="3" fontId="15" fillId="15" borderId="441" xfId="3" applyNumberFormat="1" applyFill="1" applyBorder="1"/>
    <xf numFmtId="3" fontId="15" fillId="0" borderId="441" xfId="3" applyNumberFormat="1" applyBorder="1"/>
    <xf numFmtId="3" fontId="114" fillId="15" borderId="441" xfId="3" applyNumberFormat="1" applyFont="1" applyFill="1" applyBorder="1"/>
    <xf numFmtId="44" fontId="40" fillId="0" borderId="0" xfId="15" applyFont="1" applyBorder="1"/>
    <xf numFmtId="44" fontId="54" fillId="0" borderId="0" xfId="15" applyFont="1" applyBorder="1"/>
    <xf numFmtId="0" fontId="40" fillId="0" borderId="0" xfId="18" applyNumberFormat="1" applyFont="1" applyBorder="1"/>
    <xf numFmtId="0" fontId="0" fillId="0" borderId="0" xfId="0" applyBorder="1" applyAlignment="1">
      <alignment wrapText="1"/>
    </xf>
    <xf numFmtId="0" fontId="98" fillId="0" borderId="28" xfId="9" applyFont="1" applyBorder="1" applyAlignment="1" applyProtection="1">
      <alignment horizontal="center" vertical="top" wrapText="1"/>
    </xf>
    <xf numFmtId="0" fontId="26" fillId="0" borderId="0" xfId="0" applyFont="1" applyBorder="1" applyAlignment="1">
      <alignment horizontal="center"/>
    </xf>
    <xf numFmtId="0" fontId="46" fillId="3" borderId="507" xfId="12" applyFont="1" applyFill="1" applyBorder="1" applyAlignment="1">
      <alignment horizontal="center" vertical="center" wrapText="1"/>
    </xf>
    <xf numFmtId="0" fontId="98" fillId="0" borderId="0" xfId="9" applyFont="1" applyBorder="1" applyAlignment="1" applyProtection="1">
      <alignment horizontal="center" vertical="top" wrapText="1"/>
    </xf>
    <xf numFmtId="0" fontId="98" fillId="0" borderId="0" xfId="9" applyFont="1" applyBorder="1" applyAlignment="1" applyProtection="1">
      <alignment horizontal="center" vertical="center"/>
    </xf>
    <xf numFmtId="0" fontId="98" fillId="0" borderId="0" xfId="9" applyFont="1" applyBorder="1" applyAlignment="1" applyProtection="1">
      <alignment horizontal="center" vertical="top"/>
    </xf>
    <xf numFmtId="168" fontId="26" fillId="0" borderId="493" xfId="0" applyNumberFormat="1" applyFont="1" applyBorder="1"/>
    <xf numFmtId="0" fontId="147" fillId="0" borderId="46" xfId="0" applyFont="1" applyBorder="1" applyAlignment="1">
      <alignment horizontal="center"/>
    </xf>
    <xf numFmtId="0" fontId="64" fillId="0" borderId="0" xfId="0" applyFont="1" applyFill="1" applyAlignment="1">
      <alignment horizontal="center"/>
    </xf>
    <xf numFmtId="0" fontId="18" fillId="57" borderId="440" xfId="0" applyFont="1" applyFill="1" applyBorder="1" applyAlignment="1">
      <alignment vertical="center"/>
    </xf>
    <xf numFmtId="0" fontId="18" fillId="57" borderId="449" xfId="0" applyFont="1" applyFill="1" applyBorder="1" applyAlignment="1">
      <alignment vertical="center"/>
    </xf>
    <xf numFmtId="189" fontId="5" fillId="57" borderId="449" xfId="0" applyNumberFormat="1" applyFont="1" applyFill="1" applyBorder="1" applyAlignment="1" applyProtection="1">
      <alignment vertical="center"/>
    </xf>
    <xf numFmtId="42" fontId="5" fillId="57" borderId="449" xfId="0" applyNumberFormat="1" applyFont="1" applyFill="1" applyBorder="1" applyAlignment="1" applyProtection="1">
      <alignment vertical="center"/>
    </xf>
    <xf numFmtId="3" fontId="5" fillId="57" borderId="449" xfId="0" applyNumberFormat="1" applyFont="1" applyFill="1" applyBorder="1" applyAlignment="1" applyProtection="1">
      <alignment vertical="center"/>
    </xf>
    <xf numFmtId="42" fontId="5" fillId="57" borderId="441" xfId="0" applyNumberFormat="1" applyFont="1" applyFill="1" applyBorder="1" applyAlignment="1" applyProtection="1">
      <alignment vertical="center"/>
    </xf>
    <xf numFmtId="189" fontId="138" fillId="58" borderId="199" xfId="0" applyNumberFormat="1" applyFont="1" applyFill="1" applyBorder="1" applyAlignment="1" applyProtection="1">
      <alignment vertical="center"/>
    </xf>
    <xf numFmtId="185" fontId="138" fillId="58" borderId="487" xfId="0" applyNumberFormat="1" applyFont="1" applyFill="1" applyBorder="1" applyAlignment="1" applyProtection="1">
      <alignment vertical="center"/>
    </xf>
    <xf numFmtId="42" fontId="5" fillId="61" borderId="9" xfId="0" applyNumberFormat="1" applyFont="1" applyFill="1" applyBorder="1" applyProtection="1"/>
    <xf numFmtId="166" fontId="0" fillId="61" borderId="9" xfId="8" applyNumberFormat="1" applyFont="1" applyFill="1" applyBorder="1" applyAlignment="1" applyProtection="1">
      <alignment horizontal="center"/>
    </xf>
    <xf numFmtId="166" fontId="0" fillId="61" borderId="441" xfId="8" applyNumberFormat="1" applyFont="1" applyFill="1" applyBorder="1" applyAlignment="1" applyProtection="1">
      <alignment horizontal="center"/>
    </xf>
    <xf numFmtId="42" fontId="5" fillId="61" borderId="2" xfId="0" applyNumberFormat="1" applyFont="1" applyFill="1" applyBorder="1" applyProtection="1"/>
    <xf numFmtId="0" fontId="0" fillId="61" borderId="449" xfId="0" applyFill="1" applyBorder="1" applyAlignment="1">
      <alignment horizontal="center"/>
    </xf>
    <xf numFmtId="0" fontId="0" fillId="61" borderId="449" xfId="0" applyFill="1" applyBorder="1" applyAlignment="1">
      <alignment horizontal="left"/>
    </xf>
    <xf numFmtId="0" fontId="0" fillId="61" borderId="440" xfId="0" applyFill="1" applyBorder="1" applyAlignment="1">
      <alignment horizontal="left"/>
    </xf>
    <xf numFmtId="0" fontId="0" fillId="14" borderId="440" xfId="0" applyFill="1" applyBorder="1" applyAlignment="1">
      <alignment horizontal="left"/>
    </xf>
    <xf numFmtId="37" fontId="5" fillId="0" borderId="449" xfId="0" applyNumberFormat="1" applyFont="1" applyFill="1" applyBorder="1" applyProtection="1"/>
    <xf numFmtId="0" fontId="136" fillId="62" borderId="442" xfId="0" applyFont="1" applyFill="1" applyBorder="1" applyAlignment="1">
      <alignment horizontal="center"/>
    </xf>
    <xf numFmtId="0" fontId="19" fillId="62" borderId="449" xfId="0" applyFont="1" applyFill="1" applyBorder="1" applyAlignment="1">
      <alignment horizontal="center"/>
    </xf>
    <xf numFmtId="0" fontId="67" fillId="62" borderId="9" xfId="0" applyFont="1" applyFill="1" applyBorder="1"/>
    <xf numFmtId="3" fontId="22" fillId="62" borderId="9" xfId="0" applyNumberFormat="1" applyFont="1" applyFill="1" applyBorder="1" applyProtection="1"/>
    <xf numFmtId="3" fontId="22" fillId="62" borderId="78" xfId="0" applyNumberFormat="1" applyFont="1" applyFill="1" applyBorder="1" applyProtection="1"/>
    <xf numFmtId="3" fontId="19" fillId="63" borderId="505" xfId="0" applyNumberFormat="1" applyFont="1" applyFill="1" applyBorder="1" applyAlignment="1">
      <alignment horizontal="center"/>
    </xf>
    <xf numFmtId="3" fontId="19" fillId="63" borderId="506" xfId="0" applyNumberFormat="1" applyFont="1" applyFill="1" applyBorder="1" applyAlignment="1">
      <alignment horizontal="center"/>
    </xf>
    <xf numFmtId="0" fontId="67" fillId="63" borderId="507" xfId="0" applyFont="1" applyFill="1" applyBorder="1"/>
    <xf numFmtId="3" fontId="19" fillId="63" borderId="507" xfId="0" applyNumberFormat="1" applyFont="1" applyFill="1" applyBorder="1" applyProtection="1"/>
    <xf numFmtId="42" fontId="19" fillId="63" borderId="507" xfId="0" applyNumberFormat="1" applyFont="1" applyFill="1" applyBorder="1" applyProtection="1"/>
    <xf numFmtId="3" fontId="19" fillId="63" borderId="83" xfId="0" applyNumberFormat="1" applyFont="1" applyFill="1" applyBorder="1" applyProtection="1"/>
    <xf numFmtId="0" fontId="136" fillId="64" borderId="449" xfId="0" applyFont="1" applyFill="1" applyBorder="1" applyAlignment="1">
      <alignment horizontal="center"/>
    </xf>
    <xf numFmtId="0" fontId="19" fillId="64" borderId="449" xfId="0" applyFont="1" applyFill="1" applyBorder="1" applyAlignment="1">
      <alignment horizontal="center"/>
    </xf>
    <xf numFmtId="0" fontId="19" fillId="64" borderId="9" xfId="0" applyFont="1" applyFill="1" applyBorder="1"/>
    <xf numFmtId="3" fontId="22" fillId="64" borderId="9" xfId="0" applyNumberFormat="1" applyFont="1" applyFill="1" applyBorder="1" applyProtection="1"/>
    <xf numFmtId="3" fontId="22" fillId="64" borderId="78" xfId="0" applyNumberFormat="1" applyFont="1" applyFill="1" applyBorder="1" applyProtection="1"/>
    <xf numFmtId="173" fontId="26" fillId="15" borderId="450" xfId="0" applyNumberFormat="1" applyFont="1" applyFill="1" applyBorder="1"/>
    <xf numFmtId="173" fontId="26" fillId="0" borderId="365" xfId="0" applyNumberFormat="1" applyFont="1" applyBorder="1"/>
    <xf numFmtId="173" fontId="26" fillId="0" borderId="34" xfId="0" applyNumberFormat="1" applyFont="1" applyBorder="1"/>
    <xf numFmtId="173" fontId="26" fillId="0" borderId="493" xfId="0" applyNumberFormat="1" applyFont="1" applyBorder="1"/>
    <xf numFmtId="0" fontId="0" fillId="0" borderId="28" xfId="0" applyFont="1" applyBorder="1" applyAlignment="1">
      <alignment horizontal="center" vertical="center"/>
    </xf>
    <xf numFmtId="164" fontId="0" fillId="40" borderId="442" xfId="0" applyNumberFormat="1" applyFill="1" applyBorder="1"/>
    <xf numFmtId="164" fontId="0" fillId="40" borderId="365" xfId="0" applyNumberFormat="1" applyFill="1" applyBorder="1"/>
    <xf numFmtId="164" fontId="0" fillId="40" borderId="443" xfId="0" applyNumberFormat="1" applyFill="1" applyBorder="1"/>
    <xf numFmtId="0" fontId="120" fillId="40" borderId="443" xfId="8201" applyFont="1" applyFill="1" applyBorder="1" applyAlignment="1" applyProtection="1">
      <alignment horizontal="center" vertical="center"/>
      <protection locked="0"/>
    </xf>
    <xf numFmtId="10" fontId="0" fillId="0" borderId="40" xfId="0" applyNumberFormat="1" applyBorder="1" applyAlignment="1">
      <alignment horizontal="left" indent="2"/>
    </xf>
    <xf numFmtId="1" fontId="40" fillId="0" borderId="0" xfId="15" applyNumberFormat="1" applyFont="1" applyBorder="1" applyAlignment="1">
      <alignment horizontal="center"/>
    </xf>
    <xf numFmtId="1" fontId="41" fillId="0" borderId="0" xfId="12" applyNumberFormat="1" applyFont="1" applyFill="1" applyBorder="1" applyAlignment="1">
      <alignment horizontal="center" vertical="center"/>
    </xf>
    <xf numFmtId="39" fontId="36" fillId="40" borderId="365" xfId="8203" applyNumberFormat="1" applyFont="1" applyFill="1" applyBorder="1" applyAlignment="1" applyProtection="1">
      <alignment horizontal="center" vertical="center"/>
      <protection locked="0"/>
    </xf>
    <xf numFmtId="0" fontId="100" fillId="40" borderId="443" xfId="8201" applyFont="1" applyFill="1" applyBorder="1" applyAlignment="1" applyProtection="1">
      <alignment horizontal="left" vertical="center" indent="1"/>
      <protection locked="0"/>
    </xf>
    <xf numFmtId="43" fontId="12" fillId="40" borderId="441" xfId="7" applyFont="1" applyFill="1" applyBorder="1"/>
    <xf numFmtId="169" fontId="6" fillId="40" borderId="26" xfId="28" applyNumberFormat="1" applyFont="1" applyFill="1" applyBorder="1" applyAlignment="1">
      <alignment horizontal="right"/>
    </xf>
    <xf numFmtId="169" fontId="6" fillId="40" borderId="204" xfId="28" applyNumberFormat="1" applyFont="1" applyFill="1" applyBorder="1" applyAlignment="1">
      <alignment horizontal="right"/>
    </xf>
    <xf numFmtId="169" fontId="120" fillId="40" borderId="487" xfId="0" applyNumberFormat="1" applyFont="1" applyFill="1" applyBorder="1" applyAlignment="1">
      <alignment horizontal="right"/>
    </xf>
    <xf numFmtId="169" fontId="120" fillId="40" borderId="204" xfId="28" applyNumberFormat="1" applyFont="1" applyFill="1" applyBorder="1" applyAlignment="1">
      <alignment horizontal="right"/>
    </xf>
    <xf numFmtId="169" fontId="120" fillId="40" borderId="26" xfId="28" applyNumberFormat="1" applyFont="1" applyFill="1" applyBorder="1" applyAlignment="1">
      <alignment horizontal="right"/>
    </xf>
    <xf numFmtId="39" fontId="0" fillId="0" borderId="0" xfId="0" applyNumberFormat="1" applyAlignment="1">
      <alignment horizontal="center"/>
    </xf>
    <xf numFmtId="39" fontId="124" fillId="40" borderId="325" xfId="8203" applyNumberFormat="1" applyFont="1" applyFill="1" applyBorder="1" applyAlignment="1" applyProtection="1">
      <alignment horizontal="center" vertical="center"/>
      <protection locked="0"/>
    </xf>
    <xf numFmtId="6" fontId="39" fillId="0" borderId="0" xfId="0" applyNumberFormat="1" applyFont="1" applyAlignment="1">
      <alignment horizontal="left"/>
    </xf>
    <xf numFmtId="0" fontId="121" fillId="39" borderId="0" xfId="8220" applyFont="1" applyFill="1" applyAlignment="1" applyProtection="1">
      <alignment horizontal="left" vertical="center" indent="2"/>
      <protection hidden="1"/>
    </xf>
    <xf numFmtId="0" fontId="119" fillId="44" borderId="0" xfId="8220" applyFont="1" applyFill="1" applyAlignment="1" applyProtection="1">
      <alignment horizontal="center" vertical="center"/>
      <protection hidden="1"/>
    </xf>
    <xf numFmtId="0" fontId="121" fillId="0" borderId="0" xfId="8220" applyFont="1" applyFill="1" applyBorder="1" applyAlignment="1" applyProtection="1">
      <alignment horizontal="left" vertical="center" indent="2"/>
      <protection hidden="1"/>
    </xf>
    <xf numFmtId="0" fontId="0" fillId="0" borderId="0" xfId="0" applyAlignment="1">
      <alignment horizontal="left"/>
    </xf>
    <xf numFmtId="0" fontId="26" fillId="6" borderId="17" xfId="0" applyFont="1" applyFill="1" applyBorder="1" applyAlignment="1">
      <alignment horizontal="center" wrapText="1"/>
    </xf>
    <xf numFmtId="0" fontId="26" fillId="6" borderId="21" xfId="0" applyFont="1" applyFill="1" applyBorder="1" applyAlignment="1">
      <alignment horizontal="center" wrapText="1"/>
    </xf>
    <xf numFmtId="16" fontId="26" fillId="0" borderId="13" xfId="0" applyNumberFormat="1" applyFont="1" applyBorder="1" applyAlignment="1">
      <alignment horizontal="center"/>
    </xf>
    <xf numFmtId="0" fontId="24" fillId="5" borderId="14" xfId="0" applyFont="1" applyFill="1" applyBorder="1" applyAlignment="1">
      <alignment horizontal="center"/>
    </xf>
    <xf numFmtId="0" fontId="24" fillId="5" borderId="15" xfId="0" applyFont="1" applyFill="1" applyBorder="1" applyAlignment="1">
      <alignment horizontal="center"/>
    </xf>
    <xf numFmtId="0" fontId="24" fillId="5" borderId="16" xfId="0" applyFont="1" applyFill="1" applyBorder="1" applyAlignment="1">
      <alignment horizontal="center"/>
    </xf>
    <xf numFmtId="0" fontId="119" fillId="39"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3" borderId="0" xfId="8220" applyFont="1" applyFill="1" applyAlignment="1" applyProtection="1">
      <alignment horizontal="center" vertical="center"/>
      <protection hidden="1"/>
    </xf>
    <xf numFmtId="0" fontId="119" fillId="42" borderId="0" xfId="8220" applyFont="1" applyFill="1" applyAlignment="1" applyProtection="1">
      <alignment horizontal="center" vertical="center"/>
      <protection hidden="1"/>
    </xf>
    <xf numFmtId="0" fontId="119" fillId="41" borderId="0" xfId="8220" applyFont="1" applyFill="1" applyAlignment="1" applyProtection="1">
      <alignment horizontal="center" vertical="center"/>
      <protection hidden="1"/>
    </xf>
    <xf numFmtId="0" fontId="119" fillId="44" borderId="0" xfId="8220" applyFont="1" applyFill="1" applyAlignment="1" applyProtection="1">
      <alignment horizontal="center" vertical="center"/>
      <protection hidden="1"/>
    </xf>
    <xf numFmtId="0" fontId="0" fillId="0" borderId="0" xfId="0" applyFont="1" applyAlignment="1">
      <alignment horizontal="center" wrapText="1"/>
    </xf>
    <xf numFmtId="188" fontId="124" fillId="40" borderId="365" xfId="8203" applyNumberFormat="1" applyFont="1" applyFill="1" applyBorder="1" applyAlignment="1" applyProtection="1">
      <alignment horizontal="center" vertical="center"/>
      <protection locked="0"/>
    </xf>
    <xf numFmtId="39" fontId="120" fillId="12" borderId="365" xfId="8203" applyNumberFormat="1" applyFont="1" applyFill="1" applyBorder="1" applyAlignment="1" applyProtection="1">
      <alignment horizontal="center" vertical="center"/>
      <protection hidden="1"/>
    </xf>
    <xf numFmtId="0" fontId="174" fillId="40" borderId="365" xfId="0" applyFont="1" applyFill="1" applyBorder="1" applyAlignment="1" applyProtection="1">
      <alignment horizontal="center" vertical="center"/>
      <protection locked="0"/>
    </xf>
    <xf numFmtId="0" fontId="175" fillId="40" borderId="365" xfId="0" applyFont="1" applyFill="1" applyBorder="1" applyAlignment="1" applyProtection="1">
      <alignment horizontal="center" vertical="center"/>
      <protection locked="0"/>
    </xf>
    <xf numFmtId="0" fontId="174" fillId="12" borderId="365" xfId="0" applyFont="1" applyFill="1" applyBorder="1" applyAlignment="1" applyProtection="1">
      <alignment horizontal="center" vertical="center"/>
      <protection hidden="1"/>
    </xf>
    <xf numFmtId="44" fontId="175" fillId="40" borderId="365" xfId="0" applyNumberFormat="1" applyFont="1" applyFill="1" applyBorder="1" applyAlignment="1" applyProtection="1">
      <alignment horizontal="center" vertical="center"/>
      <protection locked="0"/>
    </xf>
    <xf numFmtId="37" fontId="174" fillId="12" borderId="365" xfId="0" applyNumberFormat="1" applyFont="1" applyFill="1" applyBorder="1" applyAlignment="1" applyProtection="1">
      <alignment horizontal="center" vertical="center"/>
      <protection hidden="1"/>
    </xf>
    <xf numFmtId="37" fontId="175" fillId="40" borderId="365" xfId="0" applyNumberFormat="1" applyFont="1" applyFill="1" applyBorder="1" applyAlignment="1" applyProtection="1">
      <alignment horizontal="center" vertical="center"/>
      <protection locked="0"/>
    </xf>
    <xf numFmtId="44" fontId="174" fillId="12" borderId="365" xfId="0" applyNumberFormat="1" applyFont="1" applyFill="1" applyBorder="1" applyAlignment="1" applyProtection="1">
      <alignment horizontal="center" vertical="center"/>
      <protection hidden="1"/>
    </xf>
    <xf numFmtId="10" fontId="36" fillId="66" borderId="365" xfId="8202" applyNumberFormat="1" applyFont="1" applyFill="1" applyBorder="1" applyAlignment="1" applyProtection="1">
      <alignment horizontal="center" vertical="center"/>
      <protection locked="0"/>
    </xf>
    <xf numFmtId="10" fontId="36" fillId="66" borderId="365" xfId="0" applyNumberFormat="1" applyFont="1" applyFill="1" applyBorder="1" applyAlignment="1" applyProtection="1">
      <alignment horizontal="center" vertical="center"/>
      <protection locked="0"/>
    </xf>
    <xf numFmtId="44" fontId="124" fillId="40" borderId="325" xfId="8202" applyNumberFormat="1" applyFont="1" applyFill="1" applyBorder="1" applyAlignment="1" applyProtection="1">
      <alignment horizontal="center" vertical="center"/>
      <protection locked="0"/>
    </xf>
    <xf numFmtId="0" fontId="178" fillId="40" borderId="365" xfId="8203" applyNumberFormat="1" applyFont="1" applyFill="1" applyBorder="1" applyAlignment="1" applyProtection="1">
      <alignment horizontal="center" vertical="center"/>
      <protection locked="0"/>
    </xf>
    <xf numFmtId="0" fontId="177" fillId="12" borderId="365" xfId="54573" applyFont="1" applyFill="1" applyBorder="1" applyAlignment="1" applyProtection="1">
      <alignment horizontal="center" vertical="center"/>
      <protection hidden="1"/>
    </xf>
    <xf numFmtId="0" fontId="177" fillId="40" borderId="365" xfId="54634" applyFont="1" applyFill="1" applyBorder="1" applyAlignment="1" applyProtection="1">
      <alignment horizontal="center" vertical="center"/>
      <protection locked="0"/>
    </xf>
    <xf numFmtId="44" fontId="178" fillId="40" borderId="365" xfId="8202" applyFont="1" applyFill="1" applyBorder="1" applyAlignment="1" applyProtection="1">
      <alignment horizontal="center" vertical="center"/>
      <protection locked="0"/>
    </xf>
    <xf numFmtId="9" fontId="177" fillId="40" borderId="325" xfId="8202" applyNumberFormat="1" applyFont="1" applyFill="1" applyBorder="1" applyAlignment="1" applyProtection="1">
      <alignment horizontal="center" vertical="center"/>
      <protection locked="0"/>
    </xf>
    <xf numFmtId="0" fontId="177" fillId="40" borderId="365" xfId="54583" applyFont="1" applyFill="1" applyBorder="1" applyAlignment="1" applyProtection="1">
      <alignment horizontal="center" vertical="center"/>
      <protection locked="0"/>
    </xf>
    <xf numFmtId="0" fontId="178" fillId="40" borderId="365" xfId="54583" applyFont="1" applyFill="1" applyBorder="1" applyAlignment="1" applyProtection="1">
      <alignment horizontal="center" vertical="center"/>
      <protection locked="0"/>
    </xf>
    <xf numFmtId="168" fontId="26" fillId="15" borderId="446" xfId="0" applyNumberFormat="1" applyFont="1" applyFill="1" applyBorder="1" applyAlignment="1">
      <alignment horizontal="right"/>
    </xf>
    <xf numFmtId="172" fontId="124" fillId="40" borderId="365" xfId="8203" applyNumberFormat="1" applyFont="1" applyFill="1" applyBorder="1" applyAlignment="1" applyProtection="1">
      <alignment horizontal="center" vertical="center"/>
      <protection locked="0"/>
    </xf>
    <xf numFmtId="37" fontId="124" fillId="40" borderId="365" xfId="54574" applyNumberFormat="1" applyFont="1" applyFill="1" applyBorder="1" applyAlignment="1" applyProtection="1">
      <alignment horizontal="center" vertical="center"/>
      <protection locked="0"/>
    </xf>
    <xf numFmtId="44" fontId="121" fillId="48" borderId="0" xfId="1" applyNumberFormat="1" applyFont="1" applyFill="1" applyAlignment="1" applyProtection="1">
      <alignment horizontal="center" vertical="center"/>
      <protection hidden="1"/>
    </xf>
    <xf numFmtId="173" fontId="26" fillId="15" borderId="446" xfId="0" applyNumberFormat="1" applyFont="1" applyFill="1" applyBorder="1" applyAlignment="1">
      <alignment horizontal="right"/>
    </xf>
    <xf numFmtId="0" fontId="0" fillId="45" borderId="0" xfId="8220" applyFont="1" applyFill="1" applyAlignment="1" applyProtection="1">
      <alignment horizontal="center" vertical="center"/>
      <protection hidden="1"/>
    </xf>
    <xf numFmtId="0" fontId="0" fillId="45" borderId="0" xfId="1" applyNumberFormat="1" applyFont="1" applyFill="1" applyAlignment="1" applyProtection="1">
      <alignment horizontal="center" vertical="center"/>
      <protection hidden="1"/>
    </xf>
    <xf numFmtId="44" fontId="36" fillId="40" borderId="325" xfId="8202" applyNumberFormat="1" applyFont="1" applyFill="1" applyBorder="1" applyAlignment="1" applyProtection="1">
      <alignment horizontal="center" vertical="center"/>
      <protection locked="0"/>
    </xf>
    <xf numFmtId="44" fontId="124" fillId="40" borderId="325" xfId="1" applyNumberFormat="1" applyFont="1" applyFill="1" applyBorder="1" applyAlignment="1" applyProtection="1">
      <alignment horizontal="center" vertical="center"/>
      <protection locked="0"/>
    </xf>
    <xf numFmtId="0" fontId="120" fillId="40" borderId="440" xfId="8201" applyFont="1" applyFill="1" applyBorder="1" applyAlignment="1" applyProtection="1">
      <alignment horizontal="left" vertical="center" indent="1"/>
      <protection locked="0"/>
    </xf>
    <xf numFmtId="44" fontId="174" fillId="40" borderId="448" xfId="28" applyNumberFormat="1" applyFont="1" applyFill="1" applyBorder="1" applyAlignment="1" applyProtection="1">
      <alignment horizontal="center" vertical="center"/>
      <protection locked="0"/>
    </xf>
    <xf numFmtId="44" fontId="174" fillId="40" borderId="443" xfId="28" applyNumberFormat="1" applyFont="1" applyFill="1" applyBorder="1" applyAlignment="1" applyProtection="1">
      <alignment horizontal="center" vertical="center"/>
      <protection locked="0"/>
    </xf>
    <xf numFmtId="9" fontId="174" fillId="40" borderId="365" xfId="0" applyNumberFormat="1" applyFont="1" applyFill="1" applyBorder="1" applyAlignment="1" applyProtection="1">
      <alignment horizontal="center" vertical="center"/>
      <protection locked="0"/>
    </xf>
    <xf numFmtId="44" fontId="36" fillId="66" borderId="325" xfId="1" applyFont="1" applyFill="1" applyBorder="1" applyAlignment="1" applyProtection="1">
      <alignment horizontal="center" vertical="center"/>
      <protection locked="0"/>
    </xf>
    <xf numFmtId="44" fontId="36" fillId="66" borderId="365" xfId="1" applyFont="1" applyFill="1" applyBorder="1" applyAlignment="1" applyProtection="1">
      <alignment horizontal="center" vertical="center"/>
      <protection locked="0"/>
    </xf>
    <xf numFmtId="44" fontId="38" fillId="66" borderId="325" xfId="1" applyFont="1" applyFill="1" applyBorder="1" applyAlignment="1" applyProtection="1">
      <alignment horizontal="center" vertical="center"/>
      <protection locked="0"/>
    </xf>
    <xf numFmtId="44" fontId="38" fillId="66" borderId="365" xfId="1" applyFont="1" applyFill="1" applyBorder="1" applyAlignment="1" applyProtection="1">
      <alignment horizontal="center" vertical="center"/>
      <protection locked="0"/>
    </xf>
    <xf numFmtId="44" fontId="179" fillId="66" borderId="325" xfId="1" applyFont="1" applyFill="1" applyBorder="1" applyAlignment="1" applyProtection="1">
      <alignment horizontal="center" vertical="center"/>
      <protection locked="0"/>
    </xf>
    <xf numFmtId="0" fontId="100" fillId="66" borderId="30" xfId="8201" applyFont="1" applyFill="1" applyBorder="1" applyAlignment="1" applyProtection="1">
      <alignment horizontal="left" vertical="center" indent="1"/>
      <protection locked="0"/>
    </xf>
    <xf numFmtId="44" fontId="36" fillId="66" borderId="365" xfId="0" applyNumberFormat="1" applyFont="1" applyFill="1" applyBorder="1" applyAlignment="1" applyProtection="1">
      <alignment horizontal="center" vertical="center"/>
      <protection locked="0"/>
    </xf>
    <xf numFmtId="0" fontId="0" fillId="45" borderId="0" xfId="8220" applyFont="1" applyFill="1" applyBorder="1" applyAlignment="1" applyProtection="1">
      <alignment horizontal="center" vertical="center"/>
      <protection hidden="1"/>
    </xf>
    <xf numFmtId="0" fontId="123" fillId="66" borderId="0" xfId="8220" applyFont="1" applyFill="1" applyBorder="1" applyAlignment="1" applyProtection="1">
      <alignment horizontal="center" vertical="center"/>
      <protection hidden="1"/>
    </xf>
    <xf numFmtId="44" fontId="176" fillId="65" borderId="0" xfId="0" applyNumberFormat="1" applyFont="1" applyFill="1"/>
    <xf numFmtId="44" fontId="36" fillId="66" borderId="365" xfId="8202" applyNumberFormat="1" applyFont="1" applyFill="1" applyBorder="1" applyAlignment="1" applyProtection="1">
      <alignment horizontal="center" vertical="center"/>
      <protection locked="0"/>
    </xf>
    <xf numFmtId="44" fontId="36" fillId="0" borderId="0" xfId="0" applyNumberFormat="1" applyFont="1" applyFill="1" applyBorder="1" applyAlignment="1" applyProtection="1">
      <alignment horizontal="center" vertical="center"/>
      <protection locked="0"/>
    </xf>
    <xf numFmtId="44" fontId="36" fillId="66" borderId="365" xfId="28" applyNumberFormat="1" applyFont="1" applyFill="1" applyBorder="1" applyAlignment="1" applyProtection="1">
      <alignment horizontal="center" vertical="center"/>
      <protection locked="0"/>
    </xf>
    <xf numFmtId="7" fontId="120" fillId="40" borderId="204" xfId="0" applyNumberFormat="1" applyFont="1" applyFill="1" applyBorder="1" applyAlignment="1">
      <alignment horizontal="right"/>
    </xf>
    <xf numFmtId="0" fontId="180" fillId="49" borderId="40" xfId="0" applyFont="1" applyFill="1" applyBorder="1" applyAlignment="1" applyProtection="1">
      <alignment vertical="center"/>
      <protection hidden="1"/>
    </xf>
    <xf numFmtId="0" fontId="24" fillId="0" borderId="0" xfId="0" applyFont="1" applyAlignment="1">
      <alignment horizontal="left" vertical="top"/>
    </xf>
    <xf numFmtId="0" fontId="0" fillId="0" borderId="0" xfId="0" applyAlignment="1">
      <alignment horizontal="center" vertical="top"/>
    </xf>
    <xf numFmtId="16" fontId="26" fillId="0" borderId="496" xfId="0" applyNumberFormat="1" applyFont="1" applyBorder="1" applyAlignment="1">
      <alignment horizontal="center" vertical="top"/>
    </xf>
    <xf numFmtId="0" fontId="24" fillId="5" borderId="490" xfId="0" applyFont="1" applyFill="1" applyBorder="1" applyAlignment="1">
      <alignment horizontal="center" vertical="top"/>
    </xf>
    <xf numFmtId="0" fontId="26" fillId="6" borderId="195" xfId="0" applyFont="1" applyFill="1" applyBorder="1" applyAlignment="1">
      <alignment horizontal="center" vertical="top" wrapText="1"/>
    </xf>
    <xf numFmtId="0" fontId="27" fillId="0" borderId="0" xfId="0" applyFont="1" applyAlignment="1">
      <alignment horizontal="center" vertical="top" wrapText="1"/>
    </xf>
    <xf numFmtId="0" fontId="26" fillId="0" borderId="18" xfId="0" applyFont="1" applyBorder="1" applyAlignment="1">
      <alignment horizontal="center" vertical="top"/>
    </xf>
    <xf numFmtId="0" fontId="26" fillId="0" borderId="493" xfId="0" applyFont="1" applyBorder="1" applyAlignment="1">
      <alignment horizontal="center" vertical="top"/>
    </xf>
    <xf numFmtId="0" fontId="26" fillId="0" borderId="493" xfId="0" applyFont="1" applyBorder="1" applyAlignment="1">
      <alignment horizontal="center" vertical="top" wrapText="1"/>
    </xf>
    <xf numFmtId="0" fontId="26" fillId="0" borderId="360" xfId="0" applyFont="1" applyBorder="1" applyAlignment="1">
      <alignment horizontal="center" vertical="top"/>
    </xf>
    <xf numFmtId="0" fontId="26" fillId="0" borderId="197" xfId="0" applyFont="1" applyBorder="1" applyAlignment="1">
      <alignment horizontal="center" vertical="top"/>
    </xf>
    <xf numFmtId="0" fontId="0" fillId="0" borderId="0" xfId="0" applyAlignment="1">
      <alignment horizontal="center" vertical="top" wrapText="1"/>
    </xf>
    <xf numFmtId="0" fontId="103" fillId="0" borderId="0" xfId="0" applyFont="1" applyAlignment="1">
      <alignment horizontal="right" vertical="top"/>
    </xf>
    <xf numFmtId="168" fontId="26" fillId="15" borderId="510" xfId="0" applyNumberFormat="1" applyFont="1" applyFill="1" applyBorder="1"/>
    <xf numFmtId="166" fontId="26" fillId="4" borderId="198" xfId="0" applyNumberFormat="1" applyFont="1" applyFill="1" applyBorder="1" applyAlignment="1">
      <alignment horizontal="right"/>
    </xf>
    <xf numFmtId="44" fontId="26" fillId="4" borderId="198" xfId="0" applyNumberFormat="1" applyFont="1" applyFill="1" applyBorder="1" applyAlignment="1">
      <alignment horizontal="right"/>
    </xf>
    <xf numFmtId="166" fontId="26" fillId="0" borderId="198" xfId="0" applyNumberFormat="1" applyFont="1" applyBorder="1" applyAlignment="1">
      <alignment horizontal="right"/>
    </xf>
    <xf numFmtId="44" fontId="26" fillId="0" borderId="198" xfId="0" applyNumberFormat="1" applyFont="1" applyBorder="1" applyAlignment="1">
      <alignment horizontal="right"/>
    </xf>
    <xf numFmtId="164" fontId="0" fillId="0" borderId="511" xfId="0" applyNumberFormat="1" applyBorder="1"/>
    <xf numFmtId="164" fontId="0" fillId="0" borderId="231" xfId="0" applyNumberFormat="1" applyBorder="1"/>
    <xf numFmtId="164" fontId="26" fillId="0" borderId="501" xfId="0" applyNumberFormat="1" applyFont="1" applyBorder="1"/>
    <xf numFmtId="0" fontId="24" fillId="0" borderId="0" xfId="0" applyFont="1" applyAlignment="1">
      <alignment horizontal="right" vertical="top"/>
    </xf>
    <xf numFmtId="164" fontId="26" fillId="0" borderId="493" xfId="0" applyNumberFormat="1" applyFont="1" applyBorder="1"/>
    <xf numFmtId="164" fontId="26" fillId="0" borderId="491" xfId="0" applyNumberFormat="1" applyFont="1" applyBorder="1"/>
    <xf numFmtId="0" fontId="181" fillId="39" borderId="0" xfId="0" applyFont="1" applyFill="1" applyAlignment="1" applyProtection="1">
      <alignment vertical="center"/>
      <protection hidden="1"/>
    </xf>
    <xf numFmtId="0" fontId="181" fillId="39" borderId="0" xfId="0" applyFont="1" applyFill="1" applyAlignment="1" applyProtection="1">
      <alignment horizontal="left" vertical="center" indent="2"/>
      <protection hidden="1"/>
    </xf>
    <xf numFmtId="0" fontId="180" fillId="0" borderId="0" xfId="0" applyFont="1"/>
    <xf numFmtId="0" fontId="180" fillId="0" borderId="0" xfId="0" applyFont="1" applyAlignment="1" applyProtection="1">
      <alignment horizontal="center" vertical="center"/>
      <protection hidden="1"/>
    </xf>
    <xf numFmtId="0" fontId="180" fillId="49" borderId="443" xfId="0" applyFont="1" applyFill="1" applyBorder="1" applyAlignment="1" applyProtection="1">
      <alignment vertical="center"/>
      <protection hidden="1"/>
    </xf>
    <xf numFmtId="44" fontId="180" fillId="49" borderId="441" xfId="0" applyNumberFormat="1" applyFont="1" applyFill="1" applyBorder="1" applyAlignment="1" applyProtection="1">
      <alignment horizontal="center" vertical="center"/>
      <protection hidden="1"/>
    </xf>
    <xf numFmtId="0" fontId="182" fillId="43" borderId="0" xfId="0" applyFont="1" applyFill="1" applyAlignment="1" applyProtection="1">
      <alignment horizontal="center" vertical="center"/>
      <protection hidden="1"/>
    </xf>
    <xf numFmtId="0" fontId="182" fillId="41" borderId="0" xfId="0" applyFont="1" applyFill="1" applyAlignment="1" applyProtection="1">
      <alignment horizontal="center" vertical="center"/>
      <protection hidden="1"/>
    </xf>
    <xf numFmtId="0" fontId="182" fillId="39" borderId="0" xfId="0" applyFont="1" applyFill="1" applyAlignment="1" applyProtection="1">
      <alignment horizontal="center" vertical="center"/>
      <protection hidden="1"/>
    </xf>
    <xf numFmtId="0" fontId="182" fillId="42" borderId="0" xfId="0" applyFont="1" applyFill="1" applyAlignment="1" applyProtection="1">
      <alignment horizontal="center" vertical="center"/>
      <protection hidden="1"/>
    </xf>
    <xf numFmtId="0" fontId="0" fillId="0" borderId="510" xfId="0" applyBorder="1"/>
    <xf numFmtId="0" fontId="180" fillId="38" borderId="0" xfId="0" applyFont="1" applyFill="1" applyAlignment="1" applyProtection="1">
      <alignment horizontal="center" vertical="center"/>
      <protection hidden="1"/>
    </xf>
    <xf numFmtId="0" fontId="180" fillId="47" borderId="0" xfId="0" applyFont="1" applyFill="1" applyAlignment="1" applyProtection="1">
      <alignment horizontal="center" vertical="center"/>
      <protection hidden="1"/>
    </xf>
    <xf numFmtId="0" fontId="180" fillId="46" borderId="0" xfId="0" applyFont="1" applyFill="1" applyAlignment="1" applyProtection="1">
      <alignment horizontal="center" vertical="center"/>
      <protection hidden="1"/>
    </xf>
    <xf numFmtId="0" fontId="180" fillId="13" borderId="0" xfId="0" applyFont="1" applyFill="1" applyAlignment="1" applyProtection="1">
      <alignment horizontal="center" vertical="center"/>
      <protection hidden="1"/>
    </xf>
    <xf numFmtId="0" fontId="24" fillId="0" borderId="54" xfId="0" applyFont="1" applyBorder="1" applyAlignment="1">
      <alignment horizontal="center" vertical="top"/>
    </xf>
    <xf numFmtId="0" fontId="24" fillId="0" borderId="81" xfId="0" applyFont="1" applyBorder="1" applyAlignment="1">
      <alignment horizontal="center" vertical="top"/>
    </xf>
    <xf numFmtId="0" fontId="24" fillId="0" borderId="36" xfId="0" applyFont="1" applyBorder="1" applyAlignment="1">
      <alignment horizontal="center" vertical="top"/>
    </xf>
    <xf numFmtId="0" fontId="123" fillId="40" borderId="0" xfId="0" applyFont="1" applyFill="1" applyAlignment="1" applyProtection="1">
      <alignment horizontal="center" vertical="center"/>
      <protection hidden="1"/>
    </xf>
    <xf numFmtId="0" fontId="180" fillId="50" borderId="365" xfId="0" applyFont="1" applyFill="1" applyBorder="1" applyAlignment="1" applyProtection="1">
      <alignment horizontal="right" vertical="center" indent="1"/>
      <protection hidden="1"/>
    </xf>
    <xf numFmtId="0" fontId="180" fillId="49" borderId="440" xfId="0" applyFont="1" applyFill="1" applyBorder="1" applyAlignment="1" applyProtection="1">
      <alignment vertical="center"/>
      <protection hidden="1"/>
    </xf>
    <xf numFmtId="44" fontId="180" fillId="49" borderId="442" xfId="0" applyNumberFormat="1" applyFont="1" applyFill="1" applyBorder="1" applyAlignment="1" applyProtection="1">
      <alignment horizontal="center" vertical="center"/>
      <protection hidden="1"/>
    </xf>
    <xf numFmtId="0" fontId="181" fillId="48" borderId="0" xfId="0" applyFont="1" applyFill="1" applyAlignment="1" applyProtection="1">
      <alignment horizontal="right" vertical="center"/>
      <protection hidden="1"/>
    </xf>
    <xf numFmtId="0" fontId="125" fillId="48" borderId="0" xfId="0" applyFont="1" applyFill="1" applyAlignment="1" applyProtection="1">
      <alignment horizontal="center" vertical="center"/>
      <protection hidden="1"/>
    </xf>
    <xf numFmtId="0" fontId="181" fillId="48" borderId="0" xfId="0" applyFont="1" applyFill="1" applyAlignment="1" applyProtection="1">
      <alignment horizontal="center" vertical="center"/>
      <protection hidden="1"/>
    </xf>
    <xf numFmtId="44" fontId="181" fillId="48" borderId="0" xfId="0" applyNumberFormat="1" applyFont="1" applyFill="1" applyAlignment="1" applyProtection="1">
      <alignment horizontal="center" vertical="center"/>
      <protection hidden="1"/>
    </xf>
    <xf numFmtId="9" fontId="181" fillId="48" borderId="0" xfId="0" applyNumberFormat="1" applyFont="1" applyFill="1" applyAlignment="1" applyProtection="1">
      <alignment horizontal="center" vertical="center"/>
      <protection hidden="1"/>
    </xf>
    <xf numFmtId="37" fontId="181" fillId="48" borderId="0" xfId="0" applyNumberFormat="1" applyFont="1" applyFill="1" applyAlignment="1" applyProtection="1">
      <alignment horizontal="center" vertical="center"/>
      <protection hidden="1"/>
    </xf>
    <xf numFmtId="39" fontId="175" fillId="40" borderId="365" xfId="0" applyNumberFormat="1" applyFont="1" applyFill="1" applyBorder="1" applyAlignment="1" applyProtection="1">
      <alignment horizontal="center" vertical="center"/>
      <protection locked="0"/>
    </xf>
    <xf numFmtId="0" fontId="174" fillId="40" borderId="443" xfId="0" applyFont="1" applyFill="1" applyBorder="1" applyAlignment="1" applyProtection="1">
      <alignment horizontal="left" vertical="center" indent="1"/>
      <protection locked="0"/>
    </xf>
    <xf numFmtId="169" fontId="0" fillId="0" borderId="442" xfId="0" applyNumberFormat="1" applyBorder="1" applyAlignment="1">
      <alignment horizontal="right" vertical="top"/>
    </xf>
    <xf numFmtId="169" fontId="0" fillId="40" borderId="204" xfId="0" applyNumberFormat="1" applyFill="1" applyBorder="1" applyAlignment="1">
      <alignment horizontal="right" vertical="top"/>
    </xf>
    <xf numFmtId="0" fontId="0" fillId="0" borderId="481" xfId="0" applyBorder="1" applyAlignment="1">
      <alignment horizontal="left" vertical="top" indent="2"/>
    </xf>
    <xf numFmtId="169" fontId="0" fillId="0" borderId="448" xfId="0" applyNumberFormat="1" applyBorder="1" applyAlignment="1">
      <alignment horizontal="right" vertical="top"/>
    </xf>
    <xf numFmtId="169" fontId="0" fillId="0" borderId="199" xfId="0" applyNumberFormat="1" applyBorder="1" applyAlignment="1">
      <alignment horizontal="right" vertical="top"/>
    </xf>
    <xf numFmtId="0" fontId="174" fillId="40" borderId="440" xfId="0" applyFont="1" applyFill="1" applyBorder="1" applyAlignment="1" applyProtection="1">
      <alignment horizontal="left" vertical="center" indent="1"/>
      <protection locked="0"/>
    </xf>
    <xf numFmtId="44" fontId="174" fillId="40" borderId="448" xfId="0" applyNumberFormat="1" applyFont="1" applyFill="1" applyBorder="1" applyAlignment="1" applyProtection="1">
      <alignment horizontal="center" vertical="center"/>
      <protection locked="0"/>
    </xf>
    <xf numFmtId="169" fontId="0" fillId="40" borderId="441" xfId="0" applyNumberFormat="1" applyFill="1" applyBorder="1" applyAlignment="1">
      <alignment horizontal="right" vertical="top"/>
    </xf>
    <xf numFmtId="169" fontId="0" fillId="40" borderId="231" xfId="0" applyNumberFormat="1" applyFill="1" applyBorder="1" applyAlignment="1">
      <alignment horizontal="right" vertical="top"/>
    </xf>
    <xf numFmtId="169" fontId="0" fillId="40" borderId="442" xfId="0" applyNumberFormat="1" applyFill="1" applyBorder="1" applyAlignment="1">
      <alignment horizontal="right" vertical="top"/>
    </xf>
    <xf numFmtId="0" fontId="0" fillId="0" borderId="76" xfId="0" applyBorder="1" applyAlignment="1">
      <alignment horizontal="left" vertical="top" indent="2"/>
    </xf>
    <xf numFmtId="169" fontId="0" fillId="0" borderId="0" xfId="0" applyNumberFormat="1" applyAlignment="1">
      <alignment horizontal="right" vertical="top"/>
    </xf>
    <xf numFmtId="0" fontId="180" fillId="52" borderId="440" xfId="0" applyFont="1" applyFill="1" applyBorder="1" applyAlignment="1" applyProtection="1">
      <alignment horizontal="left" vertical="center" indent="1"/>
      <protection hidden="1"/>
    </xf>
    <xf numFmtId="10" fontId="180" fillId="13" borderId="442" xfId="0" applyNumberFormat="1" applyFont="1" applyFill="1" applyBorder="1" applyAlignment="1" applyProtection="1">
      <alignment horizontal="center" vertical="center"/>
      <protection hidden="1"/>
    </xf>
    <xf numFmtId="44" fontId="180" fillId="0" borderId="442" xfId="0" applyNumberFormat="1" applyFont="1" applyBorder="1" applyAlignment="1" applyProtection="1">
      <alignment horizontal="center" vertical="center"/>
      <protection hidden="1"/>
    </xf>
    <xf numFmtId="169" fontId="174" fillId="40" borderId="204" xfId="0" applyNumberFormat="1" applyFont="1" applyFill="1" applyBorder="1" applyAlignment="1">
      <alignment horizontal="right" vertical="top"/>
    </xf>
    <xf numFmtId="169" fontId="174" fillId="40" borderId="441" xfId="0" applyNumberFormat="1" applyFont="1" applyFill="1" applyBorder="1" applyAlignment="1">
      <alignment horizontal="right" vertical="top"/>
    </xf>
    <xf numFmtId="0" fontId="0" fillId="40" borderId="443" xfId="0" applyFill="1" applyBorder="1" applyAlignment="1">
      <alignment horizontal="left" vertical="top" indent="2"/>
    </xf>
    <xf numFmtId="169" fontId="0" fillId="0" borderId="449" xfId="0" applyNumberFormat="1" applyBorder="1" applyAlignment="1">
      <alignment horizontal="right" vertical="top"/>
    </xf>
    <xf numFmtId="0" fontId="27" fillId="52" borderId="481" xfId="0" applyFont="1" applyFill="1" applyBorder="1"/>
    <xf numFmtId="169" fontId="0" fillId="52" borderId="441" xfId="0" applyNumberFormat="1" applyFill="1" applyBorder="1" applyAlignment="1">
      <alignment horizontal="right" vertical="top"/>
    </xf>
    <xf numFmtId="169" fontId="0" fillId="52" borderId="442" xfId="0" applyNumberFormat="1" applyFill="1" applyBorder="1" applyAlignment="1">
      <alignment horizontal="right" vertical="top"/>
    </xf>
    <xf numFmtId="0" fontId="27" fillId="0" borderId="481" xfId="0" applyFont="1" applyBorder="1"/>
    <xf numFmtId="0" fontId="27" fillId="51" borderId="481" xfId="0" applyFont="1" applyFill="1" applyBorder="1"/>
    <xf numFmtId="169" fontId="0" fillId="51" borderId="442" xfId="0" applyNumberFormat="1" applyFill="1" applyBorder="1" applyAlignment="1">
      <alignment horizontal="right" vertical="top"/>
    </xf>
    <xf numFmtId="0" fontId="181" fillId="39" borderId="0" xfId="0" applyFont="1" applyFill="1" applyAlignment="1" applyProtection="1">
      <alignment horizontal="center" vertical="top"/>
      <protection hidden="1"/>
    </xf>
    <xf numFmtId="44" fontId="180" fillId="49" borderId="481" xfId="0" applyNumberFormat="1" applyFont="1" applyFill="1" applyBorder="1" applyAlignment="1" applyProtection="1">
      <alignment horizontal="center" vertical="top"/>
      <protection hidden="1"/>
    </xf>
    <xf numFmtId="0" fontId="0" fillId="0" borderId="76" xfId="0" applyBorder="1" applyAlignment="1">
      <alignment horizontal="center" vertical="top"/>
    </xf>
    <xf numFmtId="44" fontId="180" fillId="49" borderId="443" xfId="0" applyNumberFormat="1" applyFont="1" applyFill="1" applyBorder="1" applyAlignment="1" applyProtection="1">
      <alignment horizontal="center" vertical="top"/>
      <protection hidden="1"/>
    </xf>
    <xf numFmtId="169" fontId="58" fillId="40" borderId="26" xfId="0" applyNumberFormat="1" applyFont="1" applyFill="1" applyBorder="1" applyAlignment="1">
      <alignment horizontal="center" vertical="top"/>
    </xf>
    <xf numFmtId="169" fontId="58" fillId="40" borderId="443" xfId="0" applyNumberFormat="1" applyFont="1" applyFill="1" applyBorder="1" applyAlignment="1">
      <alignment horizontal="center" vertical="top"/>
    </xf>
    <xf numFmtId="169" fontId="0" fillId="40" borderId="26" xfId="0" applyNumberFormat="1" applyFill="1" applyBorder="1" applyAlignment="1">
      <alignment horizontal="center" vertical="top"/>
    </xf>
    <xf numFmtId="169" fontId="0" fillId="0" borderId="481" xfId="0" applyNumberFormat="1" applyBorder="1" applyAlignment="1">
      <alignment horizontal="center" vertical="top"/>
    </xf>
    <xf numFmtId="44" fontId="174" fillId="40" borderId="443" xfId="0" applyNumberFormat="1" applyFont="1" applyFill="1" applyBorder="1" applyAlignment="1" applyProtection="1">
      <alignment horizontal="center" vertical="top"/>
      <protection locked="0"/>
    </xf>
    <xf numFmtId="169" fontId="0" fillId="40" borderId="443" xfId="0" applyNumberFormat="1" applyFill="1" applyBorder="1" applyAlignment="1">
      <alignment horizontal="center" vertical="top"/>
    </xf>
    <xf numFmtId="169" fontId="0" fillId="40" borderId="445" xfId="0" applyNumberFormat="1" applyFill="1" applyBorder="1" applyAlignment="1">
      <alignment horizontal="center" vertical="top"/>
    </xf>
    <xf numFmtId="169" fontId="0" fillId="0" borderId="76" xfId="0" applyNumberFormat="1" applyBorder="1" applyAlignment="1">
      <alignment horizontal="center" vertical="top"/>
    </xf>
    <xf numFmtId="10" fontId="180" fillId="13" borderId="443" xfId="0" applyNumberFormat="1" applyFont="1" applyFill="1" applyBorder="1" applyAlignment="1" applyProtection="1">
      <alignment horizontal="center" vertical="top"/>
      <protection hidden="1"/>
    </xf>
    <xf numFmtId="169" fontId="174" fillId="40" borderId="26" xfId="0" applyNumberFormat="1" applyFont="1" applyFill="1" applyBorder="1" applyAlignment="1">
      <alignment horizontal="center" vertical="top"/>
    </xf>
    <xf numFmtId="169" fontId="174" fillId="40" borderId="81" xfId="0" applyNumberFormat="1" applyFont="1" applyFill="1" applyBorder="1" applyAlignment="1">
      <alignment horizontal="center" vertical="top"/>
    </xf>
    <xf numFmtId="169" fontId="0" fillId="52" borderId="443" xfId="0" applyNumberFormat="1" applyFill="1" applyBorder="1" applyAlignment="1">
      <alignment horizontal="center" vertical="top"/>
    </xf>
    <xf numFmtId="169" fontId="174" fillId="40" borderId="204" xfId="0" applyNumberFormat="1" applyFont="1" applyFill="1" applyBorder="1" applyAlignment="1">
      <alignment horizontal="center" vertical="top"/>
    </xf>
    <xf numFmtId="0" fontId="0" fillId="45" borderId="0" xfId="0" applyFont="1" applyFill="1" applyAlignment="1" applyProtection="1">
      <alignment horizontal="center" vertical="center"/>
      <protection hidden="1"/>
    </xf>
    <xf numFmtId="0" fontId="123" fillId="66" borderId="0" xfId="0" applyFont="1" applyFill="1" applyAlignment="1" applyProtection="1">
      <alignment horizontal="center" vertical="center"/>
      <protection hidden="1"/>
    </xf>
    <xf numFmtId="44" fontId="176" fillId="65" borderId="0" xfId="0" applyNumberFormat="1" applyFont="1" applyFill="1" applyAlignment="1" applyProtection="1">
      <alignment horizontal="center" vertical="center"/>
      <protection hidden="1"/>
    </xf>
    <xf numFmtId="2" fontId="124" fillId="40" borderId="325" xfId="8202" applyNumberFormat="1" applyFont="1" applyFill="1" applyBorder="1" applyAlignment="1" applyProtection="1">
      <alignment horizontal="center" vertical="center"/>
      <protection locked="0"/>
    </xf>
    <xf numFmtId="164" fontId="0" fillId="0" borderId="513" xfId="0" applyNumberFormat="1" applyBorder="1"/>
    <xf numFmtId="0" fontId="182" fillId="44" borderId="0" xfId="0" applyFont="1" applyFill="1" applyAlignment="1" applyProtection="1">
      <alignment horizontal="center" vertical="center"/>
      <protection hidden="1"/>
    </xf>
    <xf numFmtId="169" fontId="0" fillId="0" borderId="204" xfId="0" applyNumberFormat="1" applyBorder="1" applyAlignment="1">
      <alignment horizontal="right" vertical="top"/>
    </xf>
    <xf numFmtId="169" fontId="0" fillId="40" borderId="513" xfId="0" applyNumberFormat="1" applyFill="1" applyBorder="1" applyAlignment="1">
      <alignment horizontal="right" vertical="top"/>
    </xf>
    <xf numFmtId="169" fontId="0" fillId="0" borderId="513" xfId="0" applyNumberFormat="1" applyBorder="1" applyAlignment="1">
      <alignment horizontal="right" vertical="top"/>
    </xf>
    <xf numFmtId="169" fontId="0" fillId="0" borderId="441" xfId="0" applyNumberFormat="1" applyBorder="1" applyAlignment="1">
      <alignment horizontal="right" vertical="top"/>
    </xf>
    <xf numFmtId="0" fontId="25" fillId="0" borderId="0" xfId="0" applyFont="1" applyAlignment="1">
      <alignment horizontal="left"/>
    </xf>
    <xf numFmtId="0" fontId="26" fillId="0" borderId="18" xfId="0" applyFont="1" applyBorder="1" applyAlignment="1">
      <alignment horizontal="left" vertical="top"/>
    </xf>
    <xf numFmtId="0" fontId="180" fillId="0" borderId="0" xfId="0" applyFont="1" applyAlignment="1">
      <alignment horizontal="left"/>
    </xf>
    <xf numFmtId="0" fontId="182" fillId="43" borderId="0" xfId="0" applyFont="1" applyFill="1" applyAlignment="1" applyProtection="1">
      <alignment horizontal="left" vertical="center"/>
      <protection hidden="1"/>
    </xf>
    <xf numFmtId="0" fontId="180" fillId="38" borderId="0" xfId="0" applyFont="1" applyFill="1" applyAlignment="1" applyProtection="1">
      <alignment horizontal="left" vertical="center"/>
      <protection hidden="1"/>
    </xf>
    <xf numFmtId="0" fontId="123" fillId="40" borderId="0" xfId="0" applyFont="1" applyFill="1" applyAlignment="1" applyProtection="1">
      <alignment horizontal="left" vertical="center"/>
      <protection hidden="1"/>
    </xf>
    <xf numFmtId="0" fontId="181" fillId="48" borderId="0" xfId="0" applyFont="1" applyFill="1" applyAlignment="1" applyProtection="1">
      <alignment horizontal="left" vertical="center"/>
      <protection hidden="1"/>
    </xf>
    <xf numFmtId="0" fontId="174" fillId="40" borderId="365" xfId="0" applyFont="1" applyFill="1" applyBorder="1" applyAlignment="1" applyProtection="1">
      <alignment horizontal="left" vertical="center"/>
      <protection locked="0"/>
    </xf>
    <xf numFmtId="164" fontId="0" fillId="15" borderId="22" xfId="0" applyNumberFormat="1" applyFill="1" applyBorder="1" applyAlignment="1">
      <alignment horizontal="center"/>
    </xf>
    <xf numFmtId="164" fontId="0" fillId="0" borderId="25" xfId="0" applyNumberFormat="1" applyBorder="1" applyAlignment="1">
      <alignment horizontal="center"/>
    </xf>
    <xf numFmtId="164" fontId="0" fillId="0" borderId="511" xfId="0" applyNumberFormat="1" applyBorder="1" applyAlignment="1">
      <alignment horizontal="center"/>
    </xf>
    <xf numFmtId="164" fontId="26" fillId="0" borderId="18" xfId="0" applyNumberFormat="1" applyFont="1" applyBorder="1" applyAlignment="1">
      <alignment horizontal="center"/>
    </xf>
    <xf numFmtId="0" fontId="0" fillId="0" borderId="0" xfId="2" applyFont="1" applyBorder="1" applyAlignment="1">
      <alignment horizontal="center" wrapText="1"/>
    </xf>
    <xf numFmtId="0" fontId="176" fillId="65" borderId="0" xfId="0" applyFont="1" applyFill="1" applyAlignment="1" applyProtection="1">
      <alignment horizontal="center" vertical="center"/>
      <protection hidden="1"/>
    </xf>
    <xf numFmtId="4" fontId="120" fillId="40" borderId="443" xfId="8201" applyNumberFormat="1" applyFont="1" applyFill="1" applyBorder="1" applyAlignment="1" applyProtection="1">
      <alignment horizontal="left" vertical="center" indent="1"/>
      <protection locked="0"/>
    </xf>
    <xf numFmtId="0" fontId="183" fillId="40" borderId="443" xfId="8201" applyFont="1" applyFill="1" applyBorder="1" applyAlignment="1" applyProtection="1">
      <alignment horizontal="left" vertical="center" indent="2"/>
      <protection locked="0"/>
    </xf>
    <xf numFmtId="0" fontId="0" fillId="0" borderId="0" xfId="0" applyFont="1" applyAlignment="1">
      <alignment horizontal="center" wrapText="1"/>
    </xf>
    <xf numFmtId="0" fontId="23" fillId="0" borderId="512" xfId="9" applyFill="1" applyBorder="1" applyAlignment="1" applyProtection="1">
      <alignment horizontal="center" wrapText="1"/>
    </xf>
    <xf numFmtId="0" fontId="166" fillId="0" borderId="0" xfId="0" applyFont="1" applyFill="1" applyAlignment="1">
      <alignment horizontal="center"/>
    </xf>
    <xf numFmtId="0" fontId="161" fillId="0" borderId="0" xfId="0" applyFont="1" applyFill="1"/>
    <xf numFmtId="0" fontId="59" fillId="0" borderId="0" xfId="0" applyFont="1" applyFill="1" applyAlignment="1">
      <alignment horizontal="center"/>
    </xf>
    <xf numFmtId="165" fontId="184" fillId="0" borderId="0" xfId="1" applyNumberFormat="1" applyFont="1"/>
    <xf numFmtId="0" fontId="6" fillId="0" borderId="0" xfId="23" applyNumberFormat="1" applyFont="1" applyAlignment="1" applyProtection="1">
      <alignment horizontal="center" wrapText="1"/>
      <protection locked="0"/>
    </xf>
    <xf numFmtId="0" fontId="15" fillId="0" borderId="0" xfId="3"/>
    <xf numFmtId="0" fontId="0" fillId="0" borderId="0" xfId="0" applyFont="1" applyAlignment="1">
      <alignment horizontal="center" wrapText="1"/>
    </xf>
    <xf numFmtId="0" fontId="15" fillId="0" borderId="0" xfId="3"/>
    <xf numFmtId="0" fontId="0" fillId="0" borderId="0" xfId="0" applyFont="1" applyAlignment="1">
      <alignment horizontal="center" wrapText="1"/>
    </xf>
    <xf numFmtId="0" fontId="40" fillId="0" borderId="0" xfId="12"/>
    <xf numFmtId="165" fontId="12" fillId="0" borderId="40" xfId="22" applyNumberFormat="1" applyFont="1" applyFill="1" applyBorder="1"/>
    <xf numFmtId="0" fontId="15" fillId="0" borderId="0" xfId="3" applyFont="1" applyBorder="1"/>
    <xf numFmtId="175" fontId="12" fillId="0" borderId="40" xfId="3" applyNumberFormat="1" applyFont="1" applyFill="1" applyBorder="1" applyAlignment="1">
      <alignment horizontal="center"/>
    </xf>
    <xf numFmtId="0" fontId="15" fillId="0" borderId="28" xfId="3" applyFont="1" applyBorder="1"/>
    <xf numFmtId="42" fontId="15" fillId="0" borderId="40" xfId="3" applyNumberFormat="1" applyFont="1" applyBorder="1"/>
    <xf numFmtId="165" fontId="15" fillId="0" borderId="0" xfId="3" applyNumberFormat="1" applyFont="1" applyFill="1" applyBorder="1"/>
    <xf numFmtId="0" fontId="15" fillId="0" borderId="0" xfId="3" applyFont="1" applyFill="1" applyBorder="1"/>
    <xf numFmtId="6" fontId="15" fillId="0" borderId="0" xfId="3" applyNumberFormat="1" applyFont="1" applyFill="1" applyBorder="1"/>
    <xf numFmtId="42" fontId="15" fillId="0" borderId="0" xfId="3" applyNumberFormat="1" applyFont="1" applyBorder="1"/>
    <xf numFmtId="165" fontId="43" fillId="2" borderId="490" xfId="22" applyNumberFormat="1" applyFont="1" applyFill="1" applyBorder="1"/>
    <xf numFmtId="165" fontId="42" fillId="0" borderId="0" xfId="3" applyNumberFormat="1" applyFont="1" applyBorder="1"/>
    <xf numFmtId="165" fontId="0" fillId="0" borderId="0" xfId="0" applyNumberFormat="1" applyFont="1" applyBorder="1"/>
    <xf numFmtId="165" fontId="42" fillId="0" borderId="40" xfId="22" applyNumberFormat="1" applyFont="1" applyFill="1" applyBorder="1"/>
    <xf numFmtId="165" fontId="42" fillId="0" borderId="0" xfId="3" applyNumberFormat="1" applyFont="1" applyFill="1" applyBorder="1"/>
    <xf numFmtId="165" fontId="42" fillId="0" borderId="40" xfId="22" applyNumberFormat="1" applyFont="1" applyBorder="1"/>
    <xf numFmtId="165" fontId="42" fillId="0" borderId="0" xfId="22" applyNumberFormat="1" applyFont="1" applyBorder="1"/>
    <xf numFmtId="42" fontId="42" fillId="0" borderId="0" xfId="3" applyNumberFormat="1" applyFont="1" applyBorder="1"/>
    <xf numFmtId="165" fontId="42" fillId="0" borderId="28" xfId="22" applyNumberFormat="1" applyFont="1" applyFill="1" applyBorder="1"/>
    <xf numFmtId="165" fontId="42" fillId="0" borderId="28" xfId="15" applyNumberFormat="1" applyFont="1" applyBorder="1"/>
    <xf numFmtId="0" fontId="42" fillId="0" borderId="0" xfId="0" applyFont="1" applyBorder="1"/>
    <xf numFmtId="0" fontId="42" fillId="0" borderId="0" xfId="0" applyFont="1"/>
    <xf numFmtId="180" fontId="15" fillId="0" borderId="0" xfId="0" applyNumberFormat="1" applyFont="1" applyFill="1" applyAlignment="1"/>
    <xf numFmtId="180" fontId="15" fillId="0" borderId="0" xfId="0" applyNumberFormat="1" applyFont="1" applyFill="1" applyBorder="1" applyAlignment="1"/>
    <xf numFmtId="42" fontId="15" fillId="0" borderId="28" xfId="0" applyNumberFormat="1" applyFont="1" applyFill="1" applyBorder="1" applyAlignment="1"/>
    <xf numFmtId="165" fontId="42" fillId="0" borderId="28" xfId="22" applyNumberFormat="1" applyFont="1" applyBorder="1"/>
    <xf numFmtId="0" fontId="167" fillId="0" borderId="512" xfId="9" applyFont="1" applyFill="1" applyBorder="1" applyAlignment="1" applyProtection="1">
      <alignment horizontal="center" wrapText="1"/>
    </xf>
    <xf numFmtId="0" fontId="185" fillId="40" borderId="443" xfId="0" applyFont="1" applyFill="1" applyBorder="1" applyAlignment="1" applyProtection="1">
      <alignment horizontal="left" vertical="center" indent="1"/>
      <protection locked="0"/>
    </xf>
    <xf numFmtId="0" fontId="185" fillId="40" borderId="443" xfId="8201" applyFont="1" applyFill="1" applyBorder="1" applyAlignment="1" applyProtection="1">
      <alignment horizontal="left" vertical="center" indent="1"/>
      <protection locked="0"/>
    </xf>
    <xf numFmtId="0" fontId="161" fillId="0" borderId="0" xfId="0" applyFont="1" applyBorder="1"/>
    <xf numFmtId="0" fontId="167" fillId="0" borderId="436" xfId="9" applyFont="1" applyFill="1" applyBorder="1" applyAlignment="1" applyProtection="1">
      <alignment horizontal="center" wrapText="1"/>
    </xf>
    <xf numFmtId="0" fontId="186" fillId="0" borderId="35" xfId="9" applyFont="1" applyFill="1" applyBorder="1" applyAlignment="1" applyProtection="1">
      <alignment horizontal="center" wrapText="1"/>
    </xf>
    <xf numFmtId="165" fontId="12" fillId="0" borderId="0" xfId="22" applyNumberFormat="1" applyFont="1" applyFill="1"/>
    <xf numFmtId="180" fontId="15" fillId="0" borderId="40" xfId="0" applyNumberFormat="1" applyFont="1" applyFill="1" applyBorder="1" applyAlignment="1"/>
    <xf numFmtId="0" fontId="42" fillId="0" borderId="0" xfId="12" applyFont="1" applyBorder="1"/>
    <xf numFmtId="165" fontId="42" fillId="0" borderId="28" xfId="12" applyNumberFormat="1" applyFont="1" applyBorder="1"/>
    <xf numFmtId="167" fontId="18" fillId="0" borderId="0" xfId="22" applyNumberFormat="1" applyFont="1" applyFill="1"/>
    <xf numFmtId="167" fontId="18" fillId="0" borderId="0" xfId="15" applyNumberFormat="1" applyFont="1" applyFill="1"/>
    <xf numFmtId="43" fontId="0" fillId="40" borderId="8" xfId="1" applyNumberFormat="1" applyFont="1" applyFill="1" applyBorder="1"/>
    <xf numFmtId="43" fontId="58" fillId="40" borderId="8" xfId="1" applyNumberFormat="1" applyFont="1" applyFill="1" applyBorder="1" applyAlignment="1">
      <alignment horizontal="right"/>
    </xf>
    <xf numFmtId="0" fontId="174" fillId="12" borderId="365" xfId="0" applyNumberFormat="1" applyFont="1" applyFill="1" applyBorder="1" applyAlignment="1" applyProtection="1">
      <alignment horizontal="center" vertical="center"/>
      <protection hidden="1"/>
    </xf>
    <xf numFmtId="37" fontId="174" fillId="40" borderId="365" xfId="0" applyNumberFormat="1" applyFont="1" applyFill="1" applyBorder="1" applyAlignment="1" applyProtection="1">
      <alignment horizontal="center" vertical="center"/>
      <protection hidden="1"/>
    </xf>
    <xf numFmtId="0" fontId="174" fillId="40" borderId="365" xfId="0" applyNumberFormat="1" applyFont="1" applyFill="1" applyBorder="1" applyAlignment="1" applyProtection="1">
      <alignment horizontal="center" vertical="center"/>
      <protection hidden="1"/>
    </xf>
    <xf numFmtId="0" fontId="188" fillId="0" borderId="0" xfId="0" applyFont="1"/>
    <xf numFmtId="0" fontId="0" fillId="67" borderId="0" xfId="0" applyFill="1"/>
    <xf numFmtId="0" fontId="189" fillId="0" borderId="0" xfId="0" applyFont="1"/>
    <xf numFmtId="0" fontId="63" fillId="0" borderId="76" xfId="0" applyFont="1" applyBorder="1" applyAlignment="1">
      <alignment horizontal="center" vertical="center"/>
    </xf>
    <xf numFmtId="0" fontId="0" fillId="53" borderId="0" xfId="0" applyFill="1" applyAlignment="1">
      <alignment vertical="center"/>
    </xf>
    <xf numFmtId="0" fontId="191" fillId="0" borderId="0" xfId="0" applyFont="1" applyAlignment="1">
      <alignment horizontal="right" vertical="center"/>
    </xf>
    <xf numFmtId="0" fontId="63" fillId="0" borderId="36" xfId="0" applyFont="1" applyBorder="1" applyAlignment="1">
      <alignment horizontal="center" vertical="center" wrapText="1"/>
    </xf>
    <xf numFmtId="0" fontId="63" fillId="0" borderId="0" xfId="0" applyFont="1" applyBorder="1" applyAlignment="1">
      <alignment horizontal="center" vertical="center" wrapText="1"/>
    </xf>
    <xf numFmtId="0" fontId="192" fillId="0" borderId="28" xfId="0" applyFont="1" applyBorder="1" applyAlignment="1">
      <alignment horizontal="center" vertical="center" wrapText="1"/>
    </xf>
    <xf numFmtId="0" fontId="192" fillId="0" borderId="0" xfId="0" applyFont="1" applyBorder="1" applyAlignment="1">
      <alignment horizontal="center" vertical="center" wrapText="1"/>
    </xf>
    <xf numFmtId="0" fontId="191" fillId="0" borderId="0" xfId="0" applyFont="1" applyAlignment="1">
      <alignment horizontal="center" vertical="center"/>
    </xf>
    <xf numFmtId="0" fontId="191" fillId="0" borderId="0" xfId="0" applyFont="1" applyBorder="1" applyAlignment="1">
      <alignment horizontal="center" vertical="center"/>
    </xf>
    <xf numFmtId="0" fontId="63" fillId="0" borderId="36" xfId="0" applyFont="1" applyBorder="1" applyAlignment="1">
      <alignment horizontal="center" vertical="center"/>
    </xf>
    <xf numFmtId="0" fontId="63" fillId="0" borderId="0" xfId="0" applyFont="1" applyBorder="1" applyAlignment="1">
      <alignment horizontal="center" vertical="center"/>
    </xf>
    <xf numFmtId="0" fontId="63" fillId="0" borderId="28" xfId="0" applyFont="1" applyBorder="1" applyAlignment="1">
      <alignment horizontal="center" vertical="center"/>
    </xf>
    <xf numFmtId="0" fontId="63" fillId="0" borderId="499" xfId="0" applyFont="1" applyBorder="1" applyAlignment="1">
      <alignment horizontal="center" vertical="center"/>
    </xf>
    <xf numFmtId="0" fontId="63" fillId="0" borderId="496" xfId="0" applyFont="1" applyBorder="1" applyAlignment="1">
      <alignment horizontal="center" vertical="center"/>
    </xf>
    <xf numFmtId="0" fontId="192" fillId="0" borderId="500" xfId="0" applyFont="1" applyBorder="1" applyAlignment="1">
      <alignment horizontal="center" vertical="center" wrapText="1"/>
    </xf>
    <xf numFmtId="0" fontId="192" fillId="0" borderId="496" xfId="0" applyFont="1" applyBorder="1" applyAlignment="1">
      <alignment horizontal="center" vertical="center" wrapText="1"/>
    </xf>
    <xf numFmtId="0" fontId="195" fillId="0" borderId="502" xfId="0" applyFont="1" applyBorder="1" applyAlignment="1">
      <alignment horizontal="center" vertical="center"/>
    </xf>
    <xf numFmtId="0" fontId="196" fillId="0" borderId="0" xfId="0" applyFont="1" applyAlignment="1">
      <alignment horizontal="right" vertical="center"/>
    </xf>
    <xf numFmtId="0" fontId="196" fillId="53" borderId="0" xfId="0" applyFont="1" applyFill="1" applyAlignment="1">
      <alignment horizontal="right" vertical="center"/>
    </xf>
    <xf numFmtId="0" fontId="0" fillId="53" borderId="0" xfId="0" applyFill="1" applyBorder="1" applyAlignment="1">
      <alignment horizontal="center" vertical="center"/>
    </xf>
    <xf numFmtId="0" fontId="99" fillId="0" borderId="0" xfId="0" applyFont="1"/>
    <xf numFmtId="0" fontId="197" fillId="0" borderId="0" xfId="0" applyFont="1" applyAlignment="1">
      <alignment horizontal="center" vertical="center"/>
    </xf>
    <xf numFmtId="0" fontId="197" fillId="0" borderId="0" xfId="0" applyFont="1" applyBorder="1" applyAlignment="1">
      <alignment horizontal="center" vertical="center"/>
    </xf>
    <xf numFmtId="0" fontId="99" fillId="53" borderId="0" xfId="0" applyFont="1" applyFill="1" applyAlignment="1">
      <alignment vertical="center"/>
    </xf>
    <xf numFmtId="0" fontId="198" fillId="0" borderId="0" xfId="0" applyFont="1" applyAlignment="1">
      <alignment horizontal="center" vertical="center"/>
    </xf>
    <xf numFmtId="0" fontId="198" fillId="0" borderId="0" xfId="0" applyFont="1" applyBorder="1" applyAlignment="1">
      <alignment horizontal="center" vertical="center"/>
    </xf>
    <xf numFmtId="0" fontId="99" fillId="0" borderId="76" xfId="0" applyFont="1" applyBorder="1" applyAlignment="1">
      <alignment horizontal="center" vertical="center"/>
    </xf>
    <xf numFmtId="164" fontId="63" fillId="0" borderId="76" xfId="0" applyNumberFormat="1" applyFont="1" applyBorder="1" applyAlignment="1">
      <alignment horizontal="center" vertical="center"/>
    </xf>
    <xf numFmtId="0" fontId="200" fillId="10" borderId="365" xfId="0" applyFont="1" applyFill="1" applyBorder="1" applyAlignment="1">
      <alignment horizontal="center" vertical="center" wrapText="1"/>
    </xf>
    <xf numFmtId="0" fontId="63" fillId="0" borderId="509" xfId="0" applyFont="1" applyBorder="1" applyAlignment="1">
      <alignment horizontal="center" vertical="center"/>
    </xf>
    <xf numFmtId="0" fontId="195" fillId="0" borderId="517" xfId="0" applyFont="1" applyBorder="1" applyAlignment="1">
      <alignment horizontal="center" vertical="center"/>
    </xf>
    <xf numFmtId="0" fontId="198" fillId="0" borderId="0" xfId="0" applyFont="1" applyAlignment="1">
      <alignment horizontal="center" vertical="center" wrapText="1"/>
    </xf>
    <xf numFmtId="0" fontId="99" fillId="0" borderId="509" xfId="0" applyFont="1" applyBorder="1" applyAlignment="1">
      <alignment horizontal="center" vertical="center"/>
    </xf>
    <xf numFmtId="164" fontId="63" fillId="0" borderId="0" xfId="0" applyNumberFormat="1" applyFont="1" applyBorder="1" applyAlignment="1">
      <alignment horizontal="center" vertical="center" wrapText="1"/>
    </xf>
    <xf numFmtId="164" fontId="201" fillId="0" borderId="11" xfId="0" applyNumberFormat="1" applyFont="1" applyBorder="1" applyAlignment="1">
      <alignment horizontal="center" vertical="center" wrapText="1"/>
    </xf>
    <xf numFmtId="44" fontId="180" fillId="49" borderId="443" xfId="0" applyNumberFormat="1" applyFont="1" applyFill="1" applyBorder="1" applyAlignment="1" applyProtection="1">
      <alignment horizontal="center" vertical="center"/>
      <protection hidden="1"/>
    </xf>
    <xf numFmtId="9" fontId="203" fillId="0" borderId="0" xfId="8" applyNumberFormat="1" applyFont="1"/>
    <xf numFmtId="9" fontId="203" fillId="0" borderId="0" xfId="8" applyFont="1"/>
    <xf numFmtId="165" fontId="203" fillId="0" borderId="0" xfId="1" applyNumberFormat="1" applyFont="1"/>
    <xf numFmtId="9" fontId="203" fillId="0" borderId="0" xfId="8" applyFont="1" applyFill="1" applyBorder="1"/>
    <xf numFmtId="0" fontId="186" fillId="0" borderId="483" xfId="9" applyFont="1" applyFill="1" applyBorder="1" applyAlignment="1" applyProtection="1">
      <alignment horizontal="center" wrapText="1"/>
    </xf>
    <xf numFmtId="169" fontId="176" fillId="65" borderId="0" xfId="0" applyNumberFormat="1" applyFont="1" applyFill="1"/>
    <xf numFmtId="0" fontId="120" fillId="40" borderId="365" xfId="0" applyFont="1" applyFill="1" applyBorder="1" applyAlignment="1" applyProtection="1">
      <alignment horizontal="center" vertical="center"/>
      <protection locked="0"/>
    </xf>
    <xf numFmtId="0" fontId="204" fillId="40" borderId="365" xfId="8203" applyNumberFormat="1" applyFont="1" applyFill="1" applyBorder="1" applyAlignment="1" applyProtection="1">
      <alignment horizontal="center" vertical="center"/>
      <protection locked="0"/>
    </xf>
    <xf numFmtId="0" fontId="205" fillId="40" borderId="365" xfId="8203" applyNumberFormat="1" applyFont="1" applyFill="1" applyBorder="1" applyAlignment="1" applyProtection="1">
      <alignment horizontal="center" vertical="center"/>
      <protection locked="0"/>
    </xf>
    <xf numFmtId="0" fontId="120" fillId="54" borderId="365" xfId="0" applyFont="1" applyFill="1" applyBorder="1" applyAlignment="1" applyProtection="1">
      <alignment horizontal="center" vertical="center"/>
      <protection locked="0"/>
    </xf>
    <xf numFmtId="0" fontId="205" fillId="54" borderId="365" xfId="8203" applyNumberFormat="1" applyFont="1" applyFill="1" applyBorder="1" applyAlignment="1" applyProtection="1">
      <alignment horizontal="center" vertical="center"/>
      <protection locked="0"/>
    </xf>
    <xf numFmtId="0" fontId="177" fillId="40" borderId="365" xfId="0" applyFont="1" applyFill="1" applyBorder="1" applyAlignment="1" applyProtection="1">
      <alignment horizontal="center" vertical="center"/>
      <protection locked="0"/>
    </xf>
    <xf numFmtId="0" fontId="124" fillId="0" borderId="365" xfId="0" applyFont="1" applyFill="1" applyBorder="1" applyAlignment="1" applyProtection="1">
      <alignment horizontal="center" vertical="center"/>
      <protection locked="0"/>
    </xf>
    <xf numFmtId="0" fontId="124" fillId="68" borderId="365" xfId="0" applyFont="1" applyFill="1" applyBorder="1" applyAlignment="1" applyProtection="1">
      <alignment horizontal="center" vertical="center"/>
      <protection locked="0"/>
    </xf>
    <xf numFmtId="0" fontId="145" fillId="40" borderId="365" xfId="0" applyFont="1" applyFill="1" applyBorder="1" applyAlignment="1" applyProtection="1">
      <alignment horizontal="center" vertical="center"/>
      <protection locked="0"/>
    </xf>
    <xf numFmtId="0" fontId="120" fillId="69" borderId="365" xfId="0" applyFont="1" applyFill="1" applyBorder="1" applyAlignment="1" applyProtection="1">
      <alignment horizontal="center" vertical="center"/>
      <protection locked="0"/>
    </xf>
    <xf numFmtId="0" fontId="124" fillId="40" borderId="365" xfId="0" applyFont="1" applyFill="1" applyBorder="1" applyAlignment="1" applyProtection="1">
      <alignment horizontal="center" vertical="center"/>
      <protection locked="0"/>
    </xf>
    <xf numFmtId="0" fontId="206" fillId="40" borderId="365" xfId="0" applyFont="1" applyFill="1" applyBorder="1" applyAlignment="1" applyProtection="1">
      <alignment horizontal="center" vertical="center"/>
      <protection locked="0"/>
    </xf>
    <xf numFmtId="0" fontId="207" fillId="40" borderId="365" xfId="8203" applyNumberFormat="1" applyFont="1" applyFill="1" applyBorder="1" applyAlignment="1" applyProtection="1">
      <alignment horizontal="center" vertical="center"/>
      <protection locked="0"/>
    </xf>
    <xf numFmtId="0" fontId="208" fillId="40" borderId="365" xfId="0" applyFont="1" applyFill="1" applyBorder="1" applyAlignment="1" applyProtection="1">
      <alignment horizontal="center" vertical="center"/>
      <protection locked="0"/>
    </xf>
    <xf numFmtId="0" fontId="187" fillId="66" borderId="365" xfId="0" applyFont="1" applyFill="1" applyBorder="1" applyAlignment="1" applyProtection="1">
      <alignment horizontal="center" vertical="center"/>
      <protection locked="0"/>
    </xf>
    <xf numFmtId="0" fontId="38" fillId="66" borderId="365" xfId="8203" applyNumberFormat="1" applyFont="1" applyFill="1" applyBorder="1" applyAlignment="1" applyProtection="1">
      <alignment horizontal="center" vertical="center"/>
      <protection locked="0"/>
    </xf>
    <xf numFmtId="0" fontId="209" fillId="66" borderId="365" xfId="8203" applyNumberFormat="1" applyFont="1" applyFill="1" applyBorder="1" applyAlignment="1" applyProtection="1">
      <alignment horizontal="center" vertical="center"/>
      <protection locked="0"/>
    </xf>
    <xf numFmtId="0" fontId="210" fillId="40" borderId="365" xfId="0" applyFont="1" applyFill="1" applyBorder="1" applyAlignment="1" applyProtection="1">
      <alignment horizontal="center" vertical="center"/>
      <protection locked="0"/>
    </xf>
    <xf numFmtId="0" fontId="36" fillId="66" borderId="365" xfId="8203" applyNumberFormat="1" applyFont="1" applyFill="1" applyBorder="1" applyAlignment="1" applyProtection="1">
      <alignment horizontal="center" vertical="center"/>
      <protection locked="0"/>
    </xf>
    <xf numFmtId="0" fontId="36" fillId="66" borderId="365" xfId="0" applyFont="1" applyFill="1" applyBorder="1" applyAlignment="1" applyProtection="1">
      <alignment horizontal="center" vertical="center"/>
      <protection locked="0"/>
    </xf>
    <xf numFmtId="44" fontId="100" fillId="12" borderId="365" xfId="8202" applyFont="1" applyFill="1" applyBorder="1" applyAlignment="1" applyProtection="1">
      <alignment horizontal="center" vertical="center"/>
      <protection hidden="1"/>
    </xf>
    <xf numFmtId="44" fontId="36" fillId="40" borderId="365" xfId="8202" applyFont="1" applyFill="1" applyBorder="1" applyAlignment="1" applyProtection="1">
      <alignment horizontal="center" vertical="center"/>
      <protection locked="0"/>
    </xf>
    <xf numFmtId="0" fontId="100" fillId="66" borderId="365" xfId="0" applyFont="1" applyFill="1" applyBorder="1" applyAlignment="1" applyProtection="1">
      <alignment horizontal="center" vertical="center"/>
      <protection locked="0"/>
    </xf>
    <xf numFmtId="188" fontId="36" fillId="66" borderId="365" xfId="8203" applyNumberFormat="1" applyFont="1" applyFill="1" applyBorder="1" applyAlignment="1" applyProtection="1">
      <alignment horizontal="center" vertical="center"/>
      <protection locked="0"/>
    </xf>
    <xf numFmtId="37" fontId="36" fillId="66" borderId="365" xfId="8203" applyNumberFormat="1" applyFont="1" applyFill="1" applyBorder="1" applyAlignment="1" applyProtection="1">
      <alignment horizontal="center" vertical="center"/>
      <protection locked="0"/>
    </xf>
    <xf numFmtId="0" fontId="121" fillId="0" borderId="0" xfId="8220" applyFont="1" applyFill="1" applyAlignment="1" applyProtection="1">
      <alignment horizontal="left" vertical="center" indent="2"/>
      <protection hidden="1"/>
    </xf>
    <xf numFmtId="0" fontId="118" fillId="0" borderId="0" xfId="8220" applyFill="1"/>
    <xf numFmtId="0" fontId="119" fillId="0" borderId="0" xfId="8220" applyFont="1" applyFill="1" applyAlignment="1" applyProtection="1">
      <alignment horizontal="center" vertical="center"/>
      <protection hidden="1"/>
    </xf>
    <xf numFmtId="0" fontId="100" fillId="66" borderId="30" xfId="0" applyFont="1" applyFill="1" applyBorder="1" applyAlignment="1" applyProtection="1">
      <alignment horizontal="left" vertical="center" indent="1"/>
      <protection locked="0"/>
    </xf>
    <xf numFmtId="44" fontId="36" fillId="66" borderId="365" xfId="8202" applyFont="1" applyFill="1" applyBorder="1" applyAlignment="1" applyProtection="1">
      <alignment horizontal="center" vertical="center"/>
      <protection locked="0"/>
    </xf>
    <xf numFmtId="0" fontId="100" fillId="66" borderId="0" xfId="0" applyFont="1" applyFill="1"/>
    <xf numFmtId="0" fontId="100" fillId="66" borderId="365" xfId="54641" applyFont="1" applyFill="1" applyBorder="1" applyAlignment="1" applyProtection="1">
      <alignment horizontal="center" vertical="center"/>
      <protection locked="0"/>
    </xf>
    <xf numFmtId="0" fontId="100" fillId="66" borderId="365" xfId="54641" applyFont="1" applyFill="1" applyBorder="1" applyAlignment="1" applyProtection="1">
      <alignment horizontal="center" vertical="center" wrapText="1"/>
      <protection locked="0"/>
    </xf>
    <xf numFmtId="0" fontId="100" fillId="66" borderId="365" xfId="54643" applyFont="1" applyFill="1" applyBorder="1" applyAlignment="1" applyProtection="1">
      <alignment horizontal="center" vertical="center"/>
      <protection locked="0"/>
    </xf>
    <xf numFmtId="0" fontId="36" fillId="66" borderId="325" xfId="8203" applyNumberFormat="1" applyFont="1" applyFill="1" applyBorder="1" applyAlignment="1" applyProtection="1">
      <alignment horizontal="center" vertical="center"/>
      <protection locked="0"/>
    </xf>
    <xf numFmtId="0" fontId="100" fillId="66" borderId="325" xfId="8220" applyFont="1" applyFill="1" applyBorder="1" applyAlignment="1" applyProtection="1">
      <alignment horizontal="center" vertical="center"/>
      <protection locked="0"/>
    </xf>
    <xf numFmtId="0" fontId="100" fillId="66" borderId="0" xfId="0" applyFont="1" applyFill="1" applyAlignment="1">
      <alignment wrapText="1"/>
    </xf>
    <xf numFmtId="5" fontId="181" fillId="48" borderId="0" xfId="0" applyNumberFormat="1" applyFont="1" applyFill="1" applyAlignment="1" applyProtection="1">
      <alignment horizontal="center" vertical="center"/>
      <protection hidden="1"/>
    </xf>
    <xf numFmtId="3" fontId="36" fillId="66" borderId="365" xfId="8203" applyNumberFormat="1" applyFont="1" applyFill="1" applyBorder="1" applyAlignment="1" applyProtection="1">
      <alignment horizontal="center" vertical="center"/>
      <protection locked="0"/>
    </xf>
    <xf numFmtId="3" fontId="38" fillId="66" borderId="365" xfId="8203" applyNumberFormat="1" applyFont="1" applyFill="1" applyBorder="1" applyAlignment="1" applyProtection="1">
      <alignment horizontal="center" vertical="center"/>
      <protection locked="0"/>
    </xf>
    <xf numFmtId="0" fontId="187" fillId="66" borderId="0" xfId="0" applyFont="1" applyFill="1"/>
    <xf numFmtId="0" fontId="179" fillId="66" borderId="325" xfId="8203" applyNumberFormat="1" applyFont="1" applyFill="1" applyBorder="1" applyAlignment="1" applyProtection="1">
      <alignment horizontal="center" vertical="center"/>
      <protection locked="0"/>
    </xf>
    <xf numFmtId="0" fontId="211" fillId="0" borderId="0" xfId="0" applyFont="1"/>
    <xf numFmtId="0" fontId="124" fillId="40" borderId="325" xfId="8203" applyNumberFormat="1" applyFont="1" applyFill="1" applyBorder="1" applyAlignment="1" applyProtection="1">
      <alignment horizontal="center" vertical="center"/>
      <protection locked="0"/>
    </xf>
    <xf numFmtId="3" fontId="100" fillId="66" borderId="0" xfId="0" applyNumberFormat="1" applyFont="1" applyFill="1"/>
    <xf numFmtId="0" fontId="211" fillId="66" borderId="365" xfId="0" applyFont="1" applyFill="1" applyBorder="1" applyAlignment="1" applyProtection="1">
      <alignment horizontal="center" vertical="center"/>
      <protection locked="0"/>
    </xf>
    <xf numFmtId="0" fontId="175" fillId="66" borderId="365" xfId="0" applyNumberFormat="1" applyFont="1" applyFill="1" applyBorder="1" applyAlignment="1" applyProtection="1">
      <alignment horizontal="center" vertical="center"/>
      <protection locked="0"/>
    </xf>
    <xf numFmtId="44" fontId="38" fillId="66" borderId="365" xfId="8202" applyFont="1" applyFill="1" applyBorder="1" applyAlignment="1" applyProtection="1">
      <alignment horizontal="center" vertical="center"/>
      <protection locked="0"/>
    </xf>
    <xf numFmtId="44" fontId="36" fillId="66" borderId="325" xfId="8202" applyFont="1" applyFill="1" applyBorder="1" applyAlignment="1" applyProtection="1">
      <alignment horizontal="center" vertical="center"/>
      <protection locked="0"/>
    </xf>
    <xf numFmtId="44" fontId="38" fillId="66" borderId="325" xfId="8202" applyFont="1" applyFill="1" applyBorder="1" applyAlignment="1" applyProtection="1">
      <alignment horizontal="center" vertical="center"/>
      <protection locked="0"/>
    </xf>
    <xf numFmtId="3" fontId="100" fillId="15" borderId="0" xfId="0" applyNumberFormat="1" applyFont="1" applyFill="1" applyAlignment="1"/>
    <xf numFmtId="3" fontId="179" fillId="15" borderId="365" xfId="8203" applyNumberFormat="1" applyFont="1" applyFill="1" applyBorder="1" applyAlignment="1" applyProtection="1">
      <alignment horizontal="center"/>
      <protection locked="0"/>
    </xf>
    <xf numFmtId="3" fontId="179" fillId="0" borderId="365" xfId="8203" applyNumberFormat="1" applyFont="1" applyFill="1" applyBorder="1" applyAlignment="1" applyProtection="1">
      <alignment horizontal="center"/>
      <protection locked="0"/>
    </xf>
    <xf numFmtId="3" fontId="100" fillId="0" borderId="0" xfId="0" applyNumberFormat="1" applyFont="1" applyFill="1" applyAlignment="1"/>
    <xf numFmtId="37" fontId="38" fillId="66" borderId="365" xfId="8203" applyNumberFormat="1" applyFont="1" applyFill="1" applyBorder="1" applyAlignment="1" applyProtection="1">
      <alignment horizontal="center" vertical="center"/>
      <protection locked="0"/>
    </xf>
    <xf numFmtId="37" fontId="36" fillId="66" borderId="325" xfId="8203" applyNumberFormat="1" applyFont="1" applyFill="1" applyBorder="1" applyAlignment="1" applyProtection="1">
      <alignment horizontal="center" vertical="center"/>
      <protection locked="0"/>
    </xf>
    <xf numFmtId="37" fontId="38" fillId="66" borderId="325" xfId="8203" applyNumberFormat="1" applyFont="1" applyFill="1" applyBorder="1" applyAlignment="1" applyProtection="1">
      <alignment horizontal="center" vertical="center"/>
      <protection locked="0"/>
    </xf>
    <xf numFmtId="37" fontId="38" fillId="66" borderId="365" xfId="0" applyNumberFormat="1" applyFont="1" applyFill="1" applyBorder="1" applyAlignment="1" applyProtection="1">
      <alignment horizontal="center" vertical="center"/>
      <protection locked="0"/>
    </xf>
    <xf numFmtId="0" fontId="36" fillId="66" borderId="0" xfId="0" applyFont="1" applyFill="1"/>
    <xf numFmtId="37" fontId="38" fillId="40" borderId="365" xfId="0" applyNumberFormat="1" applyFont="1" applyFill="1" applyBorder="1" applyAlignment="1" applyProtection="1">
      <alignment horizontal="center" vertical="center"/>
      <protection locked="0"/>
    </xf>
    <xf numFmtId="0" fontId="36" fillId="0" borderId="0" xfId="0" applyFont="1"/>
    <xf numFmtId="189" fontId="63" fillId="0" borderId="36" xfId="0" applyNumberFormat="1" applyFont="1" applyBorder="1" applyAlignment="1">
      <alignment horizontal="center" vertical="center" wrapText="1"/>
    </xf>
    <xf numFmtId="189" fontId="63" fillId="0" borderId="28"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28" xfId="0" applyFont="1" applyBorder="1" applyAlignment="1">
      <alignment horizontal="center" vertical="center" wrapText="1"/>
    </xf>
    <xf numFmtId="181" fontId="99" fillId="0" borderId="36" xfId="0" applyNumberFormat="1" applyFont="1" applyBorder="1" applyAlignment="1">
      <alignment horizontal="center" vertical="center" wrapText="1"/>
    </xf>
    <xf numFmtId="185" fontId="99" fillId="0" borderId="28" xfId="0" applyNumberFormat="1" applyFont="1" applyBorder="1" applyAlignment="1">
      <alignment horizontal="center" vertical="center" wrapText="1"/>
    </xf>
    <xf numFmtId="0" fontId="100" fillId="66" borderId="365" xfId="0" applyFont="1" applyFill="1" applyBorder="1" applyAlignment="1" applyProtection="1">
      <alignment horizontal="center" vertical="center" wrapText="1"/>
      <protection locked="0"/>
    </xf>
    <xf numFmtId="166" fontId="120" fillId="40" borderId="325" xfId="8202" applyNumberFormat="1" applyFont="1" applyFill="1" applyBorder="1" applyAlignment="1" applyProtection="1">
      <alignment horizontal="center" vertical="center"/>
      <protection locked="0"/>
    </xf>
    <xf numFmtId="5" fontId="121" fillId="48" borderId="0" xfId="8220" applyNumberFormat="1" applyFont="1" applyFill="1" applyAlignment="1" applyProtection="1">
      <alignment horizontal="center" vertical="center"/>
      <protection hidden="1"/>
    </xf>
    <xf numFmtId="7" fontId="121" fillId="48" borderId="0" xfId="8220" applyNumberFormat="1" applyFont="1" applyFill="1" applyAlignment="1" applyProtection="1">
      <alignment horizontal="center" vertical="center"/>
      <protection hidden="1"/>
    </xf>
    <xf numFmtId="0" fontId="199" fillId="10" borderId="441" xfId="0" applyFont="1" applyFill="1" applyBorder="1" applyAlignment="1">
      <alignment horizontal="center" vertical="center" wrapText="1"/>
    </xf>
    <xf numFmtId="191" fontId="63" fillId="0" borderId="28" xfId="0" applyNumberFormat="1" applyFont="1" applyBorder="1" applyAlignment="1">
      <alignment horizontal="center" vertical="center" wrapText="1"/>
    </xf>
    <xf numFmtId="0" fontId="190" fillId="10" borderId="518" xfId="0" applyFont="1" applyFill="1" applyBorder="1" applyAlignment="1">
      <alignment vertical="center" wrapText="1"/>
    </xf>
    <xf numFmtId="164" fontId="63" fillId="0" borderId="11" xfId="0" applyNumberFormat="1" applyFont="1" applyBorder="1" applyAlignment="1">
      <alignment horizontal="center" vertical="center" wrapText="1"/>
    </xf>
    <xf numFmtId="164" fontId="99" fillId="0" borderId="11" xfId="0" applyNumberFormat="1" applyFont="1" applyBorder="1" applyAlignment="1">
      <alignment horizontal="center" vertical="center" wrapText="1"/>
    </xf>
    <xf numFmtId="0" fontId="192" fillId="0" borderId="501" xfId="0" applyFont="1" applyBorder="1" applyAlignment="1">
      <alignment horizontal="center" vertical="center" wrapText="1"/>
    </xf>
    <xf numFmtId="189" fontId="62" fillId="0" borderId="450" xfId="0" applyNumberFormat="1" applyFont="1" applyBorder="1" applyAlignment="1">
      <alignment horizontal="center" vertical="center" wrapText="1"/>
    </xf>
    <xf numFmtId="0" fontId="190" fillId="10" borderId="448" xfId="0" applyFont="1" applyFill="1" applyBorder="1" applyAlignment="1">
      <alignment vertical="center" wrapText="1"/>
    </xf>
    <xf numFmtId="4" fontId="63" fillId="0" borderId="510" xfId="0" applyNumberFormat="1" applyFont="1" applyBorder="1" applyAlignment="1">
      <alignment horizontal="center" vertical="center" wrapText="1"/>
    </xf>
    <xf numFmtId="0" fontId="0" fillId="0" borderId="496" xfId="0" applyBorder="1" applyAlignment="1"/>
    <xf numFmtId="0" fontId="0" fillId="0" borderId="502" xfId="0" applyBorder="1" applyAlignment="1"/>
    <xf numFmtId="0" fontId="0" fillId="53" borderId="0" xfId="0" applyFill="1" applyAlignment="1"/>
    <xf numFmtId="0" fontId="0" fillId="0" borderId="36" xfId="0" applyBorder="1" applyAlignment="1">
      <alignment horizontal="center" vertical="center"/>
    </xf>
    <xf numFmtId="0" fontId="0" fillId="0" borderId="11" xfId="0" applyBorder="1" applyAlignment="1">
      <alignment horizontal="left" vertical="center"/>
    </xf>
    <xf numFmtId="3" fontId="0" fillId="0" borderId="11" xfId="0" applyNumberFormat="1" applyBorder="1" applyAlignment="1">
      <alignment horizontal="center" vertical="center"/>
    </xf>
    <xf numFmtId="190" fontId="0" fillId="0" borderId="11" xfId="0" applyNumberFormat="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0" fillId="0" borderId="36" xfId="0" applyFont="1" applyBorder="1" applyAlignment="1">
      <alignment horizontal="center" vertical="center"/>
    </xf>
    <xf numFmtId="0" fontId="0" fillId="0" borderId="11" xfId="0" applyFont="1" applyBorder="1" applyAlignment="1">
      <alignment vertical="center" wrapText="1"/>
    </xf>
    <xf numFmtId="3" fontId="0" fillId="0" borderId="11" xfId="0" applyNumberFormat="1" applyFont="1" applyBorder="1" applyAlignment="1">
      <alignment horizontal="center" vertical="center"/>
    </xf>
    <xf numFmtId="190" fontId="0" fillId="0" borderId="11" xfId="0" applyNumberFormat="1" applyFont="1" applyBorder="1" applyAlignment="1">
      <alignment horizontal="center" vertical="center"/>
    </xf>
    <xf numFmtId="0" fontId="0" fillId="0" borderId="0" xfId="0" applyFont="1" applyBorder="1" applyAlignment="1">
      <alignment vertical="center"/>
    </xf>
    <xf numFmtId="0" fontId="0" fillId="0" borderId="28" xfId="0" applyFont="1" applyBorder="1" applyAlignment="1">
      <alignment vertical="center"/>
    </xf>
    <xf numFmtId="0" fontId="0" fillId="0" borderId="0" xfId="0" applyBorder="1" applyAlignment="1">
      <alignment vertical="center"/>
    </xf>
    <xf numFmtId="0" fontId="0" fillId="0" borderId="76" xfId="0" applyFont="1" applyBorder="1" applyAlignment="1">
      <alignment vertical="center"/>
    </xf>
    <xf numFmtId="0" fontId="0" fillId="0" borderId="11" xfId="0" applyFont="1" applyBorder="1" applyAlignment="1">
      <alignment vertical="center"/>
    </xf>
    <xf numFmtId="3" fontId="160" fillId="0" borderId="11" xfId="0" applyNumberFormat="1" applyFont="1" applyBorder="1" applyAlignment="1">
      <alignment horizontal="center" vertical="center"/>
    </xf>
    <xf numFmtId="0" fontId="0" fillId="0" borderId="11" xfId="0" applyBorder="1" applyAlignment="1">
      <alignment vertical="center" wrapText="1"/>
    </xf>
    <xf numFmtId="0" fontId="39" fillId="0" borderId="36" xfId="0" applyFont="1" applyFill="1" applyBorder="1" applyAlignment="1">
      <alignment horizontal="center" vertical="center"/>
    </xf>
    <xf numFmtId="0" fontId="39" fillId="0" borderId="28" xfId="0" applyFont="1" applyFill="1" applyBorder="1" applyAlignment="1">
      <alignment horizontal="center" vertical="center"/>
    </xf>
    <xf numFmtId="0" fontId="39" fillId="0" borderId="0" xfId="0" applyFont="1" applyFill="1" applyBorder="1" applyAlignment="1">
      <alignment vertical="center"/>
    </xf>
    <xf numFmtId="0" fontId="39" fillId="0" borderId="76" xfId="0" applyFont="1" applyFill="1" applyBorder="1" applyAlignment="1">
      <alignment vertical="center"/>
    </xf>
    <xf numFmtId="3" fontId="39" fillId="60" borderId="11" xfId="0" applyNumberFormat="1" applyFont="1" applyFill="1" applyBorder="1" applyAlignment="1">
      <alignment horizontal="center" vertical="center"/>
    </xf>
    <xf numFmtId="190" fontId="39" fillId="60" borderId="11" xfId="0" applyNumberFormat="1" applyFont="1" applyFill="1" applyBorder="1" applyAlignment="1">
      <alignment horizontal="center" vertical="center"/>
    </xf>
    <xf numFmtId="0" fontId="138" fillId="59" borderId="11" xfId="0" applyFont="1" applyFill="1" applyBorder="1" applyAlignment="1">
      <alignment vertical="center"/>
    </xf>
    <xf numFmtId="3" fontId="164" fillId="59" borderId="11" xfId="0" applyNumberFormat="1" applyFont="1" applyFill="1" applyBorder="1" applyAlignment="1">
      <alignment horizontal="center" vertical="center"/>
    </xf>
    <xf numFmtId="190" fontId="164" fillId="59" borderId="11" xfId="0" applyNumberFormat="1" applyFont="1" applyFill="1" applyBorder="1" applyAlignment="1">
      <alignment horizontal="center" vertical="center"/>
    </xf>
    <xf numFmtId="0" fontId="0" fillId="0" borderId="11" xfId="0" applyFont="1" applyFill="1" applyBorder="1" applyAlignment="1">
      <alignment vertical="center"/>
    </xf>
    <xf numFmtId="3" fontId="0" fillId="0" borderId="11" xfId="0" applyNumberFormat="1" applyFont="1" applyFill="1" applyBorder="1" applyAlignment="1">
      <alignment horizontal="center" vertical="center"/>
    </xf>
    <xf numFmtId="190" fontId="0" fillId="0" borderId="11"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28" xfId="0" applyFont="1" applyFill="1" applyBorder="1" applyAlignment="1">
      <alignment horizontal="center" vertical="center"/>
    </xf>
    <xf numFmtId="3" fontId="0" fillId="0" borderId="28" xfId="0" applyNumberFormat="1" applyFont="1" applyFill="1" applyBorder="1" applyAlignment="1">
      <alignment horizontal="center" vertical="center"/>
    </xf>
    <xf numFmtId="0" fontId="0" fillId="0" borderId="11" xfId="0" applyFont="1" applyBorder="1" applyAlignment="1">
      <alignment horizontal="left" vertical="center"/>
    </xf>
    <xf numFmtId="0" fontId="39" fillId="60" borderId="11" xfId="0" applyFont="1" applyFill="1" applyBorder="1" applyAlignment="1">
      <alignment vertical="center"/>
    </xf>
    <xf numFmtId="0" fontId="0" fillId="0" borderId="11" xfId="0" applyFont="1" applyFill="1" applyBorder="1" applyAlignment="1">
      <alignment horizontal="center" vertical="center"/>
    </xf>
    <xf numFmtId="0" fontId="0" fillId="0" borderId="76" xfId="0" applyFont="1" applyBorder="1" applyAlignment="1">
      <alignment horizontal="center" vertical="center"/>
    </xf>
    <xf numFmtId="0" fontId="0" fillId="0" borderId="36" xfId="0" applyFont="1" applyBorder="1" applyAlignment="1">
      <alignment vertical="center"/>
    </xf>
    <xf numFmtId="0" fontId="39" fillId="0" borderId="36" xfId="0" applyFont="1" applyFill="1" applyBorder="1" applyAlignment="1">
      <alignment vertical="center"/>
    </xf>
    <xf numFmtId="0" fontId="39" fillId="0" borderId="28" xfId="0" applyFont="1" applyFill="1" applyBorder="1" applyAlignment="1">
      <alignment vertical="center"/>
    </xf>
    <xf numFmtId="0" fontId="212" fillId="0" borderId="0" xfId="0" applyFont="1"/>
    <xf numFmtId="0" fontId="0" fillId="0" borderId="0" xfId="0" quotePrefix="1" applyFont="1" applyBorder="1" applyAlignment="1">
      <alignment vertical="center"/>
    </xf>
    <xf numFmtId="0" fontId="0" fillId="0" borderId="0" xfId="0" quotePrefix="1" applyBorder="1" applyAlignment="1">
      <alignment vertical="center"/>
    </xf>
    <xf numFmtId="0" fontId="0" fillId="0" borderId="0" xfId="0" quotePrefix="1" applyFont="1" applyBorder="1" applyAlignment="1">
      <alignment horizontal="left" vertical="center"/>
    </xf>
    <xf numFmtId="0" fontId="39" fillId="0" borderId="0" xfId="0" quotePrefix="1" applyFont="1" applyFill="1" applyBorder="1" applyAlignment="1">
      <alignment vertical="center"/>
    </xf>
    <xf numFmtId="165" fontId="128" fillId="0" borderId="0" xfId="194" applyNumberFormat="1" applyFont="1" applyFill="1" applyBorder="1"/>
    <xf numFmtId="165" fontId="15" fillId="0" borderId="40" xfId="194" applyNumberFormat="1" applyFont="1" applyBorder="1"/>
    <xf numFmtId="165" fontId="15" fillId="0" borderId="0" xfId="194" applyNumberFormat="1" applyFont="1" applyBorder="1"/>
    <xf numFmtId="165" fontId="15" fillId="0" borderId="231" xfId="267" applyNumberFormat="1" applyFill="1" applyBorder="1"/>
    <xf numFmtId="165" fontId="15" fillId="0" borderId="28" xfId="267" applyNumberFormat="1" applyFill="1" applyBorder="1"/>
    <xf numFmtId="165" fontId="15" fillId="0" borderId="204" xfId="267" applyNumberFormat="1" applyFill="1" applyBorder="1"/>
    <xf numFmtId="165" fontId="40" fillId="0" borderId="0" xfId="1" applyNumberFormat="1" applyFont="1" applyBorder="1"/>
    <xf numFmtId="165" fontId="15" fillId="0" borderId="204" xfId="267" applyNumberFormat="1" applyFont="1" applyFill="1" applyBorder="1"/>
    <xf numFmtId="44" fontId="0" fillId="0" borderId="0" xfId="1" applyNumberFormat="1" applyFont="1"/>
    <xf numFmtId="0" fontId="0" fillId="0" borderId="0" xfId="0" applyFont="1" applyBorder="1" applyAlignment="1">
      <alignment horizontal="left" vertical="center" wrapText="1"/>
    </xf>
    <xf numFmtId="0" fontId="39" fillId="12" borderId="487" xfId="0" applyFont="1" applyFill="1" applyBorder="1" applyAlignment="1">
      <alignment horizontal="center"/>
    </xf>
    <xf numFmtId="0" fontId="0" fillId="0" borderId="0" xfId="0" applyFont="1" applyBorder="1" applyAlignment="1">
      <alignment horizontal="left" vertical="center"/>
    </xf>
    <xf numFmtId="0" fontId="0" fillId="0" borderId="76" xfId="0" applyBorder="1" applyAlignment="1">
      <alignment vertical="center"/>
    </xf>
    <xf numFmtId="3" fontId="0" fillId="0" borderId="28" xfId="0" applyNumberFormat="1" applyBorder="1" applyAlignment="1">
      <alignment horizontal="center" vertical="center"/>
    </xf>
    <xf numFmtId="4" fontId="0" fillId="0" borderId="11" xfId="0" applyNumberFormat="1" applyBorder="1" applyAlignment="1">
      <alignment horizontal="center" vertical="center"/>
    </xf>
    <xf numFmtId="0" fontId="0" fillId="0" borderId="28" xfId="0" applyBorder="1" applyAlignment="1">
      <alignment vertical="center"/>
    </xf>
    <xf numFmtId="0" fontId="39" fillId="0" borderId="28" xfId="0" applyFont="1" applyBorder="1" applyAlignment="1">
      <alignment horizontal="center" vertical="center"/>
    </xf>
    <xf numFmtId="0" fontId="39" fillId="57" borderId="11" xfId="0" applyFont="1" applyFill="1" applyBorder="1" applyAlignment="1">
      <alignment vertical="center"/>
    </xf>
    <xf numFmtId="3" fontId="39" fillId="57" borderId="11" xfId="0" applyNumberFormat="1" applyFont="1" applyFill="1" applyBorder="1" applyAlignment="1">
      <alignment horizontal="center" vertical="center"/>
    </xf>
    <xf numFmtId="190" fontId="39" fillId="57" borderId="11" xfId="0" applyNumberFormat="1" applyFont="1" applyFill="1" applyBorder="1" applyAlignment="1">
      <alignment horizontal="center" vertical="center"/>
    </xf>
    <xf numFmtId="0" fontId="39" fillId="12" borderId="487" xfId="0" applyFont="1" applyFill="1" applyBorder="1" applyAlignment="1">
      <alignment horizontal="center"/>
    </xf>
    <xf numFmtId="0" fontId="0" fillId="0" borderId="11" xfId="0" applyBorder="1" applyAlignment="1">
      <alignment vertical="center"/>
    </xf>
    <xf numFmtId="165" fontId="5" fillId="61" borderId="2" xfId="0" applyNumberFormat="1" applyFont="1" applyFill="1" applyBorder="1" applyProtection="1"/>
    <xf numFmtId="0" fontId="161" fillId="0" borderId="0" xfId="0" applyFont="1" applyAlignment="1">
      <alignment horizontal="left" indent="1"/>
    </xf>
    <xf numFmtId="0" fontId="161" fillId="0" borderId="0" xfId="0" applyFont="1" applyFill="1" applyAlignment="1">
      <alignment horizontal="left" indent="1"/>
    </xf>
    <xf numFmtId="0" fontId="161" fillId="0" borderId="0" xfId="0" applyFont="1" applyBorder="1" applyAlignment="1">
      <alignment horizontal="left" indent="1"/>
    </xf>
    <xf numFmtId="0" fontId="0" fillId="0" borderId="0" xfId="1" applyNumberFormat="1" applyFont="1"/>
    <xf numFmtId="0" fontId="0" fillId="0" borderId="0" xfId="7" applyNumberFormat="1" applyFont="1"/>
    <xf numFmtId="172" fontId="64" fillId="0" borderId="441" xfId="7" applyNumberFormat="1" applyFont="1" applyBorder="1"/>
    <xf numFmtId="172" fontId="0" fillId="0" borderId="53" xfId="7" applyNumberFormat="1" applyFont="1" applyFill="1" applyBorder="1" applyProtection="1"/>
    <xf numFmtId="172" fontId="0" fillId="0" borderId="44" xfId="7" applyNumberFormat="1" applyFont="1" applyFill="1" applyBorder="1" applyProtection="1"/>
    <xf numFmtId="172" fontId="150" fillId="0" borderId="44" xfId="7" applyNumberFormat="1" applyFont="1" applyFill="1" applyBorder="1" applyProtection="1"/>
    <xf numFmtId="172" fontId="0" fillId="0" borderId="45" xfId="7" applyNumberFormat="1" applyFont="1" applyFill="1" applyBorder="1" applyProtection="1"/>
    <xf numFmtId="172" fontId="150" fillId="0" borderId="45" xfId="7" applyNumberFormat="1" applyFont="1" applyFill="1" applyBorder="1" applyProtection="1"/>
    <xf numFmtId="172" fontId="5" fillId="0" borderId="9" xfId="7" applyNumberFormat="1" applyFont="1" applyBorder="1" applyProtection="1"/>
    <xf numFmtId="172" fontId="5" fillId="0" borderId="9" xfId="7" applyNumberFormat="1" applyFont="1" applyFill="1" applyBorder="1" applyProtection="1"/>
    <xf numFmtId="172" fontId="1" fillId="0" borderId="62" xfId="7" applyNumberFormat="1" applyFont="1" applyBorder="1" applyProtection="1"/>
    <xf numFmtId="172" fontId="1" fillId="0" borderId="44" xfId="7" applyNumberFormat="1" applyFont="1" applyBorder="1" applyProtection="1"/>
    <xf numFmtId="172" fontId="1" fillId="0" borderId="487" xfId="7" applyNumberFormat="1" applyFont="1" applyBorder="1" applyProtection="1"/>
    <xf numFmtId="172" fontId="1" fillId="0" borderId="65" xfId="7" applyNumberFormat="1" applyFont="1" applyBorder="1" applyProtection="1"/>
    <xf numFmtId="172" fontId="1" fillId="0" borderId="53" xfId="7" applyNumberFormat="1" applyFont="1" applyFill="1" applyBorder="1" applyProtection="1"/>
    <xf numFmtId="172" fontId="1" fillId="0" borderId="44" xfId="7" applyNumberFormat="1" applyFont="1" applyFill="1" applyBorder="1" applyProtection="1"/>
    <xf numFmtId="172" fontId="1" fillId="0" borderId="64" xfId="7" applyNumberFormat="1" applyFont="1" applyFill="1" applyBorder="1" applyProtection="1"/>
    <xf numFmtId="172" fontId="1" fillId="0" borderId="62" xfId="7" applyNumberFormat="1" applyFont="1" applyFill="1" applyBorder="1" applyProtection="1"/>
    <xf numFmtId="172" fontId="1" fillId="0" borderId="49" xfId="7" applyNumberFormat="1" applyFont="1" applyBorder="1" applyProtection="1"/>
    <xf numFmtId="172" fontId="1" fillId="0" borderId="2" xfId="7" applyNumberFormat="1" applyFont="1" applyBorder="1" applyProtection="1"/>
    <xf numFmtId="172" fontId="1" fillId="0" borderId="40" xfId="7" applyNumberFormat="1" applyFont="1" applyFill="1" applyBorder="1" applyProtection="1"/>
    <xf numFmtId="172" fontId="0" fillId="0" borderId="44" xfId="7" applyNumberFormat="1" applyFont="1" applyBorder="1" applyProtection="1"/>
    <xf numFmtId="172" fontId="0" fillId="0" borderId="64" xfId="7" applyNumberFormat="1" applyFont="1" applyFill="1" applyBorder="1" applyProtection="1"/>
    <xf numFmtId="0" fontId="214" fillId="0" borderId="0" xfId="0" applyFont="1" applyFill="1" applyBorder="1" applyAlignment="1">
      <alignment vertical="center"/>
    </xf>
    <xf numFmtId="0" fontId="191" fillId="0" borderId="0" xfId="0" applyFont="1" applyAlignment="1">
      <alignment horizontal="center" vertical="center"/>
    </xf>
    <xf numFmtId="0" fontId="191" fillId="0" borderId="0" xfId="0" applyFont="1" applyBorder="1" applyAlignment="1">
      <alignment horizontal="center" vertical="center"/>
    </xf>
    <xf numFmtId="0" fontId="0" fillId="0" borderId="499" xfId="0" applyFont="1" applyBorder="1" applyAlignment="1">
      <alignment horizontal="center" vertical="center"/>
    </xf>
    <xf numFmtId="0" fontId="0" fillId="0" borderId="496" xfId="0" applyFont="1" applyBorder="1" applyAlignment="1">
      <alignment horizontal="center" vertical="center"/>
    </xf>
    <xf numFmtId="5" fontId="63" fillId="0" borderId="76" xfId="0" applyNumberFormat="1" applyFont="1" applyBorder="1" applyAlignment="1">
      <alignment horizontal="center" vertical="center"/>
    </xf>
    <xf numFmtId="0" fontId="129" fillId="0" borderId="36" xfId="0" applyFont="1" applyBorder="1" applyAlignment="1">
      <alignment horizontal="center" vertical="center"/>
    </xf>
    <xf numFmtId="5" fontId="63" fillId="0" borderId="76" xfId="0" quotePrefix="1" applyNumberFormat="1" applyFont="1" applyBorder="1" applyAlignment="1">
      <alignment horizontal="center" vertical="center"/>
    </xf>
    <xf numFmtId="5" fontId="216" fillId="0" borderId="76" xfId="0" applyNumberFormat="1" applyFont="1" applyBorder="1" applyAlignment="1">
      <alignment horizontal="center" vertical="center"/>
    </xf>
    <xf numFmtId="5" fontId="216" fillId="0" borderId="76" xfId="0" quotePrefix="1" applyNumberFormat="1" applyFont="1" applyBorder="1" applyAlignment="1">
      <alignment horizontal="center" vertical="center"/>
    </xf>
    <xf numFmtId="172" fontId="0" fillId="0" borderId="0" xfId="7" applyNumberFormat="1" applyFont="1" applyFill="1"/>
    <xf numFmtId="165" fontId="161" fillId="15" borderId="0" xfId="1" applyNumberFormat="1" applyFont="1" applyFill="1"/>
    <xf numFmtId="172" fontId="161" fillId="0" borderId="0" xfId="0" applyNumberFormat="1" applyFont="1"/>
    <xf numFmtId="165" fontId="161" fillId="0" borderId="0" xfId="0" applyNumberFormat="1" applyFont="1"/>
    <xf numFmtId="0" fontId="218" fillId="0" borderId="11" xfId="0" applyFont="1" applyBorder="1" applyAlignment="1">
      <alignment horizontal="center" vertical="center"/>
    </xf>
    <xf numFmtId="0" fontId="218" fillId="0" borderId="0" xfId="0" applyFont="1" applyBorder="1" applyAlignment="1">
      <alignment horizontal="center" vertical="center"/>
    </xf>
    <xf numFmtId="190" fontId="160" fillId="0" borderId="11" xfId="0" applyNumberFormat="1" applyFont="1" applyBorder="1" applyAlignment="1">
      <alignment horizontal="center" vertical="center"/>
    </xf>
    <xf numFmtId="0" fontId="39" fillId="0" borderId="40" xfId="0" quotePrefix="1" applyFont="1" applyBorder="1" applyAlignment="1">
      <alignment vertical="center"/>
    </xf>
    <xf numFmtId="0" fontId="213" fillId="0" borderId="0" xfId="0" applyFont="1" applyBorder="1"/>
    <xf numFmtId="0" fontId="213" fillId="0" borderId="0" xfId="0" applyFont="1" applyBorder="1" applyAlignment="1">
      <alignment vertical="center"/>
    </xf>
    <xf numFmtId="175" fontId="0" fillId="0" borderId="11" xfId="0" applyNumberFormat="1" applyFont="1" applyBorder="1" applyAlignment="1">
      <alignment horizontal="center" vertical="center"/>
    </xf>
    <xf numFmtId="185" fontId="99" fillId="0" borderId="0" xfId="0" applyNumberFormat="1" applyFont="1" applyBorder="1" applyAlignment="1">
      <alignment horizontal="center" vertical="center" wrapText="1"/>
    </xf>
    <xf numFmtId="0" fontId="138" fillId="42" borderId="450" xfId="0" applyFont="1" applyFill="1" applyBorder="1" applyAlignment="1">
      <alignment vertical="center"/>
    </xf>
    <xf numFmtId="0" fontId="138" fillId="42" borderId="513" xfId="0" applyFont="1" applyFill="1" applyBorder="1" applyAlignment="1">
      <alignment vertical="center"/>
    </xf>
    <xf numFmtId="0" fontId="138" fillId="59" borderId="497" xfId="0" applyFont="1" applyFill="1" applyBorder="1" applyAlignment="1">
      <alignment vertical="center"/>
    </xf>
    <xf numFmtId="0" fontId="138" fillId="59" borderId="487" xfId="0" applyFont="1" applyFill="1" applyBorder="1" applyAlignment="1">
      <alignment vertical="center"/>
    </xf>
    <xf numFmtId="0" fontId="138" fillId="42" borderId="30" xfId="0" applyFont="1" applyFill="1" applyBorder="1" applyAlignment="1">
      <alignment vertical="center"/>
    </xf>
    <xf numFmtId="0" fontId="138" fillId="42" borderId="487" xfId="0" applyFont="1" applyFill="1" applyBorder="1" applyAlignment="1">
      <alignment vertical="center"/>
    </xf>
    <xf numFmtId="185" fontId="138" fillId="42" borderId="487" xfId="0" applyNumberFormat="1" applyFont="1" applyFill="1" applyBorder="1" applyAlignment="1" applyProtection="1">
      <alignment vertical="center"/>
    </xf>
    <xf numFmtId="42" fontId="138" fillId="42" borderId="487" xfId="0" applyNumberFormat="1" applyFont="1" applyFill="1" applyBorder="1" applyAlignment="1" applyProtection="1">
      <alignment vertical="center"/>
    </xf>
    <xf numFmtId="173" fontId="138" fillId="42" borderId="487" xfId="0" applyNumberFormat="1" applyFont="1" applyFill="1" applyBorder="1" applyAlignment="1" applyProtection="1">
      <alignment vertical="center"/>
    </xf>
    <xf numFmtId="42" fontId="138" fillId="42" borderId="204" xfId="0" applyNumberFormat="1" applyFont="1" applyFill="1" applyBorder="1" applyAlignment="1" applyProtection="1">
      <alignment vertical="center"/>
    </xf>
    <xf numFmtId="189" fontId="138" fillId="42" borderId="488" xfId="0" applyNumberFormat="1" applyFont="1" applyFill="1" applyBorder="1" applyAlignment="1" applyProtection="1">
      <alignment vertical="center"/>
    </xf>
    <xf numFmtId="42" fontId="138" fillId="42" borderId="488" xfId="0" applyNumberFormat="1" applyFont="1" applyFill="1" applyBorder="1" applyAlignment="1" applyProtection="1">
      <alignment vertical="center"/>
    </xf>
    <xf numFmtId="173" fontId="138" fillId="42" borderId="488" xfId="0" applyNumberFormat="1" applyFont="1" applyFill="1" applyBorder="1" applyAlignment="1" applyProtection="1">
      <alignment vertical="center"/>
    </xf>
    <xf numFmtId="42" fontId="138" fillId="42" borderId="513" xfId="0" applyNumberFormat="1" applyFont="1" applyFill="1" applyBorder="1" applyAlignment="1" applyProtection="1">
      <alignment vertical="center"/>
    </xf>
    <xf numFmtId="42" fontId="1" fillId="57" borderId="449" xfId="0" applyNumberFormat="1" applyFont="1" applyFill="1" applyBorder="1" applyAlignment="1" applyProtection="1">
      <alignment horizontal="left" vertical="center" indent="2"/>
    </xf>
    <xf numFmtId="0" fontId="129" fillId="0" borderId="0" xfId="0" applyFont="1" applyBorder="1" applyAlignment="1">
      <alignment vertical="center"/>
    </xf>
    <xf numFmtId="0" fontId="129" fillId="0" borderId="0" xfId="0" applyFont="1" applyBorder="1"/>
    <xf numFmtId="42" fontId="170" fillId="58" borderId="488" xfId="0" applyNumberFormat="1" applyFont="1" applyFill="1" applyBorder="1" applyAlignment="1" applyProtection="1">
      <alignment vertical="center"/>
    </xf>
    <xf numFmtId="42" fontId="170" fillId="58" borderId="513" xfId="0" applyNumberFormat="1" applyFont="1" applyFill="1" applyBorder="1" applyAlignment="1" applyProtection="1">
      <alignment vertical="center"/>
    </xf>
    <xf numFmtId="42" fontId="170" fillId="58" borderId="487" xfId="0" applyNumberFormat="1" applyFont="1" applyFill="1" applyBorder="1" applyAlignment="1" applyProtection="1">
      <alignment vertical="center"/>
    </xf>
    <xf numFmtId="42" fontId="170" fillId="58" borderId="204" xfId="0" applyNumberFormat="1" applyFont="1" applyFill="1" applyBorder="1" applyAlignment="1" applyProtection="1">
      <alignment vertical="center"/>
    </xf>
    <xf numFmtId="0" fontId="138" fillId="58" borderId="487" xfId="0" applyFont="1" applyFill="1" applyBorder="1" applyAlignment="1">
      <alignment vertical="center" wrapText="1"/>
    </xf>
    <xf numFmtId="0" fontId="64" fillId="0" borderId="0" xfId="0" applyFont="1" applyFill="1" applyAlignment="1">
      <alignment horizontal="center" vertical="top"/>
    </xf>
    <xf numFmtId="0" fontId="0" fillId="0" borderId="0" xfId="0" applyFont="1" applyFill="1" applyBorder="1" applyAlignment="1">
      <alignment horizontal="center" vertical="top"/>
    </xf>
    <xf numFmtId="0" fontId="18" fillId="0" borderId="0" xfId="0" applyFont="1" applyFill="1" applyBorder="1" applyAlignment="1">
      <alignment vertical="top"/>
    </xf>
    <xf numFmtId="42" fontId="5" fillId="0" borderId="0" xfId="0" applyNumberFormat="1" applyFont="1" applyFill="1" applyBorder="1" applyAlignment="1" applyProtection="1">
      <alignment vertical="top"/>
    </xf>
    <xf numFmtId="166" fontId="0" fillId="0" borderId="0" xfId="8" applyNumberFormat="1" applyFont="1" applyFill="1" applyBorder="1" applyAlignment="1">
      <alignment vertical="top"/>
    </xf>
    <xf numFmtId="0" fontId="0" fillId="0" borderId="0" xfId="0" applyFont="1" applyFill="1" applyAlignment="1">
      <alignment vertical="top"/>
    </xf>
    <xf numFmtId="173" fontId="138" fillId="58" borderId="488" xfId="0" applyNumberFormat="1" applyFont="1" applyFill="1" applyBorder="1" applyAlignment="1" applyProtection="1">
      <alignment vertical="center"/>
    </xf>
    <xf numFmtId="0" fontId="138" fillId="70" borderId="30" xfId="0" applyFont="1" applyFill="1" applyBorder="1" applyAlignment="1">
      <alignment vertical="center" wrapText="1"/>
    </xf>
    <xf numFmtId="0" fontId="220" fillId="59" borderId="450" xfId="0" applyFont="1" applyFill="1" applyBorder="1" applyAlignment="1">
      <alignment vertical="center"/>
    </xf>
    <xf numFmtId="0" fontId="220" fillId="59" borderId="513" xfId="0" applyFont="1" applyFill="1" applyBorder="1" applyAlignment="1">
      <alignment vertical="center"/>
    </xf>
    <xf numFmtId="0" fontId="220" fillId="59" borderId="488" xfId="0" applyFont="1" applyFill="1" applyBorder="1" applyAlignment="1">
      <alignment vertical="center"/>
    </xf>
    <xf numFmtId="189" fontId="220" fillId="59" borderId="488" xfId="0" applyNumberFormat="1" applyFont="1" applyFill="1" applyBorder="1" applyAlignment="1" applyProtection="1">
      <alignment vertical="center"/>
    </xf>
    <xf numFmtId="42" fontId="220" fillId="59" borderId="488" xfId="0" applyNumberFormat="1" applyFont="1" applyFill="1" applyBorder="1" applyAlignment="1" applyProtection="1">
      <alignment vertical="center"/>
    </xf>
    <xf numFmtId="173" fontId="220" fillId="59" borderId="488" xfId="0" applyNumberFormat="1" applyFont="1" applyFill="1" applyBorder="1" applyAlignment="1" applyProtection="1">
      <alignment vertical="center"/>
    </xf>
    <xf numFmtId="42" fontId="220" fillId="59" borderId="513" xfId="0" applyNumberFormat="1" applyFont="1" applyFill="1" applyBorder="1" applyAlignment="1" applyProtection="1">
      <alignment vertical="center"/>
    </xf>
    <xf numFmtId="0" fontId="220" fillId="59" borderId="30" xfId="0" applyFont="1" applyFill="1" applyBorder="1" applyAlignment="1">
      <alignment vertical="center"/>
    </xf>
    <xf numFmtId="0" fontId="220" fillId="59" borderId="487" xfId="0" applyFont="1" applyFill="1" applyBorder="1" applyAlignment="1">
      <alignment vertical="center"/>
    </xf>
    <xf numFmtId="185" fontId="220" fillId="59" borderId="487" xfId="0" applyNumberFormat="1" applyFont="1" applyFill="1" applyBorder="1" applyAlignment="1" applyProtection="1">
      <alignment vertical="center"/>
    </xf>
    <xf numFmtId="42" fontId="220" fillId="59" borderId="487" xfId="0" applyNumberFormat="1" applyFont="1" applyFill="1" applyBorder="1" applyAlignment="1" applyProtection="1">
      <alignment vertical="center"/>
    </xf>
    <xf numFmtId="173" fontId="220" fillId="59" borderId="487" xfId="0" applyNumberFormat="1" applyFont="1" applyFill="1" applyBorder="1" applyAlignment="1" applyProtection="1">
      <alignment vertical="center"/>
    </xf>
    <xf numFmtId="42" fontId="220" fillId="59" borderId="204" xfId="0" applyNumberFormat="1" applyFont="1" applyFill="1" applyBorder="1" applyAlignment="1" applyProtection="1">
      <alignment vertical="center"/>
    </xf>
    <xf numFmtId="189" fontId="138" fillId="70" borderId="199" xfId="0" applyNumberFormat="1" applyFont="1" applyFill="1" applyBorder="1" applyAlignment="1" applyProtection="1">
      <alignment vertical="center"/>
    </xf>
    <xf numFmtId="185" fontId="138" fillId="70" borderId="487" xfId="0" applyNumberFormat="1" applyFont="1" applyFill="1" applyBorder="1" applyAlignment="1" applyProtection="1">
      <alignment vertical="center"/>
    </xf>
    <xf numFmtId="42" fontId="138" fillId="70" borderId="488" xfId="0" applyNumberFormat="1" applyFont="1" applyFill="1" applyBorder="1" applyAlignment="1" applyProtection="1">
      <alignment vertical="center"/>
    </xf>
    <xf numFmtId="173" fontId="138" fillId="70" borderId="488" xfId="0" applyNumberFormat="1" applyFont="1" applyFill="1" applyBorder="1" applyAlignment="1" applyProtection="1">
      <alignment vertical="center"/>
    </xf>
    <xf numFmtId="42" fontId="138" fillId="70" borderId="513" xfId="0" applyNumberFormat="1" applyFont="1" applyFill="1" applyBorder="1" applyAlignment="1" applyProtection="1">
      <alignment vertical="center"/>
    </xf>
    <xf numFmtId="42" fontId="138" fillId="70" borderId="487" xfId="0" applyNumberFormat="1" applyFont="1" applyFill="1" applyBorder="1" applyAlignment="1" applyProtection="1">
      <alignment vertical="center"/>
    </xf>
    <xf numFmtId="42" fontId="138" fillId="70" borderId="204" xfId="0" applyNumberFormat="1" applyFont="1" applyFill="1" applyBorder="1" applyAlignment="1" applyProtection="1">
      <alignment vertical="center"/>
    </xf>
    <xf numFmtId="42" fontId="138" fillId="59" borderId="488" xfId="0" applyNumberFormat="1" applyFont="1" applyFill="1" applyBorder="1" applyAlignment="1" applyProtection="1">
      <alignment vertical="center"/>
    </xf>
    <xf numFmtId="3" fontId="138" fillId="59" borderId="488" xfId="0" applyNumberFormat="1" applyFont="1" applyFill="1" applyBorder="1" applyAlignment="1" applyProtection="1">
      <alignment vertical="center"/>
    </xf>
    <xf numFmtId="42" fontId="138" fillId="59" borderId="513" xfId="0" applyNumberFormat="1" applyFont="1" applyFill="1" applyBorder="1" applyAlignment="1" applyProtection="1">
      <alignment vertical="center"/>
    </xf>
    <xf numFmtId="185" fontId="138" fillId="59" borderId="487" xfId="0" applyNumberFormat="1" applyFont="1" applyFill="1" applyBorder="1" applyAlignment="1" applyProtection="1">
      <alignment vertical="center"/>
    </xf>
    <xf numFmtId="42" fontId="138" fillId="59" borderId="487" xfId="0" applyNumberFormat="1" applyFont="1" applyFill="1" applyBorder="1" applyAlignment="1" applyProtection="1">
      <alignment vertical="center"/>
    </xf>
    <xf numFmtId="3" fontId="138" fillId="59" borderId="487" xfId="0" applyNumberFormat="1" applyFont="1" applyFill="1" applyBorder="1" applyAlignment="1" applyProtection="1">
      <alignment vertical="center"/>
    </xf>
    <xf numFmtId="42" fontId="138" fillId="59" borderId="204" xfId="0" applyNumberFormat="1" applyFont="1" applyFill="1" applyBorder="1" applyAlignment="1" applyProtection="1">
      <alignment vertical="center"/>
    </xf>
    <xf numFmtId="189" fontId="138" fillId="59" borderId="488" xfId="0" applyNumberFormat="1" applyFont="1" applyFill="1" applyBorder="1"/>
    <xf numFmtId="173" fontId="62" fillId="0" borderId="0" xfId="0" applyNumberFormat="1" applyFont="1" applyBorder="1" applyAlignment="1">
      <alignment horizontal="center" vertical="center" wrapText="1"/>
    </xf>
    <xf numFmtId="0" fontId="221" fillId="10" borderId="450" xfId="0" applyFont="1" applyFill="1" applyBorder="1" applyAlignment="1">
      <alignment horizontal="center" vertical="center" wrapText="1"/>
    </xf>
    <xf numFmtId="0" fontId="129" fillId="0" borderId="0" xfId="0" applyFont="1" applyAlignment="1">
      <alignment vertical="center"/>
    </xf>
    <xf numFmtId="0" fontId="127" fillId="10" borderId="509" xfId="0" applyFont="1" applyFill="1" applyBorder="1" applyAlignment="1">
      <alignment vertical="center" wrapText="1"/>
    </xf>
    <xf numFmtId="0" fontId="67" fillId="10" borderId="30" xfId="0" applyFont="1" applyFill="1" applyBorder="1" applyAlignment="1">
      <alignment vertical="center" wrapText="1"/>
    </xf>
    <xf numFmtId="0" fontId="67" fillId="10" borderId="204" xfId="0" applyFont="1" applyFill="1" applyBorder="1" applyAlignment="1">
      <alignment vertical="center" wrapText="1"/>
    </xf>
    <xf numFmtId="0" fontId="127" fillId="10" borderId="26" xfId="0" applyFont="1" applyFill="1" applyBorder="1" applyAlignment="1">
      <alignment vertical="center" wrapText="1"/>
    </xf>
    <xf numFmtId="164" fontId="201" fillId="0" borderId="76" xfId="0" applyNumberFormat="1" applyFont="1" applyBorder="1" applyAlignment="1">
      <alignment horizontal="center" vertical="center"/>
    </xf>
    <xf numFmtId="0" fontId="165" fillId="0" borderId="0" xfId="0" applyFont="1" applyAlignment="1">
      <alignment vertical="center"/>
    </xf>
    <xf numFmtId="37" fontId="63" fillId="0" borderId="514" xfId="0" applyNumberFormat="1" applyFont="1" applyBorder="1" applyAlignment="1">
      <alignment horizontal="center" vertical="center" wrapText="1"/>
    </xf>
    <xf numFmtId="0" fontId="63" fillId="0" borderId="500" xfId="0" applyFont="1" applyBorder="1" applyAlignment="1">
      <alignment horizontal="center" vertical="center" wrapText="1"/>
    </xf>
    <xf numFmtId="0" fontId="217" fillId="0" borderId="0" xfId="0" applyFont="1" applyBorder="1" applyAlignment="1">
      <alignment horizontal="center" vertical="center"/>
    </xf>
    <xf numFmtId="0" fontId="217" fillId="0" borderId="28" xfId="0" applyFont="1" applyBorder="1" applyAlignment="1">
      <alignment horizontal="center" vertical="center"/>
    </xf>
    <xf numFmtId="37" fontId="216" fillId="0" borderId="40" xfId="0" quotePrefix="1" applyNumberFormat="1" applyFont="1" applyBorder="1" applyAlignment="1">
      <alignment horizontal="center" vertical="center" wrapText="1"/>
    </xf>
    <xf numFmtId="37" fontId="216" fillId="0" borderId="28" xfId="0" quotePrefix="1" applyNumberFormat="1" applyFont="1" applyBorder="1" applyAlignment="1">
      <alignment horizontal="center" vertical="center" wrapText="1"/>
    </xf>
    <xf numFmtId="0" fontId="190" fillId="10" borderId="498" xfId="0" applyFont="1" applyFill="1" applyBorder="1" applyAlignment="1">
      <alignment horizontal="center" vertical="center" wrapText="1"/>
    </xf>
    <xf numFmtId="0" fontId="190" fillId="10" borderId="37"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54" xfId="0" applyFont="1" applyFill="1" applyBorder="1" applyAlignment="1">
      <alignment horizontal="center" vertical="center" wrapText="1"/>
    </xf>
    <xf numFmtId="0" fontId="3" fillId="10" borderId="487" xfId="0" applyFont="1" applyFill="1" applyBorder="1" applyAlignment="1">
      <alignment horizontal="center" vertical="center" wrapText="1"/>
    </xf>
    <xf numFmtId="0" fontId="190" fillId="10" borderId="515" xfId="0" applyFont="1" applyFill="1" applyBorder="1" applyAlignment="1">
      <alignment horizontal="center" vertical="center" wrapText="1"/>
    </xf>
    <xf numFmtId="0" fontId="190" fillId="10" borderId="487" xfId="0" applyFont="1" applyFill="1" applyBorder="1" applyAlignment="1">
      <alignment horizontal="center" vertical="center" wrapText="1"/>
    </xf>
    <xf numFmtId="0" fontId="190" fillId="10" borderId="204" xfId="0" applyFont="1" applyFill="1" applyBorder="1" applyAlignment="1">
      <alignment horizontal="center" vertical="center" wrapText="1"/>
    </xf>
    <xf numFmtId="0" fontId="129" fillId="0" borderId="36" xfId="0" applyFont="1" applyBorder="1" applyAlignment="1">
      <alignment horizontal="center" vertical="center" wrapText="1"/>
    </xf>
    <xf numFmtId="0" fontId="129" fillId="0" borderId="0" xfId="0" applyFont="1" applyBorder="1" applyAlignment="1">
      <alignment horizontal="center" vertical="center" wrapText="1"/>
    </xf>
    <xf numFmtId="0" fontId="129" fillId="0" borderId="28" xfId="0" applyFont="1" applyBorder="1" applyAlignment="1">
      <alignment horizontal="center" vertical="center" wrapText="1"/>
    </xf>
    <xf numFmtId="37" fontId="63" fillId="0" borderId="40" xfId="0" applyNumberFormat="1" applyFont="1" applyBorder="1" applyAlignment="1">
      <alignment horizontal="center" vertical="center" wrapText="1"/>
    </xf>
    <xf numFmtId="0" fontId="63" fillId="0" borderId="28" xfId="0" applyFont="1" applyBorder="1" applyAlignment="1">
      <alignment horizontal="center" vertical="center" wrapText="1"/>
    </xf>
    <xf numFmtId="0" fontId="129" fillId="0" borderId="36" xfId="0" applyFont="1" applyBorder="1" applyAlignment="1">
      <alignment horizontal="center"/>
    </xf>
    <xf numFmtId="0" fontId="129" fillId="0" borderId="0" xfId="0" applyFont="1" applyBorder="1" applyAlignment="1">
      <alignment horizontal="center"/>
    </xf>
    <xf numFmtId="37" fontId="63" fillId="0" borderId="40" xfId="0" quotePrefix="1" applyNumberFormat="1" applyFont="1" applyBorder="1" applyAlignment="1">
      <alignment horizontal="center" vertical="center" wrapText="1"/>
    </xf>
    <xf numFmtId="164" fontId="129" fillId="0" borderId="36" xfId="0" applyNumberFormat="1" applyFont="1" applyBorder="1" applyAlignment="1">
      <alignment horizontal="center" vertical="center"/>
    </xf>
    <xf numFmtId="164" fontId="129" fillId="0" borderId="0" xfId="0" applyNumberFormat="1" applyFont="1" applyBorder="1" applyAlignment="1">
      <alignment horizontal="center" vertical="center"/>
    </xf>
    <xf numFmtId="0" fontId="129" fillId="0" borderId="36" xfId="0" applyFont="1" applyBorder="1" applyAlignment="1">
      <alignment horizontal="center" vertical="center"/>
    </xf>
    <xf numFmtId="0" fontId="129" fillId="0" borderId="0" xfId="0" applyFont="1" applyBorder="1" applyAlignment="1">
      <alignment horizontal="center" vertical="center"/>
    </xf>
    <xf numFmtId="0" fontId="129" fillId="0" borderId="28" xfId="0" applyFont="1" applyBorder="1" applyAlignment="1">
      <alignment horizontal="center" vertical="center"/>
    </xf>
    <xf numFmtId="0" fontId="159" fillId="10" borderId="516" xfId="0" applyFont="1" applyFill="1" applyBorder="1" applyAlignment="1">
      <alignment horizontal="center" vertical="center" wrapText="1"/>
    </xf>
    <xf numFmtId="0" fontId="159" fillId="10" borderId="26" xfId="0" applyFont="1" applyFill="1" applyBorder="1" applyAlignment="1">
      <alignment horizontal="center" vertical="center" wrapText="1"/>
    </xf>
    <xf numFmtId="189" fontId="129" fillId="0" borderId="36" xfId="0" applyNumberFormat="1" applyFont="1" applyBorder="1" applyAlignment="1">
      <alignment horizontal="center" vertical="center" wrapText="1"/>
    </xf>
    <xf numFmtId="189" fontId="129" fillId="0" borderId="0" xfId="0" applyNumberFormat="1" applyFont="1" applyBorder="1" applyAlignment="1">
      <alignment horizontal="center" vertical="center" wrapText="1"/>
    </xf>
    <xf numFmtId="37" fontId="63" fillId="0" borderId="497" xfId="0" applyNumberFormat="1" applyFont="1" applyBorder="1" applyAlignment="1">
      <alignment horizontal="center" vertical="center" wrapText="1"/>
    </xf>
    <xf numFmtId="0" fontId="63" fillId="0" borderId="513" xfId="0" applyFont="1" applyBorder="1" applyAlignment="1">
      <alignment horizontal="center" vertical="center" wrapText="1"/>
    </xf>
    <xf numFmtId="0" fontId="191" fillId="0" borderId="0" xfId="0" applyFont="1" applyAlignment="1">
      <alignment horizontal="center" vertical="center"/>
    </xf>
    <xf numFmtId="0" fontId="191" fillId="0" borderId="0" xfId="0" applyFont="1" applyBorder="1" applyAlignment="1">
      <alignment horizontal="center" vertical="center"/>
    </xf>
    <xf numFmtId="0" fontId="191" fillId="0" borderId="0" xfId="0" applyFont="1" applyAlignment="1">
      <alignment horizontal="center" wrapText="1"/>
    </xf>
    <xf numFmtId="0" fontId="191" fillId="0" borderId="0" xfId="0" applyFont="1" applyBorder="1" applyAlignment="1">
      <alignment horizontal="center" wrapText="1"/>
    </xf>
    <xf numFmtId="0" fontId="202" fillId="10" borderId="498" xfId="0" applyFont="1" applyFill="1" applyBorder="1" applyAlignment="1">
      <alignment horizontal="center" vertical="center" wrapText="1"/>
    </xf>
    <xf numFmtId="0" fontId="202" fillId="10" borderId="37" xfId="0" applyFont="1" applyFill="1" applyBorder="1" applyAlignment="1">
      <alignment horizontal="center" vertical="center" wrapText="1"/>
    </xf>
    <xf numFmtId="0" fontId="202" fillId="10" borderId="32" xfId="0" applyFont="1" applyFill="1" applyBorder="1" applyAlignment="1">
      <alignment horizontal="center" vertical="center" wrapText="1"/>
    </xf>
    <xf numFmtId="0" fontId="202" fillId="10" borderId="54" xfId="0" applyFont="1" applyFill="1" applyBorder="1" applyAlignment="1">
      <alignment horizontal="center" vertical="center" wrapText="1"/>
    </xf>
    <xf numFmtId="0" fontId="202" fillId="10" borderId="114" xfId="0" applyFont="1" applyFill="1" applyBorder="1" applyAlignment="1">
      <alignment horizontal="center" vertical="center" wrapText="1"/>
    </xf>
    <xf numFmtId="0" fontId="202" fillId="10" borderId="81" xfId="0" applyFont="1" applyFill="1" applyBorder="1" applyAlignment="1">
      <alignment horizontal="center" vertical="center" wrapText="1"/>
    </xf>
    <xf numFmtId="0" fontId="63" fillId="0" borderId="36" xfId="0" applyFont="1" applyBorder="1" applyAlignment="1">
      <alignment horizontal="center" vertical="center"/>
    </xf>
    <xf numFmtId="0" fontId="63" fillId="0" borderId="0" xfId="0" applyFont="1" applyBorder="1" applyAlignment="1">
      <alignment horizontal="center" vertical="center"/>
    </xf>
    <xf numFmtId="0" fontId="63" fillId="0" borderId="28" xfId="0" applyFont="1" applyBorder="1" applyAlignment="1">
      <alignment horizontal="center" vertical="center"/>
    </xf>
    <xf numFmtId="0" fontId="63" fillId="0" borderId="40" xfId="0" applyFont="1" applyBorder="1" applyAlignment="1">
      <alignment horizontal="center" vertical="center"/>
    </xf>
    <xf numFmtId="185" fontId="99" fillId="0" borderId="36" xfId="0" applyNumberFormat="1" applyFont="1" applyBorder="1" applyAlignment="1">
      <alignment horizontal="center" vertical="center" wrapText="1"/>
    </xf>
    <xf numFmtId="185" fontId="99" fillId="0" borderId="0" xfId="0" applyNumberFormat="1" applyFont="1" applyBorder="1" applyAlignment="1">
      <alignment horizontal="center" vertical="center" wrapText="1"/>
    </xf>
    <xf numFmtId="185" fontId="99" fillId="0" borderId="28" xfId="0" applyNumberFormat="1" applyFont="1" applyBorder="1" applyAlignment="1">
      <alignment horizontal="center" vertical="center" wrapText="1"/>
    </xf>
    <xf numFmtId="0" fontId="99" fillId="0" borderId="40" xfId="0" applyFont="1" applyBorder="1" applyAlignment="1">
      <alignment horizontal="center" vertical="center" wrapText="1"/>
    </xf>
    <xf numFmtId="0" fontId="99" fillId="0" borderId="28" xfId="0" applyFont="1" applyBorder="1" applyAlignment="1">
      <alignment horizontal="center" vertical="center" wrapText="1"/>
    </xf>
    <xf numFmtId="164" fontId="63" fillId="0" borderId="36" xfId="0" applyNumberFormat="1" applyFont="1" applyBorder="1" applyAlignment="1">
      <alignment horizontal="center" vertical="center"/>
    </xf>
    <xf numFmtId="164" fontId="63" fillId="0" borderId="0" xfId="0" applyNumberFormat="1" applyFont="1" applyBorder="1" applyAlignment="1">
      <alignment horizontal="center" vertical="center"/>
    </xf>
    <xf numFmtId="164" fontId="63" fillId="0" borderId="28" xfId="0" applyNumberFormat="1" applyFont="1" applyBorder="1" applyAlignment="1">
      <alignment horizontal="center" vertical="center"/>
    </xf>
    <xf numFmtId="164" fontId="63" fillId="0" borderId="40" xfId="0" applyNumberFormat="1" applyFont="1" applyBorder="1" applyAlignment="1">
      <alignment horizontal="center" vertical="center"/>
    </xf>
    <xf numFmtId="0" fontId="191" fillId="0" borderId="76" xfId="0" applyFont="1" applyBorder="1" applyAlignment="1">
      <alignment horizontal="center" vertical="center"/>
    </xf>
    <xf numFmtId="0" fontId="191" fillId="0" borderId="76" xfId="0" applyFont="1" applyBorder="1" applyAlignment="1">
      <alignment horizontal="center" wrapText="1"/>
    </xf>
    <xf numFmtId="189" fontId="63" fillId="0" borderId="36" xfId="0" applyNumberFormat="1" applyFont="1" applyBorder="1" applyAlignment="1">
      <alignment horizontal="center" vertical="center" wrapText="1"/>
    </xf>
    <xf numFmtId="189" fontId="63" fillId="0" borderId="0" xfId="0" applyNumberFormat="1" applyFont="1" applyBorder="1" applyAlignment="1">
      <alignment horizontal="center" vertical="center" wrapText="1"/>
    </xf>
    <xf numFmtId="189" fontId="63" fillId="0" borderId="28" xfId="0" applyNumberFormat="1" applyFont="1" applyBorder="1" applyAlignment="1">
      <alignment horizontal="center" vertical="center" wrapText="1"/>
    </xf>
    <xf numFmtId="0" fontId="190" fillId="10" borderId="32" xfId="0" applyFont="1" applyFill="1" applyBorder="1" applyAlignment="1">
      <alignment horizontal="center" vertical="center" wrapText="1"/>
    </xf>
    <xf numFmtId="0" fontId="190" fillId="10" borderId="54" xfId="0" applyFont="1" applyFill="1" applyBorder="1" applyAlignment="1">
      <alignment horizontal="center" vertical="center" wrapText="1"/>
    </xf>
    <xf numFmtId="0" fontId="190" fillId="10" borderId="81" xfId="0" applyFont="1" applyFill="1" applyBorder="1" applyAlignment="1">
      <alignment horizontal="center" vertical="center" wrapText="1"/>
    </xf>
    <xf numFmtId="0" fontId="67" fillId="10" borderId="448" xfId="0" applyFont="1" applyFill="1" applyBorder="1" applyAlignment="1">
      <alignment horizontal="center" vertical="center" wrapText="1"/>
    </xf>
    <xf numFmtId="0" fontId="67" fillId="10" borderId="449" xfId="0" applyFont="1" applyFill="1" applyBorder="1" applyAlignment="1">
      <alignment horizontal="center" vertical="center" wrapText="1"/>
    </xf>
    <xf numFmtId="0" fontId="67" fillId="10" borderId="441" xfId="0" applyFont="1" applyFill="1" applyBorder="1" applyAlignment="1">
      <alignment horizontal="center" vertical="center" wrapText="1"/>
    </xf>
    <xf numFmtId="0" fontId="67" fillId="10" borderId="440" xfId="0" applyFont="1" applyFill="1" applyBorder="1" applyAlignment="1">
      <alignment horizontal="center" vertical="center" wrapText="1"/>
    </xf>
    <xf numFmtId="0" fontId="67" fillId="10" borderId="54" xfId="0" applyFont="1" applyFill="1" applyBorder="1" applyAlignment="1">
      <alignment horizontal="center" vertical="center" wrapText="1"/>
    </xf>
    <xf numFmtId="0" fontId="67" fillId="10" borderId="487" xfId="0" applyFont="1" applyFill="1" applyBorder="1" applyAlignment="1">
      <alignment horizontal="center" vertical="center" wrapText="1"/>
    </xf>
    <xf numFmtId="0" fontId="67" fillId="10" borderId="204" xfId="0" applyFont="1" applyFill="1" applyBorder="1" applyAlignment="1">
      <alignment horizontal="center" vertical="center" wrapText="1"/>
    </xf>
    <xf numFmtId="0" fontId="190" fillId="10" borderId="36" xfId="0" applyFont="1" applyFill="1" applyBorder="1" applyAlignment="1">
      <alignment horizontal="center" vertical="center" wrapText="1"/>
    </xf>
    <xf numFmtId="0" fontId="190" fillId="10" borderId="0" xfId="0" applyFont="1" applyFill="1" applyBorder="1" applyAlignment="1">
      <alignment horizontal="center" vertical="center" wrapText="1"/>
    </xf>
    <xf numFmtId="0" fontId="190" fillId="10" borderId="76" xfId="0" applyFont="1" applyFill="1" applyBorder="1" applyAlignment="1">
      <alignment horizontal="center" vertical="center" wrapText="1"/>
    </xf>
    <xf numFmtId="0" fontId="197" fillId="0" borderId="0" xfId="0" applyFont="1" applyAlignment="1">
      <alignment horizontal="center" vertical="center" wrapText="1"/>
    </xf>
    <xf numFmtId="0" fontId="197" fillId="0" borderId="0" xfId="0" applyFont="1" applyBorder="1" applyAlignment="1">
      <alignment horizontal="center" vertical="center"/>
    </xf>
    <xf numFmtId="0" fontId="197" fillId="0" borderId="0" xfId="0" applyFont="1" applyAlignment="1">
      <alignment horizontal="center" vertical="center"/>
    </xf>
    <xf numFmtId="0" fontId="159" fillId="10" borderId="445" xfId="0" applyFont="1" applyFill="1" applyBorder="1" applyAlignment="1">
      <alignment horizontal="center" vertical="center" wrapText="1"/>
    </xf>
    <xf numFmtId="0" fontId="159" fillId="10" borderId="81" xfId="0" applyFont="1" applyFill="1" applyBorder="1" applyAlignment="1">
      <alignment horizontal="center" vertical="center" wrapText="1"/>
    </xf>
    <xf numFmtId="0" fontId="190" fillId="10" borderId="488" xfId="0" applyFont="1" applyFill="1" applyBorder="1" applyAlignment="1">
      <alignment horizontal="center" vertical="center" wrapText="1"/>
    </xf>
    <xf numFmtId="0" fontId="190" fillId="10" borderId="449" xfId="0" applyFont="1" applyFill="1" applyBorder="1" applyAlignment="1">
      <alignment horizontal="center" vertical="center" wrapText="1"/>
    </xf>
    <xf numFmtId="0" fontId="190" fillId="10" borderId="441"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28" xfId="0" applyFont="1" applyBorder="1" applyAlignment="1">
      <alignment horizontal="left" vertical="center" wrapText="1"/>
    </xf>
    <xf numFmtId="0" fontId="159" fillId="10" borderId="498" xfId="0" applyFont="1" applyFill="1" applyBorder="1" applyAlignment="1">
      <alignment horizontal="center"/>
    </xf>
    <xf numFmtId="0" fontId="159" fillId="10" borderId="54" xfId="0" applyFont="1" applyFill="1" applyBorder="1" applyAlignment="1">
      <alignment horizontal="center"/>
    </xf>
    <xf numFmtId="0" fontId="159" fillId="10" borderId="37" xfId="0" applyFont="1" applyFill="1" applyBorder="1" applyAlignment="1">
      <alignment horizontal="center" vertical="center"/>
    </xf>
    <xf numFmtId="0" fontId="159" fillId="10" borderId="37" xfId="0" applyFont="1" applyFill="1" applyBorder="1" applyAlignment="1">
      <alignment vertical="center"/>
    </xf>
    <xf numFmtId="0" fontId="159" fillId="10" borderId="487" xfId="0" applyFont="1" applyFill="1" applyBorder="1" applyAlignment="1">
      <alignment vertical="center"/>
    </xf>
    <xf numFmtId="0" fontId="159" fillId="10" borderId="32" xfId="0" applyFont="1" applyFill="1" applyBorder="1" applyAlignment="1">
      <alignment horizontal="center"/>
    </xf>
    <xf numFmtId="0" fontId="159" fillId="10" borderId="81" xfId="0" applyFont="1" applyFill="1" applyBorder="1" applyAlignment="1">
      <alignment horizontal="center"/>
    </xf>
    <xf numFmtId="0" fontId="39" fillId="12" borderId="30" xfId="0" applyFont="1" applyFill="1" applyBorder="1" applyAlignment="1">
      <alignment horizontal="center"/>
    </xf>
    <xf numFmtId="0" fontId="39" fillId="12" borderId="487" xfId="0" applyFont="1" applyFill="1" applyBorder="1" applyAlignment="1">
      <alignment horizontal="center"/>
    </xf>
    <xf numFmtId="0" fontId="39" fillId="12" borderId="204" xfId="0" applyFont="1" applyFill="1" applyBorder="1" applyAlignment="1">
      <alignment horizontal="center"/>
    </xf>
    <xf numFmtId="0" fontId="0" fillId="0" borderId="40" xfId="0" quotePrefix="1" applyFont="1" applyBorder="1" applyAlignment="1">
      <alignment horizontal="left" vertical="center" wrapText="1"/>
    </xf>
    <xf numFmtId="0" fontId="0" fillId="0" borderId="76" xfId="0" quotePrefix="1" applyFont="1" applyBorder="1" applyAlignment="1">
      <alignment horizontal="left" vertical="center" wrapText="1"/>
    </xf>
    <xf numFmtId="0" fontId="64" fillId="0" borderId="40" xfId="0" applyFont="1" applyBorder="1" applyAlignment="1">
      <alignment horizontal="left" wrapText="1"/>
    </xf>
    <xf numFmtId="0" fontId="64" fillId="0" borderId="0" xfId="0" applyFont="1" applyBorder="1" applyAlignment="1">
      <alignment horizontal="left" wrapText="1"/>
    </xf>
    <xf numFmtId="0" fontId="64" fillId="0" borderId="28" xfId="0" applyFont="1" applyBorder="1" applyAlignment="1">
      <alignment horizontal="left" wrapText="1"/>
    </xf>
    <xf numFmtId="0" fontId="0" fillId="0" borderId="40" xfId="0" applyFont="1" applyBorder="1" applyAlignment="1">
      <alignment horizontal="left" vertical="center" wrapText="1"/>
    </xf>
    <xf numFmtId="3" fontId="99" fillId="0" borderId="13" xfId="0" quotePrefix="1" applyNumberFormat="1" applyFont="1" applyFill="1" applyBorder="1" applyAlignment="1">
      <alignment horizontal="center"/>
    </xf>
    <xf numFmtId="0" fontId="0" fillId="14" borderId="440" xfId="0" applyFill="1" applyBorder="1" applyAlignment="1">
      <alignment horizontal="center"/>
    </xf>
    <xf numFmtId="0" fontId="0" fillId="14" borderId="449" xfId="0" applyFill="1" applyBorder="1" applyAlignment="1">
      <alignment horizontal="center"/>
    </xf>
    <xf numFmtId="0" fontId="0" fillId="61" borderId="440" xfId="0" applyFill="1" applyBorder="1" applyAlignment="1">
      <alignment horizontal="center"/>
    </xf>
    <xf numFmtId="0" fontId="0" fillId="61" borderId="449" xfId="0" applyFill="1" applyBorder="1" applyAlignment="1">
      <alignment horizontal="center"/>
    </xf>
    <xf numFmtId="0" fontId="138" fillId="58" borderId="497" xfId="0" applyFont="1" applyFill="1" applyBorder="1" applyAlignment="1">
      <alignment horizontal="left" vertical="center" wrapText="1"/>
    </xf>
    <xf numFmtId="0" fontId="138" fillId="58" borderId="488" xfId="0" applyFont="1" applyFill="1" applyBorder="1" applyAlignment="1">
      <alignment horizontal="left" vertical="center" wrapText="1"/>
    </xf>
    <xf numFmtId="185" fontId="219" fillId="0" borderId="449" xfId="0" applyNumberFormat="1" applyFont="1" applyFill="1" applyBorder="1" applyAlignment="1" applyProtection="1">
      <alignment horizontal="center" vertical="top"/>
    </xf>
    <xf numFmtId="0" fontId="138" fillId="70" borderId="497" xfId="0" applyFont="1" applyFill="1" applyBorder="1" applyAlignment="1">
      <alignment horizontal="left" vertical="center" wrapText="1"/>
    </xf>
    <xf numFmtId="0" fontId="138" fillId="70" borderId="488" xfId="0" applyFont="1" applyFill="1" applyBorder="1" applyAlignment="1">
      <alignment horizontal="left" vertical="center" wrapText="1"/>
    </xf>
    <xf numFmtId="0" fontId="138" fillId="70" borderId="30" xfId="0" applyFont="1" applyFill="1" applyBorder="1" applyAlignment="1">
      <alignment horizontal="left" vertical="center" wrapText="1"/>
    </xf>
    <xf numFmtId="0" fontId="138" fillId="70" borderId="487" xfId="0" applyFont="1" applyFill="1" applyBorder="1" applyAlignment="1">
      <alignment horizontal="left" vertical="center" wrapText="1"/>
    </xf>
    <xf numFmtId="0" fontId="0" fillId="0" borderId="0" xfId="0" applyAlignment="1">
      <alignment horizontal="left" wrapText="1"/>
    </xf>
    <xf numFmtId="0" fontId="26" fillId="6" borderId="17" xfId="0" applyFont="1" applyFill="1" applyBorder="1" applyAlignment="1">
      <alignment horizontal="center" wrapText="1"/>
    </xf>
    <xf numFmtId="0" fontId="26" fillId="6" borderId="21" xfId="0" applyFont="1" applyFill="1" applyBorder="1" applyAlignment="1">
      <alignment horizontal="center" wrapText="1"/>
    </xf>
    <xf numFmtId="16" fontId="26" fillId="0" borderId="13" xfId="0" applyNumberFormat="1" applyFont="1" applyBorder="1" applyAlignment="1">
      <alignment horizontal="center"/>
    </xf>
    <xf numFmtId="0" fontId="24" fillId="5" borderId="14" xfId="0" applyFont="1" applyFill="1" applyBorder="1" applyAlignment="1">
      <alignment horizontal="center"/>
    </xf>
    <xf numFmtId="0" fontId="24" fillId="5" borderId="15" xfId="0" applyFont="1" applyFill="1" applyBorder="1" applyAlignment="1">
      <alignment horizontal="center"/>
    </xf>
    <xf numFmtId="0" fontId="24" fillId="5" borderId="16" xfId="0" applyFont="1" applyFill="1" applyBorder="1" applyAlignment="1">
      <alignment horizontal="center"/>
    </xf>
    <xf numFmtId="0" fontId="119" fillId="39" borderId="0" xfId="8220" applyFont="1" applyFill="1" applyAlignment="1" applyProtection="1">
      <alignment horizontal="center" vertical="center"/>
      <protection hidden="1"/>
    </xf>
    <xf numFmtId="0" fontId="121" fillId="39" borderId="0" xfId="8220" applyFont="1" applyFill="1" applyAlignment="1" applyProtection="1">
      <alignment horizontal="left" vertical="center" indent="2"/>
      <protection hidden="1"/>
    </xf>
    <xf numFmtId="0" fontId="119" fillId="43" borderId="0" xfId="8220" applyFont="1" applyFill="1" applyAlignment="1" applyProtection="1">
      <alignment horizontal="center" vertical="center"/>
      <protection hidden="1"/>
    </xf>
    <xf numFmtId="0" fontId="119" fillId="42" borderId="0" xfId="8220" applyFont="1" applyFill="1" applyAlignment="1" applyProtection="1">
      <alignment horizontal="center" vertical="center"/>
      <protection hidden="1"/>
    </xf>
    <xf numFmtId="0" fontId="119" fillId="41" borderId="0" xfId="8220" applyFont="1" applyFill="1" applyAlignment="1" applyProtection="1">
      <alignment horizontal="center" vertical="center"/>
      <protection hidden="1"/>
    </xf>
    <xf numFmtId="0" fontId="119" fillId="56" borderId="0" xfId="54575" applyFont="1" applyFill="1" applyAlignment="1" applyProtection="1">
      <alignment horizontal="center" vertical="center"/>
      <protection hidden="1"/>
    </xf>
    <xf numFmtId="16" fontId="26" fillId="0" borderId="103" xfId="0" applyNumberFormat="1" applyFont="1" applyBorder="1" applyAlignment="1">
      <alignment horizontal="center"/>
    </xf>
    <xf numFmtId="0" fontId="24" fillId="5" borderId="104" xfId="0" applyFont="1" applyFill="1" applyBorder="1" applyAlignment="1">
      <alignment horizontal="center"/>
    </xf>
    <xf numFmtId="0" fontId="24" fillId="5" borderId="105" xfId="0" applyFont="1" applyFill="1" applyBorder="1" applyAlignment="1">
      <alignment horizontal="center"/>
    </xf>
    <xf numFmtId="0" fontId="26" fillId="6" borderId="106" xfId="0" applyFont="1" applyFill="1" applyBorder="1" applyAlignment="1">
      <alignment horizontal="center" wrapText="1"/>
    </xf>
    <xf numFmtId="0" fontId="26" fillId="6" borderId="108" xfId="0" applyFont="1" applyFill="1" applyBorder="1" applyAlignment="1">
      <alignment horizontal="center" wrapText="1"/>
    </xf>
    <xf numFmtId="0" fontId="119" fillId="56" borderId="0" xfId="54772" applyFont="1" applyFill="1" applyAlignment="1" applyProtection="1">
      <alignment horizontal="center" vertical="center"/>
      <protection hidden="1"/>
    </xf>
    <xf numFmtId="0" fontId="119" fillId="44" borderId="0" xfId="8220" applyFont="1" applyFill="1" applyAlignment="1" applyProtection="1">
      <alignment horizontal="center" vertical="center"/>
      <protection hidden="1"/>
    </xf>
    <xf numFmtId="0" fontId="24" fillId="5" borderId="192" xfId="0" applyFont="1" applyFill="1" applyBorder="1" applyAlignment="1">
      <alignment horizontal="center"/>
    </xf>
    <xf numFmtId="0" fontId="24" fillId="5" borderId="193" xfId="0" applyFont="1" applyFill="1" applyBorder="1" applyAlignment="1">
      <alignment horizontal="center"/>
    </xf>
    <xf numFmtId="0" fontId="24" fillId="5" borderId="194" xfId="0" applyFont="1" applyFill="1" applyBorder="1" applyAlignment="1">
      <alignment horizontal="center"/>
    </xf>
    <xf numFmtId="0" fontId="26" fillId="6" borderId="195" xfId="0" applyFont="1" applyFill="1" applyBorder="1" applyAlignment="1">
      <alignment horizontal="center" wrapText="1"/>
    </xf>
    <xf numFmtId="0" fontId="53" fillId="0" borderId="0" xfId="177" applyFont="1" applyBorder="1" applyAlignment="1">
      <alignment horizontal="center" wrapText="1"/>
    </xf>
    <xf numFmtId="0" fontId="6" fillId="0" borderId="0" xfId="23" applyNumberFormat="1" applyFont="1" applyAlignment="1" applyProtection="1">
      <alignment horizontal="center" wrapText="1"/>
      <protection locked="0"/>
    </xf>
    <xf numFmtId="0" fontId="182" fillId="43" borderId="0" xfId="0" applyFont="1" applyFill="1" applyAlignment="1" applyProtection="1">
      <alignment horizontal="left" vertical="center"/>
      <protection hidden="1"/>
    </xf>
    <xf numFmtId="0" fontId="182" fillId="41" borderId="0" xfId="0" applyFont="1" applyFill="1" applyAlignment="1" applyProtection="1">
      <alignment horizontal="center" vertical="center"/>
      <protection hidden="1"/>
    </xf>
    <xf numFmtId="0" fontId="182" fillId="39" borderId="0" xfId="0" applyFont="1" applyFill="1" applyAlignment="1" applyProtection="1">
      <alignment horizontal="center" vertical="center"/>
      <protection hidden="1"/>
    </xf>
    <xf numFmtId="0" fontId="182" fillId="42" borderId="0" xfId="0" applyFont="1" applyFill="1" applyAlignment="1" applyProtection="1">
      <alignment horizontal="center" vertical="center"/>
      <protection hidden="1"/>
    </xf>
    <xf numFmtId="0" fontId="181" fillId="39" borderId="0" xfId="0" applyFont="1" applyFill="1" applyAlignment="1" applyProtection="1">
      <alignment horizontal="center" vertical="center"/>
      <protection hidden="1"/>
    </xf>
    <xf numFmtId="0" fontId="15" fillId="0" borderId="0" xfId="3"/>
    <xf numFmtId="177" fontId="18" fillId="0" borderId="0" xfId="3" applyNumberFormat="1" applyFont="1" applyFill="1" applyBorder="1" applyAlignment="1">
      <alignment horizontal="right" vertical="center"/>
    </xf>
    <xf numFmtId="0" fontId="15" fillId="0" borderId="0" xfId="3" applyFill="1" applyBorder="1" applyAlignment="1">
      <alignment vertical="center"/>
    </xf>
    <xf numFmtId="0" fontId="119" fillId="0" borderId="0" xfId="8220" applyFont="1" applyFill="1" applyBorder="1" applyAlignment="1" applyProtection="1">
      <alignment horizontal="center" vertical="center"/>
      <protection hidden="1"/>
    </xf>
    <xf numFmtId="0" fontId="122" fillId="0" borderId="0" xfId="8220" applyFont="1" applyFill="1" applyBorder="1" applyAlignment="1" applyProtection="1">
      <alignment horizontal="center" vertical="center"/>
      <protection hidden="1"/>
    </xf>
    <xf numFmtId="0" fontId="121" fillId="0" borderId="0" xfId="8220" applyFont="1" applyFill="1" applyBorder="1" applyAlignment="1" applyProtection="1">
      <alignment horizontal="left" vertical="center" indent="2"/>
      <protection hidden="1"/>
    </xf>
    <xf numFmtId="0" fontId="19" fillId="4" borderId="7" xfId="0" applyFont="1" applyFill="1" applyBorder="1" applyAlignment="1">
      <alignment horizontal="center"/>
    </xf>
    <xf numFmtId="0" fontId="19" fillId="4" borderId="4" xfId="0" applyFont="1" applyFill="1" applyBorder="1" applyAlignment="1">
      <alignment horizontal="center"/>
    </xf>
    <xf numFmtId="0" fontId="0" fillId="0" borderId="0" xfId="0" applyFont="1" applyAlignment="1">
      <alignment horizontal="center" wrapText="1"/>
    </xf>
    <xf numFmtId="0" fontId="40" fillId="0" borderId="0" xfId="12"/>
    <xf numFmtId="0" fontId="24" fillId="0" borderId="0" xfId="28" applyFont="1" applyFill="1" applyBorder="1" applyAlignment="1">
      <alignment horizontal="center"/>
    </xf>
    <xf numFmtId="0" fontId="30" fillId="0" borderId="0" xfId="28" applyFont="1" applyFill="1" applyBorder="1" applyAlignment="1">
      <alignment horizontal="center"/>
    </xf>
    <xf numFmtId="0" fontId="25" fillId="0" borderId="0" xfId="28" applyFont="1" applyFill="1" applyBorder="1" applyAlignment="1">
      <alignment horizontal="center"/>
    </xf>
    <xf numFmtId="0" fontId="50" fillId="0" borderId="40" xfId="0" applyFont="1" applyFill="1" applyBorder="1" applyAlignment="1">
      <alignment horizontal="center"/>
    </xf>
    <xf numFmtId="0" fontId="50" fillId="0" borderId="0" xfId="0" applyFont="1" applyFill="1" applyBorder="1" applyAlignment="1">
      <alignment horizontal="center"/>
    </xf>
    <xf numFmtId="0" fontId="0" fillId="0" borderId="40" xfId="0" applyBorder="1" applyAlignment="1">
      <alignment horizontal="left"/>
    </xf>
    <xf numFmtId="0" fontId="0" fillId="0" borderId="0" xfId="0" applyAlignment="1">
      <alignment horizontal="left"/>
    </xf>
    <xf numFmtId="0" fontId="120" fillId="40" borderId="445" xfId="8201" applyFont="1" applyFill="1" applyBorder="1" applyAlignment="1" applyProtection="1">
      <alignment horizontal="center" vertical="center" wrapText="1"/>
      <protection locked="0"/>
    </xf>
    <xf numFmtId="0" fontId="120" fillId="40" borderId="509" xfId="8201" applyFont="1" applyFill="1" applyBorder="1" applyAlignment="1" applyProtection="1">
      <alignment horizontal="center" vertical="center" wrapText="1"/>
      <protection locked="0"/>
    </xf>
    <xf numFmtId="0" fontId="120" fillId="40" borderId="26" xfId="8201" applyFont="1" applyFill="1" applyBorder="1" applyAlignment="1" applyProtection="1">
      <alignment horizontal="center" vertical="center" wrapText="1"/>
      <protection locked="0"/>
    </xf>
    <xf numFmtId="0" fontId="0" fillId="0" borderId="0" xfId="0" applyAlignment="1">
      <alignment horizontal="center" vertical="center" wrapText="1"/>
    </xf>
  </cellXfs>
  <cellStyles count="54773">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2 10" xfId="1650"/>
    <cellStyle name="Calculation 2 10 2" xfId="9473"/>
    <cellStyle name="Calculation 2 10 3" xfId="16901"/>
    <cellStyle name="Calculation 2 10 4" xfId="25698"/>
    <cellStyle name="Calculation 2 10 5" xfId="34237"/>
    <cellStyle name="Calculation 2 10 6" xfId="40815"/>
    <cellStyle name="Calculation 2 10 7" xfId="52306"/>
    <cellStyle name="Calculation 2 11" xfId="1796"/>
    <cellStyle name="Calculation 2 11 2" xfId="9619"/>
    <cellStyle name="Calculation 2 11 3" xfId="17047"/>
    <cellStyle name="Calculation 2 11 4" xfId="25328"/>
    <cellStyle name="Calculation 2 11 5" xfId="33758"/>
    <cellStyle name="Calculation 2 11 6" xfId="41327"/>
    <cellStyle name="Calculation 2 11 7" xfId="51492"/>
    <cellStyle name="Calculation 2 12" xfId="1540"/>
    <cellStyle name="Calculation 2 12 2" xfId="9363"/>
    <cellStyle name="Calculation 2 12 3" xfId="16791"/>
    <cellStyle name="Calculation 2 12 4" xfId="25435"/>
    <cellStyle name="Calculation 2 12 5" xfId="33895"/>
    <cellStyle name="Calculation 2 12 6" xfId="37310"/>
    <cellStyle name="Calculation 2 12 7" xfId="51719"/>
    <cellStyle name="Calculation 2 13" xfId="957"/>
    <cellStyle name="Calculation 2 13 2" xfId="8781"/>
    <cellStyle name="Calculation 2 13 3" xfId="16209"/>
    <cellStyle name="Calculation 2 13 4" xfId="25488"/>
    <cellStyle name="Calculation 2 13 5" xfId="33962"/>
    <cellStyle name="Calculation 2 13 6" xfId="36374"/>
    <cellStyle name="Calculation 2 13 7" xfId="51846"/>
    <cellStyle name="Calculation 2 14" xfId="3510"/>
    <cellStyle name="Calculation 2 14 2" xfId="11301"/>
    <cellStyle name="Calculation 2 14 3" xfId="18599"/>
    <cellStyle name="Calculation 2 14 4" xfId="26408"/>
    <cellStyle name="Calculation 2 14 5" xfId="35164"/>
    <cellStyle name="Calculation 2 14 6" xfId="42163"/>
    <cellStyle name="Calculation 2 14 7" xfId="53867"/>
    <cellStyle name="Calculation 2 15" xfId="3503"/>
    <cellStyle name="Calculation 2 15 2" xfId="11294"/>
    <cellStyle name="Calculation 2 15 3" xfId="20487"/>
    <cellStyle name="Calculation 2 15 4" xfId="26704"/>
    <cellStyle name="Calculation 2 15 5" xfId="35557"/>
    <cellStyle name="Calculation 2 15 6" xfId="36282"/>
    <cellStyle name="Calculation 2 15 7" xfId="54503"/>
    <cellStyle name="Calculation 2 16" xfId="4014"/>
    <cellStyle name="Calculation 2 16 2" xfId="20724"/>
    <cellStyle name="Calculation 2 16 3" xfId="28911"/>
    <cellStyle name="Calculation 2 16 4" xfId="38294"/>
    <cellStyle name="Calculation 2 16 5" xfId="42576"/>
    <cellStyle name="Calculation 2 16 6" xfId="52845"/>
    <cellStyle name="Calculation 2 17" xfId="4184"/>
    <cellStyle name="Calculation 2 17 2" xfId="11943"/>
    <cellStyle name="Calculation 2 17 3" xfId="20894"/>
    <cellStyle name="Calculation 2 17 4" xfId="29081"/>
    <cellStyle name="Calculation 2 17 5" xfId="38457"/>
    <cellStyle name="Calculation 2 17 6" xfId="42746"/>
    <cellStyle name="Calculation 2 17 7" xfId="53374"/>
    <cellStyle name="Calculation 2 18" xfId="4029"/>
    <cellStyle name="Calculation 2 18 2" xfId="11801"/>
    <cellStyle name="Calculation 2 18 3" xfId="20739"/>
    <cellStyle name="Calculation 2 18 4" xfId="28926"/>
    <cellStyle name="Calculation 2 18 5" xfId="38306"/>
    <cellStyle name="Calculation 2 18 6" xfId="42591"/>
    <cellStyle name="Calculation 2 18 7" xfId="54375"/>
    <cellStyle name="Calculation 2 19" xfId="4271"/>
    <cellStyle name="Calculation 2 19 2" xfId="11988"/>
    <cellStyle name="Calculation 2 19 3" xfId="20981"/>
    <cellStyle name="Calculation 2 19 4" xfId="29168"/>
    <cellStyle name="Calculation 2 19 5" xfId="38541"/>
    <cellStyle name="Calculation 2 19 6" xfId="42833"/>
    <cellStyle name="Calculation 2 19 7" xfId="52112"/>
    <cellStyle name="Calculation 2 2" xfId="256"/>
    <cellStyle name="Calculation 2 2 10" xfId="1124"/>
    <cellStyle name="Calculation 2 2 10 2" xfId="8947"/>
    <cellStyle name="Calculation 2 2 10 3" xfId="16375"/>
    <cellStyle name="Calculation 2 2 10 4" xfId="25415"/>
    <cellStyle name="Calculation 2 2 10 5" xfId="33871"/>
    <cellStyle name="Calculation 2 2 10 6" xfId="37040"/>
    <cellStyle name="Calculation 2 2 10 7" xfId="51681"/>
    <cellStyle name="Calculation 2 2 11" xfId="1189"/>
    <cellStyle name="Calculation 2 2 11 2" xfId="9012"/>
    <cellStyle name="Calculation 2 2 11 3" xfId="16440"/>
    <cellStyle name="Calculation 2 2 11 4" xfId="26023"/>
    <cellStyle name="Calculation 2 2 11 5" xfId="34652"/>
    <cellStyle name="Calculation 2 2 11 6" xfId="36738"/>
    <cellStyle name="Calculation 2 2 11 7" xfId="53040"/>
    <cellStyle name="Calculation 2 2 12" xfId="1022"/>
    <cellStyle name="Calculation 2 2 12 2" xfId="8846"/>
    <cellStyle name="Calculation 2 2 12 3" xfId="16274"/>
    <cellStyle name="Calculation 2 2 12 4" xfId="25678"/>
    <cellStyle name="Calculation 2 2 12 5" xfId="34210"/>
    <cellStyle name="Calculation 2 2 12 6" xfId="37673"/>
    <cellStyle name="Calculation 2 2 12 7" xfId="52260"/>
    <cellStyle name="Calculation 2 2 13" xfId="1207"/>
    <cellStyle name="Calculation 2 2 13 2" xfId="9030"/>
    <cellStyle name="Calculation 2 2 13 3" xfId="16458"/>
    <cellStyle name="Calculation 2 2 13 4" xfId="25095"/>
    <cellStyle name="Calculation 2 2 13 5" xfId="33457"/>
    <cellStyle name="Calculation 2 2 13 6" xfId="40696"/>
    <cellStyle name="Calculation 2 2 13 7" xfId="50994"/>
    <cellStyle name="Calculation 2 2 14" xfId="1109"/>
    <cellStyle name="Calculation 2 2 14 2" xfId="8933"/>
    <cellStyle name="Calculation 2 2 14 3" xfId="16361"/>
    <cellStyle name="Calculation 2 2 14 4" xfId="26550"/>
    <cellStyle name="Calculation 2 2 14 5" xfId="35358"/>
    <cellStyle name="Calculation 2 2 14 6" xfId="36568"/>
    <cellStyle name="Calculation 2 2 14 7" xfId="54175"/>
    <cellStyle name="Calculation 2 2 15" xfId="991"/>
    <cellStyle name="Calculation 2 2 15 2" xfId="8815"/>
    <cellStyle name="Calculation 2 2 15 3" xfId="16243"/>
    <cellStyle name="Calculation 2 2 15 4" xfId="25398"/>
    <cellStyle name="Calculation 2 2 15 5" xfId="33849"/>
    <cellStyle name="Calculation 2 2 15 6" xfId="36498"/>
    <cellStyle name="Calculation 2 2 15 7" xfId="51637"/>
    <cellStyle name="Calculation 2 2 16" xfId="1093"/>
    <cellStyle name="Calculation 2 2 16 2" xfId="8917"/>
    <cellStyle name="Calculation 2 2 16 3" xfId="16345"/>
    <cellStyle name="Calculation 2 2 16 4" xfId="25153"/>
    <cellStyle name="Calculation 2 2 16 5" xfId="33530"/>
    <cellStyle name="Calculation 2 2 16 6" xfId="37449"/>
    <cellStyle name="Calculation 2 2 16 7" xfId="51118"/>
    <cellStyle name="Calculation 2 2 17" xfId="1190"/>
    <cellStyle name="Calculation 2 2 17 2" xfId="9013"/>
    <cellStyle name="Calculation 2 2 17 3" xfId="16441"/>
    <cellStyle name="Calculation 2 2 17 4" xfId="25995"/>
    <cellStyle name="Calculation 2 2 17 5" xfId="34617"/>
    <cellStyle name="Calculation 2 2 17 6" xfId="42289"/>
    <cellStyle name="Calculation 2 2 17 7" xfId="52983"/>
    <cellStyle name="Calculation 2 2 18" xfId="1051"/>
    <cellStyle name="Calculation 2 2 18 2" xfId="8875"/>
    <cellStyle name="Calculation 2 2 18 3" xfId="16303"/>
    <cellStyle name="Calculation 2 2 18 4" xfId="25932"/>
    <cellStyle name="Calculation 2 2 18 5" xfId="34537"/>
    <cellStyle name="Calculation 2 2 18 6" xfId="37883"/>
    <cellStyle name="Calculation 2 2 18 7" xfId="52856"/>
    <cellStyle name="Calculation 2 2 19" xfId="1037"/>
    <cellStyle name="Calculation 2 2 19 2" xfId="8861"/>
    <cellStyle name="Calculation 2 2 19 3" xfId="16289"/>
    <cellStyle name="Calculation 2 2 19 4" xfId="26468"/>
    <cellStyle name="Calculation 2 2 19 5" xfId="35247"/>
    <cellStyle name="Calculation 2 2 19 6" xfId="37666"/>
    <cellStyle name="Calculation 2 2 19 7" xfId="54002"/>
    <cellStyle name="Calculation 2 2 2" xfId="530"/>
    <cellStyle name="Calculation 2 2 2 10" xfId="1977"/>
    <cellStyle name="Calculation 2 2 2 10 2" xfId="9800"/>
    <cellStyle name="Calculation 2 2 2 10 3" xfId="17228"/>
    <cellStyle name="Calculation 2 2 2 10 4" xfId="19416"/>
    <cellStyle name="Calculation 2 2 2 10 5" xfId="28293"/>
    <cellStyle name="Calculation 2 2 2 10 6" xfId="37916"/>
    <cellStyle name="Calculation 2 2 2 10 7" xfId="48851"/>
    <cellStyle name="Calculation 2 2 2 11" xfId="2095"/>
    <cellStyle name="Calculation 2 2 2 11 2" xfId="9918"/>
    <cellStyle name="Calculation 2 2 2 11 3" xfId="17346"/>
    <cellStyle name="Calculation 2 2 2 11 4" xfId="24804"/>
    <cellStyle name="Calculation 2 2 2 11 5" xfId="28489"/>
    <cellStyle name="Calculation 2 2 2 11 6" xfId="40712"/>
    <cellStyle name="Calculation 2 2 2 11 7" xfId="47976"/>
    <cellStyle name="Calculation 2 2 2 12" xfId="2208"/>
    <cellStyle name="Calculation 2 2 2 12 2" xfId="10031"/>
    <cellStyle name="Calculation 2 2 2 12 3" xfId="17459"/>
    <cellStyle name="Calculation 2 2 2 12 4" xfId="25677"/>
    <cellStyle name="Calculation 2 2 2 12 5" xfId="34209"/>
    <cellStyle name="Calculation 2 2 2 12 6" xfId="37145"/>
    <cellStyle name="Calculation 2 2 2 12 7" xfId="52259"/>
    <cellStyle name="Calculation 2 2 2 13" xfId="2317"/>
    <cellStyle name="Calculation 2 2 2 13 2" xfId="10140"/>
    <cellStyle name="Calculation 2 2 2 13 3" xfId="17568"/>
    <cellStyle name="Calculation 2 2 2 13 4" xfId="25423"/>
    <cellStyle name="Calculation 2 2 2 13 5" xfId="33879"/>
    <cellStyle name="Calculation 2 2 2 13 6" xfId="41958"/>
    <cellStyle name="Calculation 2 2 2 13 7" xfId="51694"/>
    <cellStyle name="Calculation 2 2 2 14" xfId="2409"/>
    <cellStyle name="Calculation 2 2 2 14 2" xfId="10232"/>
    <cellStyle name="Calculation 2 2 2 14 3" xfId="17660"/>
    <cellStyle name="Calculation 2 2 2 14 4" xfId="26078"/>
    <cellStyle name="Calculation 2 2 2 14 5" xfId="34724"/>
    <cellStyle name="Calculation 2 2 2 14 6" xfId="38706"/>
    <cellStyle name="Calculation 2 2 2 14 7" xfId="53164"/>
    <cellStyle name="Calculation 2 2 2 15" xfId="2506"/>
    <cellStyle name="Calculation 2 2 2 15 2" xfId="10329"/>
    <cellStyle name="Calculation 2 2 2 15 3" xfId="17757"/>
    <cellStyle name="Calculation 2 2 2 15 4" xfId="19501"/>
    <cellStyle name="Calculation 2 2 2 15 5" xfId="28027"/>
    <cellStyle name="Calculation 2 2 2 15 6" xfId="39605"/>
    <cellStyle name="Calculation 2 2 2 15 7" xfId="50269"/>
    <cellStyle name="Calculation 2 2 2 16" xfId="2619"/>
    <cellStyle name="Calculation 2 2 2 16 2" xfId="10442"/>
    <cellStyle name="Calculation 2 2 2 16 3" xfId="17870"/>
    <cellStyle name="Calculation 2 2 2 16 4" xfId="20508"/>
    <cellStyle name="Calculation 2 2 2 16 5" xfId="27391"/>
    <cellStyle name="Calculation 2 2 2 16 6" xfId="40723"/>
    <cellStyle name="Calculation 2 2 2 16 7" xfId="48207"/>
    <cellStyle name="Calculation 2 2 2 17" xfId="2717"/>
    <cellStyle name="Calculation 2 2 2 17 2" xfId="10540"/>
    <cellStyle name="Calculation 2 2 2 17 3" xfId="17968"/>
    <cellStyle name="Calculation 2 2 2 17 4" xfId="25137"/>
    <cellStyle name="Calculation 2 2 2 17 5" xfId="33510"/>
    <cellStyle name="Calculation 2 2 2 17 6" xfId="38078"/>
    <cellStyle name="Calculation 2 2 2 17 7" xfId="51084"/>
    <cellStyle name="Calculation 2 2 2 18" xfId="2750"/>
    <cellStyle name="Calculation 2 2 2 18 2" xfId="10573"/>
    <cellStyle name="Calculation 2 2 2 18 3" xfId="18001"/>
    <cellStyle name="Calculation 2 2 2 18 4" xfId="19586"/>
    <cellStyle name="Calculation 2 2 2 18 5" xfId="28204"/>
    <cellStyle name="Calculation 2 2 2 18 6" xfId="42144"/>
    <cellStyle name="Calculation 2 2 2 18 7" xfId="49621"/>
    <cellStyle name="Calculation 2 2 2 19" xfId="2812"/>
    <cellStyle name="Calculation 2 2 2 19 2" xfId="10635"/>
    <cellStyle name="Calculation 2 2 2 19 3" xfId="18063"/>
    <cellStyle name="Calculation 2 2 2 19 4" xfId="20167"/>
    <cellStyle name="Calculation 2 2 2 19 5" xfId="27873"/>
    <cellStyle name="Calculation 2 2 2 19 6" xfId="37575"/>
    <cellStyle name="Calculation 2 2 2 19 7" xfId="50143"/>
    <cellStyle name="Calculation 2 2 2 2" xfId="680"/>
    <cellStyle name="Calculation 2 2 2 2 2" xfId="8504"/>
    <cellStyle name="Calculation 2 2 2 2 3" xfId="8256"/>
    <cellStyle name="Calculation 2 2 2 2 4" xfId="19938"/>
    <cellStyle name="Calculation 2 2 2 2 5" xfId="27361"/>
    <cellStyle name="Calculation 2 2 2 2 6" xfId="36604"/>
    <cellStyle name="Calculation 2 2 2 2 7" xfId="47817"/>
    <cellStyle name="Calculation 2 2 2 20" xfId="2919"/>
    <cellStyle name="Calculation 2 2 2 20 2" xfId="10742"/>
    <cellStyle name="Calculation 2 2 2 20 3" xfId="18170"/>
    <cellStyle name="Calculation 2 2 2 20 4" xfId="19695"/>
    <cellStyle name="Calculation 2 2 2 20 5" xfId="28081"/>
    <cellStyle name="Calculation 2 2 2 20 6" xfId="36666"/>
    <cellStyle name="Calculation 2 2 2 20 7" xfId="48197"/>
    <cellStyle name="Calculation 2 2 2 21" xfId="3295"/>
    <cellStyle name="Calculation 2 2 2 21 2" xfId="11088"/>
    <cellStyle name="Calculation 2 2 2 21 3" xfId="18417"/>
    <cellStyle name="Calculation 2 2 2 21 4" xfId="25380"/>
    <cellStyle name="Calculation 2 2 2 21 5" xfId="33828"/>
    <cellStyle name="Calculation 2 2 2 21 6" xfId="40310"/>
    <cellStyle name="Calculation 2 2 2 21 7" xfId="51606"/>
    <cellStyle name="Calculation 2 2 2 22" xfId="3415"/>
    <cellStyle name="Calculation 2 2 2 22 2" xfId="11206"/>
    <cellStyle name="Calculation 2 2 2 22 3" xfId="18528"/>
    <cellStyle name="Calculation 2 2 2 22 4" xfId="19477"/>
    <cellStyle name="Calculation 2 2 2 22 5" xfId="27735"/>
    <cellStyle name="Calculation 2 2 2 22 6" xfId="36648"/>
    <cellStyle name="Calculation 2 2 2 22 7" xfId="48606"/>
    <cellStyle name="Calculation 2 2 2 23" xfId="3002"/>
    <cellStyle name="Calculation 2 2 2 23 2" xfId="10821"/>
    <cellStyle name="Calculation 2 2 2 23 3" xfId="18244"/>
    <cellStyle name="Calculation 2 2 2 23 4" xfId="26004"/>
    <cellStyle name="Calculation 2 2 2 23 5" xfId="34628"/>
    <cellStyle name="Calculation 2 2 2 23 6" xfId="40481"/>
    <cellStyle name="Calculation 2 2 2 23 7" xfId="53006"/>
    <cellStyle name="Calculation 2 2 2 24" xfId="3686"/>
    <cellStyle name="Calculation 2 2 2 24 2" xfId="11471"/>
    <cellStyle name="Calculation 2 2 2 24 3" xfId="18744"/>
    <cellStyle name="Calculation 2 2 2 24 4" xfId="19753"/>
    <cellStyle name="Calculation 2 2 2 24 5" xfId="27815"/>
    <cellStyle name="Calculation 2 2 2 24 6" xfId="37863"/>
    <cellStyle name="Calculation 2 2 2 24 7" xfId="47520"/>
    <cellStyle name="Calculation 2 2 2 25" xfId="3816"/>
    <cellStyle name="Calculation 2 2 2 25 2" xfId="11598"/>
    <cellStyle name="Calculation 2 2 2 25 3" xfId="18855"/>
    <cellStyle name="Calculation 2 2 2 25 4" xfId="25449"/>
    <cellStyle name="Calculation 2 2 2 25 5" xfId="33909"/>
    <cellStyle name="Calculation 2 2 2 25 6" xfId="40519"/>
    <cellStyle name="Calculation 2 2 2 25 7" xfId="51746"/>
    <cellStyle name="Calculation 2 2 2 26" xfId="3934"/>
    <cellStyle name="Calculation 2 2 2 26 2" xfId="11714"/>
    <cellStyle name="Calculation 2 2 2 26 3" xfId="18964"/>
    <cellStyle name="Calculation 2 2 2 26 4" xfId="25445"/>
    <cellStyle name="Calculation 2 2 2 26 5" xfId="33905"/>
    <cellStyle name="Calculation 2 2 2 26 6" xfId="38501"/>
    <cellStyle name="Calculation 2 2 2 26 7" xfId="51739"/>
    <cellStyle name="Calculation 2 2 2 27" xfId="4024"/>
    <cellStyle name="Calculation 2 2 2 27 2" xfId="11798"/>
    <cellStyle name="Calculation 2 2 2 27 3" xfId="20734"/>
    <cellStyle name="Calculation 2 2 2 27 4" xfId="28921"/>
    <cellStyle name="Calculation 2 2 2 27 5" xfId="38303"/>
    <cellStyle name="Calculation 2 2 2 27 6" xfId="42586"/>
    <cellStyle name="Calculation 2 2 2 27 7" xfId="48585"/>
    <cellStyle name="Calculation 2 2 2 28" xfId="4131"/>
    <cellStyle name="Calculation 2 2 2 28 2" xfId="11890"/>
    <cellStyle name="Calculation 2 2 2 28 3" xfId="20841"/>
    <cellStyle name="Calculation 2 2 2 28 4" xfId="29028"/>
    <cellStyle name="Calculation 2 2 2 28 5" xfId="38405"/>
    <cellStyle name="Calculation 2 2 2 28 6" xfId="42693"/>
    <cellStyle name="Calculation 2 2 2 28 7" xfId="51263"/>
    <cellStyle name="Calculation 2 2 2 29" xfId="3137"/>
    <cellStyle name="Calculation 2 2 2 29 2" xfId="20275"/>
    <cellStyle name="Calculation 2 2 2 29 3" xfId="28370"/>
    <cellStyle name="Calculation 2 2 2 29 4" xfId="37754"/>
    <cellStyle name="Calculation 2 2 2 29 5" xfId="42406"/>
    <cellStyle name="Calculation 2 2 2 29 6" xfId="49134"/>
    <cellStyle name="Calculation 2 2 2 3" xfId="788"/>
    <cellStyle name="Calculation 2 2 2 3 2" xfId="8612"/>
    <cellStyle name="Calculation 2 2 2 3 3" xfId="16040"/>
    <cellStyle name="Calculation 2 2 2 3 4" xfId="24999"/>
    <cellStyle name="Calculation 2 2 2 3 5" xfId="33349"/>
    <cellStyle name="Calculation 2 2 2 3 6" xfId="36878"/>
    <cellStyle name="Calculation 2 2 2 3 7" xfId="50789"/>
    <cellStyle name="Calculation 2 2 2 30" xfId="4328"/>
    <cellStyle name="Calculation 2 2 2 30 2" xfId="12045"/>
    <cellStyle name="Calculation 2 2 2 30 3" xfId="21038"/>
    <cellStyle name="Calculation 2 2 2 30 4" xfId="29225"/>
    <cellStyle name="Calculation 2 2 2 30 5" xfId="38596"/>
    <cellStyle name="Calculation 2 2 2 30 6" xfId="42890"/>
    <cellStyle name="Calculation 2 2 2 30 7" xfId="49833"/>
    <cellStyle name="Calculation 2 2 2 31" xfId="4451"/>
    <cellStyle name="Calculation 2 2 2 31 2" xfId="12168"/>
    <cellStyle name="Calculation 2 2 2 31 3" xfId="21161"/>
    <cellStyle name="Calculation 2 2 2 31 4" xfId="29348"/>
    <cellStyle name="Calculation 2 2 2 31 5" xfId="38714"/>
    <cellStyle name="Calculation 2 2 2 31 6" xfId="43013"/>
    <cellStyle name="Calculation 2 2 2 31 7" xfId="50193"/>
    <cellStyle name="Calculation 2 2 2 32" xfId="4565"/>
    <cellStyle name="Calculation 2 2 2 32 2" xfId="12282"/>
    <cellStyle name="Calculation 2 2 2 32 3" xfId="21275"/>
    <cellStyle name="Calculation 2 2 2 32 4" xfId="29462"/>
    <cellStyle name="Calculation 2 2 2 32 5" xfId="38823"/>
    <cellStyle name="Calculation 2 2 2 32 6" xfId="43127"/>
    <cellStyle name="Calculation 2 2 2 32 7" xfId="53211"/>
    <cellStyle name="Calculation 2 2 2 33" xfId="4678"/>
    <cellStyle name="Calculation 2 2 2 33 2" xfId="12395"/>
    <cellStyle name="Calculation 2 2 2 33 3" xfId="21388"/>
    <cellStyle name="Calculation 2 2 2 33 4" xfId="29575"/>
    <cellStyle name="Calculation 2 2 2 33 5" xfId="38932"/>
    <cellStyle name="Calculation 2 2 2 33 6" xfId="43240"/>
    <cellStyle name="Calculation 2 2 2 33 7" xfId="49210"/>
    <cellStyle name="Calculation 2 2 2 34" xfId="4789"/>
    <cellStyle name="Calculation 2 2 2 34 2" xfId="12506"/>
    <cellStyle name="Calculation 2 2 2 34 3" xfId="21499"/>
    <cellStyle name="Calculation 2 2 2 34 4" xfId="29686"/>
    <cellStyle name="Calculation 2 2 2 34 5" xfId="39040"/>
    <cellStyle name="Calculation 2 2 2 34 6" xfId="43351"/>
    <cellStyle name="Calculation 2 2 2 34 7" xfId="52921"/>
    <cellStyle name="Calculation 2 2 2 35" xfId="4898"/>
    <cellStyle name="Calculation 2 2 2 35 2" xfId="12615"/>
    <cellStyle name="Calculation 2 2 2 35 3" xfId="21608"/>
    <cellStyle name="Calculation 2 2 2 35 4" xfId="29795"/>
    <cellStyle name="Calculation 2 2 2 35 5" xfId="39144"/>
    <cellStyle name="Calculation 2 2 2 35 6" xfId="43460"/>
    <cellStyle name="Calculation 2 2 2 35 7" xfId="49145"/>
    <cellStyle name="Calculation 2 2 2 36" xfId="5009"/>
    <cellStyle name="Calculation 2 2 2 36 2" xfId="12726"/>
    <cellStyle name="Calculation 2 2 2 36 3" xfId="21719"/>
    <cellStyle name="Calculation 2 2 2 36 4" xfId="29906"/>
    <cellStyle name="Calculation 2 2 2 36 5" xfId="39252"/>
    <cellStyle name="Calculation 2 2 2 36 6" xfId="43571"/>
    <cellStyle name="Calculation 2 2 2 36 7" xfId="53098"/>
    <cellStyle name="Calculation 2 2 2 37" xfId="5388"/>
    <cellStyle name="Calculation 2 2 2 37 2" xfId="13105"/>
    <cellStyle name="Calculation 2 2 2 37 3" xfId="22098"/>
    <cellStyle name="Calculation 2 2 2 37 4" xfId="30285"/>
    <cellStyle name="Calculation 2 2 2 37 5" xfId="39616"/>
    <cellStyle name="Calculation 2 2 2 37 6" xfId="43950"/>
    <cellStyle name="Calculation 2 2 2 37 7" xfId="52656"/>
    <cellStyle name="Calculation 2 2 2 38" xfId="5508"/>
    <cellStyle name="Calculation 2 2 2 38 2" xfId="13225"/>
    <cellStyle name="Calculation 2 2 2 38 3" xfId="22218"/>
    <cellStyle name="Calculation 2 2 2 38 4" xfId="30405"/>
    <cellStyle name="Calculation 2 2 2 38 5" xfId="39730"/>
    <cellStyle name="Calculation 2 2 2 38 6" xfId="44070"/>
    <cellStyle name="Calculation 2 2 2 38 7" xfId="47849"/>
    <cellStyle name="Calculation 2 2 2 39" xfId="5632"/>
    <cellStyle name="Calculation 2 2 2 39 2" xfId="13349"/>
    <cellStyle name="Calculation 2 2 2 39 3" xfId="22342"/>
    <cellStyle name="Calculation 2 2 2 39 4" xfId="30529"/>
    <cellStyle name="Calculation 2 2 2 39 5" xfId="39850"/>
    <cellStyle name="Calculation 2 2 2 39 6" xfId="44194"/>
    <cellStyle name="Calculation 2 2 2 39 7" xfId="46836"/>
    <cellStyle name="Calculation 2 2 2 4" xfId="899"/>
    <cellStyle name="Calculation 2 2 2 4 2" xfId="8723"/>
    <cellStyle name="Calculation 2 2 2 4 3" xfId="16151"/>
    <cellStyle name="Calculation 2 2 2 4 4" xfId="26583"/>
    <cellStyle name="Calculation 2 2 2 4 5" xfId="35403"/>
    <cellStyle name="Calculation 2 2 2 4 6" xfId="36613"/>
    <cellStyle name="Calculation 2 2 2 4 7" xfId="54242"/>
    <cellStyle name="Calculation 2 2 2 40" xfId="5748"/>
    <cellStyle name="Calculation 2 2 2 40 2" xfId="13465"/>
    <cellStyle name="Calculation 2 2 2 40 3" xfId="22458"/>
    <cellStyle name="Calculation 2 2 2 40 4" xfId="30645"/>
    <cellStyle name="Calculation 2 2 2 40 5" xfId="39962"/>
    <cellStyle name="Calculation 2 2 2 40 6" xfId="44310"/>
    <cellStyle name="Calculation 2 2 2 40 7" xfId="51749"/>
    <cellStyle name="Calculation 2 2 2 41" xfId="5864"/>
    <cellStyle name="Calculation 2 2 2 41 2" xfId="13581"/>
    <cellStyle name="Calculation 2 2 2 41 3" xfId="22574"/>
    <cellStyle name="Calculation 2 2 2 41 4" xfId="30761"/>
    <cellStyle name="Calculation 2 2 2 41 5" xfId="40075"/>
    <cellStyle name="Calculation 2 2 2 41 6" xfId="44426"/>
    <cellStyle name="Calculation 2 2 2 41 7" xfId="53117"/>
    <cellStyle name="Calculation 2 2 2 42" xfId="5993"/>
    <cellStyle name="Calculation 2 2 2 42 2" xfId="13710"/>
    <cellStyle name="Calculation 2 2 2 42 3" xfId="22703"/>
    <cellStyle name="Calculation 2 2 2 42 4" xfId="30890"/>
    <cellStyle name="Calculation 2 2 2 42 5" xfId="40199"/>
    <cellStyle name="Calculation 2 2 2 42 6" xfId="44555"/>
    <cellStyle name="Calculation 2 2 2 42 7" xfId="51583"/>
    <cellStyle name="Calculation 2 2 2 43" xfId="5093"/>
    <cellStyle name="Calculation 2 2 2 43 2" xfId="12810"/>
    <cellStyle name="Calculation 2 2 2 43 3" xfId="21803"/>
    <cellStyle name="Calculation 2 2 2 43 4" xfId="29990"/>
    <cellStyle name="Calculation 2 2 2 43 5" xfId="39332"/>
    <cellStyle name="Calculation 2 2 2 43 6" xfId="43655"/>
    <cellStyle name="Calculation 2 2 2 43 7" xfId="51614"/>
    <cellStyle name="Calculation 2 2 2 44" xfId="6249"/>
    <cellStyle name="Calculation 2 2 2 44 2" xfId="13966"/>
    <cellStyle name="Calculation 2 2 2 44 3" xfId="22959"/>
    <cellStyle name="Calculation 2 2 2 44 4" xfId="31146"/>
    <cellStyle name="Calculation 2 2 2 44 5" xfId="40447"/>
    <cellStyle name="Calculation 2 2 2 44 6" xfId="44811"/>
    <cellStyle name="Calculation 2 2 2 44 7" xfId="50388"/>
    <cellStyle name="Calculation 2 2 2 45" xfId="6365"/>
    <cellStyle name="Calculation 2 2 2 45 2" xfId="14082"/>
    <cellStyle name="Calculation 2 2 2 45 3" xfId="23075"/>
    <cellStyle name="Calculation 2 2 2 45 4" xfId="31262"/>
    <cellStyle name="Calculation 2 2 2 45 5" xfId="40560"/>
    <cellStyle name="Calculation 2 2 2 45 6" xfId="44927"/>
    <cellStyle name="Calculation 2 2 2 45 7" xfId="53487"/>
    <cellStyle name="Calculation 2 2 2 46" xfId="6476"/>
    <cellStyle name="Calculation 2 2 2 46 2" xfId="14193"/>
    <cellStyle name="Calculation 2 2 2 46 3" xfId="23186"/>
    <cellStyle name="Calculation 2 2 2 46 4" xfId="31373"/>
    <cellStyle name="Calculation 2 2 2 46 5" xfId="40667"/>
    <cellStyle name="Calculation 2 2 2 46 6" xfId="45038"/>
    <cellStyle name="Calculation 2 2 2 46 7" xfId="53661"/>
    <cellStyle name="Calculation 2 2 2 47" xfId="6559"/>
    <cellStyle name="Calculation 2 2 2 47 2" xfId="14276"/>
    <cellStyle name="Calculation 2 2 2 47 3" xfId="23269"/>
    <cellStyle name="Calculation 2 2 2 47 4" xfId="31456"/>
    <cellStyle name="Calculation 2 2 2 47 5" xfId="40745"/>
    <cellStyle name="Calculation 2 2 2 47 6" xfId="45121"/>
    <cellStyle name="Calculation 2 2 2 47 7" xfId="51812"/>
    <cellStyle name="Calculation 2 2 2 48" xfId="6622"/>
    <cellStyle name="Calculation 2 2 2 48 2" xfId="14339"/>
    <cellStyle name="Calculation 2 2 2 48 3" xfId="23332"/>
    <cellStyle name="Calculation 2 2 2 48 4" xfId="31519"/>
    <cellStyle name="Calculation 2 2 2 48 5" xfId="40806"/>
    <cellStyle name="Calculation 2 2 2 48 6" xfId="45184"/>
    <cellStyle name="Calculation 2 2 2 48 7" xfId="48659"/>
    <cellStyle name="Calculation 2 2 2 49" xfId="6734"/>
    <cellStyle name="Calculation 2 2 2 49 2" xfId="14451"/>
    <cellStyle name="Calculation 2 2 2 49 3" xfId="23444"/>
    <cellStyle name="Calculation 2 2 2 49 4" xfId="31631"/>
    <cellStyle name="Calculation 2 2 2 49 5" xfId="40912"/>
    <cellStyle name="Calculation 2 2 2 49 6" xfId="45296"/>
    <cellStyle name="Calculation 2 2 2 49 7" xfId="51494"/>
    <cellStyle name="Calculation 2 2 2 5" xfId="1365"/>
    <cellStyle name="Calculation 2 2 2 5 2" xfId="9188"/>
    <cellStyle name="Calculation 2 2 2 5 3" xfId="16616"/>
    <cellStyle name="Calculation 2 2 2 5 4" xfId="26260"/>
    <cellStyle name="Calculation 2 2 2 5 5" xfId="34958"/>
    <cellStyle name="Calculation 2 2 2 5 6" xfId="40272"/>
    <cellStyle name="Calculation 2 2 2 5 7" xfId="53559"/>
    <cellStyle name="Calculation 2 2 2 50" xfId="6849"/>
    <cellStyle name="Calculation 2 2 2 50 2" xfId="14566"/>
    <cellStyle name="Calculation 2 2 2 50 3" xfId="23559"/>
    <cellStyle name="Calculation 2 2 2 50 4" xfId="31746"/>
    <cellStyle name="Calculation 2 2 2 50 5" xfId="41020"/>
    <cellStyle name="Calculation 2 2 2 50 6" xfId="45411"/>
    <cellStyle name="Calculation 2 2 2 50 7" xfId="50074"/>
    <cellStyle name="Calculation 2 2 2 51" xfId="6962"/>
    <cellStyle name="Calculation 2 2 2 51 2" xfId="14679"/>
    <cellStyle name="Calculation 2 2 2 51 3" xfId="23672"/>
    <cellStyle name="Calculation 2 2 2 51 4" xfId="31859"/>
    <cellStyle name="Calculation 2 2 2 51 5" xfId="41128"/>
    <cellStyle name="Calculation 2 2 2 51 6" xfId="45524"/>
    <cellStyle name="Calculation 2 2 2 51 7" xfId="46788"/>
    <cellStyle name="Calculation 2 2 2 52" xfId="7073"/>
    <cellStyle name="Calculation 2 2 2 52 2" xfId="14790"/>
    <cellStyle name="Calculation 2 2 2 52 3" xfId="23783"/>
    <cellStyle name="Calculation 2 2 2 52 4" xfId="31970"/>
    <cellStyle name="Calculation 2 2 2 52 5" xfId="41233"/>
    <cellStyle name="Calculation 2 2 2 52 6" xfId="45635"/>
    <cellStyle name="Calculation 2 2 2 52 7" xfId="52111"/>
    <cellStyle name="Calculation 2 2 2 53" xfId="7345"/>
    <cellStyle name="Calculation 2 2 2 53 2" xfId="15062"/>
    <cellStyle name="Calculation 2 2 2 53 3" xfId="24055"/>
    <cellStyle name="Calculation 2 2 2 53 4" xfId="32242"/>
    <cellStyle name="Calculation 2 2 2 53 5" xfId="41498"/>
    <cellStyle name="Calculation 2 2 2 53 6" xfId="45907"/>
    <cellStyle name="Calculation 2 2 2 53 7" xfId="52034"/>
    <cellStyle name="Calculation 2 2 2 54" xfId="7223"/>
    <cellStyle name="Calculation 2 2 2 54 2" xfId="14940"/>
    <cellStyle name="Calculation 2 2 2 54 3" xfId="23933"/>
    <cellStyle name="Calculation 2 2 2 54 4" xfId="32120"/>
    <cellStyle name="Calculation 2 2 2 54 5" xfId="41378"/>
    <cellStyle name="Calculation 2 2 2 54 6" xfId="45785"/>
    <cellStyle name="Calculation 2 2 2 54 7" xfId="48810"/>
    <cellStyle name="Calculation 2 2 2 55" xfId="7470"/>
    <cellStyle name="Calculation 2 2 2 55 2" xfId="15187"/>
    <cellStyle name="Calculation 2 2 2 55 3" xfId="24180"/>
    <cellStyle name="Calculation 2 2 2 55 4" xfId="32367"/>
    <cellStyle name="Calculation 2 2 2 55 5" xfId="41616"/>
    <cellStyle name="Calculation 2 2 2 55 6" xfId="46032"/>
    <cellStyle name="Calculation 2 2 2 55 7" xfId="53377"/>
    <cellStyle name="Calculation 2 2 2 56" xfId="7591"/>
    <cellStyle name="Calculation 2 2 2 56 2" xfId="15308"/>
    <cellStyle name="Calculation 2 2 2 56 3" xfId="24301"/>
    <cellStyle name="Calculation 2 2 2 56 4" xfId="32488"/>
    <cellStyle name="Calculation 2 2 2 56 5" xfId="41731"/>
    <cellStyle name="Calculation 2 2 2 56 6" xfId="46153"/>
    <cellStyle name="Calculation 2 2 2 56 7" xfId="48329"/>
    <cellStyle name="Calculation 2 2 2 57" xfId="7867"/>
    <cellStyle name="Calculation 2 2 2 57 2" xfId="15584"/>
    <cellStyle name="Calculation 2 2 2 57 3" xfId="24571"/>
    <cellStyle name="Calculation 2 2 2 57 4" xfId="32764"/>
    <cellStyle name="Calculation 2 2 2 57 5" xfId="41996"/>
    <cellStyle name="Calculation 2 2 2 57 6" xfId="46429"/>
    <cellStyle name="Calculation 2 2 2 57 7" xfId="49189"/>
    <cellStyle name="Calculation 2 2 2 58" xfId="7999"/>
    <cellStyle name="Calculation 2 2 2 58 2" xfId="15716"/>
    <cellStyle name="Calculation 2 2 2 58 3" xfId="24701"/>
    <cellStyle name="Calculation 2 2 2 58 4" xfId="32896"/>
    <cellStyle name="Calculation 2 2 2 58 5" xfId="42122"/>
    <cellStyle name="Calculation 2 2 2 58 6" xfId="46561"/>
    <cellStyle name="Calculation 2 2 2 58 7" xfId="50003"/>
    <cellStyle name="Calculation 2 2 2 59" xfId="8079"/>
    <cellStyle name="Calculation 2 2 2 59 2" xfId="15796"/>
    <cellStyle name="Calculation 2 2 2 59 3" xfId="24780"/>
    <cellStyle name="Calculation 2 2 2 59 4" xfId="32976"/>
    <cellStyle name="Calculation 2 2 2 59 5" xfId="42198"/>
    <cellStyle name="Calculation 2 2 2 59 6" xfId="46641"/>
    <cellStyle name="Calculation 2 2 2 59 7" xfId="48479"/>
    <cellStyle name="Calculation 2 2 2 6" xfId="1488"/>
    <cellStyle name="Calculation 2 2 2 6 2" xfId="9311"/>
    <cellStyle name="Calculation 2 2 2 6 3" xfId="16739"/>
    <cellStyle name="Calculation 2 2 2 6 4" xfId="26268"/>
    <cellStyle name="Calculation 2 2 2 6 5" xfId="34966"/>
    <cellStyle name="Calculation 2 2 2 6 6" xfId="36972"/>
    <cellStyle name="Calculation 2 2 2 6 7" xfId="53575"/>
    <cellStyle name="Calculation 2 2 2 60" xfId="8143"/>
    <cellStyle name="Calculation 2 2 2 60 2" xfId="15860"/>
    <cellStyle name="Calculation 2 2 2 60 3" xfId="33040"/>
    <cellStyle name="Calculation 2 2 2 60 4" xfId="42260"/>
    <cellStyle name="Calculation 2 2 2 60 5" xfId="46705"/>
    <cellStyle name="Calculation 2 2 2 60 6" xfId="49431"/>
    <cellStyle name="Calculation 2 2 2 61" xfId="20170"/>
    <cellStyle name="Calculation 2 2 2 62" xfId="27057"/>
    <cellStyle name="Calculation 2 2 2 63" xfId="36630"/>
    <cellStyle name="Calculation 2 2 2 64" xfId="48307"/>
    <cellStyle name="Calculation 2 2 2 7" xfId="1619"/>
    <cellStyle name="Calculation 2 2 2 7 2" xfId="9442"/>
    <cellStyle name="Calculation 2 2 2 7 3" xfId="16870"/>
    <cellStyle name="Calculation 2 2 2 7 4" xfId="25403"/>
    <cellStyle name="Calculation 2 2 2 7 5" xfId="33858"/>
    <cellStyle name="Calculation 2 2 2 7 6" xfId="37202"/>
    <cellStyle name="Calculation 2 2 2 7 7" xfId="51652"/>
    <cellStyle name="Calculation 2 2 2 8" xfId="1725"/>
    <cellStyle name="Calculation 2 2 2 8 2" xfId="9548"/>
    <cellStyle name="Calculation 2 2 2 8 3" xfId="16976"/>
    <cellStyle name="Calculation 2 2 2 8 4" xfId="25510"/>
    <cellStyle name="Calculation 2 2 2 8 5" xfId="33988"/>
    <cellStyle name="Calculation 2 2 2 8 6" xfId="41876"/>
    <cellStyle name="Calculation 2 2 2 8 7" xfId="51894"/>
    <cellStyle name="Calculation 2 2 2 9" xfId="1859"/>
    <cellStyle name="Calculation 2 2 2 9 2" xfId="9682"/>
    <cellStyle name="Calculation 2 2 2 9 3" xfId="17110"/>
    <cellStyle name="Calculation 2 2 2 9 4" xfId="25756"/>
    <cellStyle name="Calculation 2 2 2 9 5" xfId="34309"/>
    <cellStyle name="Calculation 2 2 2 9 6" xfId="41398"/>
    <cellStyle name="Calculation 2 2 2 9 7" xfId="52443"/>
    <cellStyle name="Calculation 2 2 20" xfId="2157"/>
    <cellStyle name="Calculation 2 2 20 2" xfId="9980"/>
    <cellStyle name="Calculation 2 2 20 3" xfId="17408"/>
    <cellStyle name="Calculation 2 2 20 4" xfId="19052"/>
    <cellStyle name="Calculation 2 2 20 5" xfId="26928"/>
    <cellStyle name="Calculation 2 2 20 6" xfId="41711"/>
    <cellStyle name="Calculation 2 2 20 7" xfId="49127"/>
    <cellStyle name="Calculation 2 2 21" xfId="1807"/>
    <cellStyle name="Calculation 2 2 21 2" xfId="9630"/>
    <cellStyle name="Calculation 2 2 21 3" xfId="17058"/>
    <cellStyle name="Calculation 2 2 21 4" xfId="19057"/>
    <cellStyle name="Calculation 2 2 21 5" xfId="33169"/>
    <cellStyle name="Calculation 2 2 21 6" xfId="40354"/>
    <cellStyle name="Calculation 2 2 21 7" xfId="50474"/>
    <cellStyle name="Calculation 2 2 22" xfId="2402"/>
    <cellStyle name="Calculation 2 2 22 2" xfId="10225"/>
    <cellStyle name="Calculation 2 2 22 3" xfId="17653"/>
    <cellStyle name="Calculation 2 2 22 4" xfId="26399"/>
    <cellStyle name="Calculation 2 2 22 5" xfId="35151"/>
    <cellStyle name="Calculation 2 2 22 6" xfId="39722"/>
    <cellStyle name="Calculation 2 2 22 7" xfId="53848"/>
    <cellStyle name="Calculation 2 2 23" xfId="2439"/>
    <cellStyle name="Calculation 2 2 23 2" xfId="10262"/>
    <cellStyle name="Calculation 2 2 23 3" xfId="17690"/>
    <cellStyle name="Calculation 2 2 23 4" xfId="19107"/>
    <cellStyle name="Calculation 2 2 23 5" xfId="27350"/>
    <cellStyle name="Calculation 2 2 23 6" xfId="41486"/>
    <cellStyle name="Calculation 2 2 23 7" xfId="49922"/>
    <cellStyle name="Calculation 2 2 24" xfId="2359"/>
    <cellStyle name="Calculation 2 2 24 2" xfId="10182"/>
    <cellStyle name="Calculation 2 2 24 3" xfId="17610"/>
    <cellStyle name="Calculation 2 2 24 4" xfId="25011"/>
    <cellStyle name="Calculation 2 2 24 5" xfId="33363"/>
    <cellStyle name="Calculation 2 2 24 6" xfId="37581"/>
    <cellStyle name="Calculation 2 2 24 7" xfId="50819"/>
    <cellStyle name="Calculation 2 2 25" xfId="2376"/>
    <cellStyle name="Calculation 2 2 25 2" xfId="10199"/>
    <cellStyle name="Calculation 2 2 25 3" xfId="17627"/>
    <cellStyle name="Calculation 2 2 25 4" xfId="19851"/>
    <cellStyle name="Calculation 2 2 25 5" xfId="26948"/>
    <cellStyle name="Calculation 2 2 25 6" xfId="41881"/>
    <cellStyle name="Calculation 2 2 25 7" xfId="49084"/>
    <cellStyle name="Calculation 2 2 26" xfId="3106"/>
    <cellStyle name="Calculation 2 2 26 2" xfId="10911"/>
    <cellStyle name="Calculation 2 2 26 3" xfId="18292"/>
    <cellStyle name="Calculation 2 2 26 4" xfId="20662"/>
    <cellStyle name="Calculation 2 2 26 5" xfId="27723"/>
    <cellStyle name="Calculation 2 2 26 6" xfId="41943"/>
    <cellStyle name="Calculation 2 2 26 7" xfId="50019"/>
    <cellStyle name="Calculation 2 2 27" xfId="3100"/>
    <cellStyle name="Calculation 2 2 27 2" xfId="10905"/>
    <cellStyle name="Calculation 2 2 27 3" xfId="18287"/>
    <cellStyle name="Calculation 2 2 27 4" xfId="24906"/>
    <cellStyle name="Calculation 2 2 27 5" xfId="33228"/>
    <cellStyle name="Calculation 2 2 27 6" xfId="37304"/>
    <cellStyle name="Calculation 2 2 27 7" xfId="50577"/>
    <cellStyle name="Calculation 2 2 28" xfId="3358"/>
    <cellStyle name="Calculation 2 2 28 2" xfId="11151"/>
    <cellStyle name="Calculation 2 2 28 3" xfId="18477"/>
    <cellStyle name="Calculation 2 2 28 4" xfId="26603"/>
    <cellStyle name="Calculation 2 2 28 5" xfId="35430"/>
    <cellStyle name="Calculation 2 2 28 6" xfId="41155"/>
    <cellStyle name="Calculation 2 2 28 7" xfId="54292"/>
    <cellStyle name="Calculation 2 2 29" xfId="3198"/>
    <cellStyle name="Calculation 2 2 29 2" xfId="10998"/>
    <cellStyle name="Calculation 2 2 29 3" xfId="18347"/>
    <cellStyle name="Calculation 2 2 29 4" xfId="19994"/>
    <cellStyle name="Calculation 2 2 29 5" xfId="27523"/>
    <cellStyle name="Calculation 2 2 29 6" xfId="37007"/>
    <cellStyle name="Calculation 2 2 29 7" xfId="49447"/>
    <cellStyle name="Calculation 2 2 3" xfId="482"/>
    <cellStyle name="Calculation 2 2 3 10" xfId="1929"/>
    <cellStyle name="Calculation 2 2 3 10 2" xfId="9752"/>
    <cellStyle name="Calculation 2 2 3 10 3" xfId="17180"/>
    <cellStyle name="Calculation 2 2 3 10 4" xfId="26438"/>
    <cellStyle name="Calculation 2 2 3 10 5" xfId="35207"/>
    <cellStyle name="Calculation 2 2 3 10 6" xfId="37010"/>
    <cellStyle name="Calculation 2 2 3 10 7" xfId="53931"/>
    <cellStyle name="Calculation 2 2 3 11" xfId="2047"/>
    <cellStyle name="Calculation 2 2 3 11 2" xfId="9870"/>
    <cellStyle name="Calculation 2 2 3 11 3" xfId="17298"/>
    <cellStyle name="Calculation 2 2 3 11 4" xfId="26634"/>
    <cellStyle name="Calculation 2 2 3 11 5" xfId="35469"/>
    <cellStyle name="Calculation 2 2 3 11 6" xfId="38130"/>
    <cellStyle name="Calculation 2 2 3 11 7" xfId="54353"/>
    <cellStyle name="Calculation 2 2 3 12" xfId="2160"/>
    <cellStyle name="Calculation 2 2 3 12 2" xfId="9983"/>
    <cellStyle name="Calculation 2 2 3 12 3" xfId="17411"/>
    <cellStyle name="Calculation 2 2 3 12 4" xfId="19504"/>
    <cellStyle name="Calculation 2 2 3 12 5" xfId="27659"/>
    <cellStyle name="Calculation 2 2 3 12 6" xfId="41461"/>
    <cellStyle name="Calculation 2 2 3 12 7" xfId="48842"/>
    <cellStyle name="Calculation 2 2 3 13" xfId="1806"/>
    <cellStyle name="Calculation 2 2 3 13 2" xfId="9629"/>
    <cellStyle name="Calculation 2 2 3 13 3" xfId="17057"/>
    <cellStyle name="Calculation 2 2 3 13 4" xfId="24897"/>
    <cellStyle name="Calculation 2 2 3 13 5" xfId="33213"/>
    <cellStyle name="Calculation 2 2 3 13 6" xfId="40482"/>
    <cellStyle name="Calculation 2 2 3 13 7" xfId="50555"/>
    <cellStyle name="Calculation 2 2 3 14" xfId="978"/>
    <cellStyle name="Calculation 2 2 3 14 2" xfId="8802"/>
    <cellStyle name="Calculation 2 2 3 14 3" xfId="16230"/>
    <cellStyle name="Calculation 2 2 3 14 4" xfId="26049"/>
    <cellStyle name="Calculation 2 2 3 14 5" xfId="34689"/>
    <cellStyle name="Calculation 2 2 3 14 6" xfId="37414"/>
    <cellStyle name="Calculation 2 2 3 14 7" xfId="53103"/>
    <cellStyle name="Calculation 2 2 3 15" xfId="2458"/>
    <cellStyle name="Calculation 2 2 3 15 2" xfId="10281"/>
    <cellStyle name="Calculation 2 2 3 15 3" xfId="17709"/>
    <cellStyle name="Calculation 2 2 3 15 4" xfId="19239"/>
    <cellStyle name="Calculation 2 2 3 15 5" xfId="27191"/>
    <cellStyle name="Calculation 2 2 3 15 6" xfId="40802"/>
    <cellStyle name="Calculation 2 2 3 15 7" xfId="47889"/>
    <cellStyle name="Calculation 2 2 3 16" xfId="2571"/>
    <cellStyle name="Calculation 2 2 3 16 2" xfId="10394"/>
    <cellStyle name="Calculation 2 2 3 16 3" xfId="17822"/>
    <cellStyle name="Calculation 2 2 3 16 4" xfId="25864"/>
    <cellStyle name="Calculation 2 2 3 16 5" xfId="34452"/>
    <cellStyle name="Calculation 2 2 3 16 6" xfId="38121"/>
    <cellStyle name="Calculation 2 2 3 16 7" xfId="52700"/>
    <cellStyle name="Calculation 2 2 3 17" xfId="1136"/>
    <cellStyle name="Calculation 2 2 3 17 2" xfId="8959"/>
    <cellStyle name="Calculation 2 2 3 17 3" xfId="16387"/>
    <cellStyle name="Calculation 2 2 3 17 4" xfId="25125"/>
    <cellStyle name="Calculation 2 2 3 17 5" xfId="33498"/>
    <cellStyle name="Calculation 2 2 3 17 6" xfId="41343"/>
    <cellStyle name="Calculation 2 2 3 17 7" xfId="51066"/>
    <cellStyle name="Calculation 2 2 3 18" xfId="1610"/>
    <cellStyle name="Calculation 2 2 3 18 2" xfId="9433"/>
    <cellStyle name="Calculation 2 2 3 18 3" xfId="16861"/>
    <cellStyle name="Calculation 2 2 3 18 4" xfId="19256"/>
    <cellStyle name="Calculation 2 2 3 18 5" xfId="28858"/>
    <cellStyle name="Calculation 2 2 3 18 6" xfId="37589"/>
    <cellStyle name="Calculation 2 2 3 18 7" xfId="48275"/>
    <cellStyle name="Calculation 2 2 3 19" xfId="2765"/>
    <cellStyle name="Calculation 2 2 3 19 2" xfId="10588"/>
    <cellStyle name="Calculation 2 2 3 19 3" xfId="18016"/>
    <cellStyle name="Calculation 2 2 3 19 4" xfId="26299"/>
    <cellStyle name="Calculation 2 2 3 19 5" xfId="35015"/>
    <cellStyle name="Calculation 2 2 3 19 6" xfId="40692"/>
    <cellStyle name="Calculation 2 2 3 19 7" xfId="53641"/>
    <cellStyle name="Calculation 2 2 3 2" xfId="633"/>
    <cellStyle name="Calculation 2 2 3 2 2" xfId="8457"/>
    <cellStyle name="Calculation 2 2 3 2 3" xfId="8301"/>
    <cellStyle name="Calculation 2 2 3 2 4" xfId="26673"/>
    <cellStyle name="Calculation 2 2 3 2 5" xfId="35520"/>
    <cellStyle name="Calculation 2 2 3 2 6" xfId="37051"/>
    <cellStyle name="Calculation 2 2 3 2 7" xfId="54441"/>
    <cellStyle name="Calculation 2 2 3 20" xfId="2872"/>
    <cellStyle name="Calculation 2 2 3 20 2" xfId="10695"/>
    <cellStyle name="Calculation 2 2 3 20 3" xfId="18123"/>
    <cellStyle name="Calculation 2 2 3 20 4" xfId="25275"/>
    <cellStyle name="Calculation 2 2 3 20 5" xfId="33687"/>
    <cellStyle name="Calculation 2 2 3 20 6" xfId="37342"/>
    <cellStyle name="Calculation 2 2 3 20 7" xfId="51382"/>
    <cellStyle name="Calculation 2 2 3 21" xfId="3248"/>
    <cellStyle name="Calculation 2 2 3 21 2" xfId="11041"/>
    <cellStyle name="Calculation 2 2 3 21 3" xfId="18370"/>
    <cellStyle name="Calculation 2 2 3 21 4" xfId="24998"/>
    <cellStyle name="Calculation 2 2 3 21 5" xfId="33348"/>
    <cellStyle name="Calculation 2 2 3 21 6" xfId="37584"/>
    <cellStyle name="Calculation 2 2 3 21 7" xfId="50788"/>
    <cellStyle name="Calculation 2 2 3 22" xfId="3368"/>
    <cellStyle name="Calculation 2 2 3 22 2" xfId="11159"/>
    <cellStyle name="Calculation 2 2 3 22 3" xfId="18481"/>
    <cellStyle name="Calculation 2 2 3 22 4" xfId="26149"/>
    <cellStyle name="Calculation 2 2 3 22 5" xfId="34816"/>
    <cellStyle name="Calculation 2 2 3 22 6" xfId="40314"/>
    <cellStyle name="Calculation 2 2 3 22 7" xfId="53316"/>
    <cellStyle name="Calculation 2 2 3 23" xfId="3519"/>
    <cellStyle name="Calculation 2 2 3 23 2" xfId="11310"/>
    <cellStyle name="Calculation 2 2 3 23 3" xfId="18607"/>
    <cellStyle name="Calculation 2 2 3 23 4" xfId="25525"/>
    <cellStyle name="Calculation 2 2 3 23 5" xfId="34007"/>
    <cellStyle name="Calculation 2 2 3 23 6" xfId="41172"/>
    <cellStyle name="Calculation 2 2 3 23 7" xfId="51928"/>
    <cellStyle name="Calculation 2 2 3 24" xfId="3638"/>
    <cellStyle name="Calculation 2 2 3 24 2" xfId="11423"/>
    <cellStyle name="Calculation 2 2 3 24 3" xfId="18696"/>
    <cellStyle name="Calculation 2 2 3 24 4" xfId="19444"/>
    <cellStyle name="Calculation 2 2 3 24 5" xfId="26829"/>
    <cellStyle name="Calculation 2 2 3 24 6" xfId="36953"/>
    <cellStyle name="Calculation 2 2 3 24 7" xfId="49762"/>
    <cellStyle name="Calculation 2 2 3 25" xfId="3769"/>
    <cellStyle name="Calculation 2 2 3 25 2" xfId="11551"/>
    <cellStyle name="Calculation 2 2 3 25 3" xfId="18808"/>
    <cellStyle name="Calculation 2 2 3 25 4" xfId="25171"/>
    <cellStyle name="Calculation 2 2 3 25 5" xfId="33552"/>
    <cellStyle name="Calculation 2 2 3 25 6" xfId="37994"/>
    <cellStyle name="Calculation 2 2 3 25 7" xfId="51159"/>
    <cellStyle name="Calculation 2 2 3 26" xfId="3886"/>
    <cellStyle name="Calculation 2 2 3 26 2" xfId="11666"/>
    <cellStyle name="Calculation 2 2 3 26 3" xfId="18917"/>
    <cellStyle name="Calculation 2 2 3 26 4" xfId="25952"/>
    <cellStyle name="Calculation 2 2 3 26 5" xfId="34557"/>
    <cellStyle name="Calculation 2 2 3 26 6" xfId="36752"/>
    <cellStyle name="Calculation 2 2 3 26 7" xfId="52889"/>
    <cellStyle name="Calculation 2 2 3 27" xfId="3055"/>
    <cellStyle name="Calculation 2 2 3 27 2" xfId="10866"/>
    <cellStyle name="Calculation 2 2 3 27 3" xfId="20221"/>
    <cellStyle name="Calculation 2 2 3 27 4" xfId="28313"/>
    <cellStyle name="Calculation 2 2 3 27 5" xfId="37693"/>
    <cellStyle name="Calculation 2 2 3 27 6" xfId="42378"/>
    <cellStyle name="Calculation 2 2 3 27 7" xfId="48989"/>
    <cellStyle name="Calculation 2 2 3 28" xfId="4083"/>
    <cellStyle name="Calculation 2 2 3 28 2" xfId="11843"/>
    <cellStyle name="Calculation 2 2 3 28 3" xfId="20793"/>
    <cellStyle name="Calculation 2 2 3 28 4" xfId="28980"/>
    <cellStyle name="Calculation 2 2 3 28 5" xfId="38359"/>
    <cellStyle name="Calculation 2 2 3 28 6" xfId="42645"/>
    <cellStyle name="Calculation 2 2 3 28 7" xfId="48914"/>
    <cellStyle name="Calculation 2 2 3 29" xfId="3014"/>
    <cellStyle name="Calculation 2 2 3 29 2" xfId="20188"/>
    <cellStyle name="Calculation 2 2 3 29 3" xfId="28278"/>
    <cellStyle name="Calculation 2 2 3 29 4" xfId="37659"/>
    <cellStyle name="Calculation 2 2 3 29 5" xfId="42353"/>
    <cellStyle name="Calculation 2 2 3 29 6" xfId="47595"/>
    <cellStyle name="Calculation 2 2 3 3" xfId="740"/>
    <cellStyle name="Calculation 2 2 3 3 2" xfId="8564"/>
    <cellStyle name="Calculation 2 2 3 3 3" xfId="15992"/>
    <cellStyle name="Calculation 2 2 3 3 4" xfId="20431"/>
    <cellStyle name="Calculation 2 2 3 3 5" xfId="26991"/>
    <cellStyle name="Calculation 2 2 3 3 6" xfId="37043"/>
    <cellStyle name="Calculation 2 2 3 3 7" xfId="48921"/>
    <cellStyle name="Calculation 2 2 3 30" xfId="4280"/>
    <cellStyle name="Calculation 2 2 3 30 2" xfId="11997"/>
    <cellStyle name="Calculation 2 2 3 30 3" xfId="20990"/>
    <cellStyle name="Calculation 2 2 3 30 4" xfId="29177"/>
    <cellStyle name="Calculation 2 2 3 30 5" xfId="38550"/>
    <cellStyle name="Calculation 2 2 3 30 6" xfId="42842"/>
    <cellStyle name="Calculation 2 2 3 30 7" xfId="51000"/>
    <cellStyle name="Calculation 2 2 3 31" xfId="4403"/>
    <cellStyle name="Calculation 2 2 3 31 2" xfId="12120"/>
    <cellStyle name="Calculation 2 2 3 31 3" xfId="21113"/>
    <cellStyle name="Calculation 2 2 3 31 4" xfId="29300"/>
    <cellStyle name="Calculation 2 2 3 31 5" xfId="38670"/>
    <cellStyle name="Calculation 2 2 3 31 6" xfId="42965"/>
    <cellStyle name="Calculation 2 2 3 31 7" xfId="48654"/>
    <cellStyle name="Calculation 2 2 3 32" xfId="4517"/>
    <cellStyle name="Calculation 2 2 3 32 2" xfId="12234"/>
    <cellStyle name="Calculation 2 2 3 32 3" xfId="21227"/>
    <cellStyle name="Calculation 2 2 3 32 4" xfId="29414"/>
    <cellStyle name="Calculation 2 2 3 32 5" xfId="38778"/>
    <cellStyle name="Calculation 2 2 3 32 6" xfId="43079"/>
    <cellStyle name="Calculation 2 2 3 32 7" xfId="49880"/>
    <cellStyle name="Calculation 2 2 3 33" xfId="4630"/>
    <cellStyle name="Calculation 2 2 3 33 2" xfId="12347"/>
    <cellStyle name="Calculation 2 2 3 33 3" xfId="21340"/>
    <cellStyle name="Calculation 2 2 3 33 4" xfId="29527"/>
    <cellStyle name="Calculation 2 2 3 33 5" xfId="38886"/>
    <cellStyle name="Calculation 2 2 3 33 6" xfId="43192"/>
    <cellStyle name="Calculation 2 2 3 33 7" xfId="48140"/>
    <cellStyle name="Calculation 2 2 3 34" xfId="4742"/>
    <cellStyle name="Calculation 2 2 3 34 2" xfId="12459"/>
    <cellStyle name="Calculation 2 2 3 34 3" xfId="21452"/>
    <cellStyle name="Calculation 2 2 3 34 4" xfId="29639"/>
    <cellStyle name="Calculation 2 2 3 34 5" xfId="38994"/>
    <cellStyle name="Calculation 2 2 3 34 6" xfId="43304"/>
    <cellStyle name="Calculation 2 2 3 34 7" xfId="50181"/>
    <cellStyle name="Calculation 2 2 3 35" xfId="4850"/>
    <cellStyle name="Calculation 2 2 3 35 2" xfId="12567"/>
    <cellStyle name="Calculation 2 2 3 35 3" xfId="21560"/>
    <cellStyle name="Calculation 2 2 3 35 4" xfId="29747"/>
    <cellStyle name="Calculation 2 2 3 35 5" xfId="39098"/>
    <cellStyle name="Calculation 2 2 3 35 6" xfId="43412"/>
    <cellStyle name="Calculation 2 2 3 35 7" xfId="54204"/>
    <cellStyle name="Calculation 2 2 3 36" xfId="4962"/>
    <cellStyle name="Calculation 2 2 3 36 2" xfId="12679"/>
    <cellStyle name="Calculation 2 2 3 36 3" xfId="21672"/>
    <cellStyle name="Calculation 2 2 3 36 4" xfId="29859"/>
    <cellStyle name="Calculation 2 2 3 36 5" xfId="39206"/>
    <cellStyle name="Calculation 2 2 3 36 6" xfId="43524"/>
    <cellStyle name="Calculation 2 2 3 36 7" xfId="51559"/>
    <cellStyle name="Calculation 2 2 3 37" xfId="5151"/>
    <cellStyle name="Calculation 2 2 3 37 2" xfId="12868"/>
    <cellStyle name="Calculation 2 2 3 37 3" xfId="21861"/>
    <cellStyle name="Calculation 2 2 3 37 4" xfId="30048"/>
    <cellStyle name="Calculation 2 2 3 37 5" xfId="39387"/>
    <cellStyle name="Calculation 2 2 3 37 6" xfId="43713"/>
    <cellStyle name="Calculation 2 2 3 37 7" xfId="54036"/>
    <cellStyle name="Calculation 2 2 3 38" xfId="5460"/>
    <cellStyle name="Calculation 2 2 3 38 2" xfId="13177"/>
    <cellStyle name="Calculation 2 2 3 38 3" xfId="22170"/>
    <cellStyle name="Calculation 2 2 3 38 4" xfId="30357"/>
    <cellStyle name="Calculation 2 2 3 38 5" xfId="39685"/>
    <cellStyle name="Calculation 2 2 3 38 6" xfId="44022"/>
    <cellStyle name="Calculation 2 2 3 38 7" xfId="52798"/>
    <cellStyle name="Calculation 2 2 3 39" xfId="5585"/>
    <cellStyle name="Calculation 2 2 3 39 2" xfId="13302"/>
    <cellStyle name="Calculation 2 2 3 39 3" xfId="22295"/>
    <cellStyle name="Calculation 2 2 3 39 4" xfId="30482"/>
    <cellStyle name="Calculation 2 2 3 39 5" xfId="39804"/>
    <cellStyle name="Calculation 2 2 3 39 6" xfId="44147"/>
    <cellStyle name="Calculation 2 2 3 39 7" xfId="47147"/>
    <cellStyle name="Calculation 2 2 3 4" xfId="852"/>
    <cellStyle name="Calculation 2 2 3 4 2" xfId="8676"/>
    <cellStyle name="Calculation 2 2 3 4 3" xfId="16104"/>
    <cellStyle name="Calculation 2 2 3 4 4" xfId="24949"/>
    <cellStyle name="Calculation 2 2 3 4 5" xfId="33285"/>
    <cellStyle name="Calculation 2 2 3 4 6" xfId="37026"/>
    <cellStyle name="Calculation 2 2 3 4 7" xfId="50671"/>
    <cellStyle name="Calculation 2 2 3 40" xfId="5700"/>
    <cellStyle name="Calculation 2 2 3 40 2" xfId="13417"/>
    <cellStyle name="Calculation 2 2 3 40 3" xfId="22410"/>
    <cellStyle name="Calculation 2 2 3 40 4" xfId="30597"/>
    <cellStyle name="Calculation 2 2 3 40 5" xfId="39915"/>
    <cellStyle name="Calculation 2 2 3 40 6" xfId="44262"/>
    <cellStyle name="Calculation 2 2 3 40 7" xfId="47080"/>
    <cellStyle name="Calculation 2 2 3 41" xfId="5817"/>
    <cellStyle name="Calculation 2 2 3 41 2" xfId="13534"/>
    <cellStyle name="Calculation 2 2 3 41 3" xfId="22527"/>
    <cellStyle name="Calculation 2 2 3 41 4" xfId="30714"/>
    <cellStyle name="Calculation 2 2 3 41 5" xfId="40029"/>
    <cellStyle name="Calculation 2 2 3 41 6" xfId="44379"/>
    <cellStyle name="Calculation 2 2 3 41 7" xfId="51449"/>
    <cellStyle name="Calculation 2 2 3 42" xfId="5945"/>
    <cellStyle name="Calculation 2 2 3 42 2" xfId="13662"/>
    <cellStyle name="Calculation 2 2 3 42 3" xfId="22655"/>
    <cellStyle name="Calculation 2 2 3 42 4" xfId="30842"/>
    <cellStyle name="Calculation 2 2 3 42 5" xfId="40153"/>
    <cellStyle name="Calculation 2 2 3 42 6" xfId="44507"/>
    <cellStyle name="Calculation 2 2 3 42 7" xfId="51784"/>
    <cellStyle name="Calculation 2 2 3 43" xfId="6116"/>
    <cellStyle name="Calculation 2 2 3 43 2" xfId="13833"/>
    <cellStyle name="Calculation 2 2 3 43 3" xfId="22826"/>
    <cellStyle name="Calculation 2 2 3 43 4" xfId="31013"/>
    <cellStyle name="Calculation 2 2 3 43 5" xfId="40315"/>
    <cellStyle name="Calculation 2 2 3 43 6" xfId="44678"/>
    <cellStyle name="Calculation 2 2 3 43 7" xfId="49443"/>
    <cellStyle name="Calculation 2 2 3 44" xfId="6201"/>
    <cellStyle name="Calculation 2 2 3 44 2" xfId="13918"/>
    <cellStyle name="Calculation 2 2 3 44 3" xfId="22911"/>
    <cellStyle name="Calculation 2 2 3 44 4" xfId="31098"/>
    <cellStyle name="Calculation 2 2 3 44 5" xfId="40399"/>
    <cellStyle name="Calculation 2 2 3 44 6" xfId="44763"/>
    <cellStyle name="Calculation 2 2 3 44 7" xfId="48985"/>
    <cellStyle name="Calculation 2 2 3 45" xfId="6318"/>
    <cellStyle name="Calculation 2 2 3 45 2" xfId="14035"/>
    <cellStyle name="Calculation 2 2 3 45 3" xfId="23028"/>
    <cellStyle name="Calculation 2 2 3 45 4" xfId="31215"/>
    <cellStyle name="Calculation 2 2 3 45 5" xfId="40515"/>
    <cellStyle name="Calculation 2 2 3 45 6" xfId="44880"/>
    <cellStyle name="Calculation 2 2 3 45 7" xfId="52256"/>
    <cellStyle name="Calculation 2 2 3 46" xfId="6428"/>
    <cellStyle name="Calculation 2 2 3 46 2" xfId="14145"/>
    <cellStyle name="Calculation 2 2 3 46 3" xfId="23138"/>
    <cellStyle name="Calculation 2 2 3 46 4" xfId="31325"/>
    <cellStyle name="Calculation 2 2 3 46 5" xfId="40620"/>
    <cellStyle name="Calculation 2 2 3 46 6" xfId="44990"/>
    <cellStyle name="Calculation 2 2 3 46 7" xfId="53329"/>
    <cellStyle name="Calculation 2 2 3 47" xfId="5259"/>
    <cellStyle name="Calculation 2 2 3 47 2" xfId="12976"/>
    <cellStyle name="Calculation 2 2 3 47 3" xfId="21969"/>
    <cellStyle name="Calculation 2 2 3 47 4" xfId="30156"/>
    <cellStyle name="Calculation 2 2 3 47 5" xfId="39491"/>
    <cellStyle name="Calculation 2 2 3 47 6" xfId="43821"/>
    <cellStyle name="Calculation 2 2 3 47 7" xfId="49702"/>
    <cellStyle name="Calculation 2 2 3 48" xfId="6575"/>
    <cellStyle name="Calculation 2 2 3 48 2" xfId="14292"/>
    <cellStyle name="Calculation 2 2 3 48 3" xfId="23285"/>
    <cellStyle name="Calculation 2 2 3 48 4" xfId="31472"/>
    <cellStyle name="Calculation 2 2 3 48 5" xfId="40760"/>
    <cellStyle name="Calculation 2 2 3 48 6" xfId="45137"/>
    <cellStyle name="Calculation 2 2 3 48 7" xfId="53558"/>
    <cellStyle name="Calculation 2 2 3 49" xfId="6686"/>
    <cellStyle name="Calculation 2 2 3 49 2" xfId="14403"/>
    <cellStyle name="Calculation 2 2 3 49 3" xfId="23396"/>
    <cellStyle name="Calculation 2 2 3 49 4" xfId="31583"/>
    <cellStyle name="Calculation 2 2 3 49 5" xfId="40867"/>
    <cellStyle name="Calculation 2 2 3 49 6" xfId="45248"/>
    <cellStyle name="Calculation 2 2 3 49 7" xfId="49294"/>
    <cellStyle name="Calculation 2 2 3 5" xfId="1317"/>
    <cellStyle name="Calculation 2 2 3 5 2" xfId="9140"/>
    <cellStyle name="Calculation 2 2 3 5 3" xfId="16568"/>
    <cellStyle name="Calculation 2 2 3 5 4" xfId="25775"/>
    <cellStyle name="Calculation 2 2 3 5 5" xfId="34334"/>
    <cellStyle name="Calculation 2 2 3 5 6" xfId="37092"/>
    <cellStyle name="Calculation 2 2 3 5 7" xfId="52493"/>
    <cellStyle name="Calculation 2 2 3 50" xfId="6801"/>
    <cellStyle name="Calculation 2 2 3 50 2" xfId="14518"/>
    <cellStyle name="Calculation 2 2 3 50 3" xfId="23511"/>
    <cellStyle name="Calculation 2 2 3 50 4" xfId="31698"/>
    <cellStyle name="Calculation 2 2 3 50 5" xfId="40976"/>
    <cellStyle name="Calculation 2 2 3 50 6" xfId="45363"/>
    <cellStyle name="Calculation 2 2 3 50 7" xfId="52100"/>
    <cellStyle name="Calculation 2 2 3 51" xfId="6914"/>
    <cellStyle name="Calculation 2 2 3 51 2" xfId="14631"/>
    <cellStyle name="Calculation 2 2 3 51 3" xfId="23624"/>
    <cellStyle name="Calculation 2 2 3 51 4" xfId="31811"/>
    <cellStyle name="Calculation 2 2 3 51 5" xfId="41083"/>
    <cellStyle name="Calculation 2 2 3 51 6" xfId="45476"/>
    <cellStyle name="Calculation 2 2 3 51 7" xfId="47050"/>
    <cellStyle name="Calculation 2 2 3 52" xfId="7026"/>
    <cellStyle name="Calculation 2 2 3 52 2" xfId="14743"/>
    <cellStyle name="Calculation 2 2 3 52 3" xfId="23736"/>
    <cellStyle name="Calculation 2 2 3 52 4" xfId="31923"/>
    <cellStyle name="Calculation 2 2 3 52 5" xfId="41190"/>
    <cellStyle name="Calculation 2 2 3 52 6" xfId="45588"/>
    <cellStyle name="Calculation 2 2 3 52 7" xfId="47214"/>
    <cellStyle name="Calculation 2 2 3 53" xfId="7319"/>
    <cellStyle name="Calculation 2 2 3 53 2" xfId="15036"/>
    <cellStyle name="Calculation 2 2 3 53 3" xfId="24029"/>
    <cellStyle name="Calculation 2 2 3 53 4" xfId="32216"/>
    <cellStyle name="Calculation 2 2 3 53 5" xfId="41472"/>
    <cellStyle name="Calculation 2 2 3 53 6" xfId="45881"/>
    <cellStyle name="Calculation 2 2 3 53 7" xfId="47992"/>
    <cellStyle name="Calculation 2 2 3 54" xfId="7339"/>
    <cellStyle name="Calculation 2 2 3 54 2" xfId="15056"/>
    <cellStyle name="Calculation 2 2 3 54 3" xfId="24049"/>
    <cellStyle name="Calculation 2 2 3 54 4" xfId="32236"/>
    <cellStyle name="Calculation 2 2 3 54 5" xfId="41492"/>
    <cellStyle name="Calculation 2 2 3 54 6" xfId="45901"/>
    <cellStyle name="Calculation 2 2 3 54 7" xfId="52612"/>
    <cellStyle name="Calculation 2 2 3 55" xfId="7423"/>
    <cellStyle name="Calculation 2 2 3 55 2" xfId="15140"/>
    <cellStyle name="Calculation 2 2 3 55 3" xfId="24133"/>
    <cellStyle name="Calculation 2 2 3 55 4" xfId="32320"/>
    <cellStyle name="Calculation 2 2 3 55 5" xfId="41572"/>
    <cellStyle name="Calculation 2 2 3 55 6" xfId="45985"/>
    <cellStyle name="Calculation 2 2 3 55 7" xfId="50881"/>
    <cellStyle name="Calculation 2 2 3 56" xfId="7544"/>
    <cellStyle name="Calculation 2 2 3 56 2" xfId="15261"/>
    <cellStyle name="Calculation 2 2 3 56 3" xfId="24254"/>
    <cellStyle name="Calculation 2 2 3 56 4" xfId="32441"/>
    <cellStyle name="Calculation 2 2 3 56 5" xfId="41687"/>
    <cellStyle name="Calculation 2 2 3 56 6" xfId="46106"/>
    <cellStyle name="Calculation 2 2 3 56 7" xfId="53031"/>
    <cellStyle name="Calculation 2 2 3 57" xfId="7820"/>
    <cellStyle name="Calculation 2 2 3 57 2" xfId="15537"/>
    <cellStyle name="Calculation 2 2 3 57 3" xfId="24524"/>
    <cellStyle name="Calculation 2 2 3 57 4" xfId="32717"/>
    <cellStyle name="Calculation 2 2 3 57 5" xfId="41952"/>
    <cellStyle name="Calculation 2 2 3 57 6" xfId="46382"/>
    <cellStyle name="Calculation 2 2 3 57 7" xfId="54367"/>
    <cellStyle name="Calculation 2 2 3 58" xfId="7984"/>
    <cellStyle name="Calculation 2 2 3 58 2" xfId="15701"/>
    <cellStyle name="Calculation 2 2 3 58 3" xfId="24686"/>
    <cellStyle name="Calculation 2 2 3 58 4" xfId="32881"/>
    <cellStyle name="Calculation 2 2 3 58 5" xfId="42107"/>
    <cellStyle name="Calculation 2 2 3 58 6" xfId="46546"/>
    <cellStyle name="Calculation 2 2 3 58 7" xfId="51510"/>
    <cellStyle name="Calculation 2 2 3 59" xfId="7930"/>
    <cellStyle name="Calculation 2 2 3 59 2" xfId="15647"/>
    <cellStyle name="Calculation 2 2 3 59 3" xfId="24634"/>
    <cellStyle name="Calculation 2 2 3 59 4" xfId="32827"/>
    <cellStyle name="Calculation 2 2 3 59 5" xfId="42058"/>
    <cellStyle name="Calculation 2 2 3 59 6" xfId="46492"/>
    <cellStyle name="Calculation 2 2 3 59 7" xfId="49916"/>
    <cellStyle name="Calculation 2 2 3 6" xfId="1440"/>
    <cellStyle name="Calculation 2 2 3 6 2" xfId="9263"/>
    <cellStyle name="Calculation 2 2 3 6 3" xfId="16691"/>
    <cellStyle name="Calculation 2 2 3 6 4" xfId="19461"/>
    <cellStyle name="Calculation 2 2 3 6 5" xfId="27590"/>
    <cellStyle name="Calculation 2 2 3 6 6" xfId="40047"/>
    <cellStyle name="Calculation 2 2 3 6 7" xfId="47655"/>
    <cellStyle name="Calculation 2 2 3 60" xfId="8096"/>
    <cellStyle name="Calculation 2 2 3 60 2" xfId="15813"/>
    <cellStyle name="Calculation 2 2 3 60 3" xfId="32993"/>
    <cellStyle name="Calculation 2 2 3 60 4" xfId="42215"/>
    <cellStyle name="Calculation 2 2 3 60 5" xfId="46658"/>
    <cellStyle name="Calculation 2 2 3 60 6" xfId="48301"/>
    <cellStyle name="Calculation 2 2 3 61" xfId="26552"/>
    <cellStyle name="Calculation 2 2 3 62" xfId="35360"/>
    <cellStyle name="Calculation 2 2 3 63" xfId="37203"/>
    <cellStyle name="Calculation 2 2 3 64" xfId="54178"/>
    <cellStyle name="Calculation 2 2 3 7" xfId="1039"/>
    <cellStyle name="Calculation 2 2 3 7 2" xfId="8863"/>
    <cellStyle name="Calculation 2 2 3 7 3" xfId="16291"/>
    <cellStyle name="Calculation 2 2 3 7 4" xfId="26545"/>
    <cellStyle name="Calculation 2 2 3 7 5" xfId="35349"/>
    <cellStyle name="Calculation 2 2 3 7 6" xfId="37046"/>
    <cellStyle name="Calculation 2 2 3 7 7" xfId="54164"/>
    <cellStyle name="Calculation 2 2 3 8" xfId="1677"/>
    <cellStyle name="Calculation 2 2 3 8 2" xfId="9500"/>
    <cellStyle name="Calculation 2 2 3 8 3" xfId="16928"/>
    <cellStyle name="Calculation 2 2 3 8 4" xfId="20108"/>
    <cellStyle name="Calculation 2 2 3 8 5" xfId="28505"/>
    <cellStyle name="Calculation 2 2 3 8 6" xfId="38185"/>
    <cellStyle name="Calculation 2 2 3 8 7" xfId="49307"/>
    <cellStyle name="Calculation 2 2 3 9" xfId="1811"/>
    <cellStyle name="Calculation 2 2 3 9 2" xfId="9634"/>
    <cellStyle name="Calculation 2 2 3 9 3" xfId="17062"/>
    <cellStyle name="Calculation 2 2 3 9 4" xfId="19727"/>
    <cellStyle name="Calculation 2 2 3 9 5" xfId="27872"/>
    <cellStyle name="Calculation 2 2 3 9 6" xfId="39997"/>
    <cellStyle name="Calculation 2 2 3 9 7" xfId="49985"/>
    <cellStyle name="Calculation 2 2 30" xfId="3069"/>
    <cellStyle name="Calculation 2 2 30 2" xfId="10877"/>
    <cellStyle name="Calculation 2 2 30 3" xfId="18272"/>
    <cellStyle name="Calculation 2 2 30 4" xfId="26289"/>
    <cellStyle name="Calculation 2 2 30 5" xfId="34998"/>
    <cellStyle name="Calculation 2 2 30 6" xfId="40059"/>
    <cellStyle name="Calculation 2 2 30 7" xfId="53619"/>
    <cellStyle name="Calculation 2 2 31" xfId="3477"/>
    <cellStyle name="Calculation 2 2 31 2" xfId="11268"/>
    <cellStyle name="Calculation 2 2 31 3" xfId="18587"/>
    <cellStyle name="Calculation 2 2 31 4" xfId="20395"/>
    <cellStyle name="Calculation 2 2 31 5" xfId="28064"/>
    <cellStyle name="Calculation 2 2 31 6" xfId="37158"/>
    <cellStyle name="Calculation 2 2 31 7" xfId="49574"/>
    <cellStyle name="Calculation 2 2 32" xfId="3165"/>
    <cellStyle name="Calculation 2 2 32 2" xfId="10967"/>
    <cellStyle name="Calculation 2 2 32 3" xfId="20299"/>
    <cellStyle name="Calculation 2 2 32 4" xfId="28389"/>
    <cellStyle name="Calculation 2 2 32 5" xfId="37777"/>
    <cellStyle name="Calculation 2 2 32 6" xfId="42418"/>
    <cellStyle name="Calculation 2 2 32 7" xfId="52632"/>
    <cellStyle name="Calculation 2 2 33" xfId="4004"/>
    <cellStyle name="Calculation 2 2 33 2" xfId="11783"/>
    <cellStyle name="Calculation 2 2 33 3" xfId="20714"/>
    <cellStyle name="Calculation 2 2 33 4" xfId="28901"/>
    <cellStyle name="Calculation 2 2 33 5" xfId="38284"/>
    <cellStyle name="Calculation 2 2 33 6" xfId="42566"/>
    <cellStyle name="Calculation 2 2 33 7" xfId="47906"/>
    <cellStyle name="Calculation 2 2 34" xfId="4228"/>
    <cellStyle name="Calculation 2 2 34 2" xfId="20938"/>
    <cellStyle name="Calculation 2 2 34 3" xfId="29125"/>
    <cellStyle name="Calculation 2 2 34 4" xfId="38500"/>
    <cellStyle name="Calculation 2 2 34 5" xfId="42790"/>
    <cellStyle name="Calculation 2 2 34 6" xfId="47729"/>
    <cellStyle name="Calculation 2 2 35" xfId="4156"/>
    <cellStyle name="Calculation 2 2 35 2" xfId="11915"/>
    <cellStyle name="Calculation 2 2 35 3" xfId="20866"/>
    <cellStyle name="Calculation 2 2 35 4" xfId="29053"/>
    <cellStyle name="Calculation 2 2 35 5" xfId="38429"/>
    <cellStyle name="Calculation 2 2 35 6" xfId="42718"/>
    <cellStyle name="Calculation 2 2 35 7" xfId="48813"/>
    <cellStyle name="Calculation 2 2 36" xfId="4383"/>
    <cellStyle name="Calculation 2 2 36 2" xfId="12100"/>
    <cellStyle name="Calculation 2 2 36 3" xfId="21093"/>
    <cellStyle name="Calculation 2 2 36 4" xfId="29280"/>
    <cellStyle name="Calculation 2 2 36 5" xfId="38650"/>
    <cellStyle name="Calculation 2 2 36 6" xfId="42945"/>
    <cellStyle name="Calculation 2 2 36 7" xfId="50698"/>
    <cellStyle name="Calculation 2 2 37" xfId="3544"/>
    <cellStyle name="Calculation 2 2 37 2" xfId="11333"/>
    <cellStyle name="Calculation 2 2 37 3" xfId="20509"/>
    <cellStyle name="Calculation 2 2 37 4" xfId="28637"/>
    <cellStyle name="Calculation 2 2 37 5" xfId="38013"/>
    <cellStyle name="Calculation 2 2 37 6" xfId="42504"/>
    <cellStyle name="Calculation 2 2 37 7" xfId="50434"/>
    <cellStyle name="Calculation 2 2 38" xfId="4200"/>
    <cellStyle name="Calculation 2 2 38 2" xfId="11955"/>
    <cellStyle name="Calculation 2 2 38 3" xfId="20910"/>
    <cellStyle name="Calculation 2 2 38 4" xfId="29097"/>
    <cellStyle name="Calculation 2 2 38 5" xfId="38473"/>
    <cellStyle name="Calculation 2 2 38 6" xfId="42762"/>
    <cellStyle name="Calculation 2 2 38 7" xfId="52007"/>
    <cellStyle name="Calculation 2 2 39" xfId="4057"/>
    <cellStyle name="Calculation 2 2 39 2" xfId="11823"/>
    <cellStyle name="Calculation 2 2 39 3" xfId="20767"/>
    <cellStyle name="Calculation 2 2 39 4" xfId="28954"/>
    <cellStyle name="Calculation 2 2 39 5" xfId="38333"/>
    <cellStyle name="Calculation 2 2 39 6" xfId="42619"/>
    <cellStyle name="Calculation 2 2 39 7" xfId="51465"/>
    <cellStyle name="Calculation 2 2 4" xfId="524"/>
    <cellStyle name="Calculation 2 2 4 10" xfId="1971"/>
    <cellStyle name="Calculation 2 2 4 10 2" xfId="9794"/>
    <cellStyle name="Calculation 2 2 4 10 3" xfId="17222"/>
    <cellStyle name="Calculation 2 2 4 10 4" xfId="19100"/>
    <cellStyle name="Calculation 2 2 4 10 5" xfId="28450"/>
    <cellStyle name="Calculation 2 2 4 10 6" xfId="37804"/>
    <cellStyle name="Calculation 2 2 4 10 7" xfId="49373"/>
    <cellStyle name="Calculation 2 2 4 11" xfId="2089"/>
    <cellStyle name="Calculation 2 2 4 11 2" xfId="9912"/>
    <cellStyle name="Calculation 2 2 4 11 3" xfId="17340"/>
    <cellStyle name="Calculation 2 2 4 11 4" xfId="19606"/>
    <cellStyle name="Calculation 2 2 4 11 5" xfId="27763"/>
    <cellStyle name="Calculation 2 2 4 11 6" xfId="41174"/>
    <cellStyle name="Calculation 2 2 4 11 7" xfId="47446"/>
    <cellStyle name="Calculation 2 2 4 12" xfId="2202"/>
    <cellStyle name="Calculation 2 2 4 12 2" xfId="10025"/>
    <cellStyle name="Calculation 2 2 4 12 3" xfId="17453"/>
    <cellStyle name="Calculation 2 2 4 12 4" xfId="25976"/>
    <cellStyle name="Calculation 2 2 4 12 5" xfId="34593"/>
    <cellStyle name="Calculation 2 2 4 12 6" xfId="37311"/>
    <cellStyle name="Calculation 2 2 4 12 7" xfId="52945"/>
    <cellStyle name="Calculation 2 2 4 13" xfId="2035"/>
    <cellStyle name="Calculation 2 2 4 13 2" xfId="9858"/>
    <cellStyle name="Calculation 2 2 4 13 3" xfId="17286"/>
    <cellStyle name="Calculation 2 2 4 13 4" xfId="19356"/>
    <cellStyle name="Calculation 2 2 4 13 5" xfId="27859"/>
    <cellStyle name="Calculation 2 2 4 13 6" xfId="39186"/>
    <cellStyle name="Calculation 2 2 4 13 7" xfId="48972"/>
    <cellStyle name="Calculation 2 2 4 14" xfId="1069"/>
    <cellStyle name="Calculation 2 2 4 14 2" xfId="8893"/>
    <cellStyle name="Calculation 2 2 4 14 3" xfId="16321"/>
    <cellStyle name="Calculation 2 2 4 14 4" xfId="19288"/>
    <cellStyle name="Calculation 2 2 4 14 5" xfId="28733"/>
    <cellStyle name="Calculation 2 2 4 14 6" xfId="37302"/>
    <cellStyle name="Calculation 2 2 4 14 7" xfId="47479"/>
    <cellStyle name="Calculation 2 2 4 15" xfId="2500"/>
    <cellStyle name="Calculation 2 2 4 15 2" xfId="10323"/>
    <cellStyle name="Calculation 2 2 4 15 3" xfId="17751"/>
    <cellStyle name="Calculation 2 2 4 15 4" xfId="24805"/>
    <cellStyle name="Calculation 2 2 4 15 5" xfId="27000"/>
    <cellStyle name="Calculation 2 2 4 15 6" xfId="37217"/>
    <cellStyle name="Calculation 2 2 4 15 7" xfId="47523"/>
    <cellStyle name="Calculation 2 2 4 16" xfId="2613"/>
    <cellStyle name="Calculation 2 2 4 16 2" xfId="10436"/>
    <cellStyle name="Calculation 2 2 4 16 3" xfId="17864"/>
    <cellStyle name="Calculation 2 2 4 16 4" xfId="19885"/>
    <cellStyle name="Calculation 2 2 4 16 5" xfId="28089"/>
    <cellStyle name="Calculation 2 2 4 16 6" xfId="41184"/>
    <cellStyle name="Calculation 2 2 4 16 7" xfId="48434"/>
    <cellStyle name="Calculation 2 2 4 17" xfId="2385"/>
    <cellStyle name="Calculation 2 2 4 17 2" xfId="10208"/>
    <cellStyle name="Calculation 2 2 4 17 3" xfId="17636"/>
    <cellStyle name="Calculation 2 2 4 17 4" xfId="25112"/>
    <cellStyle name="Calculation 2 2 4 17 5" xfId="33482"/>
    <cellStyle name="Calculation 2 2 4 17 6" xfId="41226"/>
    <cellStyle name="Calculation 2 2 4 17 7" xfId="51039"/>
    <cellStyle name="Calculation 2 2 4 18" xfId="1559"/>
    <cellStyle name="Calculation 2 2 4 18 2" xfId="9382"/>
    <cellStyle name="Calculation 2 2 4 18 3" xfId="16810"/>
    <cellStyle name="Calculation 2 2 4 18 4" xfId="26677"/>
    <cellStyle name="Calculation 2 2 4 18 5" xfId="35524"/>
    <cellStyle name="Calculation 2 2 4 18 6" xfId="37635"/>
    <cellStyle name="Calculation 2 2 4 18 7" xfId="54446"/>
    <cellStyle name="Calculation 2 2 4 19" xfId="2806"/>
    <cellStyle name="Calculation 2 2 4 19 2" xfId="10629"/>
    <cellStyle name="Calculation 2 2 4 19 3" xfId="18057"/>
    <cellStyle name="Calculation 2 2 4 19 4" xfId="19424"/>
    <cellStyle name="Calculation 2 2 4 19 5" xfId="28564"/>
    <cellStyle name="Calculation 2 2 4 19 6" xfId="37111"/>
    <cellStyle name="Calculation 2 2 4 19 7" xfId="47481"/>
    <cellStyle name="Calculation 2 2 4 2" xfId="674"/>
    <cellStyle name="Calculation 2 2 4 2 2" xfId="8498"/>
    <cellStyle name="Calculation 2 2 4 2 3" xfId="8262"/>
    <cellStyle name="Calculation 2 2 4 2 4" xfId="19147"/>
    <cellStyle name="Calculation 2 2 4 2 5" xfId="26738"/>
    <cellStyle name="Calculation 2 2 4 2 6" xfId="37538"/>
    <cellStyle name="Calculation 2 2 4 2 7" xfId="49785"/>
    <cellStyle name="Calculation 2 2 4 20" xfId="2913"/>
    <cellStyle name="Calculation 2 2 4 20 2" xfId="10736"/>
    <cellStyle name="Calculation 2 2 4 20 3" xfId="18164"/>
    <cellStyle name="Calculation 2 2 4 20 4" xfId="20376"/>
    <cellStyle name="Calculation 2 2 4 20 5" xfId="28748"/>
    <cellStyle name="Calculation 2 2 4 20 6" xfId="36259"/>
    <cellStyle name="Calculation 2 2 4 20 7" xfId="48424"/>
    <cellStyle name="Calculation 2 2 4 21" xfId="3289"/>
    <cellStyle name="Calculation 2 2 4 21 2" xfId="11082"/>
    <cellStyle name="Calculation 2 2 4 21 3" xfId="18411"/>
    <cellStyle name="Calculation 2 2 4 21 4" xfId="26010"/>
    <cellStyle name="Calculation 2 2 4 21 5" xfId="34636"/>
    <cellStyle name="Calculation 2 2 4 21 6" xfId="36786"/>
    <cellStyle name="Calculation 2 2 4 21 7" xfId="53016"/>
    <cellStyle name="Calculation 2 2 4 22" xfId="3409"/>
    <cellStyle name="Calculation 2 2 4 22 2" xfId="11200"/>
    <cellStyle name="Calculation 2 2 4 22 3" xfId="18522"/>
    <cellStyle name="Calculation 2 2 4 22 4" xfId="24847"/>
    <cellStyle name="Calculation 2 2 4 22 5" xfId="26813"/>
    <cellStyle name="Calculation 2 2 4 22 6" xfId="37771"/>
    <cellStyle name="Calculation 2 2 4 22 7" xfId="49214"/>
    <cellStyle name="Calculation 2 2 4 23" xfId="3026"/>
    <cellStyle name="Calculation 2 2 4 23 2" xfId="10841"/>
    <cellStyle name="Calculation 2 2 4 23 3" xfId="18254"/>
    <cellStyle name="Calculation 2 2 4 23 4" xfId="24938"/>
    <cellStyle name="Calculation 2 2 4 23 5" xfId="33273"/>
    <cellStyle name="Calculation 2 2 4 23 6" xfId="38066"/>
    <cellStyle name="Calculation 2 2 4 23 7" xfId="50655"/>
    <cellStyle name="Calculation 2 2 4 24" xfId="3680"/>
    <cellStyle name="Calculation 2 2 4 24 2" xfId="11465"/>
    <cellStyle name="Calculation 2 2 4 24 3" xfId="18738"/>
    <cellStyle name="Calculation 2 2 4 24 4" xfId="25244"/>
    <cellStyle name="Calculation 2 2 4 24 5" xfId="33648"/>
    <cellStyle name="Calculation 2 2 4 24 6" xfId="38237"/>
    <cellStyle name="Calculation 2 2 4 24 7" xfId="51310"/>
    <cellStyle name="Calculation 2 2 4 25" xfId="3810"/>
    <cellStyle name="Calculation 2 2 4 25 2" xfId="11592"/>
    <cellStyle name="Calculation 2 2 4 25 3" xfId="18849"/>
    <cellStyle name="Calculation 2 2 4 25 4" xfId="26211"/>
    <cellStyle name="Calculation 2 2 4 25 5" xfId="34893"/>
    <cellStyle name="Calculation 2 2 4 25 6" xfId="40980"/>
    <cellStyle name="Calculation 2 2 4 25 7" xfId="53444"/>
    <cellStyle name="Calculation 2 2 4 26" xfId="3928"/>
    <cellStyle name="Calculation 2 2 4 26 2" xfId="11708"/>
    <cellStyle name="Calculation 2 2 4 26 3" xfId="18958"/>
    <cellStyle name="Calculation 2 2 4 26 4" xfId="19294"/>
    <cellStyle name="Calculation 2 2 4 26 5" xfId="27242"/>
    <cellStyle name="Calculation 2 2 4 26 6" xfId="37135"/>
    <cellStyle name="Calculation 2 2 4 26 7" xfId="47268"/>
    <cellStyle name="Calculation 2 2 4 27" xfId="3042"/>
    <cellStyle name="Calculation 2 2 4 27 2" xfId="10855"/>
    <cellStyle name="Calculation 2 2 4 27 3" xfId="20208"/>
    <cellStyle name="Calculation 2 2 4 27 4" xfId="28300"/>
    <cellStyle name="Calculation 2 2 4 27 5" xfId="37680"/>
    <cellStyle name="Calculation 2 2 4 27 6" xfId="42366"/>
    <cellStyle name="Calculation 2 2 4 27 7" xfId="49008"/>
    <cellStyle name="Calculation 2 2 4 28" xfId="4125"/>
    <cellStyle name="Calculation 2 2 4 28 2" xfId="11884"/>
    <cellStyle name="Calculation 2 2 4 28 3" xfId="20835"/>
    <cellStyle name="Calculation 2 2 4 28 4" xfId="29022"/>
    <cellStyle name="Calculation 2 2 4 28 5" xfId="38399"/>
    <cellStyle name="Calculation 2 2 4 28 6" xfId="42687"/>
    <cellStyle name="Calculation 2 2 4 28 7" xfId="52055"/>
    <cellStyle name="Calculation 2 2 4 29" xfId="4052"/>
    <cellStyle name="Calculation 2 2 4 29 2" xfId="20762"/>
    <cellStyle name="Calculation 2 2 4 29 3" xfId="28949"/>
    <cellStyle name="Calculation 2 2 4 29 4" xfId="38328"/>
    <cellStyle name="Calculation 2 2 4 29 5" xfId="42614"/>
    <cellStyle name="Calculation 2 2 4 29 6" xfId="52155"/>
    <cellStyle name="Calculation 2 2 4 3" xfId="782"/>
    <cellStyle name="Calculation 2 2 4 3 2" xfId="8606"/>
    <cellStyle name="Calculation 2 2 4 3 3" xfId="16034"/>
    <cellStyle name="Calculation 2 2 4 3 4" xfId="25258"/>
    <cellStyle name="Calculation 2 2 4 3 5" xfId="33664"/>
    <cellStyle name="Calculation 2 2 4 3 6" xfId="36408"/>
    <cellStyle name="Calculation 2 2 4 3 7" xfId="51338"/>
    <cellStyle name="Calculation 2 2 4 30" xfId="4322"/>
    <cellStyle name="Calculation 2 2 4 30 2" xfId="12039"/>
    <cellStyle name="Calculation 2 2 4 30 3" xfId="21032"/>
    <cellStyle name="Calculation 2 2 4 30 4" xfId="29219"/>
    <cellStyle name="Calculation 2 2 4 30 5" xfId="38590"/>
    <cellStyle name="Calculation 2 2 4 30 6" xfId="42884"/>
    <cellStyle name="Calculation 2 2 4 30 7" xfId="48963"/>
    <cellStyle name="Calculation 2 2 4 31" xfId="4445"/>
    <cellStyle name="Calculation 2 2 4 31 2" xfId="12162"/>
    <cellStyle name="Calculation 2 2 4 31 3" xfId="21155"/>
    <cellStyle name="Calculation 2 2 4 31 4" xfId="29342"/>
    <cellStyle name="Calculation 2 2 4 31 5" xfId="38708"/>
    <cellStyle name="Calculation 2 2 4 31 6" xfId="43007"/>
    <cellStyle name="Calculation 2 2 4 31 7" xfId="47552"/>
    <cellStyle name="Calculation 2 2 4 32" xfId="4559"/>
    <cellStyle name="Calculation 2 2 4 32 2" xfId="12276"/>
    <cellStyle name="Calculation 2 2 4 32 3" xfId="21269"/>
    <cellStyle name="Calculation 2 2 4 32 4" xfId="29456"/>
    <cellStyle name="Calculation 2 2 4 32 5" xfId="38817"/>
    <cellStyle name="Calculation 2 2 4 32 6" xfId="43121"/>
    <cellStyle name="Calculation 2 2 4 32 7" xfId="53904"/>
    <cellStyle name="Calculation 2 2 4 33" xfId="4672"/>
    <cellStyle name="Calculation 2 2 4 33 2" xfId="12389"/>
    <cellStyle name="Calculation 2 2 4 33 3" xfId="21382"/>
    <cellStyle name="Calculation 2 2 4 33 4" xfId="29569"/>
    <cellStyle name="Calculation 2 2 4 33 5" xfId="38926"/>
    <cellStyle name="Calculation 2 2 4 33 6" xfId="43234"/>
    <cellStyle name="Calculation 2 2 4 33 7" xfId="49860"/>
    <cellStyle name="Calculation 2 2 4 34" xfId="4783"/>
    <cellStyle name="Calculation 2 2 4 34 2" xfId="12500"/>
    <cellStyle name="Calculation 2 2 4 34 3" xfId="21493"/>
    <cellStyle name="Calculation 2 2 4 34 4" xfId="29680"/>
    <cellStyle name="Calculation 2 2 4 34 5" xfId="39034"/>
    <cellStyle name="Calculation 2 2 4 34 6" xfId="43345"/>
    <cellStyle name="Calculation 2 2 4 34 7" xfId="53376"/>
    <cellStyle name="Calculation 2 2 4 35" xfId="4892"/>
    <cellStyle name="Calculation 2 2 4 35 2" xfId="12609"/>
    <cellStyle name="Calculation 2 2 4 35 3" xfId="21602"/>
    <cellStyle name="Calculation 2 2 4 35 4" xfId="29789"/>
    <cellStyle name="Calculation 2 2 4 35 5" xfId="39138"/>
    <cellStyle name="Calculation 2 2 4 35 6" xfId="43454"/>
    <cellStyle name="Calculation 2 2 4 35 7" xfId="49536"/>
    <cellStyle name="Calculation 2 2 4 36" xfId="5003"/>
    <cellStyle name="Calculation 2 2 4 36 2" xfId="12720"/>
    <cellStyle name="Calculation 2 2 4 36 3" xfId="21713"/>
    <cellStyle name="Calculation 2 2 4 36 4" xfId="29900"/>
    <cellStyle name="Calculation 2 2 4 36 5" xfId="39246"/>
    <cellStyle name="Calculation 2 2 4 36 6" xfId="43565"/>
    <cellStyle name="Calculation 2 2 4 36 7" xfId="53784"/>
    <cellStyle name="Calculation 2 2 4 37" xfId="5382"/>
    <cellStyle name="Calculation 2 2 4 37 2" xfId="13099"/>
    <cellStyle name="Calculation 2 2 4 37 3" xfId="22092"/>
    <cellStyle name="Calculation 2 2 4 37 4" xfId="30279"/>
    <cellStyle name="Calculation 2 2 4 37 5" xfId="39610"/>
    <cellStyle name="Calculation 2 2 4 37 6" xfId="43944"/>
    <cellStyle name="Calculation 2 2 4 37 7" xfId="53112"/>
    <cellStyle name="Calculation 2 2 4 38" xfId="5502"/>
    <cellStyle name="Calculation 2 2 4 38 2" xfId="13219"/>
    <cellStyle name="Calculation 2 2 4 38 3" xfId="22212"/>
    <cellStyle name="Calculation 2 2 4 38 4" xfId="30399"/>
    <cellStyle name="Calculation 2 2 4 38 5" xfId="39724"/>
    <cellStyle name="Calculation 2 2 4 38 6" xfId="44064"/>
    <cellStyle name="Calculation 2 2 4 38 7" xfId="47794"/>
    <cellStyle name="Calculation 2 2 4 39" xfId="5626"/>
    <cellStyle name="Calculation 2 2 4 39 2" xfId="13343"/>
    <cellStyle name="Calculation 2 2 4 39 3" xfId="22336"/>
    <cellStyle name="Calculation 2 2 4 39 4" xfId="30523"/>
    <cellStyle name="Calculation 2 2 4 39 5" xfId="39844"/>
    <cellStyle name="Calculation 2 2 4 39 6" xfId="44188"/>
    <cellStyle name="Calculation 2 2 4 39 7" xfId="47122"/>
    <cellStyle name="Calculation 2 2 4 4" xfId="893"/>
    <cellStyle name="Calculation 2 2 4 4 2" xfId="8717"/>
    <cellStyle name="Calculation 2 2 4 4 3" xfId="16145"/>
    <cellStyle name="Calculation 2 2 4 4 4" xfId="19576"/>
    <cellStyle name="Calculation 2 2 4 4 5" xfId="27176"/>
    <cellStyle name="Calculation 2 2 4 4 6" xfId="37557"/>
    <cellStyle name="Calculation 2 2 4 4 7" xfId="48446"/>
    <cellStyle name="Calculation 2 2 4 40" xfId="5742"/>
    <cellStyle name="Calculation 2 2 4 40 2" xfId="13459"/>
    <cellStyle name="Calculation 2 2 4 40 3" xfId="22452"/>
    <cellStyle name="Calculation 2 2 4 40 4" xfId="30639"/>
    <cellStyle name="Calculation 2 2 4 40 5" xfId="39956"/>
    <cellStyle name="Calculation 2 2 4 40 6" xfId="44304"/>
    <cellStyle name="Calculation 2 2 4 40 7" xfId="53134"/>
    <cellStyle name="Calculation 2 2 4 41" xfId="5858"/>
    <cellStyle name="Calculation 2 2 4 41 2" xfId="13575"/>
    <cellStyle name="Calculation 2 2 4 41 3" xfId="22568"/>
    <cellStyle name="Calculation 2 2 4 41 4" xfId="30755"/>
    <cellStyle name="Calculation 2 2 4 41 5" xfId="40069"/>
    <cellStyle name="Calculation 2 2 4 41 6" xfId="44420"/>
    <cellStyle name="Calculation 2 2 4 41 7" xfId="53709"/>
    <cellStyle name="Calculation 2 2 4 42" xfId="5987"/>
    <cellStyle name="Calculation 2 2 4 42 2" xfId="13704"/>
    <cellStyle name="Calculation 2 2 4 42 3" xfId="22697"/>
    <cellStyle name="Calculation 2 2 4 42 4" xfId="30884"/>
    <cellStyle name="Calculation 2 2 4 42 5" xfId="40193"/>
    <cellStyle name="Calculation 2 2 4 42 6" xfId="44549"/>
    <cellStyle name="Calculation 2 2 4 42 7" xfId="53518"/>
    <cellStyle name="Calculation 2 2 4 43" xfId="5221"/>
    <cellStyle name="Calculation 2 2 4 43 2" xfId="12938"/>
    <cellStyle name="Calculation 2 2 4 43 3" xfId="21931"/>
    <cellStyle name="Calculation 2 2 4 43 4" xfId="30118"/>
    <cellStyle name="Calculation 2 2 4 43 5" xfId="39453"/>
    <cellStyle name="Calculation 2 2 4 43 6" xfId="43783"/>
    <cellStyle name="Calculation 2 2 4 43 7" xfId="48362"/>
    <cellStyle name="Calculation 2 2 4 44" xfId="6243"/>
    <cellStyle name="Calculation 2 2 4 44 2" xfId="13960"/>
    <cellStyle name="Calculation 2 2 4 44 3" xfId="22953"/>
    <cellStyle name="Calculation 2 2 4 44 4" xfId="31140"/>
    <cellStyle name="Calculation 2 2 4 44 5" xfId="40441"/>
    <cellStyle name="Calculation 2 2 4 44 6" xfId="44805"/>
    <cellStyle name="Calculation 2 2 4 44 7" xfId="50871"/>
    <cellStyle name="Calculation 2 2 4 45" xfId="6359"/>
    <cellStyle name="Calculation 2 2 4 45 2" xfId="14076"/>
    <cellStyle name="Calculation 2 2 4 45 3" xfId="23069"/>
    <cellStyle name="Calculation 2 2 4 45 4" xfId="31256"/>
    <cellStyle name="Calculation 2 2 4 45 5" xfId="40554"/>
    <cellStyle name="Calculation 2 2 4 45 6" xfId="44921"/>
    <cellStyle name="Calculation 2 2 4 45 7" xfId="54357"/>
    <cellStyle name="Calculation 2 2 4 46" xfId="6470"/>
    <cellStyle name="Calculation 2 2 4 46 2" xfId="14187"/>
    <cellStyle name="Calculation 2 2 4 46 3" xfId="23180"/>
    <cellStyle name="Calculation 2 2 4 46 4" xfId="31367"/>
    <cellStyle name="Calculation 2 2 4 46 5" xfId="40661"/>
    <cellStyle name="Calculation 2 2 4 46 6" xfId="45032"/>
    <cellStyle name="Calculation 2 2 4 46 7" xfId="47988"/>
    <cellStyle name="Calculation 2 2 4 47" xfId="6305"/>
    <cellStyle name="Calculation 2 2 4 47 2" xfId="14022"/>
    <cellStyle name="Calculation 2 2 4 47 3" xfId="23015"/>
    <cellStyle name="Calculation 2 2 4 47 4" xfId="31202"/>
    <cellStyle name="Calculation 2 2 4 47 5" xfId="40502"/>
    <cellStyle name="Calculation 2 2 4 47 6" xfId="44867"/>
    <cellStyle name="Calculation 2 2 4 47 7" xfId="53499"/>
    <cellStyle name="Calculation 2 2 4 48" xfId="6616"/>
    <cellStyle name="Calculation 2 2 4 48 2" xfId="14333"/>
    <cellStyle name="Calculation 2 2 4 48 3" xfId="23326"/>
    <cellStyle name="Calculation 2 2 4 48 4" xfId="31513"/>
    <cellStyle name="Calculation 2 2 4 48 5" xfId="40800"/>
    <cellStyle name="Calculation 2 2 4 48 6" xfId="45178"/>
    <cellStyle name="Calculation 2 2 4 48 7" xfId="49266"/>
    <cellStyle name="Calculation 2 2 4 49" xfId="6728"/>
    <cellStyle name="Calculation 2 2 4 49 2" xfId="14445"/>
    <cellStyle name="Calculation 2 2 4 49 3" xfId="23438"/>
    <cellStyle name="Calculation 2 2 4 49 4" xfId="31625"/>
    <cellStyle name="Calculation 2 2 4 49 5" xfId="40906"/>
    <cellStyle name="Calculation 2 2 4 49 6" xfId="45290"/>
    <cellStyle name="Calculation 2 2 4 49 7" xfId="52295"/>
    <cellStyle name="Calculation 2 2 4 5" xfId="1359"/>
    <cellStyle name="Calculation 2 2 4 5 2" xfId="9182"/>
    <cellStyle name="Calculation 2 2 4 5 3" xfId="16610"/>
    <cellStyle name="Calculation 2 2 4 5 4" xfId="26624"/>
    <cellStyle name="Calculation 2 2 4 5 5" xfId="35456"/>
    <cellStyle name="Calculation 2 2 4 5 6" xfId="36754"/>
    <cellStyle name="Calculation 2 2 4 5 7" xfId="54333"/>
    <cellStyle name="Calculation 2 2 4 50" xfId="6843"/>
    <cellStyle name="Calculation 2 2 4 50 2" xfId="14560"/>
    <cellStyle name="Calculation 2 2 4 50 3" xfId="23553"/>
    <cellStyle name="Calculation 2 2 4 50 4" xfId="31740"/>
    <cellStyle name="Calculation 2 2 4 50 5" xfId="41014"/>
    <cellStyle name="Calculation 2 2 4 50 6" xfId="45405"/>
    <cellStyle name="Calculation 2 2 4 50 7" xfId="47839"/>
    <cellStyle name="Calculation 2 2 4 51" xfId="6956"/>
    <cellStyle name="Calculation 2 2 4 51 2" xfId="14673"/>
    <cellStyle name="Calculation 2 2 4 51 3" xfId="23666"/>
    <cellStyle name="Calculation 2 2 4 51 4" xfId="31853"/>
    <cellStyle name="Calculation 2 2 4 51 5" xfId="41122"/>
    <cellStyle name="Calculation 2 2 4 51 6" xfId="45518"/>
    <cellStyle name="Calculation 2 2 4 51 7" xfId="47034"/>
    <cellStyle name="Calculation 2 2 4 52" xfId="7067"/>
    <cellStyle name="Calculation 2 2 4 52 2" xfId="14784"/>
    <cellStyle name="Calculation 2 2 4 52 3" xfId="23777"/>
    <cellStyle name="Calculation 2 2 4 52 4" xfId="31964"/>
    <cellStyle name="Calculation 2 2 4 52 5" xfId="41227"/>
    <cellStyle name="Calculation 2 2 4 52 6" xfId="45629"/>
    <cellStyle name="Calculation 2 2 4 52 7" xfId="52694"/>
    <cellStyle name="Calculation 2 2 4 53" xfId="7201"/>
    <cellStyle name="Calculation 2 2 4 53 2" xfId="14918"/>
    <cellStyle name="Calculation 2 2 4 53 3" xfId="23911"/>
    <cellStyle name="Calculation 2 2 4 53 4" xfId="32098"/>
    <cellStyle name="Calculation 2 2 4 53 5" xfId="41358"/>
    <cellStyle name="Calculation 2 2 4 53 6" xfId="45763"/>
    <cellStyle name="Calculation 2 2 4 53 7" xfId="51170"/>
    <cellStyle name="Calculation 2 2 4 54" xfId="7402"/>
    <cellStyle name="Calculation 2 2 4 54 2" xfId="15119"/>
    <cellStyle name="Calculation 2 2 4 54 3" xfId="24112"/>
    <cellStyle name="Calculation 2 2 4 54 4" xfId="32299"/>
    <cellStyle name="Calculation 2 2 4 54 5" xfId="41551"/>
    <cellStyle name="Calculation 2 2 4 54 6" xfId="45964"/>
    <cellStyle name="Calculation 2 2 4 54 7" xfId="48071"/>
    <cellStyle name="Calculation 2 2 4 55" xfId="7464"/>
    <cellStyle name="Calculation 2 2 4 55 2" xfId="15181"/>
    <cellStyle name="Calculation 2 2 4 55 3" xfId="24174"/>
    <cellStyle name="Calculation 2 2 4 55 4" xfId="32361"/>
    <cellStyle name="Calculation 2 2 4 55 5" xfId="41610"/>
    <cellStyle name="Calculation 2 2 4 55 6" xfId="46026"/>
    <cellStyle name="Calculation 2 2 4 55 7" xfId="54229"/>
    <cellStyle name="Calculation 2 2 4 56" xfId="7585"/>
    <cellStyle name="Calculation 2 2 4 56 2" xfId="15302"/>
    <cellStyle name="Calculation 2 2 4 56 3" xfId="24295"/>
    <cellStyle name="Calculation 2 2 4 56 4" xfId="32482"/>
    <cellStyle name="Calculation 2 2 4 56 5" xfId="41725"/>
    <cellStyle name="Calculation 2 2 4 56 6" xfId="46147"/>
    <cellStyle name="Calculation 2 2 4 56 7" xfId="48638"/>
    <cellStyle name="Calculation 2 2 4 57" xfId="7861"/>
    <cellStyle name="Calculation 2 2 4 57 2" xfId="15578"/>
    <cellStyle name="Calculation 2 2 4 57 3" xfId="24565"/>
    <cellStyle name="Calculation 2 2 4 57 4" xfId="32758"/>
    <cellStyle name="Calculation 2 2 4 57 5" xfId="41990"/>
    <cellStyle name="Calculation 2 2 4 57 6" xfId="46423"/>
    <cellStyle name="Calculation 2 2 4 57 7" xfId="49578"/>
    <cellStyle name="Calculation 2 2 4 58" xfId="7964"/>
    <cellStyle name="Calculation 2 2 4 58 2" xfId="15681"/>
    <cellStyle name="Calculation 2 2 4 58 3" xfId="24667"/>
    <cellStyle name="Calculation 2 2 4 58 4" xfId="32861"/>
    <cellStyle name="Calculation 2 2 4 58 5" xfId="42089"/>
    <cellStyle name="Calculation 2 2 4 58 6" xfId="46526"/>
    <cellStyle name="Calculation 2 2 4 58 7" xfId="53757"/>
    <cellStyle name="Calculation 2 2 4 59" xfId="8087"/>
    <cellStyle name="Calculation 2 2 4 59 2" xfId="15804"/>
    <cellStyle name="Calculation 2 2 4 59 3" xfId="24788"/>
    <cellStyle name="Calculation 2 2 4 59 4" xfId="32984"/>
    <cellStyle name="Calculation 2 2 4 59 5" xfId="42206"/>
    <cellStyle name="Calculation 2 2 4 59 6" xfId="46649"/>
    <cellStyle name="Calculation 2 2 4 59 7" xfId="49716"/>
    <cellStyle name="Calculation 2 2 4 6" xfId="1482"/>
    <cellStyle name="Calculation 2 2 4 6 2" xfId="9305"/>
    <cellStyle name="Calculation 2 2 4 6 3" xfId="16733"/>
    <cellStyle name="Calculation 2 2 4 6 4" xfId="26467"/>
    <cellStyle name="Calculation 2 2 4 6 5" xfId="35246"/>
    <cellStyle name="Calculation 2 2 4 6 6" xfId="39640"/>
    <cellStyle name="Calculation 2 2 4 6 7" xfId="54000"/>
    <cellStyle name="Calculation 2 2 4 60" xfId="8137"/>
    <cellStyle name="Calculation 2 2 4 60 2" xfId="15854"/>
    <cellStyle name="Calculation 2 2 4 60 3" xfId="33034"/>
    <cellStyle name="Calculation 2 2 4 60 4" xfId="42254"/>
    <cellStyle name="Calculation 2 2 4 60 5" xfId="46699"/>
    <cellStyle name="Calculation 2 2 4 60 6" xfId="50263"/>
    <cellStyle name="Calculation 2 2 4 61" xfId="20701"/>
    <cellStyle name="Calculation 2 2 4 62" xfId="27664"/>
    <cellStyle name="Calculation 2 2 4 63" xfId="36927"/>
    <cellStyle name="Calculation 2 2 4 64" xfId="49408"/>
    <cellStyle name="Calculation 2 2 4 7" xfId="1272"/>
    <cellStyle name="Calculation 2 2 4 7 2" xfId="9095"/>
    <cellStyle name="Calculation 2 2 4 7 3" xfId="16523"/>
    <cellStyle name="Calculation 2 2 4 7 4" xfId="19278"/>
    <cellStyle name="Calculation 2 2 4 7 5" xfId="28522"/>
    <cellStyle name="Calculation 2 2 4 7 6" xfId="40903"/>
    <cellStyle name="Calculation 2 2 4 7 7" xfId="46793"/>
    <cellStyle name="Calculation 2 2 4 8" xfId="1719"/>
    <cellStyle name="Calculation 2 2 4 8 2" xfId="9542"/>
    <cellStyle name="Calculation 2 2 4 8 3" xfId="16970"/>
    <cellStyle name="Calculation 2 2 4 8 4" xfId="25764"/>
    <cellStyle name="Calculation 2 2 4 8 5" xfId="34319"/>
    <cellStyle name="Calculation 2 2 4 8 6" xfId="36383"/>
    <cellStyle name="Calculation 2 2 4 8 7" xfId="52462"/>
    <cellStyle name="Calculation 2 2 4 9" xfId="1853"/>
    <cellStyle name="Calculation 2 2 4 9 2" xfId="9676"/>
    <cellStyle name="Calculation 2 2 4 9 3" xfId="17104"/>
    <cellStyle name="Calculation 2 2 4 9 4" xfId="26020"/>
    <cellStyle name="Calculation 2 2 4 9 5" xfId="34649"/>
    <cellStyle name="Calculation 2 2 4 9 6" xfId="41836"/>
    <cellStyle name="Calculation 2 2 4 9 7" xfId="53037"/>
    <cellStyle name="Calculation 2 2 40" xfId="4266"/>
    <cellStyle name="Calculation 2 2 40 2" xfId="11985"/>
    <cellStyle name="Calculation 2 2 40 3" xfId="20976"/>
    <cellStyle name="Calculation 2 2 40 4" xfId="29163"/>
    <cellStyle name="Calculation 2 2 40 5" xfId="38536"/>
    <cellStyle name="Calculation 2 2 40 6" xfId="42828"/>
    <cellStyle name="Calculation 2 2 40 7" xfId="51710"/>
    <cellStyle name="Calculation 2 2 41" xfId="4081"/>
    <cellStyle name="Calculation 2 2 41 2" xfId="11841"/>
    <cellStyle name="Calculation 2 2 41 3" xfId="20791"/>
    <cellStyle name="Calculation 2 2 41 4" xfId="28978"/>
    <cellStyle name="Calculation 2 2 41 5" xfId="38357"/>
    <cellStyle name="Calculation 2 2 41 6" xfId="42643"/>
    <cellStyle name="Calculation 2 2 41 7" xfId="47964"/>
    <cellStyle name="Calculation 2 2 42" xfId="5096"/>
    <cellStyle name="Calculation 2 2 42 2" xfId="12813"/>
    <cellStyle name="Calculation 2 2 42 3" xfId="21806"/>
    <cellStyle name="Calculation 2 2 42 4" xfId="29993"/>
    <cellStyle name="Calculation 2 2 42 5" xfId="39335"/>
    <cellStyle name="Calculation 2 2 42 6" xfId="43658"/>
    <cellStyle name="Calculation 2 2 42 7" xfId="51298"/>
    <cellStyle name="Calculation 2 2 43" xfId="5233"/>
    <cellStyle name="Calculation 2 2 43 2" xfId="12950"/>
    <cellStyle name="Calculation 2 2 43 3" xfId="21943"/>
    <cellStyle name="Calculation 2 2 43 4" xfId="30130"/>
    <cellStyle name="Calculation 2 2 43 5" xfId="39465"/>
    <cellStyle name="Calculation 2 2 43 6" xfId="43795"/>
    <cellStyle name="Calculation 2 2 43 7" xfId="53411"/>
    <cellStyle name="Calculation 2 2 44" xfId="5254"/>
    <cellStyle name="Calculation 2 2 44 2" xfId="12971"/>
    <cellStyle name="Calculation 2 2 44 3" xfId="21964"/>
    <cellStyle name="Calculation 2 2 44 4" xfId="30151"/>
    <cellStyle name="Calculation 2 2 44 5" xfId="39486"/>
    <cellStyle name="Calculation 2 2 44 6" xfId="43816"/>
    <cellStyle name="Calculation 2 2 44 7" xfId="51265"/>
    <cellStyle name="Calculation 2 2 45" xfId="5326"/>
    <cellStyle name="Calculation 2 2 45 2" xfId="13043"/>
    <cellStyle name="Calculation 2 2 45 3" xfId="22036"/>
    <cellStyle name="Calculation 2 2 45 4" xfId="30223"/>
    <cellStyle name="Calculation 2 2 45 5" xfId="39557"/>
    <cellStyle name="Calculation 2 2 45 6" xfId="43888"/>
    <cellStyle name="Calculation 2 2 45 7" xfId="51372"/>
    <cellStyle name="Calculation 2 2 46" xfId="5287"/>
    <cellStyle name="Calculation 2 2 46 2" xfId="13004"/>
    <cellStyle name="Calculation 2 2 46 3" xfId="21997"/>
    <cellStyle name="Calculation 2 2 46 4" xfId="30184"/>
    <cellStyle name="Calculation 2 2 46 5" xfId="39518"/>
    <cellStyle name="Calculation 2 2 46 6" xfId="43849"/>
    <cellStyle name="Calculation 2 2 46 7" xfId="51663"/>
    <cellStyle name="Calculation 2 2 47" xfId="5363"/>
    <cellStyle name="Calculation 2 2 47 2" xfId="13080"/>
    <cellStyle name="Calculation 2 2 47 3" xfId="22073"/>
    <cellStyle name="Calculation 2 2 47 4" xfId="30260"/>
    <cellStyle name="Calculation 2 2 47 5" xfId="39592"/>
    <cellStyle name="Calculation 2 2 47 6" xfId="43925"/>
    <cellStyle name="Calculation 2 2 47 7" xfId="49728"/>
    <cellStyle name="Calculation 2 2 48" xfId="5367"/>
    <cellStyle name="Calculation 2 2 48 2" xfId="13084"/>
    <cellStyle name="Calculation 2 2 48 3" xfId="22077"/>
    <cellStyle name="Calculation 2 2 48 4" xfId="30264"/>
    <cellStyle name="Calculation 2 2 48 5" xfId="39596"/>
    <cellStyle name="Calculation 2 2 48 6" xfId="43929"/>
    <cellStyle name="Calculation 2 2 48 7" xfId="48378"/>
    <cellStyle name="Calculation 2 2 49" xfId="5941"/>
    <cellStyle name="Calculation 2 2 49 2" xfId="13658"/>
    <cellStyle name="Calculation 2 2 49 3" xfId="22651"/>
    <cellStyle name="Calculation 2 2 49 4" xfId="30838"/>
    <cellStyle name="Calculation 2 2 49 5" xfId="40149"/>
    <cellStyle name="Calculation 2 2 49 6" xfId="44503"/>
    <cellStyle name="Calculation 2 2 49 7" xfId="53288"/>
    <cellStyle name="Calculation 2 2 5" xfId="551"/>
    <cellStyle name="Calculation 2 2 5 10" xfId="1998"/>
    <cellStyle name="Calculation 2 2 5 10 2" xfId="9821"/>
    <cellStyle name="Calculation 2 2 5 10 3" xfId="17249"/>
    <cellStyle name="Calculation 2 2 5 10 4" xfId="26027"/>
    <cellStyle name="Calculation 2 2 5 10 5" xfId="34657"/>
    <cellStyle name="Calculation 2 2 5 10 6" xfId="39583"/>
    <cellStyle name="Calculation 2 2 5 10 7" xfId="53050"/>
    <cellStyle name="Calculation 2 2 5 11" xfId="2116"/>
    <cellStyle name="Calculation 2 2 5 11 2" xfId="9939"/>
    <cellStyle name="Calculation 2 2 5 11 3" xfId="17367"/>
    <cellStyle name="Calculation 2 2 5 11 4" xfId="26206"/>
    <cellStyle name="Calculation 2 2 5 11 5" xfId="34888"/>
    <cellStyle name="Calculation 2 2 5 11 6" xfId="38452"/>
    <cellStyle name="Calculation 2 2 5 11 7" xfId="53438"/>
    <cellStyle name="Calculation 2 2 5 12" xfId="2229"/>
    <cellStyle name="Calculation 2 2 5 12 2" xfId="10052"/>
    <cellStyle name="Calculation 2 2 5 12 3" xfId="17480"/>
    <cellStyle name="Calculation 2 2 5 12 4" xfId="19205"/>
    <cellStyle name="Calculation 2 2 5 12 5" xfId="27510"/>
    <cellStyle name="Calculation 2 2 5 12 6" xfId="41999"/>
    <cellStyle name="Calculation 2 2 5 12 7" xfId="49949"/>
    <cellStyle name="Calculation 2 2 5 13" xfId="1970"/>
    <cellStyle name="Calculation 2 2 5 13 2" xfId="9793"/>
    <cellStyle name="Calculation 2 2 5 13 3" xfId="17221"/>
    <cellStyle name="Calculation 2 2 5 13 4" xfId="19259"/>
    <cellStyle name="Calculation 2 2 5 13 5" xfId="28054"/>
    <cellStyle name="Calculation 2 2 5 13 6" xfId="38374"/>
    <cellStyle name="Calculation 2 2 5 13 7" xfId="49426"/>
    <cellStyle name="Calculation 2 2 5 14" xfId="1290"/>
    <cellStyle name="Calculation 2 2 5 14 2" xfId="9113"/>
    <cellStyle name="Calculation 2 2 5 14 3" xfId="16541"/>
    <cellStyle name="Calculation 2 2 5 14 4" xfId="19539"/>
    <cellStyle name="Calculation 2 2 5 14 5" xfId="27577"/>
    <cellStyle name="Calculation 2 2 5 14 6" xfId="39032"/>
    <cellStyle name="Calculation 2 2 5 14 7" xfId="46783"/>
    <cellStyle name="Calculation 2 2 5 15" xfId="2527"/>
    <cellStyle name="Calculation 2 2 5 15 2" xfId="10350"/>
    <cellStyle name="Calculation 2 2 5 15 3" xfId="17778"/>
    <cellStyle name="Calculation 2 2 5 15 4" xfId="19086"/>
    <cellStyle name="Calculation 2 2 5 15 5" xfId="28678"/>
    <cellStyle name="Calculation 2 2 5 15 6" xfId="36979"/>
    <cellStyle name="Calculation 2 2 5 15 7" xfId="48110"/>
    <cellStyle name="Calculation 2 2 5 16" xfId="2640"/>
    <cellStyle name="Calculation 2 2 5 16 2" xfId="10463"/>
    <cellStyle name="Calculation 2 2 5 16 3" xfId="17891"/>
    <cellStyle name="Calculation 2 2 5 16 4" xfId="25619"/>
    <cellStyle name="Calculation 2 2 5 16 5" xfId="34133"/>
    <cellStyle name="Calculation 2 2 5 16 6" xfId="38462"/>
    <cellStyle name="Calculation 2 2 5 16 7" xfId="52129"/>
    <cellStyle name="Calculation 2 2 5 17" xfId="1194"/>
    <cellStyle name="Calculation 2 2 5 17 2" xfId="9017"/>
    <cellStyle name="Calculation 2 2 5 17 3" xfId="16445"/>
    <cellStyle name="Calculation 2 2 5 17 4" xfId="25440"/>
    <cellStyle name="Calculation 2 2 5 17 5" xfId="33900"/>
    <cellStyle name="Calculation 2 2 5 17 6" xfId="36854"/>
    <cellStyle name="Calculation 2 2 5 17 7" xfId="51727"/>
    <cellStyle name="Calculation 2 2 5 18" xfId="2732"/>
    <cellStyle name="Calculation 2 2 5 18 2" xfId="10555"/>
    <cellStyle name="Calculation 2 2 5 18 3" xfId="17983"/>
    <cellStyle name="Calculation 2 2 5 18 4" xfId="19435"/>
    <cellStyle name="Calculation 2 2 5 18 5" xfId="28469"/>
    <cellStyle name="Calculation 2 2 5 18 6" xfId="37131"/>
    <cellStyle name="Calculation 2 2 5 18 7" xfId="47406"/>
    <cellStyle name="Calculation 2 2 5 19" xfId="2833"/>
    <cellStyle name="Calculation 2 2 5 19 2" xfId="10656"/>
    <cellStyle name="Calculation 2 2 5 19 3" xfId="18084"/>
    <cellStyle name="Calculation 2 2 5 19 4" xfId="25481"/>
    <cellStyle name="Calculation 2 2 5 19 5" xfId="33955"/>
    <cellStyle name="Calculation 2 2 5 19 6" xfId="41033"/>
    <cellStyle name="Calculation 2 2 5 19 7" xfId="51835"/>
    <cellStyle name="Calculation 2 2 5 2" xfId="701"/>
    <cellStyle name="Calculation 2 2 5 2 2" xfId="8525"/>
    <cellStyle name="Calculation 2 2 5 2 3" xfId="15953"/>
    <cellStyle name="Calculation 2 2 5 2 4" xfId="26281"/>
    <cellStyle name="Calculation 2 2 5 2 5" xfId="34985"/>
    <cellStyle name="Calculation 2 2 5 2 6" xfId="37596"/>
    <cellStyle name="Calculation 2 2 5 2 7" xfId="53599"/>
    <cellStyle name="Calculation 2 2 5 20" xfId="2940"/>
    <cellStyle name="Calculation 2 2 5 20 2" xfId="10763"/>
    <cellStyle name="Calculation 2 2 5 20 3" xfId="18191"/>
    <cellStyle name="Calculation 2 2 5 20 4" xfId="25614"/>
    <cellStyle name="Calculation 2 2 5 20 5" xfId="34126"/>
    <cellStyle name="Calculation 2 2 5 20 6" xfId="39577"/>
    <cellStyle name="Calculation 2 2 5 20 7" xfId="52120"/>
    <cellStyle name="Calculation 2 2 5 21" xfId="3316"/>
    <cellStyle name="Calculation 2 2 5 21 2" xfId="11109"/>
    <cellStyle name="Calculation 2 2 5 21 3" xfId="18438"/>
    <cellStyle name="Calculation 2 2 5 21 4" xfId="19276"/>
    <cellStyle name="Calculation 2 2 5 21 5" xfId="26776"/>
    <cellStyle name="Calculation 2 2 5 21 6" xfId="38114"/>
    <cellStyle name="Calculation 2 2 5 21 7" xfId="50370"/>
    <cellStyle name="Calculation 2 2 5 22" xfId="3436"/>
    <cellStyle name="Calculation 2 2 5 22 2" xfId="11227"/>
    <cellStyle name="Calculation 2 2 5 22 3" xfId="18549"/>
    <cellStyle name="Calculation 2 2 5 22 4" xfId="26459"/>
    <cellStyle name="Calculation 2 2 5 22 5" xfId="35236"/>
    <cellStyle name="Calculation 2 2 5 22 6" xfId="39344"/>
    <cellStyle name="Calculation 2 2 5 22 7" xfId="53978"/>
    <cellStyle name="Calculation 2 2 5 23" xfId="3595"/>
    <cellStyle name="Calculation 2 2 5 23 2" xfId="11381"/>
    <cellStyle name="Calculation 2 2 5 23 3" xfId="18656"/>
    <cellStyle name="Calculation 2 2 5 23 4" xfId="25844"/>
    <cellStyle name="Calculation 2 2 5 23 5" xfId="34430"/>
    <cellStyle name="Calculation 2 2 5 23 6" xfId="39922"/>
    <cellStyle name="Calculation 2 2 5 23 7" xfId="52660"/>
    <cellStyle name="Calculation 2 2 5 24" xfId="3707"/>
    <cellStyle name="Calculation 2 2 5 24 2" xfId="11492"/>
    <cellStyle name="Calculation 2 2 5 24 3" xfId="18765"/>
    <cellStyle name="Calculation 2 2 5 24 4" xfId="19723"/>
    <cellStyle name="Calculation 2 2 5 24 5" xfId="27404"/>
    <cellStyle name="Calculation 2 2 5 24 6" xfId="38211"/>
    <cellStyle name="Calculation 2 2 5 24 7" xfId="48642"/>
    <cellStyle name="Calculation 2 2 5 25" xfId="3837"/>
    <cellStyle name="Calculation 2 2 5 25 2" xfId="11619"/>
    <cellStyle name="Calculation 2 2 5 25 3" xfId="18876"/>
    <cellStyle name="Calculation 2 2 5 25 4" xfId="19660"/>
    <cellStyle name="Calculation 2 2 5 25 5" xfId="28533"/>
    <cellStyle name="Calculation 2 2 5 25 6" xfId="38260"/>
    <cellStyle name="Calculation 2 2 5 25 7" xfId="47509"/>
    <cellStyle name="Calculation 2 2 5 26" xfId="3955"/>
    <cellStyle name="Calculation 2 2 5 26 2" xfId="11735"/>
    <cellStyle name="Calculation 2 2 5 26 3" xfId="18985"/>
    <cellStyle name="Calculation 2 2 5 26 4" xfId="26502"/>
    <cellStyle name="Calculation 2 2 5 26 5" xfId="35296"/>
    <cellStyle name="Calculation 2 2 5 26 6" xfId="41103"/>
    <cellStyle name="Calculation 2 2 5 26 7" xfId="54080"/>
    <cellStyle name="Calculation 2 2 5 27" xfId="3173"/>
    <cellStyle name="Calculation 2 2 5 27 2" xfId="10974"/>
    <cellStyle name="Calculation 2 2 5 27 3" xfId="20306"/>
    <cellStyle name="Calculation 2 2 5 27 4" xfId="28396"/>
    <cellStyle name="Calculation 2 2 5 27 5" xfId="37784"/>
    <cellStyle name="Calculation 2 2 5 27 6" xfId="42423"/>
    <cellStyle name="Calculation 2 2 5 27 7" xfId="52223"/>
    <cellStyle name="Calculation 2 2 5 28" xfId="4152"/>
    <cellStyle name="Calculation 2 2 5 28 2" xfId="11911"/>
    <cellStyle name="Calculation 2 2 5 28 3" xfId="20862"/>
    <cellStyle name="Calculation 2 2 5 28 4" xfId="29049"/>
    <cellStyle name="Calculation 2 2 5 28 5" xfId="38425"/>
    <cellStyle name="Calculation 2 2 5 28 6" xfId="42714"/>
    <cellStyle name="Calculation 2 2 5 28 7" xfId="49203"/>
    <cellStyle name="Calculation 2 2 5 29" xfId="4209"/>
    <cellStyle name="Calculation 2 2 5 29 2" xfId="20919"/>
    <cellStyle name="Calculation 2 2 5 29 3" xfId="29106"/>
    <cellStyle name="Calculation 2 2 5 29 4" xfId="38482"/>
    <cellStyle name="Calculation 2 2 5 29 5" xfId="42771"/>
    <cellStyle name="Calculation 2 2 5 29 6" xfId="50796"/>
    <cellStyle name="Calculation 2 2 5 3" xfId="809"/>
    <cellStyle name="Calculation 2 2 5 3 2" xfId="8633"/>
    <cellStyle name="Calculation 2 2 5 3 3" xfId="16061"/>
    <cellStyle name="Calculation 2 2 5 3 4" xfId="19094"/>
    <cellStyle name="Calculation 2 2 5 3 5" xfId="26967"/>
    <cellStyle name="Calculation 2 2 5 3 6" xfId="36534"/>
    <cellStyle name="Calculation 2 2 5 3 7" xfId="47305"/>
    <cellStyle name="Calculation 2 2 5 30" xfId="4349"/>
    <cellStyle name="Calculation 2 2 5 30 2" xfId="12066"/>
    <cellStyle name="Calculation 2 2 5 30 3" xfId="21059"/>
    <cellStyle name="Calculation 2 2 5 30 4" xfId="29246"/>
    <cellStyle name="Calculation 2 2 5 30 5" xfId="38616"/>
    <cellStyle name="Calculation 2 2 5 30 6" xfId="42911"/>
    <cellStyle name="Calculation 2 2 5 30 7" xfId="48190"/>
    <cellStyle name="Calculation 2 2 5 31" xfId="4472"/>
    <cellStyle name="Calculation 2 2 5 31 2" xfId="12189"/>
    <cellStyle name="Calculation 2 2 5 31 3" xfId="21182"/>
    <cellStyle name="Calculation 2 2 5 31 4" xfId="29369"/>
    <cellStyle name="Calculation 2 2 5 31 5" xfId="38734"/>
    <cellStyle name="Calculation 2 2 5 31 6" xfId="43034"/>
    <cellStyle name="Calculation 2 2 5 31 7" xfId="54390"/>
    <cellStyle name="Calculation 2 2 5 32" xfId="4586"/>
    <cellStyle name="Calculation 2 2 5 32 2" xfId="12303"/>
    <cellStyle name="Calculation 2 2 5 32 3" xfId="21296"/>
    <cellStyle name="Calculation 2 2 5 32 4" xfId="29483"/>
    <cellStyle name="Calculation 2 2 5 32 5" xfId="38843"/>
    <cellStyle name="Calculation 2 2 5 32 6" xfId="43148"/>
    <cellStyle name="Calculation 2 2 5 32 7" xfId="51059"/>
    <cellStyle name="Calculation 2 2 5 33" xfId="4699"/>
    <cellStyle name="Calculation 2 2 5 33 2" xfId="12416"/>
    <cellStyle name="Calculation 2 2 5 33 3" xfId="21409"/>
    <cellStyle name="Calculation 2 2 5 33 4" xfId="29596"/>
    <cellStyle name="Calculation 2 2 5 33 5" xfId="38952"/>
    <cellStyle name="Calculation 2 2 5 33 6" xfId="43261"/>
    <cellStyle name="Calculation 2 2 5 33 7" xfId="54481"/>
    <cellStyle name="Calculation 2 2 5 34" xfId="4810"/>
    <cellStyle name="Calculation 2 2 5 34 2" xfId="12527"/>
    <cellStyle name="Calculation 2 2 5 34 3" xfId="21520"/>
    <cellStyle name="Calculation 2 2 5 34 4" xfId="29707"/>
    <cellStyle name="Calculation 2 2 5 34 5" xfId="39060"/>
    <cellStyle name="Calculation 2 2 5 34 6" xfId="43372"/>
    <cellStyle name="Calculation 2 2 5 34 7" xfId="50711"/>
    <cellStyle name="Calculation 2 2 5 35" xfId="4919"/>
    <cellStyle name="Calculation 2 2 5 35 2" xfId="12636"/>
    <cellStyle name="Calculation 2 2 5 35 3" xfId="21629"/>
    <cellStyle name="Calculation 2 2 5 35 4" xfId="29816"/>
    <cellStyle name="Calculation 2 2 5 35 5" xfId="39164"/>
    <cellStyle name="Calculation 2 2 5 35 6" xfId="43481"/>
    <cellStyle name="Calculation 2 2 5 35 7" xfId="51595"/>
    <cellStyle name="Calculation 2 2 5 36" xfId="5030"/>
    <cellStyle name="Calculation 2 2 5 36 2" xfId="12747"/>
    <cellStyle name="Calculation 2 2 5 36 3" xfId="21740"/>
    <cellStyle name="Calculation 2 2 5 36 4" xfId="29927"/>
    <cellStyle name="Calculation 2 2 5 36 5" xfId="39272"/>
    <cellStyle name="Calculation 2 2 5 36 6" xfId="43592"/>
    <cellStyle name="Calculation 2 2 5 36 7" xfId="50946"/>
    <cellStyle name="Calculation 2 2 5 37" xfId="5409"/>
    <cellStyle name="Calculation 2 2 5 37 2" xfId="13126"/>
    <cellStyle name="Calculation 2 2 5 37 3" xfId="22119"/>
    <cellStyle name="Calculation 2 2 5 37 4" xfId="30306"/>
    <cellStyle name="Calculation 2 2 5 37 5" xfId="39636"/>
    <cellStyle name="Calculation 2 2 5 37 6" xfId="43971"/>
    <cellStyle name="Calculation 2 2 5 37 7" xfId="50473"/>
    <cellStyle name="Calculation 2 2 5 38" xfId="5529"/>
    <cellStyle name="Calculation 2 2 5 38 2" xfId="13246"/>
    <cellStyle name="Calculation 2 2 5 38 3" xfId="22239"/>
    <cellStyle name="Calculation 2 2 5 38 4" xfId="30426"/>
    <cellStyle name="Calculation 2 2 5 38 5" xfId="39750"/>
    <cellStyle name="Calculation 2 2 5 38 6" xfId="44091"/>
    <cellStyle name="Calculation 2 2 5 38 7" xfId="47973"/>
    <cellStyle name="Calculation 2 2 5 39" xfId="5653"/>
    <cellStyle name="Calculation 2 2 5 39 2" xfId="13370"/>
    <cellStyle name="Calculation 2 2 5 39 3" xfId="22363"/>
    <cellStyle name="Calculation 2 2 5 39 4" xfId="30550"/>
    <cellStyle name="Calculation 2 2 5 39 5" xfId="39870"/>
    <cellStyle name="Calculation 2 2 5 39 6" xfId="44215"/>
    <cellStyle name="Calculation 2 2 5 39 7" xfId="47113"/>
    <cellStyle name="Calculation 2 2 5 4" xfId="920"/>
    <cellStyle name="Calculation 2 2 5 4 2" xfId="8744"/>
    <cellStyle name="Calculation 2 2 5 4 3" xfId="16172"/>
    <cellStyle name="Calculation 2 2 5 4 4" xfId="25572"/>
    <cellStyle name="Calculation 2 2 5 4 5" xfId="34072"/>
    <cellStyle name="Calculation 2 2 5 4 6" xfId="37264"/>
    <cellStyle name="Calculation 2 2 5 4 7" xfId="52023"/>
    <cellStyle name="Calculation 2 2 5 40" xfId="5769"/>
    <cellStyle name="Calculation 2 2 5 40 2" xfId="13486"/>
    <cellStyle name="Calculation 2 2 5 40 3" xfId="22479"/>
    <cellStyle name="Calculation 2 2 5 40 4" xfId="30666"/>
    <cellStyle name="Calculation 2 2 5 40 5" xfId="39982"/>
    <cellStyle name="Calculation 2 2 5 40 6" xfId="44331"/>
    <cellStyle name="Calculation 2 2 5 40 7" xfId="50260"/>
    <cellStyle name="Calculation 2 2 5 41" xfId="5885"/>
    <cellStyle name="Calculation 2 2 5 41 2" xfId="13602"/>
    <cellStyle name="Calculation 2 2 5 41 3" xfId="22595"/>
    <cellStyle name="Calculation 2 2 5 41 4" xfId="30782"/>
    <cellStyle name="Calculation 2 2 5 41 5" xfId="40095"/>
    <cellStyle name="Calculation 2 2 5 41 6" xfId="44447"/>
    <cellStyle name="Calculation 2 2 5 41 7" xfId="47496"/>
    <cellStyle name="Calculation 2 2 5 42" xfId="6014"/>
    <cellStyle name="Calculation 2 2 5 42 2" xfId="13731"/>
    <cellStyle name="Calculation 2 2 5 42 3" xfId="22724"/>
    <cellStyle name="Calculation 2 2 5 42 4" xfId="30911"/>
    <cellStyle name="Calculation 2 2 5 42 5" xfId="40219"/>
    <cellStyle name="Calculation 2 2 5 42 6" xfId="44576"/>
    <cellStyle name="Calculation 2 2 5 42 7" xfId="53084"/>
    <cellStyle name="Calculation 2 2 5 43" xfId="6141"/>
    <cellStyle name="Calculation 2 2 5 43 2" xfId="13858"/>
    <cellStyle name="Calculation 2 2 5 43 3" xfId="22851"/>
    <cellStyle name="Calculation 2 2 5 43 4" xfId="31038"/>
    <cellStyle name="Calculation 2 2 5 43 5" xfId="40339"/>
    <cellStyle name="Calculation 2 2 5 43 6" xfId="44703"/>
    <cellStyle name="Calculation 2 2 5 43 7" xfId="48130"/>
    <cellStyle name="Calculation 2 2 5 44" xfId="6270"/>
    <cellStyle name="Calculation 2 2 5 44 2" xfId="13987"/>
    <cellStyle name="Calculation 2 2 5 44 3" xfId="22980"/>
    <cellStyle name="Calculation 2 2 5 44 4" xfId="31167"/>
    <cellStyle name="Calculation 2 2 5 44 5" xfId="40467"/>
    <cellStyle name="Calculation 2 2 5 44 6" xfId="44832"/>
    <cellStyle name="Calculation 2 2 5 44 7" xfId="48473"/>
    <cellStyle name="Calculation 2 2 5 45" xfId="6386"/>
    <cellStyle name="Calculation 2 2 5 45 2" xfId="14103"/>
    <cellStyle name="Calculation 2 2 5 45 3" xfId="23096"/>
    <cellStyle name="Calculation 2 2 5 45 4" xfId="31283"/>
    <cellStyle name="Calculation 2 2 5 45 5" xfId="40580"/>
    <cellStyle name="Calculation 2 2 5 45 6" xfId="44948"/>
    <cellStyle name="Calculation 2 2 5 45 7" xfId="51238"/>
    <cellStyle name="Calculation 2 2 5 46" xfId="6497"/>
    <cellStyle name="Calculation 2 2 5 46 2" xfId="14214"/>
    <cellStyle name="Calculation 2 2 5 46 3" xfId="23207"/>
    <cellStyle name="Calculation 2 2 5 46 4" xfId="31394"/>
    <cellStyle name="Calculation 2 2 5 46 5" xfId="40687"/>
    <cellStyle name="Calculation 2 2 5 46 6" xfId="45059"/>
    <cellStyle name="Calculation 2 2 5 46 7" xfId="54413"/>
    <cellStyle name="Calculation 2 2 5 47" xfId="6300"/>
    <cellStyle name="Calculation 2 2 5 47 2" xfId="14017"/>
    <cellStyle name="Calculation 2 2 5 47 3" xfId="23010"/>
    <cellStyle name="Calculation 2 2 5 47 4" xfId="31197"/>
    <cellStyle name="Calculation 2 2 5 47 5" xfId="40497"/>
    <cellStyle name="Calculation 2 2 5 47 6" xfId="44862"/>
    <cellStyle name="Calculation 2 2 5 47 7" xfId="54250"/>
    <cellStyle name="Calculation 2 2 5 48" xfId="6643"/>
    <cellStyle name="Calculation 2 2 5 48 2" xfId="14360"/>
    <cellStyle name="Calculation 2 2 5 48 3" xfId="23353"/>
    <cellStyle name="Calculation 2 2 5 48 4" xfId="31540"/>
    <cellStyle name="Calculation 2 2 5 48 5" xfId="40826"/>
    <cellStyle name="Calculation 2 2 5 48 6" xfId="45205"/>
    <cellStyle name="Calculation 2 2 5 48 7" xfId="53869"/>
    <cellStyle name="Calculation 2 2 5 49" xfId="6755"/>
    <cellStyle name="Calculation 2 2 5 49 2" xfId="14472"/>
    <cellStyle name="Calculation 2 2 5 49 3" xfId="23465"/>
    <cellStyle name="Calculation 2 2 5 49 4" xfId="31652"/>
    <cellStyle name="Calculation 2 2 5 49 5" xfId="40932"/>
    <cellStyle name="Calculation 2 2 5 49 6" xfId="45317"/>
    <cellStyle name="Calculation 2 2 5 49 7" xfId="49095"/>
    <cellStyle name="Calculation 2 2 5 5" xfId="1386"/>
    <cellStyle name="Calculation 2 2 5 5 2" xfId="9209"/>
    <cellStyle name="Calculation 2 2 5 5 3" xfId="16637"/>
    <cellStyle name="Calculation 2 2 5 5 4" xfId="25250"/>
    <cellStyle name="Calculation 2 2 5 5 5" xfId="33655"/>
    <cellStyle name="Calculation 2 2 5 5 6" xfId="38084"/>
    <cellStyle name="Calculation 2 2 5 5 7" xfId="51324"/>
    <cellStyle name="Calculation 2 2 5 50" xfId="6870"/>
    <cellStyle name="Calculation 2 2 5 50 2" xfId="14587"/>
    <cellStyle name="Calculation 2 2 5 50 3" xfId="23580"/>
    <cellStyle name="Calculation 2 2 5 50 4" xfId="31767"/>
    <cellStyle name="Calculation 2 2 5 50 5" xfId="41040"/>
    <cellStyle name="Calculation 2 2 5 50 6" xfId="45432"/>
    <cellStyle name="Calculation 2 2 5 50 7" xfId="46896"/>
    <cellStyle name="Calculation 2 2 5 51" xfId="6983"/>
    <cellStyle name="Calculation 2 2 5 51 2" xfId="14700"/>
    <cellStyle name="Calculation 2 2 5 51 3" xfId="23693"/>
    <cellStyle name="Calculation 2 2 5 51 4" xfId="31880"/>
    <cellStyle name="Calculation 2 2 5 51 5" xfId="41148"/>
    <cellStyle name="Calculation 2 2 5 51 6" xfId="45545"/>
    <cellStyle name="Calculation 2 2 5 51 7" xfId="46782"/>
    <cellStyle name="Calculation 2 2 5 52" xfId="7094"/>
    <cellStyle name="Calculation 2 2 5 52 2" xfId="14811"/>
    <cellStyle name="Calculation 2 2 5 52 3" xfId="23804"/>
    <cellStyle name="Calculation 2 2 5 52 4" xfId="31991"/>
    <cellStyle name="Calculation 2 2 5 52 5" xfId="41253"/>
    <cellStyle name="Calculation 2 2 5 52 6" xfId="45656"/>
    <cellStyle name="Calculation 2 2 5 52 7" xfId="47427"/>
    <cellStyle name="Calculation 2 2 5 53" xfId="7183"/>
    <cellStyle name="Calculation 2 2 5 53 2" xfId="14900"/>
    <cellStyle name="Calculation 2 2 5 53 3" xfId="23893"/>
    <cellStyle name="Calculation 2 2 5 53 4" xfId="32080"/>
    <cellStyle name="Calculation 2 2 5 53 5" xfId="41341"/>
    <cellStyle name="Calculation 2 2 5 53 6" xfId="45745"/>
    <cellStyle name="Calculation 2 2 5 53 7" xfId="48030"/>
    <cellStyle name="Calculation 2 2 5 54" xfId="7288"/>
    <cellStyle name="Calculation 2 2 5 54 2" xfId="15005"/>
    <cellStyle name="Calculation 2 2 5 54 3" xfId="23998"/>
    <cellStyle name="Calculation 2 2 5 54 4" xfId="32185"/>
    <cellStyle name="Calculation 2 2 5 54 5" xfId="41441"/>
    <cellStyle name="Calculation 2 2 5 54 6" xfId="45850"/>
    <cellStyle name="Calculation 2 2 5 54 7" xfId="50558"/>
    <cellStyle name="Calculation 2 2 5 55" xfId="7491"/>
    <cellStyle name="Calculation 2 2 5 55 2" xfId="15208"/>
    <cellStyle name="Calculation 2 2 5 55 3" xfId="24201"/>
    <cellStyle name="Calculation 2 2 5 55 4" xfId="32388"/>
    <cellStyle name="Calculation 2 2 5 55 5" xfId="41636"/>
    <cellStyle name="Calculation 2 2 5 55 6" xfId="46053"/>
    <cellStyle name="Calculation 2 2 5 55 7" xfId="51122"/>
    <cellStyle name="Calculation 2 2 5 56" xfId="7612"/>
    <cellStyle name="Calculation 2 2 5 56 2" xfId="15329"/>
    <cellStyle name="Calculation 2 2 5 56 3" xfId="24322"/>
    <cellStyle name="Calculation 2 2 5 56 4" xfId="32509"/>
    <cellStyle name="Calculation 2 2 5 56 5" xfId="41751"/>
    <cellStyle name="Calculation 2 2 5 56 6" xfId="46174"/>
    <cellStyle name="Calculation 2 2 5 56 7" xfId="46993"/>
    <cellStyle name="Calculation 2 2 5 57" xfId="7888"/>
    <cellStyle name="Calculation 2 2 5 57 2" xfId="15605"/>
    <cellStyle name="Calculation 2 2 5 57 3" xfId="24592"/>
    <cellStyle name="Calculation 2 2 5 57 4" xfId="32785"/>
    <cellStyle name="Calculation 2 2 5 57 5" xfId="42016"/>
    <cellStyle name="Calculation 2 2 5 57 6" xfId="46450"/>
    <cellStyle name="Calculation 2 2 5 57 7" xfId="48196"/>
    <cellStyle name="Calculation 2 2 5 58" xfId="8016"/>
    <cellStyle name="Calculation 2 2 5 58 2" xfId="15733"/>
    <cellStyle name="Calculation 2 2 5 58 3" xfId="24718"/>
    <cellStyle name="Calculation 2 2 5 58 4" xfId="32913"/>
    <cellStyle name="Calculation 2 2 5 58 5" xfId="42139"/>
    <cellStyle name="Calculation 2 2 5 58 6" xfId="46578"/>
    <cellStyle name="Calculation 2 2 5 58 7" xfId="50130"/>
    <cellStyle name="Calculation 2 2 5 59" xfId="7785"/>
    <cellStyle name="Calculation 2 2 5 59 2" xfId="15502"/>
    <cellStyle name="Calculation 2 2 5 59 3" xfId="24491"/>
    <cellStyle name="Calculation 2 2 5 59 4" xfId="32682"/>
    <cellStyle name="Calculation 2 2 5 59 5" xfId="41917"/>
    <cellStyle name="Calculation 2 2 5 59 6" xfId="46347"/>
    <cellStyle name="Calculation 2 2 5 59 7" xfId="47883"/>
    <cellStyle name="Calculation 2 2 5 6" xfId="1509"/>
    <cellStyle name="Calculation 2 2 5 6 2" xfId="9332"/>
    <cellStyle name="Calculation 2 2 5 6 3" xfId="16760"/>
    <cellStyle name="Calculation 2 2 5 6 4" xfId="25234"/>
    <cellStyle name="Calculation 2 2 5 6 5" xfId="33638"/>
    <cellStyle name="Calculation 2 2 5 6 6" xfId="40468"/>
    <cellStyle name="Calculation 2 2 5 6 7" xfId="51292"/>
    <cellStyle name="Calculation 2 2 5 60" xfId="8164"/>
    <cellStyle name="Calculation 2 2 5 60 2" xfId="15881"/>
    <cellStyle name="Calculation 2 2 5 60 3" xfId="33061"/>
    <cellStyle name="Calculation 2 2 5 60 4" xfId="42280"/>
    <cellStyle name="Calculation 2 2 5 60 5" xfId="46726"/>
    <cellStyle name="Calculation 2 2 5 60 6" xfId="47003"/>
    <cellStyle name="Calculation 2 2 5 61" xfId="26600"/>
    <cellStyle name="Calculation 2 2 5 62" xfId="35426"/>
    <cellStyle name="Calculation 2 2 5 63" xfId="36274"/>
    <cellStyle name="Calculation 2 2 5 64" xfId="54281"/>
    <cellStyle name="Calculation 2 2 5 7" xfId="1099"/>
    <cellStyle name="Calculation 2 2 5 7 2" xfId="8923"/>
    <cellStyle name="Calculation 2 2 5 7 3" xfId="16351"/>
    <cellStyle name="Calculation 2 2 5 7 4" xfId="19756"/>
    <cellStyle name="Calculation 2 2 5 7 5" xfId="26800"/>
    <cellStyle name="Calculation 2 2 5 7 6" xfId="37098"/>
    <cellStyle name="Calculation 2 2 5 7 7" xfId="50329"/>
    <cellStyle name="Calculation 2 2 5 8" xfId="1746"/>
    <cellStyle name="Calculation 2 2 5 8 2" xfId="9569"/>
    <cellStyle name="Calculation 2 2 5 8 3" xfId="16997"/>
    <cellStyle name="Calculation 2 2 5 8 4" xfId="19318"/>
    <cellStyle name="Calculation 2 2 5 8 5" xfId="27913"/>
    <cellStyle name="Calculation 2 2 5 8 6" xfId="40214"/>
    <cellStyle name="Calculation 2 2 5 8 7" xfId="47979"/>
    <cellStyle name="Calculation 2 2 5 9" xfId="1880"/>
    <cellStyle name="Calculation 2 2 5 9 2" xfId="9703"/>
    <cellStyle name="Calculation 2 2 5 9 3" xfId="17131"/>
    <cellStyle name="Calculation 2 2 5 9 4" xfId="20428"/>
    <cellStyle name="Calculation 2 2 5 9 5" xfId="28084"/>
    <cellStyle name="Calculation 2 2 5 9 6" xfId="39126"/>
    <cellStyle name="Calculation 2 2 5 9 7" xfId="49598"/>
    <cellStyle name="Calculation 2 2 50" xfId="5235"/>
    <cellStyle name="Calculation 2 2 50 2" xfId="12952"/>
    <cellStyle name="Calculation 2 2 50 3" xfId="21945"/>
    <cellStyle name="Calculation 2 2 50 4" xfId="30132"/>
    <cellStyle name="Calculation 2 2 50 5" xfId="39467"/>
    <cellStyle name="Calculation 2 2 50 6" xfId="43797"/>
    <cellStyle name="Calculation 2 2 50 7" xfId="53203"/>
    <cellStyle name="Calculation 2 2 51" xfId="6199"/>
    <cellStyle name="Calculation 2 2 51 2" xfId="13916"/>
    <cellStyle name="Calculation 2 2 51 3" xfId="22909"/>
    <cellStyle name="Calculation 2 2 51 4" xfId="31096"/>
    <cellStyle name="Calculation 2 2 51 5" xfId="40397"/>
    <cellStyle name="Calculation 2 2 51 6" xfId="44761"/>
    <cellStyle name="Calculation 2 2 51 7" xfId="49764"/>
    <cellStyle name="Calculation 2 2 52" xfId="5344"/>
    <cellStyle name="Calculation 2 2 52 2" xfId="13061"/>
    <cellStyle name="Calculation 2 2 52 3" xfId="22054"/>
    <cellStyle name="Calculation 2 2 52 4" xfId="30241"/>
    <cellStyle name="Calculation 2 2 52 5" xfId="39573"/>
    <cellStyle name="Calculation 2 2 52 6" xfId="43906"/>
    <cellStyle name="Calculation 2 2 52 7" xfId="47378"/>
    <cellStyle name="Calculation 2 2 53" xfId="5940"/>
    <cellStyle name="Calculation 2 2 53 2" xfId="13657"/>
    <cellStyle name="Calculation 2 2 53 3" xfId="22650"/>
    <cellStyle name="Calculation 2 2 53 4" xfId="30837"/>
    <cellStyle name="Calculation 2 2 53 5" xfId="40148"/>
    <cellStyle name="Calculation 2 2 53 6" xfId="44502"/>
    <cellStyle name="Calculation 2 2 53 7" xfId="53393"/>
    <cellStyle name="Calculation 2 2 54" xfId="6119"/>
    <cellStyle name="Calculation 2 2 54 2" xfId="13836"/>
    <cellStyle name="Calculation 2 2 54 3" xfId="22829"/>
    <cellStyle name="Calculation 2 2 54 4" xfId="31016"/>
    <cellStyle name="Calculation 2 2 54 5" xfId="40318"/>
    <cellStyle name="Calculation 2 2 54 6" xfId="44681"/>
    <cellStyle name="Calculation 2 2 54 7" xfId="49258"/>
    <cellStyle name="Calculation 2 2 55" xfId="5077"/>
    <cellStyle name="Calculation 2 2 55 2" xfId="12794"/>
    <cellStyle name="Calculation 2 2 55 3" xfId="21787"/>
    <cellStyle name="Calculation 2 2 55 4" xfId="29974"/>
    <cellStyle name="Calculation 2 2 55 5" xfId="39317"/>
    <cellStyle name="Calculation 2 2 55 6" xfId="43639"/>
    <cellStyle name="Calculation 2 2 55 7" xfId="53233"/>
    <cellStyle name="Calculation 2 2 56" xfId="5923"/>
    <cellStyle name="Calculation 2 2 56 2" xfId="13640"/>
    <cellStyle name="Calculation 2 2 56 3" xfId="22633"/>
    <cellStyle name="Calculation 2 2 56 4" xfId="30820"/>
    <cellStyle name="Calculation 2 2 56 5" xfId="40132"/>
    <cellStyle name="Calculation 2 2 56 6" xfId="44485"/>
    <cellStyle name="Calculation 2 2 56 7" xfId="54324"/>
    <cellStyle name="Calculation 2 2 57" xfId="6131"/>
    <cellStyle name="Calculation 2 2 57 2" xfId="13848"/>
    <cellStyle name="Calculation 2 2 57 3" xfId="22841"/>
    <cellStyle name="Calculation 2 2 57 4" xfId="31028"/>
    <cellStyle name="Calculation 2 2 57 5" xfId="40329"/>
    <cellStyle name="Calculation 2 2 57 6" xfId="44693"/>
    <cellStyle name="Calculation 2 2 57 7" xfId="50147"/>
    <cellStyle name="Calculation 2 2 58" xfId="7148"/>
    <cellStyle name="Calculation 2 2 58 2" xfId="14865"/>
    <cellStyle name="Calculation 2 2 58 3" xfId="23858"/>
    <cellStyle name="Calculation 2 2 58 4" xfId="32045"/>
    <cellStyle name="Calculation 2 2 58 5" xfId="41307"/>
    <cellStyle name="Calculation 2 2 58 6" xfId="45710"/>
    <cellStyle name="Calculation 2 2 58 7" xfId="50427"/>
    <cellStyle name="Calculation 2 2 59" xfId="7133"/>
    <cellStyle name="Calculation 2 2 59 2" xfId="14850"/>
    <cellStyle name="Calculation 2 2 59 3" xfId="23843"/>
    <cellStyle name="Calculation 2 2 59 4" xfId="32030"/>
    <cellStyle name="Calculation 2 2 59 5" xfId="41292"/>
    <cellStyle name="Calculation 2 2 59 6" xfId="45695"/>
    <cellStyle name="Calculation 2 2 59 7" xfId="52138"/>
    <cellStyle name="Calculation 2 2 6" xfId="581"/>
    <cellStyle name="Calculation 2 2 6 10" xfId="2028"/>
    <cellStyle name="Calculation 2 2 6 10 2" xfId="9851"/>
    <cellStyle name="Calculation 2 2 6 10 3" xfId="17279"/>
    <cellStyle name="Calculation 2 2 6 10 4" xfId="19309"/>
    <cellStyle name="Calculation 2 2 6 10 5" xfId="27952"/>
    <cellStyle name="Calculation 2 2 6 10 6" xfId="40120"/>
    <cellStyle name="Calculation 2 2 6 10 7" xfId="49550"/>
    <cellStyle name="Calculation 2 2 6 11" xfId="2144"/>
    <cellStyle name="Calculation 2 2 6 11 2" xfId="9967"/>
    <cellStyle name="Calculation 2 2 6 11 3" xfId="17395"/>
    <cellStyle name="Calculation 2 2 6 11 4" xfId="24901"/>
    <cellStyle name="Calculation 2 2 6 11 5" xfId="33217"/>
    <cellStyle name="Calculation 2 2 6 11 6" xfId="38195"/>
    <cellStyle name="Calculation 2 2 6 11 7" xfId="50562"/>
    <cellStyle name="Calculation 2 2 6 12" xfId="2258"/>
    <cellStyle name="Calculation 2 2 6 12 2" xfId="10081"/>
    <cellStyle name="Calculation 2 2 6 12 3" xfId="17509"/>
    <cellStyle name="Calculation 2 2 6 12 4" xfId="26531"/>
    <cellStyle name="Calculation 2 2 6 12 5" xfId="35331"/>
    <cellStyle name="Calculation 2 2 6 12 6" xfId="38717"/>
    <cellStyle name="Calculation 2 2 6 12 7" xfId="54138"/>
    <cellStyle name="Calculation 2 2 6 13" xfId="1589"/>
    <cellStyle name="Calculation 2 2 6 13 2" xfId="9412"/>
    <cellStyle name="Calculation 2 2 6 13 3" xfId="16840"/>
    <cellStyle name="Calculation 2 2 6 13 4" xfId="25186"/>
    <cellStyle name="Calculation 2 2 6 13 5" xfId="33569"/>
    <cellStyle name="Calculation 2 2 6 13 6" xfId="36517"/>
    <cellStyle name="Calculation 2 2 6 13 7" xfId="51187"/>
    <cellStyle name="Calculation 2 2 6 14" xfId="1030"/>
    <cellStyle name="Calculation 2 2 6 14 2" xfId="8854"/>
    <cellStyle name="Calculation 2 2 6 14 3" xfId="16282"/>
    <cellStyle name="Calculation 2 2 6 14 4" xfId="25268"/>
    <cellStyle name="Calculation 2 2 6 14 5" xfId="33676"/>
    <cellStyle name="Calculation 2 2 6 14 6" xfId="37351"/>
    <cellStyle name="Calculation 2 2 6 14 7" xfId="51363"/>
    <cellStyle name="Calculation 2 2 6 15" xfId="2556"/>
    <cellStyle name="Calculation 2 2 6 15 2" xfId="10379"/>
    <cellStyle name="Calculation 2 2 6 15 3" xfId="17807"/>
    <cellStyle name="Calculation 2 2 6 15 4" xfId="19264"/>
    <cellStyle name="Calculation 2 2 6 15 5" xfId="28188"/>
    <cellStyle name="Calculation 2 2 6 15 6" xfId="39759"/>
    <cellStyle name="Calculation 2 2 6 15 7" xfId="48194"/>
    <cellStyle name="Calculation 2 2 6 16" xfId="2670"/>
    <cellStyle name="Calculation 2 2 6 16 2" xfId="10493"/>
    <cellStyle name="Calculation 2 2 6 16 3" xfId="17921"/>
    <cellStyle name="Calculation 2 2 6 16 4" xfId="19543"/>
    <cellStyle name="Calculation 2 2 6 16 5" xfId="28232"/>
    <cellStyle name="Calculation 2 2 6 16 6" xfId="39088"/>
    <cellStyle name="Calculation 2 2 6 16 7" xfId="48703"/>
    <cellStyle name="Calculation 2 2 6 17" xfId="2340"/>
    <cellStyle name="Calculation 2 2 6 17 2" xfId="10163"/>
    <cellStyle name="Calculation 2 2 6 17 3" xfId="17591"/>
    <cellStyle name="Calculation 2 2 6 17 4" xfId="25988"/>
    <cellStyle name="Calculation 2 2 6 17 5" xfId="34610"/>
    <cellStyle name="Calculation 2 2 6 17 6" xfId="39381"/>
    <cellStyle name="Calculation 2 2 6 17 7" xfId="52972"/>
    <cellStyle name="Calculation 2 2 6 18" xfId="2430"/>
    <cellStyle name="Calculation 2 2 6 18 2" xfId="10253"/>
    <cellStyle name="Calculation 2 2 6 18 3" xfId="17681"/>
    <cellStyle name="Calculation 2 2 6 18 4" xfId="19834"/>
    <cellStyle name="Calculation 2 2 6 18 5" xfId="28258"/>
    <cellStyle name="Calculation 2 2 6 18 6" xfId="36602"/>
    <cellStyle name="Calculation 2 2 6 18 7" xfId="47544"/>
    <cellStyle name="Calculation 2 2 6 19" xfId="2860"/>
    <cellStyle name="Calculation 2 2 6 19 2" xfId="10683"/>
    <cellStyle name="Calculation 2 2 6 19 3" xfId="18111"/>
    <cellStyle name="Calculation 2 2 6 19 4" xfId="25888"/>
    <cellStyle name="Calculation 2 2 6 19 5" xfId="34483"/>
    <cellStyle name="Calculation 2 2 6 19 6" xfId="37758"/>
    <cellStyle name="Calculation 2 2 6 19 7" xfId="52762"/>
    <cellStyle name="Calculation 2 2 6 2" xfId="728"/>
    <cellStyle name="Calculation 2 2 6 2 2" xfId="8552"/>
    <cellStyle name="Calculation 2 2 6 2 3" xfId="15980"/>
    <cellStyle name="Calculation 2 2 6 2 4" xfId="20110"/>
    <cellStyle name="Calculation 2 2 6 2 5" xfId="26750"/>
    <cellStyle name="Calculation 2 2 6 2 6" xfId="36415"/>
    <cellStyle name="Calculation 2 2 6 2 7" xfId="49751"/>
    <cellStyle name="Calculation 2 2 6 20" xfId="2967"/>
    <cellStyle name="Calculation 2 2 6 20 2" xfId="10790"/>
    <cellStyle name="Calculation 2 2 6 20 3" xfId="18218"/>
    <cellStyle name="Calculation 2 2 6 20 4" xfId="19151"/>
    <cellStyle name="Calculation 2 2 6 20 5" xfId="27789"/>
    <cellStyle name="Calculation 2 2 6 20 6" xfId="37610"/>
    <cellStyle name="Calculation 2 2 6 20 7" xfId="49268"/>
    <cellStyle name="Calculation 2 2 6 21" xfId="3345"/>
    <cellStyle name="Calculation 2 2 6 21 2" xfId="11138"/>
    <cellStyle name="Calculation 2 2 6 21 3" xfId="18465"/>
    <cellStyle name="Calculation 2 2 6 21 4" xfId="26652"/>
    <cellStyle name="Calculation 2 2 6 21 5" xfId="35496"/>
    <cellStyle name="Calculation 2 2 6 21 6" xfId="36978"/>
    <cellStyle name="Calculation 2 2 6 21 7" xfId="54395"/>
    <cellStyle name="Calculation 2 2 6 22" xfId="3464"/>
    <cellStyle name="Calculation 2 2 6 22 2" xfId="11255"/>
    <cellStyle name="Calculation 2 2 6 22 3" xfId="18576"/>
    <cellStyle name="Calculation 2 2 6 22 4" xfId="25110"/>
    <cellStyle name="Calculation 2 2 6 22 5" xfId="33477"/>
    <cellStyle name="Calculation 2 2 6 22 6" xfId="38016"/>
    <cellStyle name="Calculation 2 2 6 22 7" xfId="51029"/>
    <cellStyle name="Calculation 2 2 6 23" xfId="3623"/>
    <cellStyle name="Calculation 2 2 6 23 2" xfId="11409"/>
    <cellStyle name="Calculation 2 2 6 23 3" xfId="18683"/>
    <cellStyle name="Calculation 2 2 6 23 4" xfId="19847"/>
    <cellStyle name="Calculation 2 2 6 23 5" xfId="28707"/>
    <cellStyle name="Calculation 2 2 6 23 6" xfId="37422"/>
    <cellStyle name="Calculation 2 2 6 23 7" xfId="49511"/>
    <cellStyle name="Calculation 2 2 6 24" xfId="3737"/>
    <cellStyle name="Calculation 2 2 6 24 2" xfId="11522"/>
    <cellStyle name="Calculation 2 2 6 24 3" xfId="18793"/>
    <cellStyle name="Calculation 2 2 6 24 4" xfId="26662"/>
    <cellStyle name="Calculation 2 2 6 24 5" xfId="35508"/>
    <cellStyle name="Calculation 2 2 6 24 6" xfId="40989"/>
    <cellStyle name="Calculation 2 2 6 24 7" xfId="54419"/>
    <cellStyle name="Calculation 2 2 6 25" xfId="3866"/>
    <cellStyle name="Calculation 2 2 6 25 2" xfId="11648"/>
    <cellStyle name="Calculation 2 2 6 25 3" xfId="18903"/>
    <cellStyle name="Calculation 2 2 6 25 4" xfId="24828"/>
    <cellStyle name="Calculation 2 2 6 25 5" xfId="27834"/>
    <cellStyle name="Calculation 2 2 6 25 6" xfId="37896"/>
    <cellStyle name="Calculation 2 2 6 25 7" xfId="48524"/>
    <cellStyle name="Calculation 2 2 6 26" xfId="3984"/>
    <cellStyle name="Calculation 2 2 6 26 2" xfId="11763"/>
    <cellStyle name="Calculation 2 2 6 26 3" xfId="19012"/>
    <cellStyle name="Calculation 2 2 6 26 4" xfId="25307"/>
    <cellStyle name="Calculation 2 2 6 26 5" xfId="33723"/>
    <cellStyle name="Calculation 2 2 6 26 6" xfId="38228"/>
    <cellStyle name="Calculation 2 2 6 26 7" xfId="51441"/>
    <cellStyle name="Calculation 2 2 6 27" xfId="3757"/>
    <cellStyle name="Calculation 2 2 6 27 2" xfId="11542"/>
    <cellStyle name="Calculation 2 2 6 27 3" xfId="20607"/>
    <cellStyle name="Calculation 2 2 6 27 4" xfId="28757"/>
    <cellStyle name="Calculation 2 2 6 27 5" xfId="38145"/>
    <cellStyle name="Calculation 2 2 6 27 6" xfId="42533"/>
    <cellStyle name="Calculation 2 2 6 27 7" xfId="52516"/>
    <cellStyle name="Calculation 2 2 6 28" xfId="4180"/>
    <cellStyle name="Calculation 2 2 6 28 2" xfId="11939"/>
    <cellStyle name="Calculation 2 2 6 28 3" xfId="20890"/>
    <cellStyle name="Calculation 2 2 6 28 4" xfId="29077"/>
    <cellStyle name="Calculation 2 2 6 28 5" xfId="38453"/>
    <cellStyle name="Calculation 2 2 6 28 6" xfId="42742"/>
    <cellStyle name="Calculation 2 2 6 28 7" xfId="53847"/>
    <cellStyle name="Calculation 2 2 6 29" xfId="4217"/>
    <cellStyle name="Calculation 2 2 6 29 2" xfId="20927"/>
    <cellStyle name="Calculation 2 2 6 29 3" xfId="29114"/>
    <cellStyle name="Calculation 2 2 6 29 4" xfId="38490"/>
    <cellStyle name="Calculation 2 2 6 29 5" xfId="42779"/>
    <cellStyle name="Calculation 2 2 6 29 6" xfId="50148"/>
    <cellStyle name="Calculation 2 2 6 3" xfId="837"/>
    <cellStyle name="Calculation 2 2 6 3 2" xfId="8661"/>
    <cellStyle name="Calculation 2 2 6 3 3" xfId="16089"/>
    <cellStyle name="Calculation 2 2 6 3 4" xfId="25697"/>
    <cellStyle name="Calculation 2 2 6 3 5" xfId="34236"/>
    <cellStyle name="Calculation 2 2 6 3 6" xfId="36615"/>
    <cellStyle name="Calculation 2 2 6 3 7" xfId="52305"/>
    <cellStyle name="Calculation 2 2 6 30" xfId="4379"/>
    <cellStyle name="Calculation 2 2 6 30 2" xfId="12096"/>
    <cellStyle name="Calculation 2 2 6 30 3" xfId="21089"/>
    <cellStyle name="Calculation 2 2 6 30 4" xfId="29276"/>
    <cellStyle name="Calculation 2 2 6 30 5" xfId="38646"/>
    <cellStyle name="Calculation 2 2 6 30 6" xfId="42941"/>
    <cellStyle name="Calculation 2 2 6 30 7" xfId="51001"/>
    <cellStyle name="Calculation 2 2 6 31" xfId="4500"/>
    <cellStyle name="Calculation 2 2 6 31 2" xfId="12217"/>
    <cellStyle name="Calculation 2 2 6 31 3" xfId="21210"/>
    <cellStyle name="Calculation 2 2 6 31 4" xfId="29397"/>
    <cellStyle name="Calculation 2 2 6 31 5" xfId="38761"/>
    <cellStyle name="Calculation 2 2 6 31 6" xfId="43062"/>
    <cellStyle name="Calculation 2 2 6 31 7" xfId="51500"/>
    <cellStyle name="Calculation 2 2 6 32" xfId="4614"/>
    <cellStyle name="Calculation 2 2 6 32 2" xfId="12331"/>
    <cellStyle name="Calculation 2 2 6 32 3" xfId="21324"/>
    <cellStyle name="Calculation 2 2 6 32 4" xfId="29511"/>
    <cellStyle name="Calculation 2 2 6 32 5" xfId="38870"/>
    <cellStyle name="Calculation 2 2 6 32 6" xfId="43176"/>
    <cellStyle name="Calculation 2 2 6 32 7" xfId="53091"/>
    <cellStyle name="Calculation 2 2 6 33" xfId="4727"/>
    <cellStyle name="Calculation 2 2 6 33 2" xfId="12444"/>
    <cellStyle name="Calculation 2 2 6 33 3" xfId="21437"/>
    <cellStyle name="Calculation 2 2 6 33 4" xfId="29624"/>
    <cellStyle name="Calculation 2 2 6 33 5" xfId="38979"/>
    <cellStyle name="Calculation 2 2 6 33 6" xfId="43289"/>
    <cellStyle name="Calculation 2 2 6 33 7" xfId="51893"/>
    <cellStyle name="Calculation 2 2 6 34" xfId="4837"/>
    <cellStyle name="Calculation 2 2 6 34 2" xfId="12554"/>
    <cellStyle name="Calculation 2 2 6 34 3" xfId="21547"/>
    <cellStyle name="Calculation 2 2 6 34 4" xfId="29734"/>
    <cellStyle name="Calculation 2 2 6 34 5" xfId="39085"/>
    <cellStyle name="Calculation 2 2 6 34 6" xfId="43399"/>
    <cellStyle name="Calculation 2 2 6 34 7" xfId="49061"/>
    <cellStyle name="Calculation 2 2 6 35" xfId="4947"/>
    <cellStyle name="Calculation 2 2 6 35 2" xfId="12664"/>
    <cellStyle name="Calculation 2 2 6 35 3" xfId="21657"/>
    <cellStyle name="Calculation 2 2 6 35 4" xfId="29844"/>
    <cellStyle name="Calculation 2 2 6 35 5" xfId="39191"/>
    <cellStyle name="Calculation 2 2 6 35 6" xfId="43509"/>
    <cellStyle name="Calculation 2 2 6 35 7" xfId="53077"/>
    <cellStyle name="Calculation 2 2 6 36" xfId="5057"/>
    <cellStyle name="Calculation 2 2 6 36 2" xfId="12774"/>
    <cellStyle name="Calculation 2 2 6 36 3" xfId="21767"/>
    <cellStyle name="Calculation 2 2 6 36 4" xfId="29954"/>
    <cellStyle name="Calculation 2 2 6 36 5" xfId="39297"/>
    <cellStyle name="Calculation 2 2 6 36 6" xfId="43619"/>
    <cellStyle name="Calculation 2 2 6 36 7" xfId="54330"/>
    <cellStyle name="Calculation 2 2 6 37" xfId="5437"/>
    <cellStyle name="Calculation 2 2 6 37 2" xfId="13154"/>
    <cellStyle name="Calculation 2 2 6 37 3" xfId="22147"/>
    <cellStyle name="Calculation 2 2 6 37 4" xfId="30334"/>
    <cellStyle name="Calculation 2 2 6 37 5" xfId="39663"/>
    <cellStyle name="Calculation 2 2 6 37 6" xfId="43999"/>
    <cellStyle name="Calculation 2 2 6 37 7" xfId="48009"/>
    <cellStyle name="Calculation 2 2 6 38" xfId="5557"/>
    <cellStyle name="Calculation 2 2 6 38 2" xfId="13274"/>
    <cellStyle name="Calculation 2 2 6 38 3" xfId="22267"/>
    <cellStyle name="Calculation 2 2 6 38 4" xfId="30454"/>
    <cellStyle name="Calculation 2 2 6 38 5" xfId="39777"/>
    <cellStyle name="Calculation 2 2 6 38 6" xfId="44119"/>
    <cellStyle name="Calculation 2 2 6 38 7" xfId="47172"/>
    <cellStyle name="Calculation 2 2 6 39" xfId="5682"/>
    <cellStyle name="Calculation 2 2 6 39 2" xfId="13399"/>
    <cellStyle name="Calculation 2 2 6 39 3" xfId="22392"/>
    <cellStyle name="Calculation 2 2 6 39 4" xfId="30579"/>
    <cellStyle name="Calculation 2 2 6 39 5" xfId="39897"/>
    <cellStyle name="Calculation 2 2 6 39 6" xfId="44244"/>
    <cellStyle name="Calculation 2 2 6 39 7" xfId="47094"/>
    <cellStyle name="Calculation 2 2 6 4" xfId="947"/>
    <cellStyle name="Calculation 2 2 6 4 2" xfId="8771"/>
    <cellStyle name="Calculation 2 2 6 4 3" xfId="16199"/>
    <cellStyle name="Calculation 2 2 6 4 4" xfId="19542"/>
    <cellStyle name="Calculation 2 2 6 4 5" xfId="28201"/>
    <cellStyle name="Calculation 2 2 6 4 6" xfId="37486"/>
    <cellStyle name="Calculation 2 2 6 4 7" xfId="47951"/>
    <cellStyle name="Calculation 2 2 6 40" xfId="5797"/>
    <cellStyle name="Calculation 2 2 6 40 2" xfId="13514"/>
    <cellStyle name="Calculation 2 2 6 40 3" xfId="22507"/>
    <cellStyle name="Calculation 2 2 6 40 4" xfId="30694"/>
    <cellStyle name="Calculation 2 2 6 40 5" xfId="40009"/>
    <cellStyle name="Calculation 2 2 6 40 6" xfId="44359"/>
    <cellStyle name="Calculation 2 2 6 40 7" xfId="53538"/>
    <cellStyle name="Calculation 2 2 6 41" xfId="5915"/>
    <cellStyle name="Calculation 2 2 6 41 2" xfId="13632"/>
    <cellStyle name="Calculation 2 2 6 41 3" xfId="22625"/>
    <cellStyle name="Calculation 2 2 6 41 4" xfId="30812"/>
    <cellStyle name="Calculation 2 2 6 41 5" xfId="40124"/>
    <cellStyle name="Calculation 2 2 6 41 6" xfId="44477"/>
    <cellStyle name="Calculation 2 2 6 41 7" xfId="51762"/>
    <cellStyle name="Calculation 2 2 6 42" xfId="6042"/>
    <cellStyle name="Calculation 2 2 6 42 2" xfId="13759"/>
    <cellStyle name="Calculation 2 2 6 42 3" xfId="22752"/>
    <cellStyle name="Calculation 2 2 6 42 4" xfId="30939"/>
    <cellStyle name="Calculation 2 2 6 42 5" xfId="40246"/>
    <cellStyle name="Calculation 2 2 6 42 6" xfId="44604"/>
    <cellStyle name="Calculation 2 2 6 42 7" xfId="50061"/>
    <cellStyle name="Calculation 2 2 6 43" xfId="6170"/>
    <cellStyle name="Calculation 2 2 6 43 2" xfId="13887"/>
    <cellStyle name="Calculation 2 2 6 43 3" xfId="22880"/>
    <cellStyle name="Calculation 2 2 6 43 4" xfId="31067"/>
    <cellStyle name="Calculation 2 2 6 43 5" xfId="40368"/>
    <cellStyle name="Calculation 2 2 6 43 6" xfId="44732"/>
    <cellStyle name="Calculation 2 2 6 43 7" xfId="51154"/>
    <cellStyle name="Calculation 2 2 6 44" xfId="6298"/>
    <cellStyle name="Calculation 2 2 6 44 2" xfId="14015"/>
    <cellStyle name="Calculation 2 2 6 44 3" xfId="23008"/>
    <cellStyle name="Calculation 2 2 6 44 4" xfId="31195"/>
    <cellStyle name="Calculation 2 2 6 44 5" xfId="40495"/>
    <cellStyle name="Calculation 2 2 6 44 6" xfId="44860"/>
    <cellStyle name="Calculation 2 2 6 44 7" xfId="54115"/>
    <cellStyle name="Calculation 2 2 6 45" xfId="6413"/>
    <cellStyle name="Calculation 2 2 6 45 2" xfId="14130"/>
    <cellStyle name="Calculation 2 2 6 45 3" xfId="23123"/>
    <cellStyle name="Calculation 2 2 6 45 4" xfId="31310"/>
    <cellStyle name="Calculation 2 2 6 45 5" xfId="40605"/>
    <cellStyle name="Calculation 2 2 6 45 6" xfId="44975"/>
    <cellStyle name="Calculation 2 2 6 45 7" xfId="54063"/>
    <cellStyle name="Calculation 2 2 6 46" xfId="6525"/>
    <cellStyle name="Calculation 2 2 6 46 2" xfId="14242"/>
    <cellStyle name="Calculation 2 2 6 46 3" xfId="23235"/>
    <cellStyle name="Calculation 2 2 6 46 4" xfId="31422"/>
    <cellStyle name="Calculation 2 2 6 46 5" xfId="40713"/>
    <cellStyle name="Calculation 2 2 6 46 6" xfId="45087"/>
    <cellStyle name="Calculation 2 2 6 46 7" xfId="49695"/>
    <cellStyle name="Calculation 2 2 6 47" xfId="6274"/>
    <cellStyle name="Calculation 2 2 6 47 2" xfId="13991"/>
    <cellStyle name="Calculation 2 2 6 47 3" xfId="22984"/>
    <cellStyle name="Calculation 2 2 6 47 4" xfId="31171"/>
    <cellStyle name="Calculation 2 2 6 47 5" xfId="40471"/>
    <cellStyle name="Calculation 2 2 6 47 6" xfId="44836"/>
    <cellStyle name="Calculation 2 2 6 47 7" xfId="47793"/>
    <cellStyle name="Calculation 2 2 6 48" xfId="6672"/>
    <cellStyle name="Calculation 2 2 6 48 2" xfId="14389"/>
    <cellStyle name="Calculation 2 2 6 48 3" xfId="23382"/>
    <cellStyle name="Calculation 2 2 6 48 4" xfId="31569"/>
    <cellStyle name="Calculation 2 2 6 48 5" xfId="40853"/>
    <cellStyle name="Calculation 2 2 6 48 6" xfId="45234"/>
    <cellStyle name="Calculation 2 2 6 48 7" xfId="50757"/>
    <cellStyle name="Calculation 2 2 6 49" xfId="6783"/>
    <cellStyle name="Calculation 2 2 6 49 2" xfId="14500"/>
    <cellStyle name="Calculation 2 2 6 49 3" xfId="23493"/>
    <cellStyle name="Calculation 2 2 6 49 4" xfId="31680"/>
    <cellStyle name="Calculation 2 2 6 49 5" xfId="40959"/>
    <cellStyle name="Calculation 2 2 6 49 6" xfId="45345"/>
    <cellStyle name="Calculation 2 2 6 49 7" xfId="53824"/>
    <cellStyle name="Calculation 2 2 6 5" xfId="1415"/>
    <cellStyle name="Calculation 2 2 6 5 2" xfId="9238"/>
    <cellStyle name="Calculation 2 2 6 5 3" xfId="16666"/>
    <cellStyle name="Calculation 2 2 6 5 4" xfId="19227"/>
    <cellStyle name="Calculation 2 2 6 5 5" xfId="27521"/>
    <cellStyle name="Calculation 2 2 6 5 6" xfId="36941"/>
    <cellStyle name="Calculation 2 2 6 5 7" xfId="48437"/>
    <cellStyle name="Calculation 2 2 6 50" xfId="6898"/>
    <cellStyle name="Calculation 2 2 6 50 2" xfId="14615"/>
    <cellStyle name="Calculation 2 2 6 50 3" xfId="23608"/>
    <cellStyle name="Calculation 2 2 6 50 4" xfId="31795"/>
    <cellStyle name="Calculation 2 2 6 50 5" xfId="41067"/>
    <cellStyle name="Calculation 2 2 6 50 6" xfId="45460"/>
    <cellStyle name="Calculation 2 2 6 50 7" xfId="47055"/>
    <cellStyle name="Calculation 2 2 6 51" xfId="7011"/>
    <cellStyle name="Calculation 2 2 6 51 2" xfId="14728"/>
    <cellStyle name="Calculation 2 2 6 51 3" xfId="23721"/>
    <cellStyle name="Calculation 2 2 6 51 4" xfId="31908"/>
    <cellStyle name="Calculation 2 2 6 51 5" xfId="41175"/>
    <cellStyle name="Calculation 2 2 6 51 6" xfId="45573"/>
    <cellStyle name="Calculation 2 2 6 51 7" xfId="46938"/>
    <cellStyle name="Calculation 2 2 6 52" xfId="7121"/>
    <cellStyle name="Calculation 2 2 6 52 2" xfId="14838"/>
    <cellStyle name="Calculation 2 2 6 52 3" xfId="23831"/>
    <cellStyle name="Calculation 2 2 6 52 4" xfId="32018"/>
    <cellStyle name="Calculation 2 2 6 52 5" xfId="41280"/>
    <cellStyle name="Calculation 2 2 6 52 6" xfId="45683"/>
    <cellStyle name="Calculation 2 2 6 52 7" xfId="48101"/>
    <cellStyle name="Calculation 2 2 6 53" xfId="7155"/>
    <cellStyle name="Calculation 2 2 6 53 2" xfId="14872"/>
    <cellStyle name="Calculation 2 2 6 53 3" xfId="23865"/>
    <cellStyle name="Calculation 2 2 6 53 4" xfId="32052"/>
    <cellStyle name="Calculation 2 2 6 53 5" xfId="41314"/>
    <cellStyle name="Calculation 2 2 6 53 6" xfId="45717"/>
    <cellStyle name="Calculation 2 2 6 53 7" xfId="49470"/>
    <cellStyle name="Calculation 2 2 6 54" xfId="7209"/>
    <cellStyle name="Calculation 2 2 6 54 2" xfId="14926"/>
    <cellStyle name="Calculation 2 2 6 54 3" xfId="23919"/>
    <cellStyle name="Calculation 2 2 6 54 4" xfId="32106"/>
    <cellStyle name="Calculation 2 2 6 54 5" xfId="41366"/>
    <cellStyle name="Calculation 2 2 6 54 6" xfId="45771"/>
    <cellStyle name="Calculation 2 2 6 54 7" xfId="50468"/>
    <cellStyle name="Calculation 2 2 6 55" xfId="7518"/>
    <cellStyle name="Calculation 2 2 6 55 2" xfId="15235"/>
    <cellStyle name="Calculation 2 2 6 55 3" xfId="24228"/>
    <cellStyle name="Calculation 2 2 6 55 4" xfId="32415"/>
    <cellStyle name="Calculation 2 2 6 55 5" xfId="41661"/>
    <cellStyle name="Calculation 2 2 6 55 6" xfId="46080"/>
    <cellStyle name="Calculation 2 2 6 55 7" xfId="49587"/>
    <cellStyle name="Calculation 2 2 6 56" xfId="7639"/>
    <cellStyle name="Calculation 2 2 6 56 2" xfId="15356"/>
    <cellStyle name="Calculation 2 2 6 56 3" xfId="24349"/>
    <cellStyle name="Calculation 2 2 6 56 4" xfId="32536"/>
    <cellStyle name="Calculation 2 2 6 56 5" xfId="41778"/>
    <cellStyle name="Calculation 2 2 6 56 6" xfId="46201"/>
    <cellStyle name="Calculation 2 2 6 56 7" xfId="47620"/>
    <cellStyle name="Calculation 2 2 6 57" xfId="7916"/>
    <cellStyle name="Calculation 2 2 6 57 2" xfId="15633"/>
    <cellStyle name="Calculation 2 2 6 57 3" xfId="24620"/>
    <cellStyle name="Calculation 2 2 6 57 4" xfId="32813"/>
    <cellStyle name="Calculation 2 2 6 57 5" xfId="42044"/>
    <cellStyle name="Calculation 2 2 6 57 6" xfId="46478"/>
    <cellStyle name="Calculation 2 2 6 57 7" xfId="51328"/>
    <cellStyle name="Calculation 2 2 6 58" xfId="8044"/>
    <cellStyle name="Calculation 2 2 6 58 2" xfId="15761"/>
    <cellStyle name="Calculation 2 2 6 58 3" xfId="24746"/>
    <cellStyle name="Calculation 2 2 6 58 4" xfId="32941"/>
    <cellStyle name="Calculation 2 2 6 58 5" xfId="42166"/>
    <cellStyle name="Calculation 2 2 6 58 6" xfId="46606"/>
    <cellStyle name="Calculation 2 2 6 58 7" xfId="52746"/>
    <cellStyle name="Calculation 2 2 6 59" xfId="7656"/>
    <cellStyle name="Calculation 2 2 6 59 2" xfId="15373"/>
    <cellStyle name="Calculation 2 2 6 59 3" xfId="24365"/>
    <cellStyle name="Calculation 2 2 6 59 4" xfId="32553"/>
    <cellStyle name="Calculation 2 2 6 59 5" xfId="41795"/>
    <cellStyle name="Calculation 2 2 6 59 6" xfId="46218"/>
    <cellStyle name="Calculation 2 2 6 59 7" xfId="50261"/>
    <cellStyle name="Calculation 2 2 6 6" xfId="1538"/>
    <cellStyle name="Calculation 2 2 6 6 2" xfId="9361"/>
    <cellStyle name="Calculation 2 2 6 6 3" xfId="16789"/>
    <cellStyle name="Calculation 2 2 6 6 4" xfId="26031"/>
    <cellStyle name="Calculation 2 2 6 6 5" xfId="34662"/>
    <cellStyle name="Calculation 2 2 6 6 6" xfId="36432"/>
    <cellStyle name="Calculation 2 2 6 6 7" xfId="53057"/>
    <cellStyle name="Calculation 2 2 6 60" xfId="8191"/>
    <cellStyle name="Calculation 2 2 6 60 2" xfId="15908"/>
    <cellStyle name="Calculation 2 2 6 60 3" xfId="33088"/>
    <cellStyle name="Calculation 2 2 6 60 4" xfId="42307"/>
    <cellStyle name="Calculation 2 2 6 60 5" xfId="46753"/>
    <cellStyle name="Calculation 2 2 6 60 6" xfId="46865"/>
    <cellStyle name="Calculation 2 2 6 61" xfId="25038"/>
    <cellStyle name="Calculation 2 2 6 62" xfId="33396"/>
    <cellStyle name="Calculation 2 2 6 63" xfId="37065"/>
    <cellStyle name="Calculation 2 2 6 64" xfId="50877"/>
    <cellStyle name="Calculation 2 2 6 7" xfId="1295"/>
    <cellStyle name="Calculation 2 2 6 7 2" xfId="9118"/>
    <cellStyle name="Calculation 2 2 6 7 3" xfId="16546"/>
    <cellStyle name="Calculation 2 2 6 7 4" xfId="19788"/>
    <cellStyle name="Calculation 2 2 6 7 5" xfId="27805"/>
    <cellStyle name="Calculation 2 2 6 7 6" xfId="38355"/>
    <cellStyle name="Calculation 2 2 6 7 7" xfId="48462"/>
    <cellStyle name="Calculation 2 2 6 8" xfId="1776"/>
    <cellStyle name="Calculation 2 2 6 8 2" xfId="9599"/>
    <cellStyle name="Calculation 2 2 6 8 3" xfId="17027"/>
    <cellStyle name="Calculation 2 2 6 8 4" xfId="26349"/>
    <cellStyle name="Calculation 2 2 6 8 5" xfId="35075"/>
    <cellStyle name="Calculation 2 2 6 8 6" xfId="37455"/>
    <cellStyle name="Calculation 2 2 6 8 7" xfId="53731"/>
    <cellStyle name="Calculation 2 2 6 9" xfId="1909"/>
    <cellStyle name="Calculation 2 2 6 9 2" xfId="9732"/>
    <cellStyle name="Calculation 2 2 6 9 3" xfId="17160"/>
    <cellStyle name="Calculation 2 2 6 9 4" xfId="24816"/>
    <cellStyle name="Calculation 2 2 6 9 5" xfId="26798"/>
    <cellStyle name="Calculation 2 2 6 9 6" xfId="36326"/>
    <cellStyle name="Calculation 2 2 6 9 7" xfId="50332"/>
    <cellStyle name="Calculation 2 2 60" xfId="7142"/>
    <cellStyle name="Calculation 2 2 60 2" xfId="14859"/>
    <cellStyle name="Calculation 2 2 60 3" xfId="23852"/>
    <cellStyle name="Calculation 2 2 60 4" xfId="32039"/>
    <cellStyle name="Calculation 2 2 60 5" xfId="41301"/>
    <cellStyle name="Calculation 2 2 60 6" xfId="45704"/>
    <cellStyle name="Calculation 2 2 60 7" xfId="50911"/>
    <cellStyle name="Calculation 2 2 61" xfId="7529"/>
    <cellStyle name="Calculation 2 2 61 2" xfId="15246"/>
    <cellStyle name="Calculation 2 2 61 3" xfId="24239"/>
    <cellStyle name="Calculation 2 2 61 4" xfId="32426"/>
    <cellStyle name="Calculation 2 2 61 5" xfId="41672"/>
    <cellStyle name="Calculation 2 2 61 6" xfId="46091"/>
    <cellStyle name="Calculation 2 2 61 7" xfId="48336"/>
    <cellStyle name="Calculation 2 2 62" xfId="7730"/>
    <cellStyle name="Calculation 2 2 62 2" xfId="15447"/>
    <cellStyle name="Calculation 2 2 62 3" xfId="24438"/>
    <cellStyle name="Calculation 2 2 62 4" xfId="32627"/>
    <cellStyle name="Calculation 2 2 62 5" xfId="41864"/>
    <cellStyle name="Calculation 2 2 62 6" xfId="46292"/>
    <cellStyle name="Calculation 2 2 62 7" xfId="48789"/>
    <cellStyle name="Calculation 2 2 63" xfId="8004"/>
    <cellStyle name="Calculation 2 2 63 2" xfId="15721"/>
    <cellStyle name="Calculation 2 2 63 3" xfId="24706"/>
    <cellStyle name="Calculation 2 2 63 4" xfId="32901"/>
    <cellStyle name="Calculation 2 2 63 5" xfId="42127"/>
    <cellStyle name="Calculation 2 2 63 6" xfId="46566"/>
    <cellStyle name="Calculation 2 2 63 7" xfId="48243"/>
    <cellStyle name="Calculation 2 2 64" xfId="7792"/>
    <cellStyle name="Calculation 2 2 64 2" xfId="15509"/>
    <cellStyle name="Calculation 2 2 64 3" xfId="24497"/>
    <cellStyle name="Calculation 2 2 64 4" xfId="32689"/>
    <cellStyle name="Calculation 2 2 64 5" xfId="41924"/>
    <cellStyle name="Calculation 2 2 64 6" xfId="46354"/>
    <cellStyle name="Calculation 2 2 64 7" xfId="48720"/>
    <cellStyle name="Calculation 2 2 65" xfId="7760"/>
    <cellStyle name="Calculation 2 2 65 2" xfId="15477"/>
    <cellStyle name="Calculation 2 2 65 3" xfId="32657"/>
    <cellStyle name="Calculation 2 2 65 4" xfId="41893"/>
    <cellStyle name="Calculation 2 2 65 5" xfId="46322"/>
    <cellStyle name="Calculation 2 2 65 6" xfId="52178"/>
    <cellStyle name="Calculation 2 2 66" xfId="24813"/>
    <cellStyle name="Calculation 2 2 67" xfId="27764"/>
    <cellStyle name="Calculation 2 2 68" xfId="36612"/>
    <cellStyle name="Calculation 2 2 69" xfId="47469"/>
    <cellStyle name="Calculation 2 2 7" xfId="597"/>
    <cellStyle name="Calculation 2 2 7 2" xfId="8421"/>
    <cellStyle name="Calculation 2 2 7 3" xfId="11986"/>
    <cellStyle name="Calculation 2 2 7 4" xfId="19157"/>
    <cellStyle name="Calculation 2 2 7 5" xfId="28811"/>
    <cellStyle name="Calculation 2 2 7 6" xfId="37319"/>
    <cellStyle name="Calculation 2 2 7 7" xfId="49253"/>
    <cellStyle name="Calculation 2 2 8" xfId="230"/>
    <cellStyle name="Calculation 2 2 8 2" xfId="8334"/>
    <cellStyle name="Calculation 2 2 8 3" xfId="8370"/>
    <cellStyle name="Calculation 2 2 8 4" xfId="19101"/>
    <cellStyle name="Calculation 2 2 8 5" xfId="27129"/>
    <cellStyle name="Calculation 2 2 8 6" xfId="36536"/>
    <cellStyle name="Calculation 2 2 8 7" xfId="49614"/>
    <cellStyle name="Calculation 2 2 9" xfId="221"/>
    <cellStyle name="Calculation 2 2 9 2" xfId="8326"/>
    <cellStyle name="Calculation 2 2 9 3" xfId="8246"/>
    <cellStyle name="Calculation 2 2 9 4" xfId="25084"/>
    <cellStyle name="Calculation 2 2 9 5" xfId="33445"/>
    <cellStyle name="Calculation 2 2 9 6" xfId="37313"/>
    <cellStyle name="Calculation 2 2 9 7" xfId="50973"/>
    <cellStyle name="Calculation 2 20" xfId="4053"/>
    <cellStyle name="Calculation 2 20 2" xfId="11821"/>
    <cellStyle name="Calculation 2 20 3" xfId="20763"/>
    <cellStyle name="Calculation 2 20 4" xfId="28950"/>
    <cellStyle name="Calculation 2 20 5" xfId="38329"/>
    <cellStyle name="Calculation 2 20 6" xfId="42615"/>
    <cellStyle name="Calculation 2 20 7" xfId="47674"/>
    <cellStyle name="Calculation 2 21" xfId="3500"/>
    <cellStyle name="Calculation 2 21 2" xfId="11291"/>
    <cellStyle name="Calculation 2 21 3" xfId="20484"/>
    <cellStyle name="Calculation 2 21 4" xfId="28606"/>
    <cellStyle name="Calculation 2 21 5" xfId="37980"/>
    <cellStyle name="Calculation 2 21 6" xfId="42490"/>
    <cellStyle name="Calculation 2 21 7" xfId="48575"/>
    <cellStyle name="Calculation 2 22" xfId="5280"/>
    <cellStyle name="Calculation 2 22 2" xfId="12997"/>
    <cellStyle name="Calculation 2 22 3" xfId="21990"/>
    <cellStyle name="Calculation 2 22 4" xfId="30177"/>
    <cellStyle name="Calculation 2 22 5" xfId="39511"/>
    <cellStyle name="Calculation 2 22 6" xfId="43842"/>
    <cellStyle name="Calculation 2 22 7" xfId="48708"/>
    <cellStyle name="Calculation 2 23" xfId="5218"/>
    <cellStyle name="Calculation 2 23 2" xfId="12935"/>
    <cellStyle name="Calculation 2 23 3" xfId="21928"/>
    <cellStyle name="Calculation 2 23 4" xfId="30115"/>
    <cellStyle name="Calculation 2 23 5" xfId="39450"/>
    <cellStyle name="Calculation 2 23 6" xfId="43780"/>
    <cellStyle name="Calculation 2 23 7" xfId="51802"/>
    <cellStyle name="Calculation 2 24" xfId="5309"/>
    <cellStyle name="Calculation 2 24 2" xfId="13026"/>
    <cellStyle name="Calculation 2 24 3" xfId="22019"/>
    <cellStyle name="Calculation 2 24 4" xfId="30206"/>
    <cellStyle name="Calculation 2 24 5" xfId="39540"/>
    <cellStyle name="Calculation 2 24 6" xfId="43871"/>
    <cellStyle name="Calculation 2 24 7" xfId="53099"/>
    <cellStyle name="Calculation 2 25" xfId="5697"/>
    <cellStyle name="Calculation 2 25 2" xfId="13414"/>
    <cellStyle name="Calculation 2 25 3" xfId="22407"/>
    <cellStyle name="Calculation 2 25 4" xfId="30594"/>
    <cellStyle name="Calculation 2 25 5" xfId="39912"/>
    <cellStyle name="Calculation 2 25 6" xfId="44259"/>
    <cellStyle name="Calculation 2 25 7" xfId="47082"/>
    <cellStyle name="Calculation 2 26" xfId="6061"/>
    <cellStyle name="Calculation 2 26 2" xfId="13778"/>
    <cellStyle name="Calculation 2 26 3" xfId="22771"/>
    <cellStyle name="Calculation 2 26 4" xfId="30958"/>
    <cellStyle name="Calculation 2 26 5" xfId="40265"/>
    <cellStyle name="Calculation 2 26 6" xfId="44623"/>
    <cellStyle name="Calculation 2 26 7" xfId="51682"/>
    <cellStyle name="Calculation 2 27" xfId="6648"/>
    <cellStyle name="Calculation 2 27 2" xfId="14365"/>
    <cellStyle name="Calculation 2 27 3" xfId="23358"/>
    <cellStyle name="Calculation 2 27 4" xfId="31545"/>
    <cellStyle name="Calculation 2 27 5" xfId="40831"/>
    <cellStyle name="Calculation 2 27 6" xfId="45210"/>
    <cellStyle name="Calculation 2 27 7" xfId="53291"/>
    <cellStyle name="Calculation 2 28" xfId="7214"/>
    <cellStyle name="Calculation 2 28 2" xfId="14931"/>
    <cellStyle name="Calculation 2 28 3" xfId="23924"/>
    <cellStyle name="Calculation 2 28 4" xfId="32111"/>
    <cellStyle name="Calculation 2 28 5" xfId="41371"/>
    <cellStyle name="Calculation 2 28 6" xfId="45776"/>
    <cellStyle name="Calculation 2 28 7" xfId="49866"/>
    <cellStyle name="Calculation 2 29" xfId="7297"/>
    <cellStyle name="Calculation 2 29 2" xfId="15014"/>
    <cellStyle name="Calculation 2 29 3" xfId="24007"/>
    <cellStyle name="Calculation 2 29 4" xfId="32194"/>
    <cellStyle name="Calculation 2 29 5" xfId="41450"/>
    <cellStyle name="Calculation 2 29 6" xfId="45859"/>
    <cellStyle name="Calculation 2 29 7" xfId="47775"/>
    <cellStyle name="Calculation 2 3" xfId="500"/>
    <cellStyle name="Calculation 2 3 10" xfId="1947"/>
    <cellStyle name="Calculation 2 3 10 2" xfId="9770"/>
    <cellStyle name="Calculation 2 3 10 3" xfId="17198"/>
    <cellStyle name="Calculation 2 3 10 4" xfId="20075"/>
    <cellStyle name="Calculation 2 3 10 5" xfId="28178"/>
    <cellStyle name="Calculation 2 3 10 6" xfId="36755"/>
    <cellStyle name="Calculation 2 3 10 7" xfId="47617"/>
    <cellStyle name="Calculation 2 3 11" xfId="2065"/>
    <cellStyle name="Calculation 2 3 11 2" xfId="9888"/>
    <cellStyle name="Calculation 2 3 11 3" xfId="17316"/>
    <cellStyle name="Calculation 2 3 11 4" xfId="25717"/>
    <cellStyle name="Calculation 2 3 11 5" xfId="34259"/>
    <cellStyle name="Calculation 2 3 11 6" xfId="39345"/>
    <cellStyle name="Calculation 2 3 11 7" xfId="52350"/>
    <cellStyle name="Calculation 2 3 12" xfId="2178"/>
    <cellStyle name="Calculation 2 3 12 2" xfId="10001"/>
    <cellStyle name="Calculation 2 3 12 3" xfId="17429"/>
    <cellStyle name="Calculation 2 3 12 4" xfId="26506"/>
    <cellStyle name="Calculation 2 3 12 5" xfId="35300"/>
    <cellStyle name="Calculation 2 3 12 6" xfId="39709"/>
    <cellStyle name="Calculation 2 3 12 7" xfId="54084"/>
    <cellStyle name="Calculation 2 3 13" xfId="1220"/>
    <cellStyle name="Calculation 2 3 13 2" xfId="9043"/>
    <cellStyle name="Calculation 2 3 13 3" xfId="16471"/>
    <cellStyle name="Calculation 2 3 13 4" xfId="20272"/>
    <cellStyle name="Calculation 2 3 13 5" xfId="27052"/>
    <cellStyle name="Calculation 2 3 13 6" xfId="39174"/>
    <cellStyle name="Calculation 2 3 13 7" xfId="47422"/>
    <cellStyle name="Calculation 2 3 14" xfId="1780"/>
    <cellStyle name="Calculation 2 3 14 2" xfId="9603"/>
    <cellStyle name="Calculation 2 3 14 3" xfId="17031"/>
    <cellStyle name="Calculation 2 3 14 4" xfId="26104"/>
    <cellStyle name="Calculation 2 3 14 5" xfId="34759"/>
    <cellStyle name="Calculation 2 3 14 6" xfId="37226"/>
    <cellStyle name="Calculation 2 3 14 7" xfId="53219"/>
    <cellStyle name="Calculation 2 3 15" xfId="2476"/>
    <cellStyle name="Calculation 2 3 15 2" xfId="10299"/>
    <cellStyle name="Calculation 2 3 15 3" xfId="17727"/>
    <cellStyle name="Calculation 2 3 15 4" xfId="26167"/>
    <cellStyle name="Calculation 2 3 15 5" xfId="34838"/>
    <cellStyle name="Calculation 2 3 15 6" xfId="38928"/>
    <cellStyle name="Calculation 2 3 15 7" xfId="53354"/>
    <cellStyle name="Calculation 2 3 16" xfId="2589"/>
    <cellStyle name="Calculation 2 3 16 2" xfId="10412"/>
    <cellStyle name="Calculation 2 3 16 3" xfId="17840"/>
    <cellStyle name="Calculation 2 3 16 4" xfId="20101"/>
    <cellStyle name="Calculation 2 3 16 5" xfId="27541"/>
    <cellStyle name="Calculation 2 3 16 6" xfId="40616"/>
    <cellStyle name="Calculation 2 3 16 7" xfId="47536"/>
    <cellStyle name="Calculation 2 3 17" xfId="2378"/>
    <cellStyle name="Calculation 2 3 17 2" xfId="10201"/>
    <cellStyle name="Calculation 2 3 17 3" xfId="17629"/>
    <cellStyle name="Calculation 2 3 17 4" xfId="19326"/>
    <cellStyle name="Calculation 2 3 17 5" xfId="27447"/>
    <cellStyle name="Calculation 2 3 17 6" xfId="41905"/>
    <cellStyle name="Calculation 2 3 17 7" xfId="47684"/>
    <cellStyle name="Calculation 2 3 18" xfId="1178"/>
    <cellStyle name="Calculation 2 3 18 2" xfId="9001"/>
    <cellStyle name="Calculation 2 3 18 3" xfId="16429"/>
    <cellStyle name="Calculation 2 3 18 4" xfId="26610"/>
    <cellStyle name="Calculation 2 3 18 5" xfId="35437"/>
    <cellStyle name="Calculation 2 3 18 6" xfId="36956"/>
    <cellStyle name="Calculation 2 3 18 7" xfId="54302"/>
    <cellStyle name="Calculation 2 3 19" xfId="2783"/>
    <cellStyle name="Calculation 2 3 19 2" xfId="10606"/>
    <cellStyle name="Calculation 2 3 19 3" xfId="18034"/>
    <cellStyle name="Calculation 2 3 19 4" xfId="26000"/>
    <cellStyle name="Calculation 2 3 19 5" xfId="34624"/>
    <cellStyle name="Calculation 2 3 19 6" xfId="38622"/>
    <cellStyle name="Calculation 2 3 19 7" xfId="52998"/>
    <cellStyle name="Calculation 2 3 2" xfId="651"/>
    <cellStyle name="Calculation 2 3 2 2" xfId="8475"/>
    <cellStyle name="Calculation 2 3 2 3" xfId="8283"/>
    <cellStyle name="Calculation 2 3 2 4" xfId="25845"/>
    <cellStyle name="Calculation 2 3 2 5" xfId="34432"/>
    <cellStyle name="Calculation 2 3 2 6" xfId="37470"/>
    <cellStyle name="Calculation 2 3 2 7" xfId="52663"/>
    <cellStyle name="Calculation 2 3 20" xfId="2890"/>
    <cellStyle name="Calculation 2 3 20 2" xfId="10713"/>
    <cellStyle name="Calculation 2 3 20 3" xfId="18141"/>
    <cellStyle name="Calculation 2 3 20 4" xfId="19473"/>
    <cellStyle name="Calculation 2 3 20 5" xfId="28076"/>
    <cellStyle name="Calculation 2 3 20 6" xfId="36661"/>
    <cellStyle name="Calculation 2 3 20 7" xfId="47388"/>
    <cellStyle name="Calculation 2 3 21" xfId="3266"/>
    <cellStyle name="Calculation 2 3 21 2" xfId="11059"/>
    <cellStyle name="Calculation 2 3 21 3" xfId="18388"/>
    <cellStyle name="Calculation 2 3 21 4" xfId="19591"/>
    <cellStyle name="Calculation 2 3 21 5" xfId="27971"/>
    <cellStyle name="Calculation 2 3 21 6" xfId="39503"/>
    <cellStyle name="Calculation 2 3 21 7" xfId="48970"/>
    <cellStyle name="Calculation 2 3 22" xfId="3386"/>
    <cellStyle name="Calculation 2 3 22 2" xfId="11177"/>
    <cellStyle name="Calculation 2 3 22 3" xfId="18499"/>
    <cellStyle name="Calculation 2 3 22 4" xfId="25325"/>
    <cellStyle name="Calculation 2 3 22 5" xfId="33754"/>
    <cellStyle name="Calculation 2 3 22 6" xfId="37780"/>
    <cellStyle name="Calculation 2 3 22 7" xfId="51484"/>
    <cellStyle name="Calculation 2 3 23" xfId="3135"/>
    <cellStyle name="Calculation 2 3 23 2" xfId="10940"/>
    <cellStyle name="Calculation 2 3 23 3" xfId="18318"/>
    <cellStyle name="Calculation 2 3 23 4" xfId="19742"/>
    <cellStyle name="Calculation 2 3 23 5" xfId="27286"/>
    <cellStyle name="Calculation 2 3 23 6" xfId="41584"/>
    <cellStyle name="Calculation 2 3 23 7" xfId="49640"/>
    <cellStyle name="Calculation 2 3 24" xfId="3656"/>
    <cellStyle name="Calculation 2 3 24 2" xfId="11441"/>
    <cellStyle name="Calculation 2 3 24 3" xfId="18714"/>
    <cellStyle name="Calculation 2 3 24 4" xfId="26388"/>
    <cellStyle name="Calculation 2 3 24 5" xfId="35135"/>
    <cellStyle name="Calculation 2 3 24 6" xfId="39481"/>
    <cellStyle name="Calculation 2 3 24 7" xfId="53825"/>
    <cellStyle name="Calculation 2 3 25" xfId="3787"/>
    <cellStyle name="Calculation 2 3 25 2" xfId="11569"/>
    <cellStyle name="Calculation 2 3 25 3" xfId="18826"/>
    <cellStyle name="Calculation 2 3 25 4" xfId="19595"/>
    <cellStyle name="Calculation 2 3 25 5" xfId="28462"/>
    <cellStyle name="Calculation 2 3 25 6" xfId="40905"/>
    <cellStyle name="Calculation 2 3 25 7" xfId="47950"/>
    <cellStyle name="Calculation 2 3 26" xfId="3904"/>
    <cellStyle name="Calculation 2 3 26 2" xfId="11684"/>
    <cellStyle name="Calculation 2 3 26 3" xfId="18935"/>
    <cellStyle name="Calculation 2 3 26 4" xfId="25034"/>
    <cellStyle name="Calculation 2 3 26 5" xfId="33390"/>
    <cellStyle name="Calculation 2 3 26 6" xfId="38787"/>
    <cellStyle name="Calculation 2 3 26 7" xfId="50866"/>
    <cellStyle name="Calculation 2 3 27" xfId="3023"/>
    <cellStyle name="Calculation 2 3 27 2" xfId="10839"/>
    <cellStyle name="Calculation 2 3 27 3" xfId="20195"/>
    <cellStyle name="Calculation 2 3 27 4" xfId="28286"/>
    <cellStyle name="Calculation 2 3 27 5" xfId="37667"/>
    <cellStyle name="Calculation 2 3 27 6" xfId="42360"/>
    <cellStyle name="Calculation 2 3 27 7" xfId="50843"/>
    <cellStyle name="Calculation 2 3 28" xfId="4101"/>
    <cellStyle name="Calculation 2 3 28 2" xfId="11861"/>
    <cellStyle name="Calculation 2 3 28 3" xfId="20811"/>
    <cellStyle name="Calculation 2 3 28 4" xfId="28998"/>
    <cellStyle name="Calculation 2 3 28 5" xfId="38376"/>
    <cellStyle name="Calculation 2 3 28 6" xfId="42663"/>
    <cellStyle name="Calculation 2 3 28 7" xfId="54154"/>
    <cellStyle name="Calculation 2 3 29" xfId="3184"/>
    <cellStyle name="Calculation 2 3 29 2" xfId="20312"/>
    <cellStyle name="Calculation 2 3 29 3" xfId="28404"/>
    <cellStyle name="Calculation 2 3 29 4" xfId="37791"/>
    <cellStyle name="Calculation 2 3 29 5" xfId="42427"/>
    <cellStyle name="Calculation 2 3 29 6" xfId="50886"/>
    <cellStyle name="Calculation 2 3 3" xfId="758"/>
    <cellStyle name="Calculation 2 3 3 2" xfId="8582"/>
    <cellStyle name="Calculation 2 3 3 3" xfId="16010"/>
    <cellStyle name="Calculation 2 3 3 4" xfId="26453"/>
    <cellStyle name="Calculation 2 3 3 5" xfId="35229"/>
    <cellStyle name="Calculation 2 3 3 6" xfId="37461"/>
    <cellStyle name="Calculation 2 3 3 7" xfId="53967"/>
    <cellStyle name="Calculation 2 3 30" xfId="4298"/>
    <cellStyle name="Calculation 2 3 30 2" xfId="12015"/>
    <cellStyle name="Calculation 2 3 30 3" xfId="21008"/>
    <cellStyle name="Calculation 2 3 30 4" xfId="29195"/>
    <cellStyle name="Calculation 2 3 30 5" xfId="38567"/>
    <cellStyle name="Calculation 2 3 30 6" xfId="42860"/>
    <cellStyle name="Calculation 2 3 30 7" xfId="49260"/>
    <cellStyle name="Calculation 2 3 31" xfId="4421"/>
    <cellStyle name="Calculation 2 3 31 2" xfId="12138"/>
    <cellStyle name="Calculation 2 3 31 3" xfId="21131"/>
    <cellStyle name="Calculation 2 3 31 4" xfId="29318"/>
    <cellStyle name="Calculation 2 3 31 5" xfId="38685"/>
    <cellStyle name="Calculation 2 3 31 6" xfId="42983"/>
    <cellStyle name="Calculation 2 3 31 7" xfId="53172"/>
    <cellStyle name="Calculation 2 3 32" xfId="4535"/>
    <cellStyle name="Calculation 2 3 32 2" xfId="12252"/>
    <cellStyle name="Calculation 2 3 32 3" xfId="21245"/>
    <cellStyle name="Calculation 2 3 32 4" xfId="29432"/>
    <cellStyle name="Calculation 2 3 32 5" xfId="38794"/>
    <cellStyle name="Calculation 2 3 32 6" xfId="43097"/>
    <cellStyle name="Calculation 2 3 32 7" xfId="53629"/>
    <cellStyle name="Calculation 2 3 33" xfId="4648"/>
    <cellStyle name="Calculation 2 3 33 2" xfId="12365"/>
    <cellStyle name="Calculation 2 3 33 3" xfId="21358"/>
    <cellStyle name="Calculation 2 3 33 4" xfId="29545"/>
    <cellStyle name="Calculation 2 3 33 5" xfId="38902"/>
    <cellStyle name="Calculation 2 3 33 6" xfId="43210"/>
    <cellStyle name="Calculation 2 3 33 7" xfId="52402"/>
    <cellStyle name="Calculation 2 3 34" xfId="4760"/>
    <cellStyle name="Calculation 2 3 34 2" xfId="12477"/>
    <cellStyle name="Calculation 2 3 34 3" xfId="21470"/>
    <cellStyle name="Calculation 2 3 34 4" xfId="29657"/>
    <cellStyle name="Calculation 2 3 34 5" xfId="39011"/>
    <cellStyle name="Calculation 2 3 34 6" xfId="43322"/>
    <cellStyle name="Calculation 2 3 34 7" xfId="50452"/>
    <cellStyle name="Calculation 2 3 35" xfId="4868"/>
    <cellStyle name="Calculation 2 3 35 2" xfId="12585"/>
    <cellStyle name="Calculation 2 3 35 3" xfId="21578"/>
    <cellStyle name="Calculation 2 3 35 4" xfId="29765"/>
    <cellStyle name="Calculation 2 3 35 5" xfId="39114"/>
    <cellStyle name="Calculation 2 3 35 6" xfId="43430"/>
    <cellStyle name="Calculation 2 3 35 7" xfId="52320"/>
    <cellStyle name="Calculation 2 3 36" xfId="4980"/>
    <cellStyle name="Calculation 2 3 36 2" xfId="12697"/>
    <cellStyle name="Calculation 2 3 36 3" xfId="21690"/>
    <cellStyle name="Calculation 2 3 36 4" xfId="29877"/>
    <cellStyle name="Calculation 2 3 36 5" xfId="39223"/>
    <cellStyle name="Calculation 2 3 36 6" xfId="43542"/>
    <cellStyle name="Calculation 2 3 36 7" xfId="49575"/>
    <cellStyle name="Calculation 2 3 37" xfId="5133"/>
    <cellStyle name="Calculation 2 3 37 2" xfId="12850"/>
    <cellStyle name="Calculation 2 3 37 3" xfId="21843"/>
    <cellStyle name="Calculation 2 3 37 4" xfId="30030"/>
    <cellStyle name="Calculation 2 3 37 5" xfId="39371"/>
    <cellStyle name="Calculation 2 3 37 6" xfId="43695"/>
    <cellStyle name="Calculation 2 3 37 7" xfId="50058"/>
    <cellStyle name="Calculation 2 3 38" xfId="5478"/>
    <cellStyle name="Calculation 2 3 38 2" xfId="13195"/>
    <cellStyle name="Calculation 2 3 38 3" xfId="22188"/>
    <cellStyle name="Calculation 2 3 38 4" xfId="30375"/>
    <cellStyle name="Calculation 2 3 38 5" xfId="39701"/>
    <cellStyle name="Calculation 2 3 38 6" xfId="44040"/>
    <cellStyle name="Calculation 2 3 38 7" xfId="50582"/>
    <cellStyle name="Calculation 2 3 39" xfId="5603"/>
    <cellStyle name="Calculation 2 3 39 2" xfId="13320"/>
    <cellStyle name="Calculation 2 3 39 3" xfId="22313"/>
    <cellStyle name="Calculation 2 3 39 4" xfId="30500"/>
    <cellStyle name="Calculation 2 3 39 5" xfId="39821"/>
    <cellStyle name="Calculation 2 3 39 6" xfId="44165"/>
    <cellStyle name="Calculation 2 3 39 7" xfId="47138"/>
    <cellStyle name="Calculation 2 3 4" xfId="870"/>
    <cellStyle name="Calculation 2 3 4 2" xfId="8694"/>
    <cellStyle name="Calculation 2 3 4 3" xfId="16122"/>
    <cellStyle name="Calculation 2 3 4 4" xfId="19279"/>
    <cellStyle name="Calculation 2 3 4 5" xfId="27842"/>
    <cellStyle name="Calculation 2 3 4 6" xfId="37444"/>
    <cellStyle name="Calculation 2 3 4 7" xfId="48738"/>
    <cellStyle name="Calculation 2 3 40" xfId="5718"/>
    <cellStyle name="Calculation 2 3 40 2" xfId="13435"/>
    <cellStyle name="Calculation 2 3 40 3" xfId="22428"/>
    <cellStyle name="Calculation 2 3 40 4" xfId="30615"/>
    <cellStyle name="Calculation 2 3 40 5" xfId="39932"/>
    <cellStyle name="Calculation 2 3 40 6" xfId="44280"/>
    <cellStyle name="Calculation 2 3 40 7" xfId="46902"/>
    <cellStyle name="Calculation 2 3 41" xfId="5835"/>
    <cellStyle name="Calculation 2 3 41 2" xfId="13552"/>
    <cellStyle name="Calculation 2 3 41 3" xfId="22545"/>
    <cellStyle name="Calculation 2 3 41 4" xfId="30732"/>
    <cellStyle name="Calculation 2 3 41 5" xfId="40046"/>
    <cellStyle name="Calculation 2 3 41 6" xfId="44397"/>
    <cellStyle name="Calculation 2 3 41 7" xfId="49468"/>
    <cellStyle name="Calculation 2 3 42" xfId="5963"/>
    <cellStyle name="Calculation 2 3 42 2" xfId="13680"/>
    <cellStyle name="Calculation 2 3 42 3" xfId="22673"/>
    <cellStyle name="Calculation 2 3 42 4" xfId="30860"/>
    <cellStyle name="Calculation 2 3 42 5" xfId="40170"/>
    <cellStyle name="Calculation 2 3 42 6" xfId="44525"/>
    <cellStyle name="Calculation 2 3 42 7" xfId="50917"/>
    <cellStyle name="Calculation 2 3 43" xfId="5289"/>
    <cellStyle name="Calculation 2 3 43 2" xfId="13006"/>
    <cellStyle name="Calculation 2 3 43 3" xfId="21999"/>
    <cellStyle name="Calculation 2 3 43 4" xfId="30186"/>
    <cellStyle name="Calculation 2 3 43 5" xfId="39520"/>
    <cellStyle name="Calculation 2 3 43 6" xfId="43851"/>
    <cellStyle name="Calculation 2 3 43 7" xfId="51610"/>
    <cellStyle name="Calculation 2 3 44" xfId="6219"/>
    <cellStyle name="Calculation 2 3 44 2" xfId="13936"/>
    <cellStyle name="Calculation 2 3 44 3" xfId="22929"/>
    <cellStyle name="Calculation 2 3 44 4" xfId="31116"/>
    <cellStyle name="Calculation 2 3 44 5" xfId="40417"/>
    <cellStyle name="Calculation 2 3 44 6" xfId="44781"/>
    <cellStyle name="Calculation 2 3 44 7" xfId="53452"/>
    <cellStyle name="Calculation 2 3 45" xfId="6336"/>
    <cellStyle name="Calculation 2 3 45 2" xfId="14053"/>
    <cellStyle name="Calculation 2 3 45 3" xfId="23046"/>
    <cellStyle name="Calculation 2 3 45 4" xfId="31233"/>
    <cellStyle name="Calculation 2 3 45 5" xfId="40531"/>
    <cellStyle name="Calculation 2 3 45 6" xfId="44898"/>
    <cellStyle name="Calculation 2 3 45 7" xfId="50315"/>
    <cellStyle name="Calculation 2 3 46" xfId="6446"/>
    <cellStyle name="Calculation 2 3 46 2" xfId="14163"/>
    <cellStyle name="Calculation 2 3 46 3" xfId="23156"/>
    <cellStyle name="Calculation 2 3 46 4" xfId="31343"/>
    <cellStyle name="Calculation 2 3 46 5" xfId="40637"/>
    <cellStyle name="Calculation 2 3 46 6" xfId="45008"/>
    <cellStyle name="Calculation 2 3 46 7" xfId="51391"/>
    <cellStyle name="Calculation 2 3 47" xfId="5815"/>
    <cellStyle name="Calculation 2 3 47 2" xfId="13532"/>
    <cellStyle name="Calculation 2 3 47 3" xfId="22525"/>
    <cellStyle name="Calculation 2 3 47 4" xfId="30712"/>
    <cellStyle name="Calculation 2 3 47 5" xfId="40027"/>
    <cellStyle name="Calculation 2 3 47 6" xfId="44377"/>
    <cellStyle name="Calculation 2 3 47 7" xfId="51908"/>
    <cellStyle name="Calculation 2 3 48" xfId="6593"/>
    <cellStyle name="Calculation 2 3 48 2" xfId="14310"/>
    <cellStyle name="Calculation 2 3 48 3" xfId="23303"/>
    <cellStyle name="Calculation 2 3 48 4" xfId="31490"/>
    <cellStyle name="Calculation 2 3 48 5" xfId="40777"/>
    <cellStyle name="Calculation 2 3 48 6" xfId="45155"/>
    <cellStyle name="Calculation 2 3 48 7" xfId="51890"/>
    <cellStyle name="Calculation 2 3 49" xfId="6704"/>
    <cellStyle name="Calculation 2 3 49 2" xfId="14421"/>
    <cellStyle name="Calculation 2 3 49 3" xfId="23414"/>
    <cellStyle name="Calculation 2 3 49 4" xfId="31601"/>
    <cellStyle name="Calculation 2 3 49 5" xfId="40883"/>
    <cellStyle name="Calculation 2 3 49 6" xfId="45266"/>
    <cellStyle name="Calculation 2 3 49 7" xfId="48506"/>
    <cellStyle name="Calculation 2 3 5" xfId="1335"/>
    <cellStyle name="Calculation 2 3 5 2" xfId="9158"/>
    <cellStyle name="Calculation 2 3 5 3" xfId="16586"/>
    <cellStyle name="Calculation 2 3 5 4" xfId="24898"/>
    <cellStyle name="Calculation 2 3 5 5" xfId="33214"/>
    <cellStyle name="Calculation 2 3 5 6" xfId="41843"/>
    <cellStyle name="Calculation 2 3 5 7" xfId="50557"/>
    <cellStyle name="Calculation 2 3 50" xfId="6819"/>
    <cellStyle name="Calculation 2 3 50 2" xfId="14536"/>
    <cellStyle name="Calculation 2 3 50 3" xfId="23529"/>
    <cellStyle name="Calculation 2 3 50 4" xfId="31716"/>
    <cellStyle name="Calculation 2 3 50 5" xfId="40991"/>
    <cellStyle name="Calculation 2 3 50 6" xfId="45381"/>
    <cellStyle name="Calculation 2 3 50 7" xfId="50011"/>
    <cellStyle name="Calculation 2 3 51" xfId="6932"/>
    <cellStyle name="Calculation 2 3 51 2" xfId="14649"/>
    <cellStyle name="Calculation 2 3 51 3" xfId="23642"/>
    <cellStyle name="Calculation 2 3 51 4" xfId="31829"/>
    <cellStyle name="Calculation 2 3 51 5" xfId="41099"/>
    <cellStyle name="Calculation 2 3 51 6" xfId="45494"/>
    <cellStyle name="Calculation 2 3 51 7" xfId="47043"/>
    <cellStyle name="Calculation 2 3 52" xfId="7044"/>
    <cellStyle name="Calculation 2 3 52 2" xfId="14761"/>
    <cellStyle name="Calculation 2 3 52 3" xfId="23754"/>
    <cellStyle name="Calculation 2 3 52 4" xfId="31941"/>
    <cellStyle name="Calculation 2 3 52 5" xfId="41205"/>
    <cellStyle name="Calculation 2 3 52 6" xfId="45606"/>
    <cellStyle name="Calculation 2 3 52 7" xfId="46980"/>
    <cellStyle name="Calculation 2 3 53" xfId="7235"/>
    <cellStyle name="Calculation 2 3 53 2" xfId="14952"/>
    <cellStyle name="Calculation 2 3 53 3" xfId="23945"/>
    <cellStyle name="Calculation 2 3 53 4" xfId="32132"/>
    <cellStyle name="Calculation 2 3 53 5" xfId="41390"/>
    <cellStyle name="Calculation 2 3 53 6" xfId="45797"/>
    <cellStyle name="Calculation 2 3 53 7" xfId="51773"/>
    <cellStyle name="Calculation 2 3 54" xfId="7417"/>
    <cellStyle name="Calculation 2 3 54 2" xfId="15134"/>
    <cellStyle name="Calculation 2 3 54 3" xfId="24127"/>
    <cellStyle name="Calculation 2 3 54 4" xfId="32314"/>
    <cellStyle name="Calculation 2 3 54 5" xfId="41566"/>
    <cellStyle name="Calculation 2 3 54 6" xfId="45979"/>
    <cellStyle name="Calculation 2 3 54 7" xfId="51527"/>
    <cellStyle name="Calculation 2 3 55" xfId="7441"/>
    <cellStyle name="Calculation 2 3 55 2" xfId="15158"/>
    <cellStyle name="Calculation 2 3 55 3" xfId="24151"/>
    <cellStyle name="Calculation 2 3 55 4" xfId="32338"/>
    <cellStyle name="Calculation 2 3 55 5" xfId="41588"/>
    <cellStyle name="Calculation 2 3 55 6" xfId="46003"/>
    <cellStyle name="Calculation 2 3 55 7" xfId="49014"/>
    <cellStyle name="Calculation 2 3 56" xfId="7562"/>
    <cellStyle name="Calculation 2 3 56 2" xfId="15279"/>
    <cellStyle name="Calculation 2 3 56 3" xfId="24272"/>
    <cellStyle name="Calculation 2 3 56 4" xfId="32459"/>
    <cellStyle name="Calculation 2 3 56 5" xfId="41703"/>
    <cellStyle name="Calculation 2 3 56 6" xfId="46124"/>
    <cellStyle name="Calculation 2 3 56 7" xfId="50985"/>
    <cellStyle name="Calculation 2 3 57" xfId="7838"/>
    <cellStyle name="Calculation 2 3 57 2" xfId="15555"/>
    <cellStyle name="Calculation 2 3 57 3" xfId="24542"/>
    <cellStyle name="Calculation 2 3 57 4" xfId="32735"/>
    <cellStyle name="Calculation 2 3 57 5" xfId="41968"/>
    <cellStyle name="Calculation 2 3 57 6" xfId="46400"/>
    <cellStyle name="Calculation 2 3 57 7" xfId="52365"/>
    <cellStyle name="Calculation 2 3 58" xfId="7953"/>
    <cellStyle name="Calculation 2 3 58 2" xfId="15670"/>
    <cellStyle name="Calculation 2 3 58 3" xfId="24656"/>
    <cellStyle name="Calculation 2 3 58 4" xfId="32850"/>
    <cellStyle name="Calculation 2 3 58 5" xfId="42078"/>
    <cellStyle name="Calculation 2 3 58 6" xfId="46515"/>
    <cellStyle name="Calculation 2 3 58 7" xfId="50812"/>
    <cellStyle name="Calculation 2 3 59" xfId="8068"/>
    <cellStyle name="Calculation 2 3 59 2" xfId="15785"/>
    <cellStyle name="Calculation 2 3 59 3" xfId="24770"/>
    <cellStyle name="Calculation 2 3 59 4" xfId="32965"/>
    <cellStyle name="Calculation 2 3 59 5" xfId="42189"/>
    <cellStyle name="Calculation 2 3 59 6" xfId="46630"/>
    <cellStyle name="Calculation 2 3 59 7" xfId="50108"/>
    <cellStyle name="Calculation 2 3 6" xfId="1458"/>
    <cellStyle name="Calculation 2 3 6 2" xfId="9281"/>
    <cellStyle name="Calculation 2 3 6 3" xfId="16709"/>
    <cellStyle name="Calculation 2 3 6 4" xfId="19478"/>
    <cellStyle name="Calculation 2 3 6 5" xfId="27107"/>
    <cellStyle name="Calculation 2 3 6 6" xfId="38164"/>
    <cellStyle name="Calculation 2 3 6 7" xfId="50192"/>
    <cellStyle name="Calculation 2 3 60" xfId="8114"/>
    <cellStyle name="Calculation 2 3 60 2" xfId="15831"/>
    <cellStyle name="Calculation 2 3 60 3" xfId="33011"/>
    <cellStyle name="Calculation 2 3 60 4" xfId="42232"/>
    <cellStyle name="Calculation 2 3 60 5" xfId="46676"/>
    <cellStyle name="Calculation 2 3 60 6" xfId="52789"/>
    <cellStyle name="Calculation 2 3 61" xfId="25640"/>
    <cellStyle name="Calculation 2 3 62" xfId="34159"/>
    <cellStyle name="Calculation 2 3 63" xfId="36777"/>
    <cellStyle name="Calculation 2 3 64" xfId="52184"/>
    <cellStyle name="Calculation 2 3 7" xfId="1225"/>
    <cellStyle name="Calculation 2 3 7 2" xfId="9048"/>
    <cellStyle name="Calculation 2 3 7 3" xfId="16476"/>
    <cellStyle name="Calculation 2 3 7 4" xfId="19188"/>
    <cellStyle name="Calculation 2 3 7 5" xfId="33099"/>
    <cellStyle name="Calculation 2 3 7 6" xfId="38627"/>
    <cellStyle name="Calculation 2 3 7 7" xfId="49149"/>
    <cellStyle name="Calculation 2 3 8" xfId="1695"/>
    <cellStyle name="Calculation 2 3 8 2" xfId="9518"/>
    <cellStyle name="Calculation 2 3 8 3" xfId="16946"/>
    <cellStyle name="Calculation 2 3 8 4" xfId="24978"/>
    <cellStyle name="Calculation 2 3 8 5" xfId="33321"/>
    <cellStyle name="Calculation 2 3 8 6" xfId="36342"/>
    <cellStyle name="Calculation 2 3 8 7" xfId="50742"/>
    <cellStyle name="Calculation 2 3 9" xfId="1829"/>
    <cellStyle name="Calculation 2 3 9 2" xfId="9652"/>
    <cellStyle name="Calculation 2 3 9 3" xfId="17080"/>
    <cellStyle name="Calculation 2 3 9 4" xfId="19936"/>
    <cellStyle name="Calculation 2 3 9 5" xfId="26753"/>
    <cellStyle name="Calculation 2 3 9 6" xfId="38126"/>
    <cellStyle name="Calculation 2 3 9 7" xfId="49721"/>
    <cellStyle name="Calculation 2 30" xfId="7393"/>
    <cellStyle name="Calculation 2 30 2" xfId="15110"/>
    <cellStyle name="Calculation 2 30 3" xfId="24103"/>
    <cellStyle name="Calculation 2 30 4" xfId="32290"/>
    <cellStyle name="Calculation 2 30 5" xfId="41544"/>
    <cellStyle name="Calculation 2 30 6" xfId="45955"/>
    <cellStyle name="Calculation 2 30 7" xfId="54290"/>
    <cellStyle name="Calculation 2 31" xfId="7668"/>
    <cellStyle name="Calculation 2 31 2" xfId="15385"/>
    <cellStyle name="Calculation 2 31 3" xfId="24377"/>
    <cellStyle name="Calculation 2 31 4" xfId="32565"/>
    <cellStyle name="Calculation 2 31 5" xfId="41805"/>
    <cellStyle name="Calculation 2 31 6" xfId="46230"/>
    <cellStyle name="Calculation 2 31 7" xfId="48997"/>
    <cellStyle name="Calculation 2 32" xfId="19237"/>
    <cellStyle name="Calculation 2 33" xfId="28209"/>
    <cellStyle name="Calculation 2 34" xfId="37419"/>
    <cellStyle name="Calculation 2 35" xfId="48137"/>
    <cellStyle name="Calculation 2 4" xfId="570"/>
    <cellStyle name="Calculation 2 4 10" xfId="2017"/>
    <cellStyle name="Calculation 2 4 10 2" xfId="9840"/>
    <cellStyle name="Calculation 2 4 10 3" xfId="17268"/>
    <cellStyle name="Calculation 2 4 10 4" xfId="25042"/>
    <cellStyle name="Calculation 2 4 10 5" xfId="33401"/>
    <cellStyle name="Calculation 2 4 10 6" xfId="41062"/>
    <cellStyle name="Calculation 2 4 10 7" xfId="50888"/>
    <cellStyle name="Calculation 2 4 11" xfId="2134"/>
    <cellStyle name="Calculation 2 4 11 2" xfId="9957"/>
    <cellStyle name="Calculation 2 4 11 3" xfId="17385"/>
    <cellStyle name="Calculation 2 4 11 4" xfId="25334"/>
    <cellStyle name="Calculation 2 4 11 5" xfId="33765"/>
    <cellStyle name="Calculation 2 4 11 6" xfId="37247"/>
    <cellStyle name="Calculation 2 4 11 7" xfId="51502"/>
    <cellStyle name="Calculation 2 4 12" xfId="2248"/>
    <cellStyle name="Calculation 2 4 12 2" xfId="10071"/>
    <cellStyle name="Calculation 2 4 12 3" xfId="17499"/>
    <cellStyle name="Calculation 2 4 12 4" xfId="25476"/>
    <cellStyle name="Calculation 2 4 12 5" xfId="33948"/>
    <cellStyle name="Calculation 2 4 12 6" xfId="39965"/>
    <cellStyle name="Calculation 2 4 12 7" xfId="51822"/>
    <cellStyle name="Calculation 2 4 13" xfId="1542"/>
    <cellStyle name="Calculation 2 4 13 2" xfId="9365"/>
    <cellStyle name="Calculation 2 4 13 3" xfId="16793"/>
    <cellStyle name="Calculation 2 4 13 4" xfId="25373"/>
    <cellStyle name="Calculation 2 4 13 5" xfId="33820"/>
    <cellStyle name="Calculation 2 4 13 6" xfId="37459"/>
    <cellStyle name="Calculation 2 4 13 7" xfId="51594"/>
    <cellStyle name="Calculation 2 4 14" xfId="2296"/>
    <cellStyle name="Calculation 2 4 14 2" xfId="10119"/>
    <cellStyle name="Calculation 2 4 14 3" xfId="17547"/>
    <cellStyle name="Calculation 2 4 14 4" xfId="19769"/>
    <cellStyle name="Calculation 2 4 14 5" xfId="28053"/>
    <cellStyle name="Calculation 2 4 14 6" xfId="39475"/>
    <cellStyle name="Calculation 2 4 14 7" xfId="50305"/>
    <cellStyle name="Calculation 2 4 15" xfId="2545"/>
    <cellStyle name="Calculation 2 4 15 2" xfId="10368"/>
    <cellStyle name="Calculation 2 4 15 3" xfId="17796"/>
    <cellStyle name="Calculation 2 4 15 4" xfId="19989"/>
    <cellStyle name="Calculation 2 4 15 5" xfId="27700"/>
    <cellStyle name="Calculation 2 4 15 6" xfId="39595"/>
    <cellStyle name="Calculation 2 4 15 7" xfId="47938"/>
    <cellStyle name="Calculation 2 4 16" xfId="2659"/>
    <cellStyle name="Calculation 2 4 16 2" xfId="10482"/>
    <cellStyle name="Calculation 2 4 16 3" xfId="17910"/>
    <cellStyle name="Calculation 2 4 16 4" xfId="19760"/>
    <cellStyle name="Calculation 2 4 16 5" xfId="27460"/>
    <cellStyle name="Calculation 2 4 16 6" xfId="37189"/>
    <cellStyle name="Calculation 2 4 16 7" xfId="50152"/>
    <cellStyle name="Calculation 2 4 17" xfId="2423"/>
    <cellStyle name="Calculation 2 4 17 2" xfId="10246"/>
    <cellStyle name="Calculation 2 4 17 3" xfId="17674"/>
    <cellStyle name="Calculation 2 4 17 4" xfId="25354"/>
    <cellStyle name="Calculation 2 4 17 5" xfId="33789"/>
    <cellStyle name="Calculation 2 4 17 6" xfId="36418"/>
    <cellStyle name="Calculation 2 4 17 7" xfId="51542"/>
    <cellStyle name="Calculation 2 4 18" xfId="984"/>
    <cellStyle name="Calculation 2 4 18 2" xfId="8808"/>
    <cellStyle name="Calculation 2 4 18 3" xfId="16236"/>
    <cellStyle name="Calculation 2 4 18 4" xfId="25438"/>
    <cellStyle name="Calculation 2 4 18 5" xfId="33898"/>
    <cellStyle name="Calculation 2 4 18 6" xfId="36369"/>
    <cellStyle name="Calculation 2 4 18 7" xfId="51722"/>
    <cellStyle name="Calculation 2 4 19" xfId="2850"/>
    <cellStyle name="Calculation 2 4 19 2" xfId="10673"/>
    <cellStyle name="Calculation 2 4 19 3" xfId="18101"/>
    <cellStyle name="Calculation 2 4 19 4" xfId="26276"/>
    <cellStyle name="Calculation 2 4 19 5" xfId="34978"/>
    <cellStyle name="Calculation 2 4 19 6" xfId="39265"/>
    <cellStyle name="Calculation 2 4 19 7" xfId="53592"/>
    <cellStyle name="Calculation 2 4 2" xfId="718"/>
    <cellStyle name="Calculation 2 4 2 2" xfId="8542"/>
    <cellStyle name="Calculation 2 4 2 3" xfId="15970"/>
    <cellStyle name="Calculation 2 4 2 4" xfId="25529"/>
    <cellStyle name="Calculation 2 4 2 5" xfId="34013"/>
    <cellStyle name="Calculation 2 4 2 6" xfId="36766"/>
    <cellStyle name="Calculation 2 4 2 7" xfId="51939"/>
    <cellStyle name="Calculation 2 4 20" xfId="2957"/>
    <cellStyle name="Calculation 2 4 20 2" xfId="10780"/>
    <cellStyle name="Calculation 2 4 20 3" xfId="18208"/>
    <cellStyle name="Calculation 2 4 20 4" xfId="19345"/>
    <cellStyle name="Calculation 2 4 20 5" xfId="27640"/>
    <cellStyle name="Calculation 2 4 20 6" xfId="36481"/>
    <cellStyle name="Calculation 2 4 20 7" xfId="50285"/>
    <cellStyle name="Calculation 2 4 21" xfId="3334"/>
    <cellStyle name="Calculation 2 4 21 2" xfId="11127"/>
    <cellStyle name="Calculation 2 4 21 3" xfId="18455"/>
    <cellStyle name="Calculation 2 4 21 4" xfId="19709"/>
    <cellStyle name="Calculation 2 4 21 5" xfId="28171"/>
    <cellStyle name="Calculation 2 4 21 6" xfId="38878"/>
    <cellStyle name="Calculation 2 4 21 7" xfId="47254"/>
    <cellStyle name="Calculation 2 4 22" xfId="3453"/>
    <cellStyle name="Calculation 2 4 22 2" xfId="11244"/>
    <cellStyle name="Calculation 2 4 22 3" xfId="18566"/>
    <cellStyle name="Calculation 2 4 22 4" xfId="25721"/>
    <cellStyle name="Calculation 2 4 22 5" xfId="34265"/>
    <cellStyle name="Calculation 2 4 22 6" xfId="38827"/>
    <cellStyle name="Calculation 2 4 22 7" xfId="52361"/>
    <cellStyle name="Calculation 2 4 23" xfId="3613"/>
    <cellStyle name="Calculation 2 4 23 2" xfId="11399"/>
    <cellStyle name="Calculation 2 4 23 3" xfId="18673"/>
    <cellStyle name="Calculation 2 4 23 4" xfId="19619"/>
    <cellStyle name="Calculation 2 4 23 5" xfId="27024"/>
    <cellStyle name="Calculation 2 4 23 6" xfId="38081"/>
    <cellStyle name="Calculation 2 4 23 7" xfId="47495"/>
    <cellStyle name="Calculation 2 4 24" xfId="3726"/>
    <cellStyle name="Calculation 2 4 24 2" xfId="11511"/>
    <cellStyle name="Calculation 2 4 24 3" xfId="18783"/>
    <cellStyle name="Calculation 2 4 24 4" xfId="24975"/>
    <cellStyle name="Calculation 2 4 24 5" xfId="33317"/>
    <cellStyle name="Calculation 2 4 24 6" xfId="41829"/>
    <cellStyle name="Calculation 2 4 24 7" xfId="50732"/>
    <cellStyle name="Calculation 2 4 25" xfId="3855"/>
    <cellStyle name="Calculation 2 4 25 2" xfId="11637"/>
    <cellStyle name="Calculation 2 4 25 3" xfId="18893"/>
    <cellStyle name="Calculation 2 4 25 4" xfId="19728"/>
    <cellStyle name="Calculation 2 4 25 5" xfId="27386"/>
    <cellStyle name="Calculation 2 4 25 6" xfId="37132"/>
    <cellStyle name="Calculation 2 4 25 7" xfId="47733"/>
    <cellStyle name="Calculation 2 4 26" xfId="3974"/>
    <cellStyle name="Calculation 2 4 26 2" xfId="11753"/>
    <cellStyle name="Calculation 2 4 26 3" xfId="19002"/>
    <cellStyle name="Calculation 2 4 26 4" xfId="25810"/>
    <cellStyle name="Calculation 2 4 26 5" xfId="34389"/>
    <cellStyle name="Calculation 2 4 26 6" xfId="39118"/>
    <cellStyle name="Calculation 2 4 26 7" xfId="52588"/>
    <cellStyle name="Calculation 2 4 27" xfId="3761"/>
    <cellStyle name="Calculation 2 4 27 2" xfId="11545"/>
    <cellStyle name="Calculation 2 4 27 3" xfId="20611"/>
    <cellStyle name="Calculation 2 4 27 4" xfId="28761"/>
    <cellStyle name="Calculation 2 4 27 5" xfId="38149"/>
    <cellStyle name="Calculation 2 4 27 6" xfId="42537"/>
    <cellStyle name="Calculation 2 4 27 7" xfId="52167"/>
    <cellStyle name="Calculation 2 4 28" xfId="4170"/>
    <cellStyle name="Calculation 2 4 28 2" xfId="11929"/>
    <cellStyle name="Calculation 2 4 28 3" xfId="20880"/>
    <cellStyle name="Calculation 2 4 28 4" xfId="29067"/>
    <cellStyle name="Calculation 2 4 28 5" xfId="38443"/>
    <cellStyle name="Calculation 2 4 28 6" xfId="42732"/>
    <cellStyle name="Calculation 2 4 28 7" xfId="48554"/>
    <cellStyle name="Calculation 2 4 29" xfId="4249"/>
    <cellStyle name="Calculation 2 4 29 2" xfId="20959"/>
    <cellStyle name="Calculation 2 4 29 3" xfId="29146"/>
    <cellStyle name="Calculation 2 4 29 4" xfId="38519"/>
    <cellStyle name="Calculation 2 4 29 5" xfId="42811"/>
    <cellStyle name="Calculation 2 4 29 6" xfId="54110"/>
    <cellStyle name="Calculation 2 4 3" xfId="827"/>
    <cellStyle name="Calculation 2 4 3 2" xfId="8651"/>
    <cellStyle name="Calculation 2 4 3 3" xfId="16079"/>
    <cellStyle name="Calculation 2 4 3 4" xfId="26112"/>
    <cellStyle name="Calculation 2 4 3 5" xfId="34768"/>
    <cellStyle name="Calculation 2 4 3 6" xfId="37159"/>
    <cellStyle name="Calculation 2 4 3 7" xfId="53231"/>
    <cellStyle name="Calculation 2 4 30" xfId="4368"/>
    <cellStyle name="Calculation 2 4 30 2" xfId="12085"/>
    <cellStyle name="Calculation 2 4 30 3" xfId="21078"/>
    <cellStyle name="Calculation 2 4 30 4" xfId="29265"/>
    <cellStyle name="Calculation 2 4 30 5" xfId="38635"/>
    <cellStyle name="Calculation 2 4 30 6" xfId="42930"/>
    <cellStyle name="Calculation 2 4 30 7" xfId="52331"/>
    <cellStyle name="Calculation 2 4 31" xfId="4490"/>
    <cellStyle name="Calculation 2 4 31 2" xfId="12207"/>
    <cellStyle name="Calculation 2 4 31 3" xfId="21200"/>
    <cellStyle name="Calculation 2 4 31 4" xfId="29387"/>
    <cellStyle name="Calculation 2 4 31 5" xfId="38751"/>
    <cellStyle name="Calculation 2 4 31 6" xfId="43052"/>
    <cellStyle name="Calculation 2 4 31 7" xfId="52665"/>
    <cellStyle name="Calculation 2 4 32" xfId="4604"/>
    <cellStyle name="Calculation 2 4 32 2" xfId="12321"/>
    <cellStyle name="Calculation 2 4 32 3" xfId="21314"/>
    <cellStyle name="Calculation 2 4 32 4" xfId="29501"/>
    <cellStyle name="Calculation 2 4 32 5" xfId="38860"/>
    <cellStyle name="Calculation 2 4 32 6" xfId="43166"/>
    <cellStyle name="Calculation 2 4 32 7" xfId="48578"/>
    <cellStyle name="Calculation 2 4 33" xfId="4717"/>
    <cellStyle name="Calculation 2 4 33 2" xfId="12434"/>
    <cellStyle name="Calculation 2 4 33 3" xfId="21427"/>
    <cellStyle name="Calculation 2 4 33 4" xfId="29614"/>
    <cellStyle name="Calculation 2 4 33 5" xfId="38969"/>
    <cellStyle name="Calculation 2 4 33 6" xfId="43279"/>
    <cellStyle name="Calculation 2 4 33 7" xfId="52812"/>
    <cellStyle name="Calculation 2 4 34" xfId="4827"/>
    <cellStyle name="Calculation 2 4 34 2" xfId="12544"/>
    <cellStyle name="Calculation 2 4 34 3" xfId="21537"/>
    <cellStyle name="Calculation 2 4 34 4" xfId="29724"/>
    <cellStyle name="Calculation 2 4 34 5" xfId="39076"/>
    <cellStyle name="Calculation 2 4 34 6" xfId="43389"/>
    <cellStyle name="Calculation 2 4 34 7" xfId="48200"/>
    <cellStyle name="Calculation 2 4 35" xfId="4937"/>
    <cellStyle name="Calculation 2 4 35 2" xfId="12654"/>
    <cellStyle name="Calculation 2 4 35 3" xfId="21647"/>
    <cellStyle name="Calculation 2 4 35 4" xfId="29834"/>
    <cellStyle name="Calculation 2 4 35 5" xfId="39181"/>
    <cellStyle name="Calculation 2 4 35 6" xfId="43499"/>
    <cellStyle name="Calculation 2 4 35 7" xfId="48220"/>
    <cellStyle name="Calculation 2 4 36" xfId="5047"/>
    <cellStyle name="Calculation 2 4 36 2" xfId="12764"/>
    <cellStyle name="Calculation 2 4 36 3" xfId="21757"/>
    <cellStyle name="Calculation 2 4 36 4" xfId="29944"/>
    <cellStyle name="Calculation 2 4 36 5" xfId="39288"/>
    <cellStyle name="Calculation 2 4 36 6" xfId="43609"/>
    <cellStyle name="Calculation 2 4 36 7" xfId="48987"/>
    <cellStyle name="Calculation 2 4 37" xfId="5427"/>
    <cellStyle name="Calculation 2 4 37 2" xfId="13144"/>
    <cellStyle name="Calculation 2 4 37 3" xfId="22137"/>
    <cellStyle name="Calculation 2 4 37 4" xfId="30324"/>
    <cellStyle name="Calculation 2 4 37 5" xfId="39653"/>
    <cellStyle name="Calculation 2 4 37 6" xfId="43989"/>
    <cellStyle name="Calculation 2 4 37 7" xfId="48613"/>
    <cellStyle name="Calculation 2 4 38" xfId="5547"/>
    <cellStyle name="Calculation 2 4 38 2" xfId="13264"/>
    <cellStyle name="Calculation 2 4 38 3" xfId="22257"/>
    <cellStyle name="Calculation 2 4 38 4" xfId="30444"/>
    <cellStyle name="Calculation 2 4 38 5" xfId="39767"/>
    <cellStyle name="Calculation 2 4 38 6" xfId="44109"/>
    <cellStyle name="Calculation 2 4 38 7" xfId="47179"/>
    <cellStyle name="Calculation 2 4 39" xfId="5671"/>
    <cellStyle name="Calculation 2 4 39 2" xfId="13388"/>
    <cellStyle name="Calculation 2 4 39 3" xfId="22381"/>
    <cellStyle name="Calculation 2 4 39 4" xfId="30568"/>
    <cellStyle name="Calculation 2 4 39 5" xfId="39888"/>
    <cellStyle name="Calculation 2 4 39 6" xfId="44233"/>
    <cellStyle name="Calculation 2 4 39 7" xfId="46830"/>
    <cellStyle name="Calculation 2 4 4" xfId="937"/>
    <cellStyle name="Calculation 2 4 4 2" xfId="8761"/>
    <cellStyle name="Calculation 2 4 4 3" xfId="16189"/>
    <cellStyle name="Calculation 2 4 4 4" xfId="20600"/>
    <cellStyle name="Calculation 2 4 4 5" xfId="28352"/>
    <cellStyle name="Calculation 2 4 4 6" xfId="38234"/>
    <cellStyle name="Calculation 2 4 4 7" xfId="50051"/>
    <cellStyle name="Calculation 2 4 40" xfId="5787"/>
    <cellStyle name="Calculation 2 4 40 2" xfId="13504"/>
    <cellStyle name="Calculation 2 4 40 3" xfId="22497"/>
    <cellStyle name="Calculation 2 4 40 4" xfId="30684"/>
    <cellStyle name="Calculation 2 4 40 5" xfId="40000"/>
    <cellStyle name="Calculation 2 4 40 6" xfId="44349"/>
    <cellStyle name="Calculation 2 4 40 7" xfId="48441"/>
    <cellStyle name="Calculation 2 4 41" xfId="5904"/>
    <cellStyle name="Calculation 2 4 41 2" xfId="13621"/>
    <cellStyle name="Calculation 2 4 41 3" xfId="22614"/>
    <cellStyle name="Calculation 2 4 41 4" xfId="30801"/>
    <cellStyle name="Calculation 2 4 41 5" xfId="40114"/>
    <cellStyle name="Calculation 2 4 41 6" xfId="44466"/>
    <cellStyle name="Calculation 2 4 41 7" xfId="48836"/>
    <cellStyle name="Calculation 2 4 42" xfId="6032"/>
    <cellStyle name="Calculation 2 4 42 2" xfId="13749"/>
    <cellStyle name="Calculation 2 4 42 3" xfId="22742"/>
    <cellStyle name="Calculation 2 4 42 4" xfId="30929"/>
    <cellStyle name="Calculation 2 4 42 5" xfId="40237"/>
    <cellStyle name="Calculation 2 4 42 6" xfId="44594"/>
    <cellStyle name="Calculation 2 4 42 7" xfId="51036"/>
    <cellStyle name="Calculation 2 4 43" xfId="6159"/>
    <cellStyle name="Calculation 2 4 43 2" xfId="13876"/>
    <cellStyle name="Calculation 2 4 43 3" xfId="22869"/>
    <cellStyle name="Calculation 2 4 43 4" xfId="31056"/>
    <cellStyle name="Calculation 2 4 43 5" xfId="40357"/>
    <cellStyle name="Calculation 2 4 43 6" xfId="44721"/>
    <cellStyle name="Calculation 2 4 43 7" xfId="52543"/>
    <cellStyle name="Calculation 2 4 44" xfId="6288"/>
    <cellStyle name="Calculation 2 4 44 2" xfId="14005"/>
    <cellStyle name="Calculation 2 4 44 3" xfId="22998"/>
    <cellStyle name="Calculation 2 4 44 4" xfId="31185"/>
    <cellStyle name="Calculation 2 4 44 5" xfId="40485"/>
    <cellStyle name="Calculation 2 4 44 6" xfId="44850"/>
    <cellStyle name="Calculation 2 4 44 7" xfId="46898"/>
    <cellStyle name="Calculation 2 4 45" xfId="6403"/>
    <cellStyle name="Calculation 2 4 45 2" xfId="14120"/>
    <cellStyle name="Calculation 2 4 45 3" xfId="23113"/>
    <cellStyle name="Calculation 2 4 45 4" xfId="31300"/>
    <cellStyle name="Calculation 2 4 45 5" xfId="40596"/>
    <cellStyle name="Calculation 2 4 45 6" xfId="44965"/>
    <cellStyle name="Calculation 2 4 45 7" xfId="48936"/>
    <cellStyle name="Calculation 2 4 46" xfId="6515"/>
    <cellStyle name="Calculation 2 4 46 2" xfId="14232"/>
    <cellStyle name="Calculation 2 4 46 3" xfId="23225"/>
    <cellStyle name="Calculation 2 4 46 4" xfId="31412"/>
    <cellStyle name="Calculation 2 4 46 5" xfId="40704"/>
    <cellStyle name="Calculation 2 4 46 6" xfId="45077"/>
    <cellStyle name="Calculation 2 4 46 7" xfId="52628"/>
    <cellStyle name="Calculation 2 4 47" xfId="5253"/>
    <cellStyle name="Calculation 2 4 47 2" xfId="12970"/>
    <cellStyle name="Calculation 2 4 47 3" xfId="21963"/>
    <cellStyle name="Calculation 2 4 47 4" xfId="30150"/>
    <cellStyle name="Calculation 2 4 47 5" xfId="39485"/>
    <cellStyle name="Calculation 2 4 47 6" xfId="43815"/>
    <cellStyle name="Calculation 2 4 47 7" xfId="51368"/>
    <cellStyle name="Calculation 2 4 48" xfId="6662"/>
    <cellStyle name="Calculation 2 4 48 2" xfId="14379"/>
    <cellStyle name="Calculation 2 4 48 3" xfId="23372"/>
    <cellStyle name="Calculation 2 4 48 4" xfId="31559"/>
    <cellStyle name="Calculation 2 4 48 5" xfId="40843"/>
    <cellStyle name="Calculation 2 4 48 6" xfId="45224"/>
    <cellStyle name="Calculation 2 4 48 7" xfId="52029"/>
    <cellStyle name="Calculation 2 4 49" xfId="6773"/>
    <cellStyle name="Calculation 2 4 49 2" xfId="14490"/>
    <cellStyle name="Calculation 2 4 49 3" xfId="23483"/>
    <cellStyle name="Calculation 2 4 49 4" xfId="31670"/>
    <cellStyle name="Calculation 2 4 49 5" xfId="40949"/>
    <cellStyle name="Calculation 2 4 49 6" xfId="45335"/>
    <cellStyle name="Calculation 2 4 49 7" xfId="49074"/>
    <cellStyle name="Calculation 2 4 5" xfId="1405"/>
    <cellStyle name="Calculation 2 4 5 2" xfId="9228"/>
    <cellStyle name="Calculation 2 4 5 3" xfId="16656"/>
    <cellStyle name="Calculation 2 4 5 4" xfId="19549"/>
    <cellStyle name="Calculation 2 4 5 5" xfId="27867"/>
    <cellStyle name="Calculation 2 4 5 6" xfId="41044"/>
    <cellStyle name="Calculation 2 4 5 7" xfId="49029"/>
    <cellStyle name="Calculation 2 4 50" xfId="6888"/>
    <cellStyle name="Calculation 2 4 50 2" xfId="14605"/>
    <cellStyle name="Calculation 2 4 50 3" xfId="23598"/>
    <cellStyle name="Calculation 2 4 50 4" xfId="31785"/>
    <cellStyle name="Calculation 2 4 50 5" xfId="41057"/>
    <cellStyle name="Calculation 2 4 50 6" xfId="45450"/>
    <cellStyle name="Calculation 2 4 50 7" xfId="46884"/>
    <cellStyle name="Calculation 2 4 51" xfId="7001"/>
    <cellStyle name="Calculation 2 4 51 2" xfId="14718"/>
    <cellStyle name="Calculation 2 4 51 3" xfId="23711"/>
    <cellStyle name="Calculation 2 4 51 4" xfId="31898"/>
    <cellStyle name="Calculation 2 4 51 5" xfId="41165"/>
    <cellStyle name="Calculation 2 4 51 6" xfId="45563"/>
    <cellStyle name="Calculation 2 4 51 7" xfId="46959"/>
    <cellStyle name="Calculation 2 4 52" xfId="7111"/>
    <cellStyle name="Calculation 2 4 52 2" xfId="14828"/>
    <cellStyle name="Calculation 2 4 52 3" xfId="23821"/>
    <cellStyle name="Calculation 2 4 52 4" xfId="32008"/>
    <cellStyle name="Calculation 2 4 52 5" xfId="41270"/>
    <cellStyle name="Calculation 2 4 52 6" xfId="45673"/>
    <cellStyle name="Calculation 2 4 52 7" xfId="54026"/>
    <cellStyle name="Calculation 2 4 53" xfId="7167"/>
    <cellStyle name="Calculation 2 4 53 2" xfId="14884"/>
    <cellStyle name="Calculation 2 4 53 3" xfId="23877"/>
    <cellStyle name="Calculation 2 4 53 4" xfId="32064"/>
    <cellStyle name="Calculation 2 4 53 5" xfId="41326"/>
    <cellStyle name="Calculation 2 4 53 6" xfId="45729"/>
    <cellStyle name="Calculation 2 4 53 7" xfId="53626"/>
    <cellStyle name="Calculation 2 4 54" xfId="7258"/>
    <cellStyle name="Calculation 2 4 54 2" xfId="14975"/>
    <cellStyle name="Calculation 2 4 54 3" xfId="23968"/>
    <cellStyle name="Calculation 2 4 54 4" xfId="32155"/>
    <cellStyle name="Calculation 2 4 54 5" xfId="41411"/>
    <cellStyle name="Calculation 2 4 54 6" xfId="45820"/>
    <cellStyle name="Calculation 2 4 54 7" xfId="53737"/>
    <cellStyle name="Calculation 2 4 55" xfId="7508"/>
    <cellStyle name="Calculation 2 4 55 2" xfId="15225"/>
    <cellStyle name="Calculation 2 4 55 3" xfId="24218"/>
    <cellStyle name="Calculation 2 4 55 4" xfId="32405"/>
    <cellStyle name="Calculation 2 4 55 5" xfId="41652"/>
    <cellStyle name="Calculation 2 4 55 6" xfId="46070"/>
    <cellStyle name="Calculation 2 4 55 7" xfId="49081"/>
    <cellStyle name="Calculation 2 4 56" xfId="7629"/>
    <cellStyle name="Calculation 2 4 56 2" xfId="15346"/>
    <cellStyle name="Calculation 2 4 56 3" xfId="24339"/>
    <cellStyle name="Calculation 2 4 56 4" xfId="32526"/>
    <cellStyle name="Calculation 2 4 56 5" xfId="41768"/>
    <cellStyle name="Calculation 2 4 56 6" xfId="46191"/>
    <cellStyle name="Calculation 2 4 56 7" xfId="53135"/>
    <cellStyle name="Calculation 2 4 57" xfId="7906"/>
    <cellStyle name="Calculation 2 4 57 2" xfId="15623"/>
    <cellStyle name="Calculation 2 4 57 3" xfId="24610"/>
    <cellStyle name="Calculation 2 4 57 4" xfId="32803"/>
    <cellStyle name="Calculation 2 4 57 5" xfId="42034"/>
    <cellStyle name="Calculation 2 4 57 6" xfId="46468"/>
    <cellStyle name="Calculation 2 4 57 7" xfId="52579"/>
    <cellStyle name="Calculation 2 4 58" xfId="8034"/>
    <cellStyle name="Calculation 2 4 58 2" xfId="15751"/>
    <cellStyle name="Calculation 2 4 58 3" xfId="24736"/>
    <cellStyle name="Calculation 2 4 58 4" xfId="32931"/>
    <cellStyle name="Calculation 2 4 58 5" xfId="42156"/>
    <cellStyle name="Calculation 2 4 58 6" xfId="46596"/>
    <cellStyle name="Calculation 2 4 58 7" xfId="53697"/>
    <cellStyle name="Calculation 2 4 59" xfId="7683"/>
    <cellStyle name="Calculation 2 4 59 2" xfId="15400"/>
    <cellStyle name="Calculation 2 4 59 3" xfId="24391"/>
    <cellStyle name="Calculation 2 4 59 4" xfId="32580"/>
    <cellStyle name="Calculation 2 4 59 5" xfId="41818"/>
    <cellStyle name="Calculation 2 4 59 6" xfId="46245"/>
    <cellStyle name="Calculation 2 4 59 7" xfId="53625"/>
    <cellStyle name="Calculation 2 4 6" xfId="1528"/>
    <cellStyle name="Calculation 2 4 6 2" xfId="9351"/>
    <cellStyle name="Calculation 2 4 6 3" xfId="16779"/>
    <cellStyle name="Calculation 2 4 6 4" xfId="19569"/>
    <cellStyle name="Calculation 2 4 6 5" xfId="28676"/>
    <cellStyle name="Calculation 2 4 6 6" xfId="38426"/>
    <cellStyle name="Calculation 2 4 6 7" xfId="47870"/>
    <cellStyle name="Calculation 2 4 60" xfId="8181"/>
    <cellStyle name="Calculation 2 4 60 2" xfId="15898"/>
    <cellStyle name="Calculation 2 4 60 3" xfId="33078"/>
    <cellStyle name="Calculation 2 4 60 4" xfId="42297"/>
    <cellStyle name="Calculation 2 4 60 5" xfId="46743"/>
    <cellStyle name="Calculation 2 4 60 6" xfId="46875"/>
    <cellStyle name="Calculation 2 4 61" xfId="25659"/>
    <cellStyle name="Calculation 2 4 62" xfId="34181"/>
    <cellStyle name="Calculation 2 4 63" xfId="36253"/>
    <cellStyle name="Calculation 2 4 64" xfId="52214"/>
    <cellStyle name="Calculation 2 4 7" xfId="1308"/>
    <cellStyle name="Calculation 2 4 7 2" xfId="9131"/>
    <cellStyle name="Calculation 2 4 7 3" xfId="16559"/>
    <cellStyle name="Calculation 2 4 7 4" xfId="26141"/>
    <cellStyle name="Calculation 2 4 7 5" xfId="34806"/>
    <cellStyle name="Calculation 2 4 7 6" xfId="37543"/>
    <cellStyle name="Calculation 2 4 7 7" xfId="53298"/>
    <cellStyle name="Calculation 2 4 8" xfId="1765"/>
    <cellStyle name="Calculation 2 4 8 2" xfId="9588"/>
    <cellStyle name="Calculation 2 4 8 3" xfId="17016"/>
    <cellStyle name="Calculation 2 4 8 4" xfId="19491"/>
    <cellStyle name="Calculation 2 4 8 5" xfId="26862"/>
    <cellStyle name="Calculation 2 4 8 6" xfId="38188"/>
    <cellStyle name="Calculation 2 4 8 7" xfId="50320"/>
    <cellStyle name="Calculation 2 4 9" xfId="1898"/>
    <cellStyle name="Calculation 2 4 9 2" xfId="9721"/>
    <cellStyle name="Calculation 2 4 9 3" xfId="17149"/>
    <cellStyle name="Calculation 2 4 9 4" xfId="19484"/>
    <cellStyle name="Calculation 2 4 9 5" xfId="27594"/>
    <cellStyle name="Calculation 2 4 9 6" xfId="36410"/>
    <cellStyle name="Calculation 2 4 9 7" xfId="47885"/>
    <cellStyle name="Calculation 2 5" xfId="528"/>
    <cellStyle name="Calculation 2 5 10" xfId="1975"/>
    <cellStyle name="Calculation 2 5 10 2" xfId="9798"/>
    <cellStyle name="Calculation 2 5 10 3" xfId="17226"/>
    <cellStyle name="Calculation 2 5 10 4" xfId="20237"/>
    <cellStyle name="Calculation 2 5 10 5" xfId="26767"/>
    <cellStyle name="Calculation 2 5 10 6" xfId="38012"/>
    <cellStyle name="Calculation 2 5 10 7" xfId="49051"/>
    <cellStyle name="Calculation 2 5 11" xfId="2093"/>
    <cellStyle name="Calculation 2 5 11 2" xfId="9916"/>
    <cellStyle name="Calculation 2 5 11 3" xfId="17344"/>
    <cellStyle name="Calculation 2 5 11 4" xfId="19090"/>
    <cellStyle name="Calculation 2 5 11 5" xfId="28706"/>
    <cellStyle name="Calculation 2 5 11 6" xfId="36799"/>
    <cellStyle name="Calculation 2 5 11 7" xfId="49279"/>
    <cellStyle name="Calculation 2 5 12" xfId="2206"/>
    <cellStyle name="Calculation 2 5 12 2" xfId="10029"/>
    <cellStyle name="Calculation 2 5 12 3" xfId="17457"/>
    <cellStyle name="Calculation 2 5 12 4" xfId="25774"/>
    <cellStyle name="Calculation 2 5 12 5" xfId="34333"/>
    <cellStyle name="Calculation 2 5 12 6" xfId="36632"/>
    <cellStyle name="Calculation 2 5 12 7" xfId="52490"/>
    <cellStyle name="Calculation 2 5 13" xfId="2354"/>
    <cellStyle name="Calculation 2 5 13 2" xfId="10177"/>
    <cellStyle name="Calculation 2 5 13 3" xfId="17605"/>
    <cellStyle name="Calculation 2 5 13 4" xfId="25064"/>
    <cellStyle name="Calculation 2 5 13 5" xfId="33425"/>
    <cellStyle name="Calculation 2 5 13 6" xfId="38080"/>
    <cellStyle name="Calculation 2 5 13 7" xfId="50937"/>
    <cellStyle name="Calculation 2 5 14" xfId="2440"/>
    <cellStyle name="Calculation 2 5 14 2" xfId="10263"/>
    <cellStyle name="Calculation 2 5 14 3" xfId="17691"/>
    <cellStyle name="Calculation 2 5 14 4" xfId="19903"/>
    <cellStyle name="Calculation 2 5 14 5" xfId="27608"/>
    <cellStyle name="Calculation 2 5 14 6" xfId="39798"/>
    <cellStyle name="Calculation 2 5 14 7" xfId="49558"/>
    <cellStyle name="Calculation 2 5 15" xfId="2504"/>
    <cellStyle name="Calculation 2 5 15 2" xfId="10327"/>
    <cellStyle name="Calculation 2 5 15 3" xfId="17755"/>
    <cellStyle name="Calculation 2 5 15 4" xfId="24873"/>
    <cellStyle name="Calculation 2 5 15 5" xfId="33187"/>
    <cellStyle name="Calculation 2 5 15 6" xfId="40269"/>
    <cellStyle name="Calculation 2 5 15 7" xfId="50505"/>
    <cellStyle name="Calculation 2 5 16" xfId="2617"/>
    <cellStyle name="Calculation 2 5 16 2" xfId="10440"/>
    <cellStyle name="Calculation 2 5 16 3" xfId="17868"/>
    <cellStyle name="Calculation 2 5 16 4" xfId="26632"/>
    <cellStyle name="Calculation 2 5 16 5" xfId="35467"/>
    <cellStyle name="Calculation 2 5 16 6" xfId="36805"/>
    <cellStyle name="Calculation 2 5 16 7" xfId="54351"/>
    <cellStyle name="Calculation 2 5 17" xfId="2737"/>
    <cellStyle name="Calculation 2 5 17 2" xfId="10560"/>
    <cellStyle name="Calculation 2 5 17 3" xfId="17988"/>
    <cellStyle name="Calculation 2 5 17 4" xfId="19194"/>
    <cellStyle name="Calculation 2 5 17 5" xfId="26924"/>
    <cellStyle name="Calculation 2 5 17 6" xfId="37825"/>
    <cellStyle name="Calculation 2 5 17 7" xfId="49132"/>
    <cellStyle name="Calculation 2 5 18" xfId="2761"/>
    <cellStyle name="Calculation 2 5 18 2" xfId="10584"/>
    <cellStyle name="Calculation 2 5 18 3" xfId="18012"/>
    <cellStyle name="Calculation 2 5 18 4" xfId="26501"/>
    <cellStyle name="Calculation 2 5 18 5" xfId="35295"/>
    <cellStyle name="Calculation 2 5 18 6" xfId="40937"/>
    <cellStyle name="Calculation 2 5 18 7" xfId="54079"/>
    <cellStyle name="Calculation 2 5 19" xfId="2810"/>
    <cellStyle name="Calculation 2 5 19 2" xfId="10633"/>
    <cellStyle name="Calculation 2 5 19 3" xfId="18061"/>
    <cellStyle name="Calculation 2 5 19 4" xfId="19225"/>
    <cellStyle name="Calculation 2 5 19 5" xfId="26785"/>
    <cellStyle name="Calculation 2 5 19 6" xfId="37895"/>
    <cellStyle name="Calculation 2 5 19 7" xfId="50352"/>
    <cellStyle name="Calculation 2 5 2" xfId="678"/>
    <cellStyle name="Calculation 2 5 2 2" xfId="8502"/>
    <cellStyle name="Calculation 2 5 2 3" xfId="8258"/>
    <cellStyle name="Calculation 2 5 2 4" xfId="20457"/>
    <cellStyle name="Calculation 2 5 2 5" xfId="27240"/>
    <cellStyle name="Calculation 2 5 2 6" xfId="37374"/>
    <cellStyle name="Calculation 2 5 2 7" xfId="47397"/>
    <cellStyle name="Calculation 2 5 20" xfId="2917"/>
    <cellStyle name="Calculation 2 5 20 2" xfId="10740"/>
    <cellStyle name="Calculation 2 5 20 3" xfId="18168"/>
    <cellStyle name="Calculation 2 5 20 4" xfId="26628"/>
    <cellStyle name="Calculation 2 5 20 5" xfId="35461"/>
    <cellStyle name="Calculation 2 5 20 6" xfId="37036"/>
    <cellStyle name="Calculation 2 5 20 7" xfId="54342"/>
    <cellStyle name="Calculation 2 5 21" xfId="3293"/>
    <cellStyle name="Calculation 2 5 21 2" xfId="11086"/>
    <cellStyle name="Calculation 2 5 21 3" xfId="18415"/>
    <cellStyle name="Calculation 2 5 21 4" xfId="25895"/>
    <cellStyle name="Calculation 2 5 21 5" xfId="34490"/>
    <cellStyle name="Calculation 2 5 21 6" xfId="40469"/>
    <cellStyle name="Calculation 2 5 21 7" xfId="52773"/>
    <cellStyle name="Calculation 2 5 22" xfId="3413"/>
    <cellStyle name="Calculation 2 5 22 2" xfId="11204"/>
    <cellStyle name="Calculation 2 5 22 3" xfId="18526"/>
    <cellStyle name="Calculation 2 5 22 4" xfId="20269"/>
    <cellStyle name="Calculation 2 5 22 5" xfId="28695"/>
    <cellStyle name="Calculation 2 5 22 6" xfId="37317"/>
    <cellStyle name="Calculation 2 5 22 7" xfId="48824"/>
    <cellStyle name="Calculation 2 5 23" xfId="3025"/>
    <cellStyle name="Calculation 2 5 23 2" xfId="10840"/>
    <cellStyle name="Calculation 2 5 23 3" xfId="18253"/>
    <cellStyle name="Calculation 2 5 23 4" xfId="19798"/>
    <cellStyle name="Calculation 2 5 23 5" xfId="27999"/>
    <cellStyle name="Calculation 2 5 23 6" xfId="38125"/>
    <cellStyle name="Calculation 2 5 23 7" xfId="47489"/>
    <cellStyle name="Calculation 2 5 24" xfId="3684"/>
    <cellStyle name="Calculation 2 5 24 2" xfId="11469"/>
    <cellStyle name="Calculation 2 5 24 3" xfId="18742"/>
    <cellStyle name="Calculation 2 5 24 4" xfId="25035"/>
    <cellStyle name="Calculation 2 5 24 5" xfId="33393"/>
    <cellStyle name="Calculation 2 5 24 6" xfId="38006"/>
    <cellStyle name="Calculation 2 5 24 7" xfId="50873"/>
    <cellStyle name="Calculation 2 5 25" xfId="3814"/>
    <cellStyle name="Calculation 2 5 25 2" xfId="11596"/>
    <cellStyle name="Calculation 2 5 25 3" xfId="18853"/>
    <cellStyle name="Calculation 2 5 25 4" xfId="26017"/>
    <cellStyle name="Calculation 2 5 25 5" xfId="34644"/>
    <cellStyle name="Calculation 2 5 25 6" xfId="40660"/>
    <cellStyle name="Calculation 2 5 25 7" xfId="53025"/>
    <cellStyle name="Calculation 2 5 26" xfId="3932"/>
    <cellStyle name="Calculation 2 5 26 2" xfId="11712"/>
    <cellStyle name="Calculation 2 5 26 3" xfId="18962"/>
    <cellStyle name="Calculation 2 5 26 4" xfId="25487"/>
    <cellStyle name="Calculation 2 5 26 5" xfId="33961"/>
    <cellStyle name="Calculation 2 5 26 6" xfId="38707"/>
    <cellStyle name="Calculation 2 5 26 7" xfId="51844"/>
    <cellStyle name="Calculation 2 5 27" xfId="4047"/>
    <cellStyle name="Calculation 2 5 27 2" xfId="11816"/>
    <cellStyle name="Calculation 2 5 27 3" xfId="20757"/>
    <cellStyle name="Calculation 2 5 27 4" xfId="28944"/>
    <cellStyle name="Calculation 2 5 27 5" xfId="38323"/>
    <cellStyle name="Calculation 2 5 27 6" xfId="42609"/>
    <cellStyle name="Calculation 2 5 27 7" xfId="52613"/>
    <cellStyle name="Calculation 2 5 28" xfId="4129"/>
    <cellStyle name="Calculation 2 5 28 2" xfId="11888"/>
    <cellStyle name="Calculation 2 5 28 3" xfId="20839"/>
    <cellStyle name="Calculation 2 5 28 4" xfId="29026"/>
    <cellStyle name="Calculation 2 5 28 5" xfId="38403"/>
    <cellStyle name="Calculation 2 5 28 6" xfId="42691"/>
    <cellStyle name="Calculation 2 5 28 7" xfId="51472"/>
    <cellStyle name="Calculation 2 5 29" xfId="3051"/>
    <cellStyle name="Calculation 2 5 29 2" xfId="20217"/>
    <cellStyle name="Calculation 2 5 29 3" xfId="28309"/>
    <cellStyle name="Calculation 2 5 29 4" xfId="37689"/>
    <cellStyle name="Calculation 2 5 29 5" xfId="42374"/>
    <cellStyle name="Calculation 2 5 29 6" xfId="49726"/>
    <cellStyle name="Calculation 2 5 3" xfId="786"/>
    <cellStyle name="Calculation 2 5 3 2" xfId="8610"/>
    <cellStyle name="Calculation 2 5 3 3" xfId="16038"/>
    <cellStyle name="Calculation 2 5 3 4" xfId="25051"/>
    <cellStyle name="Calculation 2 5 3 5" xfId="33411"/>
    <cellStyle name="Calculation 2 5 3 6" xfId="37432"/>
    <cellStyle name="Calculation 2 5 3 7" xfId="50903"/>
    <cellStyle name="Calculation 2 5 30" xfId="4326"/>
    <cellStyle name="Calculation 2 5 30 2" xfId="12043"/>
    <cellStyle name="Calculation 2 5 30 3" xfId="21036"/>
    <cellStyle name="Calculation 2 5 30 4" xfId="29223"/>
    <cellStyle name="Calculation 2 5 30 5" xfId="38594"/>
    <cellStyle name="Calculation 2 5 30 6" xfId="42888"/>
    <cellStyle name="Calculation 2 5 30 7" xfId="48115"/>
    <cellStyle name="Calculation 2 5 31" xfId="4449"/>
    <cellStyle name="Calculation 2 5 31 2" xfId="12166"/>
    <cellStyle name="Calculation 2 5 31 3" xfId="21159"/>
    <cellStyle name="Calculation 2 5 31 4" xfId="29346"/>
    <cellStyle name="Calculation 2 5 31 5" xfId="38712"/>
    <cellStyle name="Calculation 2 5 31 6" xfId="43011"/>
    <cellStyle name="Calculation 2 5 31 7" xfId="50422"/>
    <cellStyle name="Calculation 2 5 32" xfId="4563"/>
    <cellStyle name="Calculation 2 5 32 2" xfId="12280"/>
    <cellStyle name="Calculation 2 5 32 3" xfId="21273"/>
    <cellStyle name="Calculation 2 5 32 4" xfId="29460"/>
    <cellStyle name="Calculation 2 5 32 5" xfId="38821"/>
    <cellStyle name="Calculation 2 5 32 6" xfId="43125"/>
    <cellStyle name="Calculation 2 5 32 7" xfId="53419"/>
    <cellStyle name="Calculation 2 5 33" xfId="4676"/>
    <cellStyle name="Calculation 2 5 33 2" xfId="12393"/>
    <cellStyle name="Calculation 2 5 33 3" xfId="21386"/>
    <cellStyle name="Calculation 2 5 33 4" xfId="29573"/>
    <cellStyle name="Calculation 2 5 33 5" xfId="38930"/>
    <cellStyle name="Calculation 2 5 33 6" xfId="43238"/>
    <cellStyle name="Calculation 2 5 33 7" xfId="49070"/>
    <cellStyle name="Calculation 2 5 34" xfId="4787"/>
    <cellStyle name="Calculation 2 5 34 2" xfId="12504"/>
    <cellStyle name="Calculation 2 5 34 3" xfId="21497"/>
    <cellStyle name="Calculation 2 5 34 4" xfId="29684"/>
    <cellStyle name="Calculation 2 5 34 5" xfId="39038"/>
    <cellStyle name="Calculation 2 5 34 6" xfId="43349"/>
    <cellStyle name="Calculation 2 5 34 7" xfId="48089"/>
    <cellStyle name="Calculation 2 5 35" xfId="4896"/>
    <cellStyle name="Calculation 2 5 35 2" xfId="12613"/>
    <cellStyle name="Calculation 2 5 35 3" xfId="21606"/>
    <cellStyle name="Calculation 2 5 35 4" xfId="29793"/>
    <cellStyle name="Calculation 2 5 35 5" xfId="39142"/>
    <cellStyle name="Calculation 2 5 35 6" xfId="43458"/>
    <cellStyle name="Calculation 2 5 35 7" xfId="48355"/>
    <cellStyle name="Calculation 2 5 36" xfId="5007"/>
    <cellStyle name="Calculation 2 5 36 2" xfId="12724"/>
    <cellStyle name="Calculation 2 5 36 3" xfId="21717"/>
    <cellStyle name="Calculation 2 5 36 4" xfId="29904"/>
    <cellStyle name="Calculation 2 5 36 5" xfId="39250"/>
    <cellStyle name="Calculation 2 5 36 6" xfId="43569"/>
    <cellStyle name="Calculation 2 5 36 7" xfId="53309"/>
    <cellStyle name="Calculation 2 5 37" xfId="5386"/>
    <cellStyle name="Calculation 2 5 37 2" xfId="13103"/>
    <cellStyle name="Calculation 2 5 37 3" xfId="22096"/>
    <cellStyle name="Calculation 2 5 37 4" xfId="30283"/>
    <cellStyle name="Calculation 2 5 37 5" xfId="39614"/>
    <cellStyle name="Calculation 2 5 37 6" xfId="43948"/>
    <cellStyle name="Calculation 2 5 37 7" xfId="52868"/>
    <cellStyle name="Calculation 2 5 38" xfId="5506"/>
    <cellStyle name="Calculation 2 5 38 2" xfId="13223"/>
    <cellStyle name="Calculation 2 5 38 3" xfId="22216"/>
    <cellStyle name="Calculation 2 5 38 4" xfId="30403"/>
    <cellStyle name="Calculation 2 5 38 5" xfId="39728"/>
    <cellStyle name="Calculation 2 5 38 6" xfId="44068"/>
    <cellStyle name="Calculation 2 5 38 7" xfId="47759"/>
    <cellStyle name="Calculation 2 5 39" xfId="5630"/>
    <cellStyle name="Calculation 2 5 39 2" xfId="13347"/>
    <cellStyle name="Calculation 2 5 39 3" xfId="22340"/>
    <cellStyle name="Calculation 2 5 39 4" xfId="30527"/>
    <cellStyle name="Calculation 2 5 39 5" xfId="39848"/>
    <cellStyle name="Calculation 2 5 39 6" xfId="44192"/>
    <cellStyle name="Calculation 2 5 39 7" xfId="46837"/>
    <cellStyle name="Calculation 2 5 4" xfId="897"/>
    <cellStyle name="Calculation 2 5 4 2" xfId="8721"/>
    <cellStyle name="Calculation 2 5 4 3" xfId="16149"/>
    <cellStyle name="Calculation 2 5 4 4" xfId="26532"/>
    <cellStyle name="Calculation 2 5 4 5" xfId="35332"/>
    <cellStyle name="Calculation 2 5 4 6" xfId="37395"/>
    <cellStyle name="Calculation 2 5 4 7" xfId="54139"/>
    <cellStyle name="Calculation 2 5 40" xfId="5746"/>
    <cellStyle name="Calculation 2 5 40 2" xfId="13463"/>
    <cellStyle name="Calculation 2 5 40 3" xfId="22456"/>
    <cellStyle name="Calculation 2 5 40 4" xfId="30643"/>
    <cellStyle name="Calculation 2 5 40 5" xfId="39960"/>
    <cellStyle name="Calculation 2 5 40 6" xfId="44308"/>
    <cellStyle name="Calculation 2 5 40 7" xfId="52786"/>
    <cellStyle name="Calculation 2 5 41" xfId="5862"/>
    <cellStyle name="Calculation 2 5 41 2" xfId="13579"/>
    <cellStyle name="Calculation 2 5 41 3" xfId="22572"/>
    <cellStyle name="Calculation 2 5 41 4" xfId="30759"/>
    <cellStyle name="Calculation 2 5 41 5" xfId="40073"/>
    <cellStyle name="Calculation 2 5 41 6" xfId="44424"/>
    <cellStyle name="Calculation 2 5 41 7" xfId="53223"/>
    <cellStyle name="Calculation 2 5 42" xfId="5991"/>
    <cellStyle name="Calculation 2 5 42 2" xfId="13708"/>
    <cellStyle name="Calculation 2 5 42 3" xfId="22701"/>
    <cellStyle name="Calculation 2 5 42 4" xfId="30888"/>
    <cellStyle name="Calculation 2 5 42 5" xfId="40197"/>
    <cellStyle name="Calculation 2 5 42 6" xfId="44553"/>
    <cellStyle name="Calculation 2 5 42 7" xfId="52963"/>
    <cellStyle name="Calculation 2 5 43" xfId="5327"/>
    <cellStyle name="Calculation 2 5 43 2" xfId="13044"/>
    <cellStyle name="Calculation 2 5 43 3" xfId="22037"/>
    <cellStyle name="Calculation 2 5 43 4" xfId="30224"/>
    <cellStyle name="Calculation 2 5 43 5" xfId="39558"/>
    <cellStyle name="Calculation 2 5 43 6" xfId="43889"/>
    <cellStyle name="Calculation 2 5 43 7" xfId="51269"/>
    <cellStyle name="Calculation 2 5 44" xfId="6247"/>
    <cellStyle name="Calculation 2 5 44 2" xfId="13964"/>
    <cellStyle name="Calculation 2 5 44 3" xfId="22957"/>
    <cellStyle name="Calculation 2 5 44 4" xfId="31144"/>
    <cellStyle name="Calculation 2 5 44 5" xfId="40445"/>
    <cellStyle name="Calculation 2 5 44 6" xfId="44809"/>
    <cellStyle name="Calculation 2 5 44 7" xfId="50591"/>
    <cellStyle name="Calculation 2 5 45" xfId="6363"/>
    <cellStyle name="Calculation 2 5 45 2" xfId="14080"/>
    <cellStyle name="Calculation 2 5 45 3" xfId="23073"/>
    <cellStyle name="Calculation 2 5 45 4" xfId="31260"/>
    <cellStyle name="Calculation 2 5 45 5" xfId="40558"/>
    <cellStyle name="Calculation 2 5 45 6" xfId="44925"/>
    <cellStyle name="Calculation 2 5 45 7" xfId="53628"/>
    <cellStyle name="Calculation 2 5 46" xfId="6474"/>
    <cellStyle name="Calculation 2 5 46 2" xfId="14191"/>
    <cellStyle name="Calculation 2 5 46 3" xfId="23184"/>
    <cellStyle name="Calculation 2 5 46 4" xfId="31371"/>
    <cellStyle name="Calculation 2 5 46 5" xfId="40665"/>
    <cellStyle name="Calculation 2 5 46 6" xfId="45036"/>
    <cellStyle name="Calculation 2 5 46 7" xfId="47252"/>
    <cellStyle name="Calculation 2 5 47" xfId="6573"/>
    <cellStyle name="Calculation 2 5 47 2" xfId="14290"/>
    <cellStyle name="Calculation 2 5 47 3" xfId="23283"/>
    <cellStyle name="Calculation 2 5 47 4" xfId="31470"/>
    <cellStyle name="Calculation 2 5 47 5" xfId="40758"/>
    <cellStyle name="Calculation 2 5 47 6" xfId="45135"/>
    <cellStyle name="Calculation 2 5 47 7" xfId="53842"/>
    <cellStyle name="Calculation 2 5 48" xfId="6620"/>
    <cellStyle name="Calculation 2 5 48 2" xfId="14337"/>
    <cellStyle name="Calculation 2 5 48 3" xfId="23330"/>
    <cellStyle name="Calculation 2 5 48 4" xfId="31517"/>
    <cellStyle name="Calculation 2 5 48 5" xfId="40804"/>
    <cellStyle name="Calculation 2 5 48 6" xfId="45182"/>
    <cellStyle name="Calculation 2 5 48 7" xfId="48876"/>
    <cellStyle name="Calculation 2 5 49" xfId="6732"/>
    <cellStyle name="Calculation 2 5 49 2" xfId="14449"/>
    <cellStyle name="Calculation 2 5 49 3" xfId="23442"/>
    <cellStyle name="Calculation 2 5 49 4" xfId="31629"/>
    <cellStyle name="Calculation 2 5 49 5" xfId="40910"/>
    <cellStyle name="Calculation 2 5 49 6" xfId="45294"/>
    <cellStyle name="Calculation 2 5 49 7" xfId="51959"/>
    <cellStyle name="Calculation 2 5 5" xfId="1363"/>
    <cellStyle name="Calculation 2 5 5 2" xfId="9186"/>
    <cellStyle name="Calculation 2 5 5 3" xfId="16614"/>
    <cellStyle name="Calculation 2 5 5 4" xfId="26394"/>
    <cellStyle name="Calculation 2 5 5 5" xfId="35145"/>
    <cellStyle name="Calculation 2 5 5 6" xfId="40411"/>
    <cellStyle name="Calculation 2 5 5 7" xfId="53839"/>
    <cellStyle name="Calculation 2 5 50" xfId="6847"/>
    <cellStyle name="Calculation 2 5 50 2" xfId="14564"/>
    <cellStyle name="Calculation 2 5 50 3" xfId="23557"/>
    <cellStyle name="Calculation 2 5 50 4" xfId="31744"/>
    <cellStyle name="Calculation 2 5 50 5" xfId="41018"/>
    <cellStyle name="Calculation 2 5 50 6" xfId="45409"/>
    <cellStyle name="Calculation 2 5 50 7" xfId="49683"/>
    <cellStyle name="Calculation 2 5 51" xfId="6960"/>
    <cellStyle name="Calculation 2 5 51 2" xfId="14677"/>
    <cellStyle name="Calculation 2 5 51 3" xfId="23670"/>
    <cellStyle name="Calculation 2 5 51 4" xfId="31857"/>
    <cellStyle name="Calculation 2 5 51 5" xfId="41126"/>
    <cellStyle name="Calculation 2 5 51 6" xfId="45522"/>
    <cellStyle name="Calculation 2 5 51 7" xfId="46810"/>
    <cellStyle name="Calculation 2 5 52" xfId="7071"/>
    <cellStyle name="Calculation 2 5 52 2" xfId="14788"/>
    <cellStyle name="Calculation 2 5 52 3" xfId="23781"/>
    <cellStyle name="Calculation 2 5 52 4" xfId="31968"/>
    <cellStyle name="Calculation 2 5 52 5" xfId="41231"/>
    <cellStyle name="Calculation 2 5 52 6" xfId="45633"/>
    <cellStyle name="Calculation 2 5 52 7" xfId="52220"/>
    <cellStyle name="Calculation 2 5 53" xfId="7370"/>
    <cellStyle name="Calculation 2 5 53 2" xfId="15087"/>
    <cellStyle name="Calculation 2 5 53 3" xfId="24080"/>
    <cellStyle name="Calculation 2 5 53 4" xfId="32267"/>
    <cellStyle name="Calculation 2 5 53 5" xfId="41523"/>
    <cellStyle name="Calculation 2 5 53 6" xfId="45932"/>
    <cellStyle name="Calculation 2 5 53 7" xfId="49196"/>
    <cellStyle name="Calculation 2 5 54" xfId="7138"/>
    <cellStyle name="Calculation 2 5 54 2" xfId="14855"/>
    <cellStyle name="Calculation 2 5 54 3" xfId="23848"/>
    <cellStyle name="Calculation 2 5 54 4" xfId="32035"/>
    <cellStyle name="Calculation 2 5 54 5" xfId="41297"/>
    <cellStyle name="Calculation 2 5 54 6" xfId="45700"/>
    <cellStyle name="Calculation 2 5 54 7" xfId="51346"/>
    <cellStyle name="Calculation 2 5 55" xfId="7468"/>
    <cellStyle name="Calculation 2 5 55 2" xfId="15185"/>
    <cellStyle name="Calculation 2 5 55 3" xfId="24178"/>
    <cellStyle name="Calculation 2 5 55 4" xfId="32365"/>
    <cellStyle name="Calculation 2 5 55 5" xfId="41614"/>
    <cellStyle name="Calculation 2 5 55 6" xfId="46030"/>
    <cellStyle name="Calculation 2 5 55 7" xfId="53549"/>
    <cellStyle name="Calculation 2 5 56" xfId="7589"/>
    <cellStyle name="Calculation 2 5 56 2" xfId="15306"/>
    <cellStyle name="Calculation 2 5 56 3" xfId="24299"/>
    <cellStyle name="Calculation 2 5 56 4" xfId="32486"/>
    <cellStyle name="Calculation 2 5 56 5" xfId="41729"/>
    <cellStyle name="Calculation 2 5 56 6" xfId="46151"/>
    <cellStyle name="Calculation 2 5 56 7" xfId="48312"/>
    <cellStyle name="Calculation 2 5 57" xfId="7865"/>
    <cellStyle name="Calculation 2 5 57 2" xfId="15582"/>
    <cellStyle name="Calculation 2 5 57 3" xfId="24569"/>
    <cellStyle name="Calculation 2 5 57 4" xfId="32762"/>
    <cellStyle name="Calculation 2 5 57 5" xfId="41994"/>
    <cellStyle name="Calculation 2 5 57 6" xfId="46427"/>
    <cellStyle name="Calculation 2 5 57 7" xfId="48983"/>
    <cellStyle name="Calculation 2 5 58" xfId="7969"/>
    <cellStyle name="Calculation 2 5 58 2" xfId="15686"/>
    <cellStyle name="Calculation 2 5 58 3" xfId="24672"/>
    <cellStyle name="Calculation 2 5 58 4" xfId="32866"/>
    <cellStyle name="Calculation 2 5 58 5" xfId="42093"/>
    <cellStyle name="Calculation 2 5 58 6" xfId="46531"/>
    <cellStyle name="Calculation 2 5 58 7" xfId="48054"/>
    <cellStyle name="Calculation 2 5 59" xfId="8082"/>
    <cellStyle name="Calculation 2 5 59 2" xfId="15799"/>
    <cellStyle name="Calculation 2 5 59 3" xfId="24783"/>
    <cellStyle name="Calculation 2 5 59 4" xfId="32979"/>
    <cellStyle name="Calculation 2 5 59 5" xfId="42201"/>
    <cellStyle name="Calculation 2 5 59 6" xfId="46644"/>
    <cellStyle name="Calculation 2 5 59 7" xfId="48594"/>
    <cellStyle name="Calculation 2 5 6" xfId="1486"/>
    <cellStyle name="Calculation 2 5 6 2" xfId="9309"/>
    <cellStyle name="Calculation 2 5 6 3" xfId="16737"/>
    <cellStyle name="Calculation 2 5 6 4" xfId="26379"/>
    <cellStyle name="Calculation 2 5 6 5" xfId="35123"/>
    <cellStyle name="Calculation 2 5 6 6" xfId="38956"/>
    <cellStyle name="Calculation 2 5 6 7" xfId="53808"/>
    <cellStyle name="Calculation 2 5 60" xfId="8141"/>
    <cellStyle name="Calculation 2 5 60 2" xfId="15858"/>
    <cellStyle name="Calculation 2 5 60 3" xfId="33038"/>
    <cellStyle name="Calculation 2 5 60 4" xfId="42258"/>
    <cellStyle name="Calculation 2 5 60 5" xfId="46703"/>
    <cellStyle name="Calculation 2 5 60 6" xfId="49532"/>
    <cellStyle name="Calculation 2 5 61" xfId="19087"/>
    <cellStyle name="Calculation 2 5 62" xfId="33107"/>
    <cellStyle name="Calculation 2 5 63" xfId="36675"/>
    <cellStyle name="Calculation 2 5 64" xfId="49118"/>
    <cellStyle name="Calculation 2 5 7" xfId="1658"/>
    <cellStyle name="Calculation 2 5 7 2" xfId="9481"/>
    <cellStyle name="Calculation 2 5 7 3" xfId="16909"/>
    <cellStyle name="Calculation 2 5 7 4" xfId="25239"/>
    <cellStyle name="Calculation 2 5 7 5" xfId="33643"/>
    <cellStyle name="Calculation 2 5 7 6" xfId="40208"/>
    <cellStyle name="Calculation 2 5 7 7" xfId="51297"/>
    <cellStyle name="Calculation 2 5 8" xfId="1723"/>
    <cellStyle name="Calculation 2 5 8 2" xfId="9546"/>
    <cellStyle name="Calculation 2 5 8 3" xfId="16974"/>
    <cellStyle name="Calculation 2 5 8 4" xfId="25615"/>
    <cellStyle name="Calculation 2 5 8 5" xfId="34128"/>
    <cellStyle name="Calculation 2 5 8 6" xfId="36667"/>
    <cellStyle name="Calculation 2 5 8 7" xfId="52122"/>
    <cellStyle name="Calculation 2 5 9" xfId="1857"/>
    <cellStyle name="Calculation 2 5 9 2" xfId="9680"/>
    <cellStyle name="Calculation 2 5 9 3" xfId="17108"/>
    <cellStyle name="Calculation 2 5 9 4" xfId="25857"/>
    <cellStyle name="Calculation 2 5 9 5" xfId="34445"/>
    <cellStyle name="Calculation 2 5 9 6" xfId="41600"/>
    <cellStyle name="Calculation 2 5 9 7" xfId="52686"/>
    <cellStyle name="Calculation 2 6" xfId="246"/>
    <cellStyle name="Calculation 2 6 2" xfId="8346"/>
    <cellStyle name="Calculation 2 6 3" xfId="8367"/>
    <cellStyle name="Calculation 2 6 4" xfId="26306"/>
    <cellStyle name="Calculation 2 6 5" xfId="35024"/>
    <cellStyle name="Calculation 2 6 6" xfId="37263"/>
    <cellStyle name="Calculation 2 6 7" xfId="53657"/>
    <cellStyle name="Calculation 2 7" xfId="609"/>
    <cellStyle name="Calculation 2 7 2" xfId="8433"/>
    <cellStyle name="Calculation 2 7 3" xfId="11834"/>
    <cellStyle name="Calculation 2 7 4" xfId="19349"/>
    <cellStyle name="Calculation 2 7 5" xfId="28743"/>
    <cellStyle name="Calculation 2 7 6" xfId="36663"/>
    <cellStyle name="Calculation 2 7 7" xfId="47714"/>
    <cellStyle name="Calculation 2 8" xfId="1232"/>
    <cellStyle name="Calculation 2 8 2" xfId="9055"/>
    <cellStyle name="Calculation 2 8 3" xfId="16483"/>
    <cellStyle name="Calculation 2 8 4" xfId="19396"/>
    <cellStyle name="Calculation 2 8 5" xfId="27578"/>
    <cellStyle name="Calculation 2 8 6" xfId="38122"/>
    <cellStyle name="Calculation 2 8 7" xfId="48310"/>
    <cellStyle name="Calculation 2 9" xfId="983"/>
    <cellStyle name="Calculation 2 9 2" xfId="8807"/>
    <cellStyle name="Calculation 2 9 3" xfId="16235"/>
    <cellStyle name="Calculation 2 9 4" xfId="25837"/>
    <cellStyle name="Calculation 2 9 5" xfId="34422"/>
    <cellStyle name="Calculation 2 9 6" xfId="37126"/>
    <cellStyle name="Calculation 2 9 7" xfId="52647"/>
    <cellStyle name="Calculation 3" xfId="130"/>
    <cellStyle name="Calculation 3 10" xfId="1105"/>
    <cellStyle name="Calculation 3 10 2" xfId="8929"/>
    <cellStyle name="Calculation 3 10 3" xfId="16357"/>
    <cellStyle name="Calculation 3 10 4" xfId="26670"/>
    <cellStyle name="Calculation 3 10 5" xfId="35517"/>
    <cellStyle name="Calculation 3 10 6" xfId="36800"/>
    <cellStyle name="Calculation 3 10 7" xfId="54434"/>
    <cellStyle name="Calculation 3 11" xfId="1659"/>
    <cellStyle name="Calculation 3 11 2" xfId="9482"/>
    <cellStyle name="Calculation 3 11 3" xfId="16910"/>
    <cellStyle name="Calculation 3 11 4" xfId="25189"/>
    <cellStyle name="Calculation 3 11 5" xfId="33572"/>
    <cellStyle name="Calculation 3 11 6" xfId="40084"/>
    <cellStyle name="Calculation 3 11 7" xfId="51190"/>
    <cellStyle name="Calculation 3 12" xfId="1152"/>
    <cellStyle name="Calculation 3 12 2" xfId="8975"/>
    <cellStyle name="Calculation 3 12 3" xfId="16403"/>
    <cellStyle name="Calculation 3 12 4" xfId="19282"/>
    <cellStyle name="Calculation 3 12 5" xfId="27513"/>
    <cellStyle name="Calculation 3 12 6" xfId="39868"/>
    <cellStyle name="Calculation 3 12 7" xfId="49040"/>
    <cellStyle name="Calculation 3 13" xfId="2712"/>
    <cellStyle name="Calculation 3 13 2" xfId="10535"/>
    <cellStyle name="Calculation 3 13 3" xfId="17963"/>
    <cellStyle name="Calculation 3 13 4" xfId="25382"/>
    <cellStyle name="Calculation 3 13 5" xfId="33830"/>
    <cellStyle name="Calculation 3 13 6" xfId="36451"/>
    <cellStyle name="Calculation 3 13 7" xfId="51611"/>
    <cellStyle name="Calculation 3 14" xfId="3091"/>
    <cellStyle name="Calculation 3 14 2" xfId="10898"/>
    <cellStyle name="Calculation 3 14 3" xfId="18283"/>
    <cellStyle name="Calculation 3 14 4" xfId="25298"/>
    <cellStyle name="Calculation 3 14 5" xfId="33712"/>
    <cellStyle name="Calculation 3 14 6" xfId="37924"/>
    <cellStyle name="Calculation 3 14 7" xfId="51421"/>
    <cellStyle name="Calculation 3 15" xfId="3497"/>
    <cellStyle name="Calculation 3 15 2" xfId="11288"/>
    <cellStyle name="Calculation 3 15 3" xfId="20481"/>
    <cellStyle name="Calculation 3 15 4" xfId="24986"/>
    <cellStyle name="Calculation 3 15 5" xfId="33330"/>
    <cellStyle name="Calculation 3 15 6" xfId="38517"/>
    <cellStyle name="Calculation 3 15 7" xfId="50761"/>
    <cellStyle name="Calculation 3 16" xfId="4071"/>
    <cellStyle name="Calculation 3 16 2" xfId="20781"/>
    <cellStyle name="Calculation 3 16 3" xfId="28968"/>
    <cellStyle name="Calculation 3 16 4" xfId="38347"/>
    <cellStyle name="Calculation 3 16 5" xfId="42633"/>
    <cellStyle name="Calculation 3 16 6" xfId="50175"/>
    <cellStyle name="Calculation 3 17" xfId="3140"/>
    <cellStyle name="Calculation 3 17 2" xfId="10945"/>
    <cellStyle name="Calculation 3 17 3" xfId="20278"/>
    <cellStyle name="Calculation 3 17 4" xfId="28373"/>
    <cellStyle name="Calculation 3 17 5" xfId="37757"/>
    <cellStyle name="Calculation 3 17 6" xfId="42408"/>
    <cellStyle name="Calculation 3 17 7" xfId="48288"/>
    <cellStyle name="Calculation 3 18" xfId="3191"/>
    <cellStyle name="Calculation 3 18 2" xfId="10992"/>
    <cellStyle name="Calculation 3 18 3" xfId="20319"/>
    <cellStyle name="Calculation 3 18 4" xfId="28411"/>
    <cellStyle name="Calculation 3 18 5" xfId="37798"/>
    <cellStyle name="Calculation 3 18 6" xfId="42433"/>
    <cellStyle name="Calculation 3 18 7" xfId="50279"/>
    <cellStyle name="Calculation 3 19" xfId="3569"/>
    <cellStyle name="Calculation 3 19 2" xfId="11358"/>
    <cellStyle name="Calculation 3 19 3" xfId="20527"/>
    <cellStyle name="Calculation 3 19 4" xfId="28654"/>
    <cellStyle name="Calculation 3 19 5" xfId="38035"/>
    <cellStyle name="Calculation 3 19 6" xfId="42511"/>
    <cellStyle name="Calculation 3 19 7" xfId="50412"/>
    <cellStyle name="Calculation 3 2" xfId="255"/>
    <cellStyle name="Calculation 3 2 10" xfId="1123"/>
    <cellStyle name="Calculation 3 2 10 2" xfId="8946"/>
    <cellStyle name="Calculation 3 2 10 3" xfId="16374"/>
    <cellStyle name="Calculation 3 2 10 4" xfId="25841"/>
    <cellStyle name="Calculation 3 2 10 5" xfId="34427"/>
    <cellStyle name="Calculation 3 2 10 6" xfId="36387"/>
    <cellStyle name="Calculation 3 2 10 7" xfId="52655"/>
    <cellStyle name="Calculation 3 2 11" xfId="1068"/>
    <cellStyle name="Calculation 3 2 11 2" xfId="8892"/>
    <cellStyle name="Calculation 3 2 11 3" xfId="16320"/>
    <cellStyle name="Calculation 3 2 11 4" xfId="25015"/>
    <cellStyle name="Calculation 3 2 11 5" xfId="33369"/>
    <cellStyle name="Calculation 3 2 11 6" xfId="37734"/>
    <cellStyle name="Calculation 3 2 11 7" xfId="50833"/>
    <cellStyle name="Calculation 3 2 12" xfId="1390"/>
    <cellStyle name="Calculation 3 2 12 2" xfId="9213"/>
    <cellStyle name="Calculation 3 2 12 3" xfId="16641"/>
    <cellStyle name="Calculation 3 2 12 4" xfId="25041"/>
    <cellStyle name="Calculation 3 2 12 5" xfId="33400"/>
    <cellStyle name="Calculation 3 2 12 6" xfId="37849"/>
    <cellStyle name="Calculation 3 2 12 7" xfId="50887"/>
    <cellStyle name="Calculation 3 2 13" xfId="1090"/>
    <cellStyle name="Calculation 3 2 13 2" xfId="8914"/>
    <cellStyle name="Calculation 3 2 13 3" xfId="16342"/>
    <cellStyle name="Calculation 3 2 13 4" xfId="20478"/>
    <cellStyle name="Calculation 3 2 13 5" xfId="28008"/>
    <cellStyle name="Calculation 3 2 13 6" xfId="37550"/>
    <cellStyle name="Calculation 3 2 13 7" xfId="48601"/>
    <cellStyle name="Calculation 3 2 14" xfId="1751"/>
    <cellStyle name="Calculation 3 2 14 2" xfId="9574"/>
    <cellStyle name="Calculation 3 2 14 3" xfId="17002"/>
    <cellStyle name="Calculation 3 2 14 4" xfId="20064"/>
    <cellStyle name="Calculation 3 2 14 5" xfId="28409"/>
    <cellStyle name="Calculation 3 2 14 6" xfId="39745"/>
    <cellStyle name="Calculation 3 2 14 7" xfId="47990"/>
    <cellStyle name="Calculation 3 2 15" xfId="1647"/>
    <cellStyle name="Calculation 3 2 15 2" xfId="9470"/>
    <cellStyle name="Calculation 3 2 15 3" xfId="16898"/>
    <cellStyle name="Calculation 3 2 15 4" xfId="25851"/>
    <cellStyle name="Calculation 3 2 15 5" xfId="34438"/>
    <cellStyle name="Calculation 3 2 15 6" xfId="41137"/>
    <cellStyle name="Calculation 3 2 15 7" xfId="52670"/>
    <cellStyle name="Calculation 3 2 16" xfId="1040"/>
    <cellStyle name="Calculation 3 2 16 2" xfId="8864"/>
    <cellStyle name="Calculation 3 2 16 3" xfId="16292"/>
    <cellStyle name="Calculation 3 2 16 4" xfId="26421"/>
    <cellStyle name="Calculation 3 2 16 5" xfId="35185"/>
    <cellStyle name="Calculation 3 2 16 6" xfId="36977"/>
    <cellStyle name="Calculation 3 2 16 7" xfId="53900"/>
    <cellStyle name="Calculation 3 2 17" xfId="1630"/>
    <cellStyle name="Calculation 3 2 17 2" xfId="9453"/>
    <cellStyle name="Calculation 3 2 17 3" xfId="16881"/>
    <cellStyle name="Calculation 3 2 17 4" xfId="19755"/>
    <cellStyle name="Calculation 3 2 17 5" xfId="28459"/>
    <cellStyle name="Calculation 3 2 17 6" xfId="37296"/>
    <cellStyle name="Calculation 3 2 17 7" xfId="48164"/>
    <cellStyle name="Calculation 3 2 18" xfId="1635"/>
    <cellStyle name="Calculation 3 2 18 2" xfId="9458"/>
    <cellStyle name="Calculation 3 2 18 3" xfId="16886"/>
    <cellStyle name="Calculation 3 2 18 4" xfId="26383"/>
    <cellStyle name="Calculation 3 2 18 5" xfId="35128"/>
    <cellStyle name="Calculation 3 2 18 6" xfId="36893"/>
    <cellStyle name="Calculation 3 2 18 7" xfId="53812"/>
    <cellStyle name="Calculation 3 2 19" xfId="1101"/>
    <cellStyle name="Calculation 3 2 19 2" xfId="8925"/>
    <cellStyle name="Calculation 3 2 19 3" xfId="16353"/>
    <cellStyle name="Calculation 3 2 19 4" xfId="20622"/>
    <cellStyle name="Calculation 3 2 19 5" xfId="27175"/>
    <cellStyle name="Calculation 3 2 19 6" xfId="36716"/>
    <cellStyle name="Calculation 3 2 19 7" xfId="50256"/>
    <cellStyle name="Calculation 3 2 2" xfId="529"/>
    <cellStyle name="Calculation 3 2 2 10" xfId="1976"/>
    <cellStyle name="Calculation 3 2 2 10 2" xfId="9799"/>
    <cellStyle name="Calculation 3 2 2 10 3" xfId="17227"/>
    <cellStyle name="Calculation 3 2 2 10 4" xfId="19907"/>
    <cellStyle name="Calculation 3 2 2 10 5" xfId="28620"/>
    <cellStyle name="Calculation 3 2 2 10 6" xfId="37993"/>
    <cellStyle name="Calculation 3 2 2 10 7" xfId="48961"/>
    <cellStyle name="Calculation 3 2 2 11" xfId="2094"/>
    <cellStyle name="Calculation 3 2 2 11 2" xfId="9917"/>
    <cellStyle name="Calculation 3 2 2 11 3" xfId="17345"/>
    <cellStyle name="Calculation 3 2 2 11 4" xfId="19179"/>
    <cellStyle name="Calculation 3 2 2 11 5" xfId="26914"/>
    <cellStyle name="Calculation 3 2 2 11 6" xfId="39676"/>
    <cellStyle name="Calculation 3 2 2 11 7" xfId="49174"/>
    <cellStyle name="Calculation 3 2 2 12" xfId="2207"/>
    <cellStyle name="Calculation 3 2 2 12 2" xfId="10030"/>
    <cellStyle name="Calculation 3 2 2 12 3" xfId="17458"/>
    <cellStyle name="Calculation 3 2 2 12 4" xfId="25724"/>
    <cellStyle name="Calculation 3 2 2 12 5" xfId="34270"/>
    <cellStyle name="Calculation 3 2 2 12 6" xfId="37205"/>
    <cellStyle name="Calculation 3 2 2 12 7" xfId="52371"/>
    <cellStyle name="Calculation 3 2 2 13" xfId="2352"/>
    <cellStyle name="Calculation 3 2 2 13 2" xfId="10175"/>
    <cellStyle name="Calculation 3 2 2 13 3" xfId="17603"/>
    <cellStyle name="Calculation 3 2 2 13 4" xfId="25475"/>
    <cellStyle name="Calculation 3 2 2 13 5" xfId="33946"/>
    <cellStyle name="Calculation 3 2 2 13 6" xfId="38220"/>
    <cellStyle name="Calculation 3 2 2 13 7" xfId="51819"/>
    <cellStyle name="Calculation 3 2 2 14" xfId="2437"/>
    <cellStyle name="Calculation 3 2 2 14 2" xfId="10260"/>
    <cellStyle name="Calculation 3 2 2 14 3" xfId="17688"/>
    <cellStyle name="Calculation 3 2 2 14 4" xfId="19447"/>
    <cellStyle name="Calculation 3 2 2 14 5" xfId="28886"/>
    <cellStyle name="Calculation 3 2 2 14 6" xfId="41859"/>
    <cellStyle name="Calculation 3 2 2 14 7" xfId="50185"/>
    <cellStyle name="Calculation 3 2 2 15" xfId="2505"/>
    <cellStyle name="Calculation 3 2 2 15 2" xfId="10328"/>
    <cellStyle name="Calculation 3 2 2 15 3" xfId="17756"/>
    <cellStyle name="Calculation 3 2 2 15 4" xfId="19706"/>
    <cellStyle name="Calculation 3 2 2 15 5" xfId="33132"/>
    <cellStyle name="Calculation 3 2 2 15 6" xfId="39406"/>
    <cellStyle name="Calculation 3 2 2 15 7" xfId="50393"/>
    <cellStyle name="Calculation 3 2 2 16" xfId="2618"/>
    <cellStyle name="Calculation 3 2 2 16 2" xfId="10441"/>
    <cellStyle name="Calculation 3 2 2 16 3" xfId="17869"/>
    <cellStyle name="Calculation 3 2 2 16 4" xfId="26522"/>
    <cellStyle name="Calculation 3 2 2 16 5" xfId="35321"/>
    <cellStyle name="Calculation 3 2 2 16 6" xfId="40311"/>
    <cellStyle name="Calculation 3 2 2 16 7" xfId="54120"/>
    <cellStyle name="Calculation 3 2 2 17" xfId="2735"/>
    <cellStyle name="Calculation 3 2 2 17 2" xfId="10558"/>
    <cellStyle name="Calculation 3 2 2 17 3" xfId="17986"/>
    <cellStyle name="Calculation 3 2 2 17 4" xfId="20063"/>
    <cellStyle name="Calculation 3 2 2 17 5" xfId="27105"/>
    <cellStyle name="Calculation 3 2 2 17 6" xfId="37975"/>
    <cellStyle name="Calculation 3 2 2 17 7" xfId="49309"/>
    <cellStyle name="Calculation 3 2 2 18" xfId="2760"/>
    <cellStyle name="Calculation 3 2 2 18 2" xfId="10583"/>
    <cellStyle name="Calculation 3 2 2 18 3" xfId="18011"/>
    <cellStyle name="Calculation 3 2 2 18 4" xfId="26487"/>
    <cellStyle name="Calculation 3 2 2 18 5" xfId="35276"/>
    <cellStyle name="Calculation 3 2 2 18 6" xfId="41045"/>
    <cellStyle name="Calculation 3 2 2 18 7" xfId="54050"/>
    <cellStyle name="Calculation 3 2 2 19" xfId="2811"/>
    <cellStyle name="Calculation 3 2 2 19 2" xfId="10634"/>
    <cellStyle name="Calculation 3 2 2 19 3" xfId="18062"/>
    <cellStyle name="Calculation 3 2 2 19 4" xfId="19342"/>
    <cellStyle name="Calculation 3 2 2 19 5" xfId="27419"/>
    <cellStyle name="Calculation 3 2 2 19 6" xfId="37742"/>
    <cellStyle name="Calculation 3 2 2 19 7" xfId="50227"/>
    <cellStyle name="Calculation 3 2 2 2" xfId="679"/>
    <cellStyle name="Calculation 3 2 2 2 2" xfId="8503"/>
    <cellStyle name="Calculation 3 2 2 2 3" xfId="8255"/>
    <cellStyle name="Calculation 3 2 2 2 4" xfId="20407"/>
    <cellStyle name="Calculation 3 2 2 2 5" xfId="27195"/>
    <cellStyle name="Calculation 3 2 2 2 6" xfId="36696"/>
    <cellStyle name="Calculation 3 2 2 2 7" xfId="49413"/>
    <cellStyle name="Calculation 3 2 2 20" xfId="2918"/>
    <cellStyle name="Calculation 3 2 2 20 2" xfId="10741"/>
    <cellStyle name="Calculation 3 2 2 20 3" xfId="18169"/>
    <cellStyle name="Calculation 3 2 2 20 4" xfId="26473"/>
    <cellStyle name="Calculation 3 2 2 20 5" xfId="35252"/>
    <cellStyle name="Calculation 3 2 2 20 6" xfId="36967"/>
    <cellStyle name="Calculation 3 2 2 20 7" xfId="54009"/>
    <cellStyle name="Calculation 3 2 2 21" xfId="3294"/>
    <cellStyle name="Calculation 3 2 2 21 2" xfId="11087"/>
    <cellStyle name="Calculation 3 2 2 21 3" xfId="18416"/>
    <cellStyle name="Calculation 3 2 2 21 4" xfId="25846"/>
    <cellStyle name="Calculation 3 2 2 21 5" xfId="34433"/>
    <cellStyle name="Calculation 3 2 2 21 6" xfId="40341"/>
    <cellStyle name="Calculation 3 2 2 21 7" xfId="52664"/>
    <cellStyle name="Calculation 3 2 2 22" xfId="3414"/>
    <cellStyle name="Calculation 3 2 2 22 2" xfId="11205"/>
    <cellStyle name="Calculation 3 2 2 22 3" xfId="18527"/>
    <cellStyle name="Calculation 3 2 2 22 4" xfId="19587"/>
    <cellStyle name="Calculation 3 2 2 22 5" xfId="27300"/>
    <cellStyle name="Calculation 3 2 2 22 6" xfId="37326"/>
    <cellStyle name="Calculation 3 2 2 22 7" xfId="48717"/>
    <cellStyle name="Calculation 3 2 2 23" xfId="3003"/>
    <cellStyle name="Calculation 3 2 2 23 2" xfId="10822"/>
    <cellStyle name="Calculation 3 2 2 23 3" xfId="18245"/>
    <cellStyle name="Calculation 3 2 2 23 4" xfId="19548"/>
    <cellStyle name="Calculation 3 2 2 23 5" xfId="28861"/>
    <cellStyle name="Calculation 3 2 2 23 6" xfId="40353"/>
    <cellStyle name="Calculation 3 2 2 23 7" xfId="48033"/>
    <cellStyle name="Calculation 3 2 2 24" xfId="3685"/>
    <cellStyle name="Calculation 3 2 2 24 2" xfId="11470"/>
    <cellStyle name="Calculation 3 2 2 24 3" xfId="18743"/>
    <cellStyle name="Calculation 3 2 2 24 4" xfId="24992"/>
    <cellStyle name="Calculation 3 2 2 24 5" xfId="33340"/>
    <cellStyle name="Calculation 3 2 2 24 6" xfId="37929"/>
    <cellStyle name="Calculation 3 2 2 24 7" xfId="50778"/>
    <cellStyle name="Calculation 3 2 2 25" xfId="3815"/>
    <cellStyle name="Calculation 3 2 2 25 2" xfId="11597"/>
    <cellStyle name="Calculation 3 2 2 25 3" xfId="18854"/>
    <cellStyle name="Calculation 3 2 2 25 4" xfId="19833"/>
    <cellStyle name="Calculation 3 2 2 25 5" xfId="27881"/>
    <cellStyle name="Calculation 3 2 2 25 6" xfId="40624"/>
    <cellStyle name="Calculation 3 2 2 25 7" xfId="48052"/>
    <cellStyle name="Calculation 3 2 2 26" xfId="3933"/>
    <cellStyle name="Calculation 3 2 2 26 2" xfId="11713"/>
    <cellStyle name="Calculation 3 2 2 26 3" xfId="18963"/>
    <cellStyle name="Calculation 3 2 2 26 4" xfId="25446"/>
    <cellStyle name="Calculation 3 2 2 26 5" xfId="33906"/>
    <cellStyle name="Calculation 3 2 2 26 6" xfId="38639"/>
    <cellStyle name="Calculation 3 2 2 26 7" xfId="51741"/>
    <cellStyle name="Calculation 3 2 2 27" xfId="4044"/>
    <cellStyle name="Calculation 3 2 2 27 2" xfId="11814"/>
    <cellStyle name="Calculation 3 2 2 27 3" xfId="20754"/>
    <cellStyle name="Calculation 3 2 2 27 4" xfId="28941"/>
    <cellStyle name="Calculation 3 2 2 27 5" xfId="38320"/>
    <cellStyle name="Calculation 3 2 2 27 6" xfId="42606"/>
    <cellStyle name="Calculation 3 2 2 27 7" xfId="52949"/>
    <cellStyle name="Calculation 3 2 2 28" xfId="4130"/>
    <cellStyle name="Calculation 3 2 2 28 2" xfId="11889"/>
    <cellStyle name="Calculation 3 2 2 28 3" xfId="20840"/>
    <cellStyle name="Calculation 3 2 2 28 4" xfId="29027"/>
    <cellStyle name="Calculation 3 2 2 28 5" xfId="38404"/>
    <cellStyle name="Calculation 3 2 2 28 6" xfId="42692"/>
    <cellStyle name="Calculation 3 2 2 28 7" xfId="51366"/>
    <cellStyle name="Calculation 3 2 2 29" xfId="4010"/>
    <cellStyle name="Calculation 3 2 2 29 2" xfId="20720"/>
    <cellStyle name="Calculation 3 2 2 29 3" xfId="28907"/>
    <cellStyle name="Calculation 3 2 2 29 4" xfId="38290"/>
    <cellStyle name="Calculation 3 2 2 29 5" xfId="42572"/>
    <cellStyle name="Calculation 3 2 2 29 6" xfId="48887"/>
    <cellStyle name="Calculation 3 2 2 3" xfId="787"/>
    <cellStyle name="Calculation 3 2 2 3 2" xfId="8611"/>
    <cellStyle name="Calculation 3 2 2 3 3" xfId="16039"/>
    <cellStyle name="Calculation 3 2 2 3 4" xfId="20290"/>
    <cellStyle name="Calculation 3 2 2 3 5" xfId="28169"/>
    <cellStyle name="Calculation 3 2 2 3 6" xfId="37371"/>
    <cellStyle name="Calculation 3 2 2 3 7" xfId="47549"/>
    <cellStyle name="Calculation 3 2 2 30" xfId="4327"/>
    <cellStyle name="Calculation 3 2 2 30 2" xfId="12044"/>
    <cellStyle name="Calculation 3 2 2 30 3" xfId="21037"/>
    <cellStyle name="Calculation 3 2 2 30 4" xfId="29224"/>
    <cellStyle name="Calculation 3 2 2 30 5" xfId="38595"/>
    <cellStyle name="Calculation 3 2 2 30 6" xfId="42889"/>
    <cellStyle name="Calculation 3 2 2 30 7" xfId="46953"/>
    <cellStyle name="Calculation 3 2 2 31" xfId="4450"/>
    <cellStyle name="Calculation 3 2 2 31 2" xfId="12167"/>
    <cellStyle name="Calculation 3 2 2 31 3" xfId="21160"/>
    <cellStyle name="Calculation 3 2 2 31 4" xfId="29347"/>
    <cellStyle name="Calculation 3 2 2 31 5" xfId="38713"/>
    <cellStyle name="Calculation 3 2 2 31 6" xfId="43012"/>
    <cellStyle name="Calculation 3 2 2 31 7" xfId="50299"/>
    <cellStyle name="Calculation 3 2 2 32" xfId="4564"/>
    <cellStyle name="Calculation 3 2 2 32 2" xfId="12281"/>
    <cellStyle name="Calculation 3 2 2 32 3" xfId="21274"/>
    <cellStyle name="Calculation 3 2 2 32 4" xfId="29461"/>
    <cellStyle name="Calculation 3 2 2 32 5" xfId="38822"/>
    <cellStyle name="Calculation 3 2 2 32 6" xfId="43126"/>
    <cellStyle name="Calculation 3 2 2 32 7" xfId="53315"/>
    <cellStyle name="Calculation 3 2 2 33" xfId="4677"/>
    <cellStyle name="Calculation 3 2 2 33 2" xfId="12394"/>
    <cellStyle name="Calculation 3 2 2 33 3" xfId="21387"/>
    <cellStyle name="Calculation 3 2 2 33 4" xfId="29574"/>
    <cellStyle name="Calculation 3 2 2 33 5" xfId="38931"/>
    <cellStyle name="Calculation 3 2 2 33 6" xfId="43239"/>
    <cellStyle name="Calculation 3 2 2 33 7" xfId="48303"/>
    <cellStyle name="Calculation 3 2 2 34" xfId="4788"/>
    <cellStyle name="Calculation 3 2 2 34 2" xfId="12505"/>
    <cellStyle name="Calculation 3 2 2 34 3" xfId="21498"/>
    <cellStyle name="Calculation 3 2 2 34 4" xfId="29685"/>
    <cellStyle name="Calculation 3 2 2 34 5" xfId="39039"/>
    <cellStyle name="Calculation 3 2 2 34 6" xfId="43350"/>
    <cellStyle name="Calculation 3 2 2 34 7" xfId="51854"/>
    <cellStyle name="Calculation 3 2 2 35" xfId="4897"/>
    <cellStyle name="Calculation 3 2 2 35 2" xfId="12614"/>
    <cellStyle name="Calculation 3 2 2 35 3" xfId="21607"/>
    <cellStyle name="Calculation 3 2 2 35 4" xfId="29794"/>
    <cellStyle name="Calculation 3 2 2 35 5" xfId="39143"/>
    <cellStyle name="Calculation 3 2 2 35 6" xfId="43459"/>
    <cellStyle name="Calculation 3 2 2 35 7" xfId="49250"/>
    <cellStyle name="Calculation 3 2 2 36" xfId="5008"/>
    <cellStyle name="Calculation 3 2 2 36 2" xfId="12725"/>
    <cellStyle name="Calculation 3 2 2 36 3" xfId="21718"/>
    <cellStyle name="Calculation 3 2 2 36 4" xfId="29905"/>
    <cellStyle name="Calculation 3 2 2 36 5" xfId="39251"/>
    <cellStyle name="Calculation 3 2 2 36 6" xfId="43570"/>
    <cellStyle name="Calculation 3 2 2 36 7" xfId="53205"/>
    <cellStyle name="Calculation 3 2 2 37" xfId="5387"/>
    <cellStyle name="Calculation 3 2 2 37 2" xfId="13104"/>
    <cellStyle name="Calculation 3 2 2 37 3" xfId="22097"/>
    <cellStyle name="Calculation 3 2 2 37 4" xfId="30284"/>
    <cellStyle name="Calculation 3 2 2 37 5" xfId="39615"/>
    <cellStyle name="Calculation 3 2 2 37 6" xfId="43949"/>
    <cellStyle name="Calculation 3 2 2 37 7" xfId="52765"/>
    <cellStyle name="Calculation 3 2 2 38" xfId="5507"/>
    <cellStyle name="Calculation 3 2 2 38 2" xfId="13224"/>
    <cellStyle name="Calculation 3 2 2 38 3" xfId="22217"/>
    <cellStyle name="Calculation 3 2 2 38 4" xfId="30404"/>
    <cellStyle name="Calculation 3 2 2 38 5" xfId="39729"/>
    <cellStyle name="Calculation 3 2 2 38 6" xfId="44069"/>
    <cellStyle name="Calculation 3 2 2 38 7" xfId="47748"/>
    <cellStyle name="Calculation 3 2 2 39" xfId="5631"/>
    <cellStyle name="Calculation 3 2 2 39 2" xfId="13348"/>
    <cellStyle name="Calculation 3 2 2 39 3" xfId="22341"/>
    <cellStyle name="Calculation 3 2 2 39 4" xfId="30528"/>
    <cellStyle name="Calculation 3 2 2 39 5" xfId="39849"/>
    <cellStyle name="Calculation 3 2 2 39 6" xfId="44193"/>
    <cellStyle name="Calculation 3 2 2 39 7" xfId="47118"/>
    <cellStyle name="Calculation 3 2 2 4" xfId="898"/>
    <cellStyle name="Calculation 3 2 2 4 2" xfId="8722"/>
    <cellStyle name="Calculation 3 2 2 4 3" xfId="16150"/>
    <cellStyle name="Calculation 3 2 2 4 4" xfId="26638"/>
    <cellStyle name="Calculation 3 2 2 4 5" xfId="35474"/>
    <cellStyle name="Calculation 3 2 2 4 6" xfId="37283"/>
    <cellStyle name="Calculation 3 2 2 4 7" xfId="54362"/>
    <cellStyle name="Calculation 3 2 2 40" xfId="5747"/>
    <cellStyle name="Calculation 3 2 2 40 2" xfId="13464"/>
    <cellStyle name="Calculation 3 2 2 40 3" xfId="22457"/>
    <cellStyle name="Calculation 3 2 2 40 4" xfId="30644"/>
    <cellStyle name="Calculation 3 2 2 40 5" xfId="39961"/>
    <cellStyle name="Calculation 3 2 2 40 6" xfId="44309"/>
    <cellStyle name="Calculation 3 2 2 40 7" xfId="52678"/>
    <cellStyle name="Calculation 3 2 2 41" xfId="5863"/>
    <cellStyle name="Calculation 3 2 2 41 2" xfId="13580"/>
    <cellStyle name="Calculation 3 2 2 41 3" xfId="22573"/>
    <cellStyle name="Calculation 3 2 2 41 4" xfId="30760"/>
    <cellStyle name="Calculation 3 2 2 41 5" xfId="40074"/>
    <cellStyle name="Calculation 3 2 2 41 6" xfId="44425"/>
    <cellStyle name="Calculation 3 2 2 41 7" xfId="48040"/>
    <cellStyle name="Calculation 3 2 2 42" xfId="5992"/>
    <cellStyle name="Calculation 3 2 2 42 2" xfId="13709"/>
    <cellStyle name="Calculation 3 2 2 42 3" xfId="22702"/>
    <cellStyle name="Calculation 3 2 2 42 4" xfId="30889"/>
    <cellStyle name="Calculation 3 2 2 42 5" xfId="40198"/>
    <cellStyle name="Calculation 3 2 2 42 6" xfId="44554"/>
    <cellStyle name="Calculation 3 2 2 42 7" xfId="51863"/>
    <cellStyle name="Calculation 3 2 2 43" xfId="5439"/>
    <cellStyle name="Calculation 3 2 2 43 2" xfId="13156"/>
    <cellStyle name="Calculation 3 2 2 43 3" xfId="22149"/>
    <cellStyle name="Calculation 3 2 2 43 4" xfId="30336"/>
    <cellStyle name="Calculation 3 2 2 43 5" xfId="39665"/>
    <cellStyle name="Calculation 3 2 2 43 6" xfId="44001"/>
    <cellStyle name="Calculation 3 2 2 43 7" xfId="48537"/>
    <cellStyle name="Calculation 3 2 2 44" xfId="6248"/>
    <cellStyle name="Calculation 3 2 2 44 2" xfId="13965"/>
    <cellStyle name="Calculation 3 2 2 44 3" xfId="22958"/>
    <cellStyle name="Calculation 3 2 2 44 4" xfId="31145"/>
    <cellStyle name="Calculation 3 2 2 44 5" xfId="40446"/>
    <cellStyle name="Calculation 3 2 2 44 6" xfId="44810"/>
    <cellStyle name="Calculation 3 2 2 44 7" xfId="50500"/>
    <cellStyle name="Calculation 3 2 2 45" xfId="6364"/>
    <cellStyle name="Calculation 3 2 2 45 2" xfId="14081"/>
    <cellStyle name="Calculation 3 2 2 45 3" xfId="23074"/>
    <cellStyle name="Calculation 3 2 2 45 4" xfId="31261"/>
    <cellStyle name="Calculation 3 2 2 45 5" xfId="40559"/>
    <cellStyle name="Calculation 3 2 2 45 6" xfId="44926"/>
    <cellStyle name="Calculation 3 2 2 45 7" xfId="53541"/>
    <cellStyle name="Calculation 3 2 2 46" xfId="6475"/>
    <cellStyle name="Calculation 3 2 2 46 2" xfId="14192"/>
    <cellStyle name="Calculation 3 2 2 46 3" xfId="23185"/>
    <cellStyle name="Calculation 3 2 2 46 4" xfId="31372"/>
    <cellStyle name="Calculation 3 2 2 46 5" xfId="40666"/>
    <cellStyle name="Calculation 3 2 2 46 6" xfId="45037"/>
    <cellStyle name="Calculation 3 2 2 46 7" xfId="53640"/>
    <cellStyle name="Calculation 3 2 2 47" xfId="6571"/>
    <cellStyle name="Calculation 3 2 2 47 2" xfId="14288"/>
    <cellStyle name="Calculation 3 2 2 47 3" xfId="23281"/>
    <cellStyle name="Calculation 3 2 2 47 4" xfId="31468"/>
    <cellStyle name="Calculation 3 2 2 47 5" xfId="40756"/>
    <cellStyle name="Calculation 3 2 2 47 6" xfId="45133"/>
    <cellStyle name="Calculation 3 2 2 47 7" xfId="54220"/>
    <cellStyle name="Calculation 3 2 2 48" xfId="6621"/>
    <cellStyle name="Calculation 3 2 2 48 2" xfId="14338"/>
    <cellStyle name="Calculation 3 2 2 48 3" xfId="23331"/>
    <cellStyle name="Calculation 3 2 2 48 4" xfId="31518"/>
    <cellStyle name="Calculation 3 2 2 48 5" xfId="40805"/>
    <cellStyle name="Calculation 3 2 2 48 6" xfId="45183"/>
    <cellStyle name="Calculation 3 2 2 48 7" xfId="48770"/>
    <cellStyle name="Calculation 3 2 2 49" xfId="6733"/>
    <cellStyle name="Calculation 3 2 2 49 2" xfId="14450"/>
    <cellStyle name="Calculation 3 2 2 49 3" xfId="23443"/>
    <cellStyle name="Calculation 3 2 2 49 4" xfId="31630"/>
    <cellStyle name="Calculation 3 2 2 49 5" xfId="40911"/>
    <cellStyle name="Calculation 3 2 2 49 6" xfId="45295"/>
    <cellStyle name="Calculation 3 2 2 49 7" xfId="51625"/>
    <cellStyle name="Calculation 3 2 2 5" xfId="1364"/>
    <cellStyle name="Calculation 3 2 2 5 2" xfId="9187"/>
    <cellStyle name="Calculation 3 2 2 5 3" xfId="16615"/>
    <cellStyle name="Calculation 3 2 2 5 4" xfId="26327"/>
    <cellStyle name="Calculation 3 2 2 5 5" xfId="35051"/>
    <cellStyle name="Calculation 3 2 2 5 6" xfId="39517"/>
    <cellStyle name="Calculation 3 2 2 5 7" xfId="53693"/>
    <cellStyle name="Calculation 3 2 2 50" xfId="6848"/>
    <cellStyle name="Calculation 3 2 2 50 2" xfId="14565"/>
    <cellStyle name="Calculation 3 2 2 50 3" xfId="23558"/>
    <cellStyle name="Calculation 3 2 2 50 4" xfId="31745"/>
    <cellStyle name="Calculation 3 2 2 50 5" xfId="41019"/>
    <cellStyle name="Calculation 3 2 2 50 6" xfId="45410"/>
    <cellStyle name="Calculation 3 2 2 50 7" xfId="49657"/>
    <cellStyle name="Calculation 3 2 2 51" xfId="6961"/>
    <cellStyle name="Calculation 3 2 2 51 2" xfId="14678"/>
    <cellStyle name="Calculation 3 2 2 51 3" xfId="23671"/>
    <cellStyle name="Calculation 3 2 2 51 4" xfId="31858"/>
    <cellStyle name="Calculation 3 2 2 51 5" xfId="41127"/>
    <cellStyle name="Calculation 3 2 2 51 6" xfId="45523"/>
    <cellStyle name="Calculation 3 2 2 51 7" xfId="46799"/>
    <cellStyle name="Calculation 3 2 2 52" xfId="7072"/>
    <cellStyle name="Calculation 3 2 2 52 2" xfId="14789"/>
    <cellStyle name="Calculation 3 2 2 52 3" xfId="23782"/>
    <cellStyle name="Calculation 3 2 2 52 4" xfId="31969"/>
    <cellStyle name="Calculation 3 2 2 52 5" xfId="41232"/>
    <cellStyle name="Calculation 3 2 2 52 6" xfId="45634"/>
    <cellStyle name="Calculation 3 2 2 52 7" xfId="47635"/>
    <cellStyle name="Calculation 3 2 2 53" xfId="7358"/>
    <cellStyle name="Calculation 3 2 2 53 2" xfId="15075"/>
    <cellStyle name="Calculation 3 2 2 53 3" xfId="24068"/>
    <cellStyle name="Calculation 3 2 2 53 4" xfId="32255"/>
    <cellStyle name="Calculation 3 2 2 53 5" xfId="41511"/>
    <cellStyle name="Calculation 3 2 2 53 6" xfId="45920"/>
    <cellStyle name="Calculation 3 2 2 53 7" xfId="50554"/>
    <cellStyle name="Calculation 3 2 2 54" xfId="7391"/>
    <cellStyle name="Calculation 3 2 2 54 2" xfId="15108"/>
    <cellStyle name="Calculation 3 2 2 54 3" xfId="24101"/>
    <cellStyle name="Calculation 3 2 2 54 4" xfId="32288"/>
    <cellStyle name="Calculation 3 2 2 54 5" xfId="41542"/>
    <cellStyle name="Calculation 3 2 2 54 6" xfId="45953"/>
    <cellStyle name="Calculation 3 2 2 54 7" xfId="48186"/>
    <cellStyle name="Calculation 3 2 2 55" xfId="7469"/>
    <cellStyle name="Calculation 3 2 2 55 2" xfId="15186"/>
    <cellStyle name="Calculation 3 2 2 55 3" xfId="24179"/>
    <cellStyle name="Calculation 3 2 2 55 4" xfId="32366"/>
    <cellStyle name="Calculation 3 2 2 55 5" xfId="41615"/>
    <cellStyle name="Calculation 3 2 2 55 6" xfId="46031"/>
    <cellStyle name="Calculation 3 2 2 55 7" xfId="53479"/>
    <cellStyle name="Calculation 3 2 2 56" xfId="7590"/>
    <cellStyle name="Calculation 3 2 2 56 2" xfId="15307"/>
    <cellStyle name="Calculation 3 2 2 56 3" xfId="24300"/>
    <cellStyle name="Calculation 3 2 2 56 4" xfId="32487"/>
    <cellStyle name="Calculation 3 2 2 56 5" xfId="41730"/>
    <cellStyle name="Calculation 3 2 2 56 6" xfId="46152"/>
    <cellStyle name="Calculation 3 2 2 56 7" xfId="47755"/>
    <cellStyle name="Calculation 3 2 2 57" xfId="7866"/>
    <cellStyle name="Calculation 3 2 2 57 2" xfId="15583"/>
    <cellStyle name="Calculation 3 2 2 57 3" xfId="24570"/>
    <cellStyle name="Calculation 3 2 2 57 4" xfId="32763"/>
    <cellStyle name="Calculation 3 2 2 57 5" xfId="41995"/>
    <cellStyle name="Calculation 3 2 2 57 6" xfId="46428"/>
    <cellStyle name="Calculation 3 2 2 57 7" xfId="49293"/>
    <cellStyle name="Calculation 3 2 2 58" xfId="7996"/>
    <cellStyle name="Calculation 3 2 2 58 2" xfId="15713"/>
    <cellStyle name="Calculation 3 2 2 58 3" xfId="24698"/>
    <cellStyle name="Calculation 3 2 2 58 4" xfId="32893"/>
    <cellStyle name="Calculation 3 2 2 58 5" xfId="42119"/>
    <cellStyle name="Calculation 3 2 2 58 6" xfId="46558"/>
    <cellStyle name="Calculation 3 2 2 58 7" xfId="50381"/>
    <cellStyle name="Calculation 3 2 2 59" xfId="8085"/>
    <cellStyle name="Calculation 3 2 2 59 2" xfId="15802"/>
    <cellStyle name="Calculation 3 2 2 59 3" xfId="24786"/>
    <cellStyle name="Calculation 3 2 2 59 4" xfId="32982"/>
    <cellStyle name="Calculation 3 2 2 59 5" xfId="42204"/>
    <cellStyle name="Calculation 3 2 2 59 6" xfId="46647"/>
    <cellStyle name="Calculation 3 2 2 59 7" xfId="49955"/>
    <cellStyle name="Calculation 3 2 2 6" xfId="1487"/>
    <cellStyle name="Calculation 3 2 2 6 2" xfId="9310"/>
    <cellStyle name="Calculation 3 2 2 6 3" xfId="16738"/>
    <cellStyle name="Calculation 3 2 2 6 4" xfId="26310"/>
    <cellStyle name="Calculation 3 2 2 6 5" xfId="35029"/>
    <cellStyle name="Calculation 3 2 2 6 6" xfId="37041"/>
    <cellStyle name="Calculation 3 2 2 6 7" xfId="53664"/>
    <cellStyle name="Calculation 3 2 2 60" xfId="8142"/>
    <cellStyle name="Calculation 3 2 2 60 2" xfId="15859"/>
    <cellStyle name="Calculation 3 2 2 60 3" xfId="33039"/>
    <cellStyle name="Calculation 3 2 2 60 4" xfId="42259"/>
    <cellStyle name="Calculation 3 2 2 60 5" xfId="46704"/>
    <cellStyle name="Calculation 3 2 2 60 6" xfId="47414"/>
    <cellStyle name="Calculation 3 2 2 61" xfId="20049"/>
    <cellStyle name="Calculation 3 2 2 62" xfId="28705"/>
    <cellStyle name="Calculation 3 2 2 63" xfId="36616"/>
    <cellStyle name="Calculation 3 2 2 64" xfId="48241"/>
    <cellStyle name="Calculation 3 2 2 7" xfId="1655"/>
    <cellStyle name="Calculation 3 2 2 7 2" xfId="9478"/>
    <cellStyle name="Calculation 3 2 2 7 3" xfId="16906"/>
    <cellStyle name="Calculation 3 2 2 7 4" xfId="25384"/>
    <cellStyle name="Calculation 3 2 2 7 5" xfId="33832"/>
    <cellStyle name="Calculation 3 2 2 7 6" xfId="40456"/>
    <cellStyle name="Calculation 3 2 2 7 7" xfId="51613"/>
    <cellStyle name="Calculation 3 2 2 8" xfId="1724"/>
    <cellStyle name="Calculation 3 2 2 8 2" xfId="9547"/>
    <cellStyle name="Calculation 3 2 2 8 3" xfId="16975"/>
    <cellStyle name="Calculation 3 2 2 8 4" xfId="25562"/>
    <cellStyle name="Calculation 3 2 2 8 5" xfId="34059"/>
    <cellStyle name="Calculation 3 2 2 8 6" xfId="42275"/>
    <cellStyle name="Calculation 3 2 2 8 7" xfId="52005"/>
    <cellStyle name="Calculation 3 2 2 9" xfId="1858"/>
    <cellStyle name="Calculation 3 2 2 9 2" xfId="9681"/>
    <cellStyle name="Calculation 3 2 2 9 3" xfId="17109"/>
    <cellStyle name="Calculation 3 2 2 9 4" xfId="25467"/>
    <cellStyle name="Calculation 3 2 2 9 5" xfId="33932"/>
    <cellStyle name="Calculation 3 2 2 9 6" xfId="41497"/>
    <cellStyle name="Calculation 3 2 2 9 7" xfId="51796"/>
    <cellStyle name="Calculation 3 2 20" xfId="1285"/>
    <cellStyle name="Calculation 3 2 20 2" xfId="9108"/>
    <cellStyle name="Calculation 3 2 20 3" xfId="16536"/>
    <cellStyle name="Calculation 3 2 20 4" xfId="26707"/>
    <cellStyle name="Calculation 3 2 20 5" xfId="35563"/>
    <cellStyle name="Calculation 3 2 20 6" xfId="36528"/>
    <cellStyle name="Calculation 3 2 20 7" xfId="54516"/>
    <cellStyle name="Calculation 3 2 21" xfId="2436"/>
    <cellStyle name="Calculation 3 2 21 2" xfId="10259"/>
    <cellStyle name="Calculation 3 2 21 3" xfId="17687"/>
    <cellStyle name="Calculation 3 2 21 4" xfId="20403"/>
    <cellStyle name="Calculation 3 2 21 5" xfId="27422"/>
    <cellStyle name="Calculation 3 2 21 6" xfId="41844"/>
    <cellStyle name="Calculation 3 2 21 7" xfId="50291"/>
    <cellStyle name="Calculation 3 2 22" xfId="2549"/>
    <cellStyle name="Calculation 3 2 22 2" xfId="10372"/>
    <cellStyle name="Calculation 3 2 22 3" xfId="17800"/>
    <cellStyle name="Calculation 3 2 22 4" xfId="19815"/>
    <cellStyle name="Calculation 3 2 22 5" xfId="26838"/>
    <cellStyle name="Calculation 3 2 22 6" xfId="40348"/>
    <cellStyle name="Calculation 3 2 22 7" xfId="48547"/>
    <cellStyle name="Calculation 3 2 23" xfId="2370"/>
    <cellStyle name="Calculation 3 2 23 2" xfId="10193"/>
    <cellStyle name="Calculation 3 2 23 3" xfId="17621"/>
    <cellStyle name="Calculation 3 2 23 4" xfId="19957"/>
    <cellStyle name="Calculation 3 2 23 5" xfId="27115"/>
    <cellStyle name="Calculation 3 2 23 6" xfId="37072"/>
    <cellStyle name="Calculation 3 2 23 7" xfId="48315"/>
    <cellStyle name="Calculation 3 2 24" xfId="2733"/>
    <cellStyle name="Calculation 3 2 24 2" xfId="10556"/>
    <cellStyle name="Calculation 3 2 24 3" xfId="17984"/>
    <cellStyle name="Calculation 3 2 24 4" xfId="19904"/>
    <cellStyle name="Calculation 3 2 24 5" xfId="28166"/>
    <cellStyle name="Calculation 3 2 24 6" xfId="37070"/>
    <cellStyle name="Calculation 3 2 24 7" xfId="49423"/>
    <cellStyle name="Calculation 3 2 25" xfId="2759"/>
    <cellStyle name="Calculation 3 2 25 2" xfId="10582"/>
    <cellStyle name="Calculation 3 2 25 3" xfId="18010"/>
    <cellStyle name="Calculation 3 2 25 4" xfId="26519"/>
    <cellStyle name="Calculation 3 2 25 5" xfId="35316"/>
    <cellStyle name="Calculation 3 2 25 6" xfId="41153"/>
    <cellStyle name="Calculation 3 2 25 7" xfId="54107"/>
    <cellStyle name="Calculation 3 2 26" xfId="3105"/>
    <cellStyle name="Calculation 3 2 26 2" xfId="10910"/>
    <cellStyle name="Calculation 3 2 26 3" xfId="18291"/>
    <cellStyle name="Calculation 3 2 26 4" xfId="20003"/>
    <cellStyle name="Calculation 3 2 26 5" xfId="28499"/>
    <cellStyle name="Calculation 3 2 26 6" xfId="36327"/>
    <cellStyle name="Calculation 3 2 26 7" xfId="50136"/>
    <cellStyle name="Calculation 3 2 27" xfId="3066"/>
    <cellStyle name="Calculation 3 2 27 2" xfId="10875"/>
    <cellStyle name="Calculation 3 2 27 3" xfId="18270"/>
    <cellStyle name="Calculation 3 2 27 4" xfId="26569"/>
    <cellStyle name="Calculation 3 2 27 5" xfId="35382"/>
    <cellStyle name="Calculation 3 2 27 6" xfId="39563"/>
    <cellStyle name="Calculation 3 2 27 7" xfId="54210"/>
    <cellStyle name="Calculation 3 2 28" xfId="2977"/>
    <cellStyle name="Calculation 3 2 28 2" xfId="10800"/>
    <cellStyle name="Calculation 3 2 28 3" xfId="18228"/>
    <cellStyle name="Calculation 3 2 28 4" xfId="25046"/>
    <cellStyle name="Calculation 3 2 28 5" xfId="33405"/>
    <cellStyle name="Calculation 3 2 28 6" xfId="37165"/>
    <cellStyle name="Calculation 3 2 28 7" xfId="50895"/>
    <cellStyle name="Calculation 3 2 29" xfId="3486"/>
    <cellStyle name="Calculation 3 2 29 2" xfId="11277"/>
    <cellStyle name="Calculation 3 2 29 3" xfId="18588"/>
    <cellStyle name="Calculation 3 2 29 4" xfId="19928"/>
    <cellStyle name="Calculation 3 2 29 5" xfId="27457"/>
    <cellStyle name="Calculation 3 2 29 6" xfId="36711"/>
    <cellStyle name="Calculation 3 2 29 7" xfId="48900"/>
    <cellStyle name="Calculation 3 2 3" xfId="560"/>
    <cellStyle name="Calculation 3 2 3 10" xfId="2007"/>
    <cellStyle name="Calculation 3 2 3 10 2" xfId="9830"/>
    <cellStyle name="Calculation 3 2 3 10 3" xfId="17258"/>
    <cellStyle name="Calculation 3 2 3 10 4" xfId="20156"/>
    <cellStyle name="Calculation 3 2 3 10 5" xfId="28496"/>
    <cellStyle name="Calculation 3 2 3 10 6" xfId="42161"/>
    <cellStyle name="Calculation 3 2 3 10 7" xfId="47640"/>
    <cellStyle name="Calculation 3 2 3 11" xfId="2124"/>
    <cellStyle name="Calculation 3 2 3 11 2" xfId="9947"/>
    <cellStyle name="Calculation 3 2 3 11 3" xfId="17375"/>
    <cellStyle name="Calculation 3 2 3 11 4" xfId="25897"/>
    <cellStyle name="Calculation 3 2 3 11 5" xfId="34492"/>
    <cellStyle name="Calculation 3 2 3 11 6" xfId="37894"/>
    <cellStyle name="Calculation 3 2 3 11 7" xfId="52776"/>
    <cellStyle name="Calculation 3 2 3 12" xfId="2238"/>
    <cellStyle name="Calculation 3 2 3 12 2" xfId="10061"/>
    <cellStyle name="Calculation 3 2 3 12 3" xfId="17489"/>
    <cellStyle name="Calculation 3 2 3 12 4" xfId="19841"/>
    <cellStyle name="Calculation 3 2 3 12 5" xfId="27511"/>
    <cellStyle name="Calculation 3 2 3 12 6" xfId="40809"/>
    <cellStyle name="Calculation 3 2 3 12 7" xfId="47942"/>
    <cellStyle name="Calculation 3 2 3 13" xfId="1667"/>
    <cellStyle name="Calculation 3 2 3 13 2" xfId="9490"/>
    <cellStyle name="Calculation 3 2 3 13 3" xfId="16918"/>
    <cellStyle name="Calculation 3 2 3 13 4" xfId="24866"/>
    <cellStyle name="Calculation 3 2 3 13 5" xfId="33179"/>
    <cellStyle name="Calculation 3 2 3 13 6" xfId="39049"/>
    <cellStyle name="Calculation 3 2 3 13 7" xfId="50488"/>
    <cellStyle name="Calculation 3 2 3 14" xfId="1790"/>
    <cellStyle name="Calculation 3 2 3 14 2" xfId="9613"/>
    <cellStyle name="Calculation 3 2 3 14 3" xfId="17041"/>
    <cellStyle name="Calculation 3 2 3 14 4" xfId="25690"/>
    <cellStyle name="Calculation 3 2 3 14 5" xfId="34228"/>
    <cellStyle name="Calculation 3 2 3 14 6" xfId="41918"/>
    <cellStyle name="Calculation 3 2 3 14 7" xfId="52293"/>
    <cellStyle name="Calculation 3 2 3 15" xfId="2535"/>
    <cellStyle name="Calculation 3 2 3 15 2" xfId="10358"/>
    <cellStyle name="Calculation 3 2 3 15 3" xfId="17786"/>
    <cellStyle name="Calculation 3 2 3 15 4" xfId="24913"/>
    <cellStyle name="Calculation 3 2 3 15 5" xfId="33236"/>
    <cellStyle name="Calculation 3 2 3 15 6" xfId="41759"/>
    <cellStyle name="Calculation 3 2 3 15 7" xfId="50594"/>
    <cellStyle name="Calculation 3 2 3 16" xfId="2649"/>
    <cellStyle name="Calculation 3 2 3 16 2" xfId="10472"/>
    <cellStyle name="Calculation 3 2 3 16 3" xfId="17900"/>
    <cellStyle name="Calculation 3 2 3 16 4" xfId="25103"/>
    <cellStyle name="Calculation 3 2 3 16 5" xfId="33468"/>
    <cellStyle name="Calculation 3 2 3 16 6" xfId="37632"/>
    <cellStyle name="Calculation 3 2 3 16 7" xfId="51017"/>
    <cellStyle name="Calculation 3 2 3 17" xfId="2442"/>
    <cellStyle name="Calculation 3 2 3 17 2" xfId="10265"/>
    <cellStyle name="Calculation 3 2 3 17 3" xfId="17693"/>
    <cellStyle name="Calculation 3 2 3 17 4" xfId="19690"/>
    <cellStyle name="Calculation 3 2 3 17 5" xfId="27625"/>
    <cellStyle name="Calculation 3 2 3 17 6" xfId="36958"/>
    <cellStyle name="Calculation 3 2 3 17 7" xfId="49457"/>
    <cellStyle name="Calculation 3 2 3 18" xfId="2722"/>
    <cellStyle name="Calculation 3 2 3 18 2" xfId="10545"/>
    <cellStyle name="Calculation 3 2 3 18 3" xfId="17973"/>
    <cellStyle name="Calculation 3 2 3 18 4" xfId="24951"/>
    <cellStyle name="Calculation 3 2 3 18 5" xfId="33287"/>
    <cellStyle name="Calculation 3 2 3 18 6" xfId="37579"/>
    <cellStyle name="Calculation 3 2 3 18 7" xfId="50674"/>
    <cellStyle name="Calculation 3 2 3 19" xfId="2840"/>
    <cellStyle name="Calculation 3 2 3 19 2" xfId="10663"/>
    <cellStyle name="Calculation 3 2 3 19 3" xfId="18091"/>
    <cellStyle name="Calculation 3 2 3 19 4" xfId="20016"/>
    <cellStyle name="Calculation 3 2 3 19 5" xfId="27086"/>
    <cellStyle name="Calculation 3 2 3 19 6" xfId="40460"/>
    <cellStyle name="Calculation 3 2 3 19 7" xfId="48375"/>
    <cellStyle name="Calculation 3 2 3 2" xfId="708"/>
    <cellStyle name="Calculation 3 2 3 2 2" xfId="8532"/>
    <cellStyle name="Calculation 3 2 3 2 3" xfId="15960"/>
    <cellStyle name="Calculation 3 2 3 2 4" xfId="25977"/>
    <cellStyle name="Calculation 3 2 3 2 5" xfId="34594"/>
    <cellStyle name="Calculation 3 2 3 2 6" xfId="36886"/>
    <cellStyle name="Calculation 3 2 3 2 7" xfId="52946"/>
    <cellStyle name="Calculation 3 2 3 20" xfId="2947"/>
    <cellStyle name="Calculation 3 2 3 20 2" xfId="10770"/>
    <cellStyle name="Calculation 3 2 3 20 3" xfId="18198"/>
    <cellStyle name="Calculation 3 2 3 20 4" xfId="25203"/>
    <cellStyle name="Calculation 3 2 3 20 5" xfId="33592"/>
    <cellStyle name="Calculation 3 2 3 20 6" xfId="39744"/>
    <cellStyle name="Calculation 3 2 3 20 7" xfId="51223"/>
    <cellStyle name="Calculation 3 2 3 21" xfId="3324"/>
    <cellStyle name="Calculation 3 2 3 21 2" xfId="11117"/>
    <cellStyle name="Calculation 3 2 3 21 3" xfId="18445"/>
    <cellStyle name="Calculation 3 2 3 21 4" xfId="20166"/>
    <cellStyle name="Calculation 3 2 3 21 5" xfId="27138"/>
    <cellStyle name="Calculation 3 2 3 21 6" xfId="36646"/>
    <cellStyle name="Calculation 3 2 3 21 7" xfId="49414"/>
    <cellStyle name="Calculation 3 2 3 22" xfId="3443"/>
    <cellStyle name="Calculation 3 2 3 22 2" xfId="11234"/>
    <cellStyle name="Calculation 3 2 3 22 3" xfId="18556"/>
    <cellStyle name="Calculation 3 2 3 22 4" xfId="26087"/>
    <cellStyle name="Calculation 3 2 3 22 5" xfId="34735"/>
    <cellStyle name="Calculation 3 2 3 22 6" xfId="40079"/>
    <cellStyle name="Calculation 3 2 3 22 7" xfId="53180"/>
    <cellStyle name="Calculation 3 2 3 23" xfId="3603"/>
    <cellStyle name="Calculation 3 2 3 23 2" xfId="11389"/>
    <cellStyle name="Calculation 3 2 3 23 3" xfId="18663"/>
    <cellStyle name="Calculation 3 2 3 23 4" xfId="25538"/>
    <cellStyle name="Calculation 3 2 3 23 5" xfId="34028"/>
    <cellStyle name="Calculation 3 2 3 23 6" xfId="38893"/>
    <cellStyle name="Calculation 3 2 3 23 7" xfId="51960"/>
    <cellStyle name="Calculation 3 2 3 24" xfId="3716"/>
    <cellStyle name="Calculation 3 2 3 24 2" xfId="11501"/>
    <cellStyle name="Calculation 3 2 3 24 3" xfId="18773"/>
    <cellStyle name="Calculation 3 2 3 24 4" xfId="19811"/>
    <cellStyle name="Calculation 3 2 3 24 5" xfId="27417"/>
    <cellStyle name="Calculation 3 2 3 24 6" xfId="41930"/>
    <cellStyle name="Calculation 3 2 3 24 7" xfId="47888"/>
    <cellStyle name="Calculation 3 2 3 25" xfId="3845"/>
    <cellStyle name="Calculation 3 2 3 25 2" xfId="11627"/>
    <cellStyle name="Calculation 3 2 3 25 3" xfId="18883"/>
    <cellStyle name="Calculation 3 2 3 25 4" xfId="19953"/>
    <cellStyle name="Calculation 3 2 3 25 5" xfId="28862"/>
    <cellStyle name="Calculation 3 2 3 25 6" xfId="37580"/>
    <cellStyle name="Calculation 3 2 3 25 7" xfId="50002"/>
    <cellStyle name="Calculation 3 2 3 26" xfId="3964"/>
    <cellStyle name="Calculation 3 2 3 26 2" xfId="11743"/>
    <cellStyle name="Calculation 3 2 3 26 3" xfId="18992"/>
    <cellStyle name="Calculation 3 2 3 26 4" xfId="26228"/>
    <cellStyle name="Calculation 3 2 3 26 5" xfId="34915"/>
    <cellStyle name="Calculation 3 2 3 26 6" xfId="39792"/>
    <cellStyle name="Calculation 3 2 3 26 7" xfId="53480"/>
    <cellStyle name="Calculation 3 2 3 27" xfId="3751"/>
    <cellStyle name="Calculation 3 2 3 27 2" xfId="11536"/>
    <cellStyle name="Calculation 3 2 3 27 3" xfId="20602"/>
    <cellStyle name="Calculation 3 2 3 27 4" xfId="28751"/>
    <cellStyle name="Calculation 3 2 3 27 5" xfId="38140"/>
    <cellStyle name="Calculation 3 2 3 27 6" xfId="42529"/>
    <cellStyle name="Calculation 3 2 3 27 7" xfId="52993"/>
    <cellStyle name="Calculation 3 2 3 28" xfId="4160"/>
    <cellStyle name="Calculation 3 2 3 28 2" xfId="11919"/>
    <cellStyle name="Calculation 3 2 3 28 3" xfId="20870"/>
    <cellStyle name="Calculation 3 2 3 28 4" xfId="29057"/>
    <cellStyle name="Calculation 3 2 3 28 5" xfId="38433"/>
    <cellStyle name="Calculation 3 2 3 28 6" xfId="42722"/>
    <cellStyle name="Calculation 3 2 3 28 7" xfId="50081"/>
    <cellStyle name="Calculation 3 2 3 29" xfId="4245"/>
    <cellStyle name="Calculation 3 2 3 29 2" xfId="20955"/>
    <cellStyle name="Calculation 3 2 3 29 3" xfId="29142"/>
    <cellStyle name="Calculation 3 2 3 29 4" xfId="38516"/>
    <cellStyle name="Calculation 3 2 3 29 5" xfId="42807"/>
    <cellStyle name="Calculation 3 2 3 29 6" xfId="47698"/>
    <cellStyle name="Calculation 3 2 3 3" xfId="817"/>
    <cellStyle name="Calculation 3 2 3 3 2" xfId="8641"/>
    <cellStyle name="Calculation 3 2 3 3 3" xfId="16069"/>
    <cellStyle name="Calculation 3 2 3 3 4" xfId="19249"/>
    <cellStyle name="Calculation 3 2 3 3 5" xfId="28528"/>
    <cellStyle name="Calculation 3 2 3 3 6" xfId="37605"/>
    <cellStyle name="Calculation 3 2 3 3 7" xfId="48163"/>
    <cellStyle name="Calculation 3 2 3 30" xfId="4358"/>
    <cellStyle name="Calculation 3 2 3 30 2" xfId="12075"/>
    <cellStyle name="Calculation 3 2 3 30 3" xfId="21068"/>
    <cellStyle name="Calculation 3 2 3 30 4" xfId="29255"/>
    <cellStyle name="Calculation 3 2 3 30 5" xfId="38625"/>
    <cellStyle name="Calculation 3 2 3 30 6" xfId="42920"/>
    <cellStyle name="Calculation 3 2 3 30 7" xfId="53152"/>
    <cellStyle name="Calculation 3 2 3 31" xfId="4480"/>
    <cellStyle name="Calculation 3 2 3 31 2" xfId="12197"/>
    <cellStyle name="Calculation 3 2 3 31 3" xfId="21190"/>
    <cellStyle name="Calculation 3 2 3 31 4" xfId="29377"/>
    <cellStyle name="Calculation 3 2 3 31 5" xfId="38742"/>
    <cellStyle name="Calculation 3 2 3 31 6" xfId="43042"/>
    <cellStyle name="Calculation 3 2 3 31 7" xfId="53589"/>
    <cellStyle name="Calculation 3 2 3 32" xfId="4594"/>
    <cellStyle name="Calculation 3 2 3 32 2" xfId="12311"/>
    <cellStyle name="Calculation 3 2 3 32 3" xfId="21304"/>
    <cellStyle name="Calculation 3 2 3 32 4" xfId="29491"/>
    <cellStyle name="Calculation 3 2 3 32 5" xfId="38851"/>
    <cellStyle name="Calculation 3 2 3 32 6" xfId="43156"/>
    <cellStyle name="Calculation 3 2 3 32 7" xfId="50354"/>
    <cellStyle name="Calculation 3 2 3 33" xfId="4707"/>
    <cellStyle name="Calculation 3 2 3 33 2" xfId="12424"/>
    <cellStyle name="Calculation 3 2 3 33 3" xfId="21417"/>
    <cellStyle name="Calculation 3 2 3 33 4" xfId="29604"/>
    <cellStyle name="Calculation 3 2 3 33 5" xfId="38960"/>
    <cellStyle name="Calculation 3 2 3 33 6" xfId="43269"/>
    <cellStyle name="Calculation 3 2 3 33 7" xfId="53637"/>
    <cellStyle name="Calculation 3 2 3 34" xfId="4817"/>
    <cellStyle name="Calculation 3 2 3 34 2" xfId="12534"/>
    <cellStyle name="Calculation 3 2 3 34 3" xfId="21527"/>
    <cellStyle name="Calculation 3 2 3 34 4" xfId="29714"/>
    <cellStyle name="Calculation 3 2 3 34 5" xfId="39067"/>
    <cellStyle name="Calculation 3 2 3 34 6" xfId="43379"/>
    <cellStyle name="Calculation 3 2 3 34 7" xfId="50036"/>
    <cellStyle name="Calculation 3 2 3 35" xfId="4927"/>
    <cellStyle name="Calculation 3 2 3 35 2" xfId="12644"/>
    <cellStyle name="Calculation 3 2 3 35 3" xfId="21637"/>
    <cellStyle name="Calculation 3 2 3 35 4" xfId="29824"/>
    <cellStyle name="Calculation 3 2 3 35 5" xfId="39172"/>
    <cellStyle name="Calculation 3 2 3 35 6" xfId="43489"/>
    <cellStyle name="Calculation 3 2 3 35 7" xfId="47918"/>
    <cellStyle name="Calculation 3 2 3 36" xfId="5037"/>
    <cellStyle name="Calculation 3 2 3 36 2" xfId="12754"/>
    <cellStyle name="Calculation 3 2 3 36 3" xfId="21747"/>
    <cellStyle name="Calculation 3 2 3 36 4" xfId="29934"/>
    <cellStyle name="Calculation 3 2 3 36 5" xfId="39279"/>
    <cellStyle name="Calculation 3 2 3 36 6" xfId="43599"/>
    <cellStyle name="Calculation 3 2 3 36 7" xfId="50347"/>
    <cellStyle name="Calculation 3 2 3 37" xfId="5417"/>
    <cellStyle name="Calculation 3 2 3 37 2" xfId="13134"/>
    <cellStyle name="Calculation 3 2 3 37 3" xfId="22127"/>
    <cellStyle name="Calculation 3 2 3 37 4" xfId="30314"/>
    <cellStyle name="Calculation 3 2 3 37 5" xfId="39644"/>
    <cellStyle name="Calculation 3 2 3 37 6" xfId="43979"/>
    <cellStyle name="Calculation 3 2 3 37 7" xfId="47391"/>
    <cellStyle name="Calculation 3 2 3 38" xfId="5537"/>
    <cellStyle name="Calculation 3 2 3 38 2" xfId="13254"/>
    <cellStyle name="Calculation 3 2 3 38 3" xfId="22247"/>
    <cellStyle name="Calculation 3 2 3 38 4" xfId="30434"/>
    <cellStyle name="Calculation 3 2 3 38 5" xfId="39758"/>
    <cellStyle name="Calculation 3 2 3 38 6" xfId="44099"/>
    <cellStyle name="Calculation 3 2 3 38 7" xfId="46919"/>
    <cellStyle name="Calculation 3 2 3 39" xfId="5661"/>
    <cellStyle name="Calculation 3 2 3 39 2" xfId="13378"/>
    <cellStyle name="Calculation 3 2 3 39 3" xfId="22371"/>
    <cellStyle name="Calculation 3 2 3 39 4" xfId="30558"/>
    <cellStyle name="Calculation 3 2 3 39 5" xfId="39878"/>
    <cellStyle name="Calculation 3 2 3 39 6" xfId="44223"/>
    <cellStyle name="Calculation 3 2 3 39 7" xfId="47109"/>
    <cellStyle name="Calculation 3 2 3 4" xfId="927"/>
    <cellStyle name="Calculation 3 2 3 4 2" xfId="8751"/>
    <cellStyle name="Calculation 3 2 3 4 3" xfId="16179"/>
    <cellStyle name="Calculation 3 2 3 4 4" xfId="25109"/>
    <cellStyle name="Calculation 3 2 3 4 5" xfId="33476"/>
    <cellStyle name="Calculation 3 2 3 4 6" xfId="37179"/>
    <cellStyle name="Calculation 3 2 3 4 7" xfId="51028"/>
    <cellStyle name="Calculation 3 2 3 40" xfId="5777"/>
    <cellStyle name="Calculation 3 2 3 40 2" xfId="13494"/>
    <cellStyle name="Calculation 3 2 3 40 3" xfId="22487"/>
    <cellStyle name="Calculation 3 2 3 40 4" xfId="30674"/>
    <cellStyle name="Calculation 3 2 3 40 5" xfId="39990"/>
    <cellStyle name="Calculation 3 2 3 40 6" xfId="44339"/>
    <cellStyle name="Calculation 3 2 3 40 7" xfId="49319"/>
    <cellStyle name="Calculation 3 2 3 41" xfId="5894"/>
    <cellStyle name="Calculation 3 2 3 41 2" xfId="13611"/>
    <cellStyle name="Calculation 3 2 3 41 3" xfId="22604"/>
    <cellStyle name="Calculation 3 2 3 41 4" xfId="30791"/>
    <cellStyle name="Calculation 3 2 3 41 5" xfId="40104"/>
    <cellStyle name="Calculation 3 2 3 41 6" xfId="44456"/>
    <cellStyle name="Calculation 3 2 3 41 7" xfId="49876"/>
    <cellStyle name="Calculation 3 2 3 42" xfId="6022"/>
    <cellStyle name="Calculation 3 2 3 42 2" xfId="13739"/>
    <cellStyle name="Calculation 3 2 3 42 3" xfId="22732"/>
    <cellStyle name="Calculation 3 2 3 42 4" xfId="30919"/>
    <cellStyle name="Calculation 3 2 3 42 5" xfId="40227"/>
    <cellStyle name="Calculation 3 2 3 42 6" xfId="44584"/>
    <cellStyle name="Calculation 3 2 3 42 7" xfId="52258"/>
    <cellStyle name="Calculation 3 2 3 43" xfId="6149"/>
    <cellStyle name="Calculation 3 2 3 43 2" xfId="13866"/>
    <cellStyle name="Calculation 3 2 3 43 3" xfId="22859"/>
    <cellStyle name="Calculation 3 2 3 43 4" xfId="31046"/>
    <cellStyle name="Calculation 3 2 3 43 5" xfId="40347"/>
    <cellStyle name="Calculation 3 2 3 43 6" xfId="44711"/>
    <cellStyle name="Calculation 3 2 3 43 7" xfId="53407"/>
    <cellStyle name="Calculation 3 2 3 44" xfId="6278"/>
    <cellStyle name="Calculation 3 2 3 44 2" xfId="13995"/>
    <cellStyle name="Calculation 3 2 3 44 3" xfId="22988"/>
    <cellStyle name="Calculation 3 2 3 44 4" xfId="31175"/>
    <cellStyle name="Calculation 3 2 3 44 5" xfId="40475"/>
    <cellStyle name="Calculation 3 2 3 44 6" xfId="44840"/>
    <cellStyle name="Calculation 3 2 3 44 7" xfId="50931"/>
    <cellStyle name="Calculation 3 2 3 45" xfId="6393"/>
    <cellStyle name="Calculation 3 2 3 45 2" xfId="14110"/>
    <cellStyle name="Calculation 3 2 3 45 3" xfId="23103"/>
    <cellStyle name="Calculation 3 2 3 45 4" xfId="31290"/>
    <cellStyle name="Calculation 3 2 3 45 5" xfId="40586"/>
    <cellStyle name="Calculation 3 2 3 45 6" xfId="44955"/>
    <cellStyle name="Calculation 3 2 3 45 7" xfId="50090"/>
    <cellStyle name="Calculation 3 2 3 46" xfId="6505"/>
    <cellStyle name="Calculation 3 2 3 46 2" xfId="14222"/>
    <cellStyle name="Calculation 3 2 3 46 3" xfId="23215"/>
    <cellStyle name="Calculation 3 2 3 46 4" xfId="31402"/>
    <cellStyle name="Calculation 3 2 3 46 5" xfId="40694"/>
    <cellStyle name="Calculation 3 2 3 46 6" xfId="45067"/>
    <cellStyle name="Calculation 3 2 3 46 7" xfId="53515"/>
    <cellStyle name="Calculation 3 2 3 47" xfId="5250"/>
    <cellStyle name="Calculation 3 2 3 47 2" xfId="12967"/>
    <cellStyle name="Calculation 3 2 3 47 3" xfId="21960"/>
    <cellStyle name="Calculation 3 2 3 47 4" xfId="30147"/>
    <cellStyle name="Calculation 3 2 3 47 5" xfId="39482"/>
    <cellStyle name="Calculation 3 2 3 47 6" xfId="43812"/>
    <cellStyle name="Calculation 3 2 3 47 7" xfId="51940"/>
    <cellStyle name="Calculation 3 2 3 48" xfId="6652"/>
    <cellStyle name="Calculation 3 2 3 48 2" xfId="14369"/>
    <cellStyle name="Calculation 3 2 3 48 3" xfId="23362"/>
    <cellStyle name="Calculation 3 2 3 48 4" xfId="31549"/>
    <cellStyle name="Calculation 3 2 3 48 5" xfId="40834"/>
    <cellStyle name="Calculation 3 2 3 48 6" xfId="45214"/>
    <cellStyle name="Calculation 3 2 3 48 7" xfId="52520"/>
    <cellStyle name="Calculation 3 2 3 49" xfId="6763"/>
    <cellStyle name="Calculation 3 2 3 49 2" xfId="14480"/>
    <cellStyle name="Calculation 3 2 3 49 3" xfId="23473"/>
    <cellStyle name="Calculation 3 2 3 49 4" xfId="31660"/>
    <cellStyle name="Calculation 3 2 3 49 5" xfId="40939"/>
    <cellStyle name="Calculation 3 2 3 49 6" xfId="45325"/>
    <cellStyle name="Calculation 3 2 3 49 7" xfId="47249"/>
    <cellStyle name="Calculation 3 2 3 5" xfId="1395"/>
    <cellStyle name="Calculation 3 2 3 5 2" xfId="9218"/>
    <cellStyle name="Calculation 3 2 3 5 3" xfId="16646"/>
    <cellStyle name="Calculation 3 2 3 5 4" xfId="24878"/>
    <cellStyle name="Calculation 3 2 3 5 5" xfId="33192"/>
    <cellStyle name="Calculation 3 2 3 5 6" xfId="36641"/>
    <cellStyle name="Calculation 3 2 3 5 7" xfId="50516"/>
    <cellStyle name="Calculation 3 2 3 50" xfId="6878"/>
    <cellStyle name="Calculation 3 2 3 50 2" xfId="14595"/>
    <cellStyle name="Calculation 3 2 3 50 3" xfId="23588"/>
    <cellStyle name="Calculation 3 2 3 50 4" xfId="31775"/>
    <cellStyle name="Calculation 3 2 3 50 5" xfId="41048"/>
    <cellStyle name="Calculation 3 2 3 50 6" xfId="45440"/>
    <cellStyle name="Calculation 3 2 3 50 7" xfId="46889"/>
    <cellStyle name="Calculation 3 2 3 51" xfId="6991"/>
    <cellStyle name="Calculation 3 2 3 51 2" xfId="14708"/>
    <cellStyle name="Calculation 3 2 3 51 3" xfId="23701"/>
    <cellStyle name="Calculation 3 2 3 51 4" xfId="31888"/>
    <cellStyle name="Calculation 3 2 3 51 5" xfId="41156"/>
    <cellStyle name="Calculation 3 2 3 51 6" xfId="45553"/>
    <cellStyle name="Calculation 3 2 3 51 7" xfId="46960"/>
    <cellStyle name="Calculation 3 2 3 52" xfId="7101"/>
    <cellStyle name="Calculation 3 2 3 52 2" xfId="14818"/>
    <cellStyle name="Calculation 3 2 3 52 3" xfId="23811"/>
    <cellStyle name="Calculation 3 2 3 52 4" xfId="31998"/>
    <cellStyle name="Calculation 3 2 3 52 5" xfId="41260"/>
    <cellStyle name="Calculation 3 2 3 52 6" xfId="45663"/>
    <cellStyle name="Calculation 3 2 3 52 7" xfId="47713"/>
    <cellStyle name="Calculation 3 2 3 53" xfId="7177"/>
    <cellStyle name="Calculation 3 2 3 53 2" xfId="14894"/>
    <cellStyle name="Calculation 3 2 3 53 3" xfId="23887"/>
    <cellStyle name="Calculation 3 2 3 53 4" xfId="32074"/>
    <cellStyle name="Calculation 3 2 3 53 5" xfId="41335"/>
    <cellStyle name="Calculation 3 2 3 53 6" xfId="45739"/>
    <cellStyle name="Calculation 3 2 3 53 7" xfId="53793"/>
    <cellStyle name="Calculation 3 2 3 54" xfId="7381"/>
    <cellStyle name="Calculation 3 2 3 54 2" xfId="15098"/>
    <cellStyle name="Calculation 3 2 3 54 3" xfId="24091"/>
    <cellStyle name="Calculation 3 2 3 54 4" xfId="32278"/>
    <cellStyle name="Calculation 3 2 3 54 5" xfId="41534"/>
    <cellStyle name="Calculation 3 2 3 54 6" xfId="45943"/>
    <cellStyle name="Calculation 3 2 3 54 7" xfId="51740"/>
    <cellStyle name="Calculation 3 2 3 55" xfId="7498"/>
    <cellStyle name="Calculation 3 2 3 55 2" xfId="15215"/>
    <cellStyle name="Calculation 3 2 3 55 3" xfId="24208"/>
    <cellStyle name="Calculation 3 2 3 55 4" xfId="32395"/>
    <cellStyle name="Calculation 3 2 3 55 5" xfId="41643"/>
    <cellStyle name="Calculation 3 2 3 55 6" xfId="46060"/>
    <cellStyle name="Calculation 3 2 3 55 7" xfId="50529"/>
    <cellStyle name="Calculation 3 2 3 56" xfId="7619"/>
    <cellStyle name="Calculation 3 2 3 56 2" xfId="15336"/>
    <cellStyle name="Calculation 3 2 3 56 3" xfId="24329"/>
    <cellStyle name="Calculation 3 2 3 56 4" xfId="32516"/>
    <cellStyle name="Calculation 3 2 3 56 5" xfId="41758"/>
    <cellStyle name="Calculation 3 2 3 56 6" xfId="46181"/>
    <cellStyle name="Calculation 3 2 3 56 7" xfId="54298"/>
    <cellStyle name="Calculation 3 2 3 57" xfId="7896"/>
    <cellStyle name="Calculation 3 2 3 57 2" xfId="15613"/>
    <cellStyle name="Calculation 3 2 3 57 3" xfId="24600"/>
    <cellStyle name="Calculation 3 2 3 57 4" xfId="32793"/>
    <cellStyle name="Calculation 3 2 3 57 5" xfId="42024"/>
    <cellStyle name="Calculation 3 2 3 57 6" xfId="46458"/>
    <cellStyle name="Calculation 3 2 3 57 7" xfId="53472"/>
    <cellStyle name="Calculation 3 2 3 58" xfId="8024"/>
    <cellStyle name="Calculation 3 2 3 58 2" xfId="15741"/>
    <cellStyle name="Calculation 3 2 3 58 3" xfId="24726"/>
    <cellStyle name="Calculation 3 2 3 58 4" xfId="32921"/>
    <cellStyle name="Calculation 3 2 3 58 5" xfId="42146"/>
    <cellStyle name="Calculation 3 2 3 58 6" xfId="46586"/>
    <cellStyle name="Calculation 3 2 3 58 7" xfId="48484"/>
    <cellStyle name="Calculation 3 2 3 59" xfId="7987"/>
    <cellStyle name="Calculation 3 2 3 59 2" xfId="15704"/>
    <cellStyle name="Calculation 3 2 3 59 3" xfId="24689"/>
    <cellStyle name="Calculation 3 2 3 59 4" xfId="32884"/>
    <cellStyle name="Calculation 3 2 3 59 5" xfId="42110"/>
    <cellStyle name="Calculation 3 2 3 59 6" xfId="46549"/>
    <cellStyle name="Calculation 3 2 3 59 7" xfId="51195"/>
    <cellStyle name="Calculation 3 2 3 6" xfId="1518"/>
    <cellStyle name="Calculation 3 2 3 6 2" xfId="9341"/>
    <cellStyle name="Calculation 3 2 3 6 3" xfId="16769"/>
    <cellStyle name="Calculation 3 2 3 6 4" xfId="24861"/>
    <cellStyle name="Calculation 3 2 3 6 5" xfId="33174"/>
    <cellStyle name="Calculation 3 2 3 6 6" xfId="39637"/>
    <cellStyle name="Calculation 3 2 3 6 7" xfId="50483"/>
    <cellStyle name="Calculation 3 2 3 60" xfId="8171"/>
    <cellStyle name="Calculation 3 2 3 60 2" xfId="15888"/>
    <cellStyle name="Calculation 3 2 3 60 3" xfId="33068"/>
    <cellStyle name="Calculation 3 2 3 60 4" xfId="42287"/>
    <cellStyle name="Calculation 3 2 3 60 5" xfId="46733"/>
    <cellStyle name="Calculation 3 2 3 60 6" xfId="47677"/>
    <cellStyle name="Calculation 3 2 3 61" xfId="19661"/>
    <cellStyle name="Calculation 3 2 3 62" xfId="27254"/>
    <cellStyle name="Calculation 3 2 3 63" xfId="36249"/>
    <cellStyle name="Calculation 3 2 3 64" xfId="48067"/>
    <cellStyle name="Calculation 3 2 3 7" xfId="1119"/>
    <cellStyle name="Calculation 3 2 3 7 2" xfId="8942"/>
    <cellStyle name="Calculation 3 2 3 7 3" xfId="16370"/>
    <cellStyle name="Calculation 3 2 3 7 4" xfId="26005"/>
    <cellStyle name="Calculation 3 2 3 7 5" xfId="34629"/>
    <cellStyle name="Calculation 3 2 3 7 6" xfId="36261"/>
    <cellStyle name="Calculation 3 2 3 7 7" xfId="53007"/>
    <cellStyle name="Calculation 3 2 3 8" xfId="1755"/>
    <cellStyle name="Calculation 3 2 3 8 2" xfId="9578"/>
    <cellStyle name="Calculation 3 2 3 8 3" xfId="17006"/>
    <cellStyle name="Calculation 3 2 3 8 4" xfId="19511"/>
    <cellStyle name="Calculation 3 2 3 8 5" xfId="26839"/>
    <cellStyle name="Calculation 3 2 3 8 6" xfId="39055"/>
    <cellStyle name="Calculation 3 2 3 8 7" xfId="47296"/>
    <cellStyle name="Calculation 3 2 3 9" xfId="1888"/>
    <cellStyle name="Calculation 3 2 3 9 2" xfId="9711"/>
    <cellStyle name="Calculation 3 2 3 9 3" xfId="17139"/>
    <cellStyle name="Calculation 3 2 3 9 4" xfId="19159"/>
    <cellStyle name="Calculation 3 2 3 9 5" xfId="27159"/>
    <cellStyle name="Calculation 3 2 3 9 6" xfId="38388"/>
    <cellStyle name="Calculation 3 2 3 9 7" xfId="49251"/>
    <cellStyle name="Calculation 3 2 30" xfId="2998"/>
    <cellStyle name="Calculation 3 2 30 2" xfId="10817"/>
    <cellStyle name="Calculation 3 2 30 3" xfId="18241"/>
    <cellStyle name="Calculation 3 2 30 4" xfId="26199"/>
    <cellStyle name="Calculation 3 2 30 5" xfId="34880"/>
    <cellStyle name="Calculation 3 2 30 6" xfId="36794"/>
    <cellStyle name="Calculation 3 2 30 7" xfId="53425"/>
    <cellStyle name="Calculation 3 2 31" xfId="3242"/>
    <cellStyle name="Calculation 3 2 31 2" xfId="11035"/>
    <cellStyle name="Calculation 3 2 31 3" xfId="18365"/>
    <cellStyle name="Calculation 3 2 31 4" xfId="25312"/>
    <cellStyle name="Calculation 3 2 31 5" xfId="33728"/>
    <cellStyle name="Calculation 3 2 31 6" xfId="38161"/>
    <cellStyle name="Calculation 3 2 31 7" xfId="51447"/>
    <cellStyle name="Calculation 3 2 32" xfId="3048"/>
    <cellStyle name="Calculation 3 2 32 2" xfId="10860"/>
    <cellStyle name="Calculation 3 2 32 3" xfId="20214"/>
    <cellStyle name="Calculation 3 2 32 4" xfId="28306"/>
    <cellStyle name="Calculation 3 2 32 5" xfId="37686"/>
    <cellStyle name="Calculation 3 2 32 6" xfId="42371"/>
    <cellStyle name="Calculation 3 2 32 7" xfId="49773"/>
    <cellStyle name="Calculation 3 2 33" xfId="3515"/>
    <cellStyle name="Calculation 3 2 33 2" xfId="11306"/>
    <cellStyle name="Calculation 3 2 33 3" xfId="20491"/>
    <cellStyle name="Calculation 3 2 33 4" xfId="28616"/>
    <cellStyle name="Calculation 3 2 33 5" xfId="37992"/>
    <cellStyle name="Calculation 3 2 33 6" xfId="42494"/>
    <cellStyle name="Calculation 3 2 33 7" xfId="53289"/>
    <cellStyle name="Calculation 3 2 34" xfId="4248"/>
    <cellStyle name="Calculation 3 2 34 2" xfId="20958"/>
    <cellStyle name="Calculation 3 2 34 3" xfId="29145"/>
    <cellStyle name="Calculation 3 2 34 4" xfId="38518"/>
    <cellStyle name="Calculation 3 2 34 5" xfId="42810"/>
    <cellStyle name="Calculation 3 2 34 6" xfId="54313"/>
    <cellStyle name="Calculation 3 2 35" xfId="4226"/>
    <cellStyle name="Calculation 3 2 35 2" xfId="11964"/>
    <cellStyle name="Calculation 3 2 35 3" xfId="20936"/>
    <cellStyle name="Calculation 3 2 35 4" xfId="29123"/>
    <cellStyle name="Calculation 3 2 35 5" xfId="38498"/>
    <cellStyle name="Calculation 3 2 35 6" xfId="42788"/>
    <cellStyle name="Calculation 3 2 35 7" xfId="49167"/>
    <cellStyle name="Calculation 3 2 36" xfId="4389"/>
    <cellStyle name="Calculation 3 2 36 2" xfId="12106"/>
    <cellStyle name="Calculation 3 2 36 3" xfId="21099"/>
    <cellStyle name="Calculation 3 2 36 4" xfId="29286"/>
    <cellStyle name="Calculation 3 2 36 5" xfId="38656"/>
    <cellStyle name="Calculation 3 2 36 6" xfId="42951"/>
    <cellStyle name="Calculation 3 2 36 7" xfId="50138"/>
    <cellStyle name="Calculation 3 2 37" xfId="4216"/>
    <cellStyle name="Calculation 3 2 37 2" xfId="11960"/>
    <cellStyle name="Calculation 3 2 37 3" xfId="20926"/>
    <cellStyle name="Calculation 3 2 37 4" xfId="29113"/>
    <cellStyle name="Calculation 3 2 37 5" xfId="38489"/>
    <cellStyle name="Calculation 3 2 37 6" xfId="42778"/>
    <cellStyle name="Calculation 3 2 37 7" xfId="50184"/>
    <cellStyle name="Calculation 3 2 38" xfId="3206"/>
    <cellStyle name="Calculation 3 2 38 2" xfId="11006"/>
    <cellStyle name="Calculation 3 2 38 3" xfId="20332"/>
    <cellStyle name="Calculation 3 2 38 4" xfId="28423"/>
    <cellStyle name="Calculation 3 2 38 5" xfId="37811"/>
    <cellStyle name="Calculation 3 2 38 6" xfId="42443"/>
    <cellStyle name="Calculation 3 2 38 7" xfId="48766"/>
    <cellStyle name="Calculation 3 2 39" xfId="4080"/>
    <cellStyle name="Calculation 3 2 39 2" xfId="11840"/>
    <cellStyle name="Calculation 3 2 39 3" xfId="20790"/>
    <cellStyle name="Calculation 3 2 39 4" xfId="28977"/>
    <cellStyle name="Calculation 3 2 39 5" xfId="38356"/>
    <cellStyle name="Calculation 3 2 39 6" xfId="42642"/>
    <cellStyle name="Calculation 3 2 39 7" xfId="49197"/>
    <cellStyle name="Calculation 3 2 4" xfId="541"/>
    <cellStyle name="Calculation 3 2 4 10" xfId="1988"/>
    <cellStyle name="Calculation 3 2 4 10 2" xfId="9811"/>
    <cellStyle name="Calculation 3 2 4 10 3" xfId="17239"/>
    <cellStyle name="Calculation 3 2 4 10 4" xfId="26572"/>
    <cellStyle name="Calculation 3 2 4 10 5" xfId="35387"/>
    <cellStyle name="Calculation 3 2 4 10 6" xfId="37199"/>
    <cellStyle name="Calculation 3 2 4 10 7" xfId="54218"/>
    <cellStyle name="Calculation 3 2 4 11" xfId="2106"/>
    <cellStyle name="Calculation 3 2 4 11 2" xfId="9929"/>
    <cellStyle name="Calculation 3 2 4 11 3" xfId="17357"/>
    <cellStyle name="Calculation 3 2 4 11 4" xfId="24836"/>
    <cellStyle name="Calculation 3 2 4 11 5" xfId="27974"/>
    <cellStyle name="Calculation 3 2 4 11 6" xfId="39662"/>
    <cellStyle name="Calculation 3 2 4 11 7" xfId="48252"/>
    <cellStyle name="Calculation 3 2 4 12" xfId="2219"/>
    <cellStyle name="Calculation 3 2 4 12 2" xfId="10042"/>
    <cellStyle name="Calculation 3 2 4 12 3" xfId="17470"/>
    <cellStyle name="Calculation 3 2 4 12 4" xfId="25059"/>
    <cellStyle name="Calculation 3 2 4 12 5" xfId="33419"/>
    <cellStyle name="Calculation 3 2 4 12 6" xfId="36718"/>
    <cellStyle name="Calculation 3 2 4 12 7" xfId="50924"/>
    <cellStyle name="Calculation 3 2 4 13" xfId="2278"/>
    <cellStyle name="Calculation 3 2 4 13 2" xfId="10101"/>
    <cellStyle name="Calculation 3 2 4 13 3" xfId="17529"/>
    <cellStyle name="Calculation 3 2 4 13 4" xfId="25673"/>
    <cellStyle name="Calculation 3 2 4 13 5" xfId="34205"/>
    <cellStyle name="Calculation 3 2 4 13 6" xfId="36611"/>
    <cellStyle name="Calculation 3 2 4 13 7" xfId="52248"/>
    <cellStyle name="Calculation 3 2 4 14" xfId="2371"/>
    <cellStyle name="Calculation 3 2 4 14 2" xfId="10194"/>
    <cellStyle name="Calculation 3 2 4 14 3" xfId="17622"/>
    <cellStyle name="Calculation 3 2 4 14 4" xfId="19381"/>
    <cellStyle name="Calculation 3 2 4 14 5" xfId="27729"/>
    <cellStyle name="Calculation 3 2 4 14 6" xfId="36314"/>
    <cellStyle name="Calculation 3 2 4 14 7" xfId="47368"/>
    <cellStyle name="Calculation 3 2 4 15" xfId="2517"/>
    <cellStyle name="Calculation 3 2 4 15 2" xfId="10340"/>
    <cellStyle name="Calculation 3 2 4 15 3" xfId="17768"/>
    <cellStyle name="Calculation 3 2 4 15 4" xfId="19567"/>
    <cellStyle name="Calculation 3 2 4 15 5" xfId="26978"/>
    <cellStyle name="Calculation 3 2 4 15 6" xfId="41791"/>
    <cellStyle name="Calculation 3 2 4 15 7" xfId="49064"/>
    <cellStyle name="Calculation 3 2 4 16" xfId="2630"/>
    <cellStyle name="Calculation 3 2 4 16 2" xfId="10453"/>
    <cellStyle name="Calculation 3 2 4 16 3" xfId="17881"/>
    <cellStyle name="Calculation 3 2 4 16 4" xfId="19234"/>
    <cellStyle name="Calculation 3 2 4 16 5" xfId="28120"/>
    <cellStyle name="Calculation 3 2 4 16 6" xfId="39673"/>
    <cellStyle name="Calculation 3 2 4 16 7" xfId="48092"/>
    <cellStyle name="Calculation 3 2 4 17" xfId="2692"/>
    <cellStyle name="Calculation 3 2 4 17 2" xfId="10515"/>
    <cellStyle name="Calculation 3 2 4 17 3" xfId="17943"/>
    <cellStyle name="Calculation 3 2 4 17 4" xfId="26324"/>
    <cellStyle name="Calculation 3 2 4 17 5" xfId="35048"/>
    <cellStyle name="Calculation 3 2 4 17 6" xfId="40621"/>
    <cellStyle name="Calculation 3 2 4 17 7" xfId="53689"/>
    <cellStyle name="Calculation 3 2 4 18" xfId="2742"/>
    <cellStyle name="Calculation 3 2 4 18 2" xfId="10565"/>
    <cellStyle name="Calculation 3 2 4 18 3" xfId="17993"/>
    <cellStyle name="Calculation 3 2 4 18 4" xfId="20113"/>
    <cellStyle name="Calculation 3 2 4 18 5" xfId="27275"/>
    <cellStyle name="Calculation 3 2 4 18 6" xfId="38208"/>
    <cellStyle name="Calculation 3 2 4 18 7" xfId="48630"/>
    <cellStyle name="Calculation 3 2 4 19" xfId="2823"/>
    <cellStyle name="Calculation 3 2 4 19 2" xfId="10646"/>
    <cellStyle name="Calculation 3 2 4 19 3" xfId="18074"/>
    <cellStyle name="Calculation 3 2 4 19 4" xfId="19513"/>
    <cellStyle name="Calculation 3 2 4 19 5" xfId="27157"/>
    <cellStyle name="Calculation 3 2 4 19 6" xfId="42109"/>
    <cellStyle name="Calculation 3 2 4 19 7" xfId="48590"/>
    <cellStyle name="Calculation 3 2 4 2" xfId="691"/>
    <cellStyle name="Calculation 3 2 4 2 2" xfId="8515"/>
    <cellStyle name="Calculation 3 2 4 2 3" xfId="15943"/>
    <cellStyle name="Calculation 3 2 4 2 4" xfId="19410"/>
    <cellStyle name="Calculation 3 2 4 2 5" xfId="27712"/>
    <cellStyle name="Calculation 3 2 4 2 6" xfId="36825"/>
    <cellStyle name="Calculation 3 2 4 2 7" xfId="48360"/>
    <cellStyle name="Calculation 3 2 4 20" xfId="2930"/>
    <cellStyle name="Calculation 3 2 4 20 2" xfId="10753"/>
    <cellStyle name="Calculation 3 2 4 20 3" xfId="18181"/>
    <cellStyle name="Calculation 3 2 4 20 4" xfId="20112"/>
    <cellStyle name="Calculation 3 2 4 20 5" xfId="28863"/>
    <cellStyle name="Calculation 3 2 4 20 6" xfId="41247"/>
    <cellStyle name="Calculation 3 2 4 20 7" xfId="48082"/>
    <cellStyle name="Calculation 3 2 4 21" xfId="3306"/>
    <cellStyle name="Calculation 3 2 4 21 2" xfId="11099"/>
    <cellStyle name="Calculation 3 2 4 21 3" xfId="18428"/>
    <cellStyle name="Calculation 3 2 4 21 4" xfId="25233"/>
    <cellStyle name="Calculation 3 2 4 21 5" xfId="33636"/>
    <cellStyle name="Calculation 3 2 4 21 6" xfId="38954"/>
    <cellStyle name="Calculation 3 2 4 21 7" xfId="51290"/>
    <cellStyle name="Calculation 3 2 4 22" xfId="3426"/>
    <cellStyle name="Calculation 3 2 4 22 2" xfId="11217"/>
    <cellStyle name="Calculation 3 2 4 22 3" xfId="18539"/>
    <cellStyle name="Calculation 3 2 4 22 4" xfId="25419"/>
    <cellStyle name="Calculation 3 2 4 22 5" xfId="33875"/>
    <cellStyle name="Calculation 3 2 4 22 6" xfId="41735"/>
    <cellStyle name="Calculation 3 2 4 22 7" xfId="51688"/>
    <cellStyle name="Calculation 3 2 4 23" xfId="3123"/>
    <cellStyle name="Calculation 3 2 4 23 2" xfId="10928"/>
    <cellStyle name="Calculation 3 2 4 23 3" xfId="18306"/>
    <cellStyle name="Calculation 3 2 4 23 4" xfId="19472"/>
    <cellStyle name="Calculation 3 2 4 23 5" xfId="28329"/>
    <cellStyle name="Calculation 3 2 4 23 6" xfId="41561"/>
    <cellStyle name="Calculation 3 2 4 23 7" xfId="48345"/>
    <cellStyle name="Calculation 3 2 4 24" xfId="3697"/>
    <cellStyle name="Calculation 3 2 4 24 2" xfId="11482"/>
    <cellStyle name="Calculation 3 2 4 24 3" xfId="18755"/>
    <cellStyle name="Calculation 3 2 4 24 4" xfId="19368"/>
    <cellStyle name="Calculation 3 2 4 24 5" xfId="27762"/>
    <cellStyle name="Calculation 3 2 4 24 6" xfId="37151"/>
    <cellStyle name="Calculation 3 2 4 24 7" xfId="47417"/>
    <cellStyle name="Calculation 3 2 4 25" xfId="3827"/>
    <cellStyle name="Calculation 3 2 4 25 2" xfId="11609"/>
    <cellStyle name="Calculation 3 2 4 25 3" xfId="18866"/>
    <cellStyle name="Calculation 3 2 4 25 4" xfId="25548"/>
    <cellStyle name="Calculation 3 2 4 25 5" xfId="34040"/>
    <cellStyle name="Calculation 3 2 4 25 6" xfId="39210"/>
    <cellStyle name="Calculation 3 2 4 25 7" xfId="51974"/>
    <cellStyle name="Calculation 3 2 4 26" xfId="3945"/>
    <cellStyle name="Calculation 3 2 4 26 2" xfId="11725"/>
    <cellStyle name="Calculation 3 2 4 26 3" xfId="18975"/>
    <cellStyle name="Calculation 3 2 4 26 4" xfId="26505"/>
    <cellStyle name="Calculation 3 2 4 26 5" xfId="35299"/>
    <cellStyle name="Calculation 3 2 4 26 6" xfId="42063"/>
    <cellStyle name="Calculation 3 2 4 26 7" xfId="54083"/>
    <cellStyle name="Calculation 3 2 4 27" xfId="4003"/>
    <cellStyle name="Calculation 3 2 4 27 2" xfId="11782"/>
    <cellStyle name="Calculation 3 2 4 27 3" xfId="20713"/>
    <cellStyle name="Calculation 3 2 4 27 4" xfId="28900"/>
    <cellStyle name="Calculation 3 2 4 27 5" xfId="38283"/>
    <cellStyle name="Calculation 3 2 4 27 6" xfId="42565"/>
    <cellStyle name="Calculation 3 2 4 27 7" xfId="49460"/>
    <cellStyle name="Calculation 3 2 4 28" xfId="4142"/>
    <cellStyle name="Calculation 3 2 4 28 2" xfId="11901"/>
    <cellStyle name="Calculation 3 2 4 28 3" xfId="20852"/>
    <cellStyle name="Calculation 3 2 4 28 4" xfId="29039"/>
    <cellStyle name="Calculation 3 2 4 28 5" xfId="38415"/>
    <cellStyle name="Calculation 3 2 4 28 6" xfId="42704"/>
    <cellStyle name="Calculation 3 2 4 28 7" xfId="50218"/>
    <cellStyle name="Calculation 3 2 4 29" xfId="3545"/>
    <cellStyle name="Calculation 3 2 4 29 2" xfId="20510"/>
    <cellStyle name="Calculation 3 2 4 29 3" xfId="28638"/>
    <cellStyle name="Calculation 3 2 4 29 4" xfId="38014"/>
    <cellStyle name="Calculation 3 2 4 29 5" xfId="42505"/>
    <cellStyle name="Calculation 3 2 4 29 6" xfId="50311"/>
    <cellStyle name="Calculation 3 2 4 3" xfId="799"/>
    <cellStyle name="Calculation 3 2 4 3 2" xfId="8623"/>
    <cellStyle name="Calculation 3 2 4 3 3" xfId="16051"/>
    <cellStyle name="Calculation 3 2 4 3 4" xfId="19354"/>
    <cellStyle name="Calculation 3 2 4 3 5" xfId="27163"/>
    <cellStyle name="Calculation 3 2 4 3 6" xfId="37323"/>
    <cellStyle name="Calculation 3 2 4 3 7" xfId="49462"/>
    <cellStyle name="Calculation 3 2 4 30" xfId="4339"/>
    <cellStyle name="Calculation 3 2 4 30 2" xfId="12056"/>
    <cellStyle name="Calculation 3 2 4 30 3" xfId="21049"/>
    <cellStyle name="Calculation 3 2 4 30 4" xfId="29236"/>
    <cellStyle name="Calculation 3 2 4 30 5" xfId="38606"/>
    <cellStyle name="Calculation 3 2 4 30 6" xfId="42901"/>
    <cellStyle name="Calculation 3 2 4 30 7" xfId="47787"/>
    <cellStyle name="Calculation 3 2 4 31" xfId="4462"/>
    <cellStyle name="Calculation 3 2 4 31 2" xfId="12179"/>
    <cellStyle name="Calculation 3 2 4 31 3" xfId="21172"/>
    <cellStyle name="Calculation 3 2 4 31 4" xfId="29359"/>
    <cellStyle name="Calculation 3 2 4 31 5" xfId="38724"/>
    <cellStyle name="Calculation 3 2 4 31 6" xfId="43024"/>
    <cellStyle name="Calculation 3 2 4 31 7" xfId="47716"/>
    <cellStyle name="Calculation 3 2 4 32" xfId="4576"/>
    <cellStyle name="Calculation 3 2 4 32 2" xfId="12293"/>
    <cellStyle name="Calculation 3 2 4 32 3" xfId="21286"/>
    <cellStyle name="Calculation 3 2 4 32 4" xfId="29473"/>
    <cellStyle name="Calculation 3 2 4 32 5" xfId="38833"/>
    <cellStyle name="Calculation 3 2 4 32 6" xfId="43138"/>
    <cellStyle name="Calculation 3 2 4 32 7" xfId="52284"/>
    <cellStyle name="Calculation 3 2 4 33" xfId="4689"/>
    <cellStyle name="Calculation 3 2 4 33 2" xfId="12406"/>
    <cellStyle name="Calculation 3 2 4 33 3" xfId="21399"/>
    <cellStyle name="Calculation 3 2 4 33 4" xfId="29586"/>
    <cellStyle name="Calculation 3 2 4 33 5" xfId="38942"/>
    <cellStyle name="Calculation 3 2 4 33 6" xfId="43251"/>
    <cellStyle name="Calculation 3 2 4 33 7" xfId="51665"/>
    <cellStyle name="Calculation 3 2 4 34" xfId="4800"/>
    <cellStyle name="Calculation 3 2 4 34 2" xfId="12517"/>
    <cellStyle name="Calculation 3 2 4 34 3" xfId="21510"/>
    <cellStyle name="Calculation 3 2 4 34 4" xfId="29697"/>
    <cellStyle name="Calculation 3 2 4 34 5" xfId="39050"/>
    <cellStyle name="Calculation 3 2 4 34 6" xfId="43362"/>
    <cellStyle name="Calculation 3 2 4 34 7" xfId="51898"/>
    <cellStyle name="Calculation 3 2 4 35" xfId="4909"/>
    <cellStyle name="Calculation 3 2 4 35 2" xfId="12626"/>
    <cellStyle name="Calculation 3 2 4 35 3" xfId="21619"/>
    <cellStyle name="Calculation 3 2 4 35 4" xfId="29806"/>
    <cellStyle name="Calculation 3 2 4 35 5" xfId="39154"/>
    <cellStyle name="Calculation 3 2 4 35 6" xfId="43471"/>
    <cellStyle name="Calculation 3 2 4 35 7" xfId="47978"/>
    <cellStyle name="Calculation 3 2 4 36" xfId="5020"/>
    <cellStyle name="Calculation 3 2 4 36 2" xfId="12737"/>
    <cellStyle name="Calculation 3 2 4 36 3" xfId="21730"/>
    <cellStyle name="Calculation 3 2 4 36 4" xfId="29917"/>
    <cellStyle name="Calculation 3 2 4 36 5" xfId="39262"/>
    <cellStyle name="Calculation 3 2 4 36 6" xfId="43582"/>
    <cellStyle name="Calculation 3 2 4 36 7" xfId="52168"/>
    <cellStyle name="Calculation 3 2 4 37" xfId="5399"/>
    <cellStyle name="Calculation 3 2 4 37 2" xfId="13116"/>
    <cellStyle name="Calculation 3 2 4 37 3" xfId="22109"/>
    <cellStyle name="Calculation 3 2 4 37 4" xfId="30296"/>
    <cellStyle name="Calculation 3 2 4 37 5" xfId="39626"/>
    <cellStyle name="Calculation 3 2 4 37 6" xfId="43961"/>
    <cellStyle name="Calculation 3 2 4 37 7" xfId="51385"/>
    <cellStyle name="Calculation 3 2 4 38" xfId="5519"/>
    <cellStyle name="Calculation 3 2 4 38 2" xfId="13236"/>
    <cellStyle name="Calculation 3 2 4 38 3" xfId="22229"/>
    <cellStyle name="Calculation 3 2 4 38 4" xfId="30416"/>
    <cellStyle name="Calculation 3 2 4 38 5" xfId="39740"/>
    <cellStyle name="Calculation 3 2 4 38 6" xfId="44081"/>
    <cellStyle name="Calculation 3 2 4 38 7" xfId="48933"/>
    <cellStyle name="Calculation 3 2 4 39" xfId="5643"/>
    <cellStyle name="Calculation 3 2 4 39 2" xfId="13360"/>
    <cellStyle name="Calculation 3 2 4 39 3" xfId="22353"/>
    <cellStyle name="Calculation 3 2 4 39 4" xfId="30540"/>
    <cellStyle name="Calculation 3 2 4 39 5" xfId="39860"/>
    <cellStyle name="Calculation 3 2 4 39 6" xfId="44205"/>
    <cellStyle name="Calculation 3 2 4 39 7" xfId="54528"/>
    <cellStyle name="Calculation 3 2 4 4" xfId="910"/>
    <cellStyle name="Calculation 3 2 4 4 2" xfId="8734"/>
    <cellStyle name="Calculation 3 2 4 4 3" xfId="16162"/>
    <cellStyle name="Calculation 3 2 4 4 4" xfId="25464"/>
    <cellStyle name="Calculation 3 2 4 4 5" xfId="33929"/>
    <cellStyle name="Calculation 3 2 4 4 6" xfId="36495"/>
    <cellStyle name="Calculation 3 2 4 4 7" xfId="51787"/>
    <cellStyle name="Calculation 3 2 4 40" xfId="5759"/>
    <cellStyle name="Calculation 3 2 4 40 2" xfId="13476"/>
    <cellStyle name="Calculation 3 2 4 40 3" xfId="22469"/>
    <cellStyle name="Calculation 3 2 4 40 4" xfId="30656"/>
    <cellStyle name="Calculation 3 2 4 40 5" xfId="39972"/>
    <cellStyle name="Calculation 3 2 4 40 6" xfId="44321"/>
    <cellStyle name="Calculation 3 2 4 40 7" xfId="51198"/>
    <cellStyle name="Calculation 3 2 4 41" xfId="5875"/>
    <cellStyle name="Calculation 3 2 4 41 2" xfId="13592"/>
    <cellStyle name="Calculation 3 2 4 41 3" xfId="22585"/>
    <cellStyle name="Calculation 3 2 4 41 4" xfId="30772"/>
    <cellStyle name="Calculation 3 2 4 41 5" xfId="40085"/>
    <cellStyle name="Calculation 3 2 4 41 6" xfId="44437"/>
    <cellStyle name="Calculation 3 2 4 41 7" xfId="52078"/>
    <cellStyle name="Calculation 3 2 4 42" xfId="6004"/>
    <cellStyle name="Calculation 3 2 4 42 2" xfId="13721"/>
    <cellStyle name="Calculation 3 2 4 42 3" xfId="22714"/>
    <cellStyle name="Calculation 3 2 4 42 4" xfId="30901"/>
    <cellStyle name="Calculation 3 2 4 42 5" xfId="40209"/>
    <cellStyle name="Calculation 3 2 4 42 6" xfId="44566"/>
    <cellStyle name="Calculation 3 2 4 42 7" xfId="54251"/>
    <cellStyle name="Calculation 3 2 4 43" xfId="5089"/>
    <cellStyle name="Calculation 3 2 4 43 2" xfId="12806"/>
    <cellStyle name="Calculation 3 2 4 43 3" xfId="21799"/>
    <cellStyle name="Calculation 3 2 4 43 4" xfId="29986"/>
    <cellStyle name="Calculation 3 2 4 43 5" xfId="39329"/>
    <cellStyle name="Calculation 3 2 4 43 6" xfId="43651"/>
    <cellStyle name="Calculation 3 2 4 43 7" xfId="52197"/>
    <cellStyle name="Calculation 3 2 4 44" xfId="6260"/>
    <cellStyle name="Calculation 3 2 4 44 2" xfId="13977"/>
    <cellStyle name="Calculation 3 2 4 44 3" xfId="22970"/>
    <cellStyle name="Calculation 3 2 4 44 4" xfId="31157"/>
    <cellStyle name="Calculation 3 2 4 44 5" xfId="40457"/>
    <cellStyle name="Calculation 3 2 4 44 6" xfId="44822"/>
    <cellStyle name="Calculation 3 2 4 44 7" xfId="49142"/>
    <cellStyle name="Calculation 3 2 4 45" xfId="6376"/>
    <cellStyle name="Calculation 3 2 4 45 2" xfId="14093"/>
    <cellStyle name="Calculation 3 2 4 45 3" xfId="23086"/>
    <cellStyle name="Calculation 3 2 4 45 4" xfId="31273"/>
    <cellStyle name="Calculation 3 2 4 45 5" xfId="40570"/>
    <cellStyle name="Calculation 3 2 4 45 6" xfId="44938"/>
    <cellStyle name="Calculation 3 2 4 45 7" xfId="52475"/>
    <cellStyle name="Calculation 3 2 4 46" xfId="6487"/>
    <cellStyle name="Calculation 3 2 4 46 2" xfId="14204"/>
    <cellStyle name="Calculation 3 2 4 46 3" xfId="23197"/>
    <cellStyle name="Calculation 3 2 4 46 4" xfId="31384"/>
    <cellStyle name="Calculation 3 2 4 46 5" xfId="40677"/>
    <cellStyle name="Calculation 3 2 4 46 6" xfId="45049"/>
    <cellStyle name="Calculation 3 2 4 46 7" xfId="47338"/>
    <cellStyle name="Calculation 3 2 4 47" xfId="6542"/>
    <cellStyle name="Calculation 3 2 4 47 2" xfId="14259"/>
    <cellStyle name="Calculation 3 2 4 47 3" xfId="23252"/>
    <cellStyle name="Calculation 3 2 4 47 4" xfId="31439"/>
    <cellStyle name="Calculation 3 2 4 47 5" xfId="40729"/>
    <cellStyle name="Calculation 3 2 4 47 6" xfId="45104"/>
    <cellStyle name="Calculation 3 2 4 47 7" xfId="47369"/>
    <cellStyle name="Calculation 3 2 4 48" xfId="6633"/>
    <cellStyle name="Calculation 3 2 4 48 2" xfId="14350"/>
    <cellStyle name="Calculation 3 2 4 48 3" xfId="23343"/>
    <cellStyle name="Calculation 3 2 4 48 4" xfId="31530"/>
    <cellStyle name="Calculation 3 2 4 48 5" xfId="40816"/>
    <cellStyle name="Calculation 3 2 4 48 6" xfId="45195"/>
    <cellStyle name="Calculation 3 2 4 48 7" xfId="50824"/>
    <cellStyle name="Calculation 3 2 4 49" xfId="6745"/>
    <cellStyle name="Calculation 3 2 4 49 2" xfId="14462"/>
    <cellStyle name="Calculation 3 2 4 49 3" xfId="23455"/>
    <cellStyle name="Calculation 3 2 4 49 4" xfId="31642"/>
    <cellStyle name="Calculation 3 2 4 49 5" xfId="40922"/>
    <cellStyle name="Calculation 3 2 4 49 6" xfId="45307"/>
    <cellStyle name="Calculation 3 2 4 49 7" xfId="50476"/>
    <cellStyle name="Calculation 3 2 4 5" xfId="1376"/>
    <cellStyle name="Calculation 3 2 4 5 2" xfId="9199"/>
    <cellStyle name="Calculation 3 2 4 5 3" xfId="16627"/>
    <cellStyle name="Calculation 3 2 4 5 4" xfId="25803"/>
    <cellStyle name="Calculation 3 2 4 5 5" xfId="34380"/>
    <cellStyle name="Calculation 3 2 4 5 6" xfId="38897"/>
    <cellStyle name="Calculation 3 2 4 5 7" xfId="52575"/>
    <cellStyle name="Calculation 3 2 4 50" xfId="6860"/>
    <cellStyle name="Calculation 3 2 4 50 2" xfId="14577"/>
    <cellStyle name="Calculation 3 2 4 50 3" xfId="23570"/>
    <cellStyle name="Calculation 3 2 4 50 4" xfId="31757"/>
    <cellStyle name="Calculation 3 2 4 50 5" xfId="41030"/>
    <cellStyle name="Calculation 3 2 4 50 6" xfId="45422"/>
    <cellStyle name="Calculation 3 2 4 50 7" xfId="54526"/>
    <cellStyle name="Calculation 3 2 4 51" xfId="6973"/>
    <cellStyle name="Calculation 3 2 4 51 2" xfId="14690"/>
    <cellStyle name="Calculation 3 2 4 51 3" xfId="23683"/>
    <cellStyle name="Calculation 3 2 4 51 4" xfId="31870"/>
    <cellStyle name="Calculation 3 2 4 51 5" xfId="41138"/>
    <cellStyle name="Calculation 3 2 4 51 6" xfId="45535"/>
    <cellStyle name="Calculation 3 2 4 51 7" xfId="46789"/>
    <cellStyle name="Calculation 3 2 4 52" xfId="7084"/>
    <cellStyle name="Calculation 3 2 4 52 2" xfId="14801"/>
    <cellStyle name="Calculation 3 2 4 52 3" xfId="23794"/>
    <cellStyle name="Calculation 3 2 4 52 4" xfId="31981"/>
    <cellStyle name="Calculation 3 2 4 52 5" xfId="41243"/>
    <cellStyle name="Calculation 3 2 4 52 6" xfId="45646"/>
    <cellStyle name="Calculation 3 2 4 52 7" xfId="50566"/>
    <cellStyle name="Calculation 3 2 4 53" xfId="7193"/>
    <cellStyle name="Calculation 3 2 4 53 2" xfId="14910"/>
    <cellStyle name="Calculation 3 2 4 53 3" xfId="23903"/>
    <cellStyle name="Calculation 3 2 4 53 4" xfId="32090"/>
    <cellStyle name="Calculation 3 2 4 53 5" xfId="41351"/>
    <cellStyle name="Calculation 3 2 4 53 6" xfId="45755"/>
    <cellStyle name="Calculation 3 2 4 53 7" xfId="52177"/>
    <cellStyle name="Calculation 3 2 4 54" xfId="7238"/>
    <cellStyle name="Calculation 3 2 4 54 2" xfId="14955"/>
    <cellStyle name="Calculation 3 2 4 54 3" xfId="23948"/>
    <cellStyle name="Calculation 3 2 4 54 4" xfId="32135"/>
    <cellStyle name="Calculation 3 2 4 54 5" xfId="41392"/>
    <cellStyle name="Calculation 3 2 4 54 6" xfId="45800"/>
    <cellStyle name="Calculation 3 2 4 54 7" xfId="46964"/>
    <cellStyle name="Calculation 3 2 4 55" xfId="7481"/>
    <cellStyle name="Calculation 3 2 4 55 2" xfId="15198"/>
    <cellStyle name="Calculation 3 2 4 55 3" xfId="24191"/>
    <cellStyle name="Calculation 3 2 4 55 4" xfId="32378"/>
    <cellStyle name="Calculation 3 2 4 55 5" xfId="41626"/>
    <cellStyle name="Calculation 3 2 4 55 6" xfId="46043"/>
    <cellStyle name="Calculation 3 2 4 55 7" xfId="52346"/>
    <cellStyle name="Calculation 3 2 4 56" xfId="7602"/>
    <cellStyle name="Calculation 3 2 4 56 2" xfId="15319"/>
    <cellStyle name="Calculation 3 2 4 56 3" xfId="24312"/>
    <cellStyle name="Calculation 3 2 4 56 4" xfId="32499"/>
    <cellStyle name="Calculation 3 2 4 56 5" xfId="41741"/>
    <cellStyle name="Calculation 3 2 4 56 6" xfId="46164"/>
    <cellStyle name="Calculation 3 2 4 56 7" xfId="50086"/>
    <cellStyle name="Calculation 3 2 4 57" xfId="7878"/>
    <cellStyle name="Calculation 3 2 4 57 2" xfId="15595"/>
    <cellStyle name="Calculation 3 2 4 57 3" xfId="24582"/>
    <cellStyle name="Calculation 3 2 4 57 4" xfId="32775"/>
    <cellStyle name="Calculation 3 2 4 57 5" xfId="42006"/>
    <cellStyle name="Calculation 3 2 4 57 6" xfId="46440"/>
    <cellStyle name="Calculation 3 2 4 57 7" xfId="51581"/>
    <cellStyle name="Calculation 3 2 4 58" xfId="7961"/>
    <cellStyle name="Calculation 3 2 4 58 2" xfId="15678"/>
    <cellStyle name="Calculation 3 2 4 58 3" xfId="24664"/>
    <cellStyle name="Calculation 3 2 4 58 4" xfId="32858"/>
    <cellStyle name="Calculation 3 2 4 58 5" xfId="42086"/>
    <cellStyle name="Calculation 3 2 4 58 6" xfId="46523"/>
    <cellStyle name="Calculation 3 2 4 58 7" xfId="54194"/>
    <cellStyle name="Calculation 3 2 4 59" xfId="8009"/>
    <cellStyle name="Calculation 3 2 4 59 2" xfId="15726"/>
    <cellStyle name="Calculation 3 2 4 59 3" xfId="24711"/>
    <cellStyle name="Calculation 3 2 4 59 4" xfId="32906"/>
    <cellStyle name="Calculation 3 2 4 59 5" xfId="42132"/>
    <cellStyle name="Calculation 3 2 4 59 6" xfId="46571"/>
    <cellStyle name="Calculation 3 2 4 59 7" xfId="48694"/>
    <cellStyle name="Calculation 3 2 4 6" xfId="1499"/>
    <cellStyle name="Calculation 3 2 4 6 2" xfId="9322"/>
    <cellStyle name="Calculation 3 2 4 6 3" xfId="16750"/>
    <cellStyle name="Calculation 3 2 4 6 4" xfId="25631"/>
    <cellStyle name="Calculation 3 2 4 6 5" xfId="34149"/>
    <cellStyle name="Calculation 3 2 4 6 6" xfId="41342"/>
    <cellStyle name="Calculation 3 2 4 6 7" xfId="52159"/>
    <cellStyle name="Calculation 3 2 4 60" xfId="8154"/>
    <cellStyle name="Calculation 3 2 4 60 2" xfId="15871"/>
    <cellStyle name="Calculation 3 2 4 60 3" xfId="33051"/>
    <cellStyle name="Calculation 3 2 4 60 4" xfId="42270"/>
    <cellStyle name="Calculation 3 2 4 60 5" xfId="46716"/>
    <cellStyle name="Calculation 3 2 4 60 6" xfId="47752"/>
    <cellStyle name="Calculation 3 2 4 61" xfId="20586"/>
    <cellStyle name="Calculation 3 2 4 62" xfId="27307"/>
    <cellStyle name="Calculation 3 2 4 63" xfId="36263"/>
    <cellStyle name="Calculation 3 2 4 64" xfId="49022"/>
    <cellStyle name="Calculation 3 2 4 7" xfId="1572"/>
    <cellStyle name="Calculation 3 2 4 7 2" xfId="9395"/>
    <cellStyle name="Calculation 3 2 4 7 3" xfId="16823"/>
    <cellStyle name="Calculation 3 2 4 7 4" xfId="26060"/>
    <cellStyle name="Calculation 3 2 4 7 5" xfId="34704"/>
    <cellStyle name="Calculation 3 2 4 7 6" xfId="41463"/>
    <cellStyle name="Calculation 3 2 4 7 7" xfId="53124"/>
    <cellStyle name="Calculation 3 2 4 8" xfId="1736"/>
    <cellStyle name="Calculation 3 2 4 8 2" xfId="9559"/>
    <cellStyle name="Calculation 3 2 4 8 3" xfId="16987"/>
    <cellStyle name="Calculation 3 2 4 8 4" xfId="20450"/>
    <cellStyle name="Calculation 3 2 4 8 5" xfId="28477"/>
    <cellStyle name="Calculation 3 2 4 8 6" xfId="41035"/>
    <cellStyle name="Calculation 3 2 4 8 7" xfId="49656"/>
    <cellStyle name="Calculation 3 2 4 9" xfId="1870"/>
    <cellStyle name="Calculation 3 2 4 9 2" xfId="9693"/>
    <cellStyle name="Calculation 3 2 4 9 3" xfId="17121"/>
    <cellStyle name="Calculation 3 2 4 9 4" xfId="25143"/>
    <cellStyle name="Calculation 3 2 4 9 5" xfId="33518"/>
    <cellStyle name="Calculation 3 2 4 9 6" xfId="39343"/>
    <cellStyle name="Calculation 3 2 4 9 7" xfId="51098"/>
    <cellStyle name="Calculation 3 2 40" xfId="4261"/>
    <cellStyle name="Calculation 3 2 40 2" xfId="11982"/>
    <cellStyle name="Calculation 3 2 40 3" xfId="20971"/>
    <cellStyle name="Calculation 3 2 40 4" xfId="29158"/>
    <cellStyle name="Calculation 3 2 40 5" xfId="38531"/>
    <cellStyle name="Calculation 3 2 40 6" xfId="42823"/>
    <cellStyle name="Calculation 3 2 40 7" xfId="48074"/>
    <cellStyle name="Calculation 3 2 41" xfId="4240"/>
    <cellStyle name="Calculation 3 2 41 2" xfId="11972"/>
    <cellStyle name="Calculation 3 2 41 3" xfId="20950"/>
    <cellStyle name="Calculation 3 2 41 4" xfId="29137"/>
    <cellStyle name="Calculation 3 2 41 5" xfId="38511"/>
    <cellStyle name="Calculation 3 2 41 6" xfId="42802"/>
    <cellStyle name="Calculation 3 2 41 7" xfId="48471"/>
    <cellStyle name="Calculation 3 2 42" xfId="5097"/>
    <cellStyle name="Calculation 3 2 42 2" xfId="12814"/>
    <cellStyle name="Calculation 3 2 42 3" xfId="21807"/>
    <cellStyle name="Calculation 3 2 42 4" xfId="29994"/>
    <cellStyle name="Calculation 3 2 42 5" xfId="39336"/>
    <cellStyle name="Calculation 3 2 42 6" xfId="43659"/>
    <cellStyle name="Calculation 3 2 42 7" xfId="51191"/>
    <cellStyle name="Calculation 3 2 43" xfId="5160"/>
    <cellStyle name="Calculation 3 2 43 2" xfId="12877"/>
    <cellStyle name="Calculation 3 2 43 3" xfId="21870"/>
    <cellStyle name="Calculation 3 2 43 4" xfId="30057"/>
    <cellStyle name="Calculation 3 2 43 5" xfId="39396"/>
    <cellStyle name="Calculation 3 2 43 6" xfId="43722"/>
    <cellStyle name="Calculation 3 2 43 7" xfId="53421"/>
    <cellStyle name="Calculation 3 2 44" xfId="5071"/>
    <cellStyle name="Calculation 3 2 44 2" xfId="12788"/>
    <cellStyle name="Calculation 3 2 44 3" xfId="21781"/>
    <cellStyle name="Calculation 3 2 44 4" xfId="29968"/>
    <cellStyle name="Calculation 3 2 44 5" xfId="39311"/>
    <cellStyle name="Calculation 3 2 44 6" xfId="43633"/>
    <cellStyle name="Calculation 3 2 44 7" xfId="53927"/>
    <cellStyle name="Calculation 3 2 45" xfId="5246"/>
    <cellStyle name="Calculation 3 2 45 2" xfId="12963"/>
    <cellStyle name="Calculation 3 2 45 3" xfId="21956"/>
    <cellStyle name="Calculation 3 2 45 4" xfId="30143"/>
    <cellStyle name="Calculation 3 2 45 5" xfId="39478"/>
    <cellStyle name="Calculation 3 2 45 6" xfId="43808"/>
    <cellStyle name="Calculation 3 2 45 7" xfId="52276"/>
    <cellStyle name="Calculation 3 2 46" xfId="5288"/>
    <cellStyle name="Calculation 3 2 46 2" xfId="13005"/>
    <cellStyle name="Calculation 3 2 46 3" xfId="21998"/>
    <cellStyle name="Calculation 3 2 46 4" xfId="30185"/>
    <cellStyle name="Calculation 3 2 46 5" xfId="39519"/>
    <cellStyle name="Calculation 3 2 46 6" xfId="43850"/>
    <cellStyle name="Calculation 3 2 46 7" xfId="51864"/>
    <cellStyle name="Calculation 3 2 47" xfId="5889"/>
    <cellStyle name="Calculation 3 2 47 2" xfId="13606"/>
    <cellStyle name="Calculation 3 2 47 3" xfId="22599"/>
    <cellStyle name="Calculation 3 2 47 4" xfId="30786"/>
    <cellStyle name="Calculation 3 2 47 5" xfId="40099"/>
    <cellStyle name="Calculation 3 2 47 6" xfId="44451"/>
    <cellStyle name="Calculation 3 2 47 7" xfId="50478"/>
    <cellStyle name="Calculation 3 2 48" xfId="5331"/>
    <cellStyle name="Calculation 3 2 48 2" xfId="13048"/>
    <cellStyle name="Calculation 3 2 48 3" xfId="22041"/>
    <cellStyle name="Calculation 3 2 48 4" xfId="30228"/>
    <cellStyle name="Calculation 3 2 48 5" xfId="39562"/>
    <cellStyle name="Calculation 3 2 48 6" xfId="43893"/>
    <cellStyle name="Calculation 3 2 48 7" xfId="50832"/>
    <cellStyle name="Calculation 3 2 49" xfId="5932"/>
    <cellStyle name="Calculation 3 2 49 2" xfId="13649"/>
    <cellStyle name="Calculation 3 2 49 3" xfId="22642"/>
    <cellStyle name="Calculation 3 2 49 4" xfId="30829"/>
    <cellStyle name="Calculation 3 2 49 5" xfId="40140"/>
    <cellStyle name="Calculation 3 2 49 6" xfId="44494"/>
    <cellStyle name="Calculation 3 2 49 7" xfId="54133"/>
    <cellStyle name="Calculation 3 2 5" xfId="590"/>
    <cellStyle name="Calculation 3 2 5 10" xfId="2036"/>
    <cellStyle name="Calculation 3 2 5 10 2" xfId="9859"/>
    <cellStyle name="Calculation 3 2 5 10 3" xfId="17287"/>
    <cellStyle name="Calculation 3 2 5 10 4" xfId="20047"/>
    <cellStyle name="Calculation 3 2 5 10 5" xfId="27639"/>
    <cellStyle name="Calculation 3 2 5 10 6" xfId="39081"/>
    <cellStyle name="Calculation 3 2 5 10 7" xfId="47749"/>
    <cellStyle name="Calculation 3 2 5 11" xfId="2151"/>
    <cellStyle name="Calculation 3 2 5 11 2" xfId="9974"/>
    <cellStyle name="Calculation 3 2 5 11 3" xfId="17402"/>
    <cellStyle name="Calculation 3 2 5 11 4" xfId="19457"/>
    <cellStyle name="Calculation 3 2 5 11 5" xfId="28112"/>
    <cellStyle name="Calculation 3 2 5 11 6" xfId="42240"/>
    <cellStyle name="Calculation 3 2 5 11 7" xfId="49518"/>
    <cellStyle name="Calculation 3 2 5 12" xfId="2267"/>
    <cellStyle name="Calculation 3 2 5 12 2" xfId="10090"/>
    <cellStyle name="Calculation 3 2 5 12 3" xfId="17518"/>
    <cellStyle name="Calculation 3 2 5 12 4" xfId="26136"/>
    <cellStyle name="Calculation 3 2 5 12 5" xfId="34799"/>
    <cellStyle name="Calculation 3 2 5 12 6" xfId="37748"/>
    <cellStyle name="Calculation 3 2 5 12 7" xfId="53284"/>
    <cellStyle name="Calculation 3 2 5 13" xfId="2037"/>
    <cellStyle name="Calculation 3 2 5 13 2" xfId="9860"/>
    <cellStyle name="Calculation 3 2 5 13 3" xfId="17288"/>
    <cellStyle name="Calculation 3 2 5 13 4" xfId="19682"/>
    <cellStyle name="Calculation 3 2 5 13 5" xfId="27459"/>
    <cellStyle name="Calculation 3 2 5 13 6" xfId="38974"/>
    <cellStyle name="Calculation 3 2 5 13 7" xfId="48874"/>
    <cellStyle name="Calculation 3 2 5 14" xfId="1595"/>
    <cellStyle name="Calculation 3 2 5 14 2" xfId="9418"/>
    <cellStyle name="Calculation 3 2 5 14 3" xfId="16846"/>
    <cellStyle name="Calculation 3 2 5 14 4" xfId="24947"/>
    <cellStyle name="Calculation 3 2 5 14 5" xfId="33283"/>
    <cellStyle name="Calculation 3 2 5 14 6" xfId="38904"/>
    <cellStyle name="Calculation 3 2 5 14 7" xfId="50669"/>
    <cellStyle name="Calculation 3 2 5 15" xfId="2564"/>
    <cellStyle name="Calculation 3 2 5 15 2" xfId="10387"/>
    <cellStyle name="Calculation 3 2 5 15 3" xfId="17815"/>
    <cellStyle name="Calculation 3 2 5 15 4" xfId="26125"/>
    <cellStyle name="Calculation 3 2 5 15 5" xfId="34786"/>
    <cellStyle name="Calculation 3 2 5 15 6" xfId="38626"/>
    <cellStyle name="Calculation 3 2 5 15 7" xfId="53262"/>
    <cellStyle name="Calculation 3 2 5 16" xfId="2678"/>
    <cellStyle name="Calculation 3 2 5 16 2" xfId="10501"/>
    <cellStyle name="Calculation 3 2 5 16 3" xfId="17929"/>
    <cellStyle name="Calculation 3 2 5 16 4" xfId="26303"/>
    <cellStyle name="Calculation 3 2 5 16 5" xfId="35020"/>
    <cellStyle name="Calculation 3 2 5 16 6" xfId="41831"/>
    <cellStyle name="Calculation 3 2 5 16 7" xfId="53652"/>
    <cellStyle name="Calculation 3 2 5 17" xfId="2453"/>
    <cellStyle name="Calculation 3 2 5 17 2" xfId="10276"/>
    <cellStyle name="Calculation 3 2 5 17 3" xfId="17704"/>
    <cellStyle name="Calculation 3 2 5 17 4" xfId="19631"/>
    <cellStyle name="Calculation 3 2 5 17 5" xfId="27628"/>
    <cellStyle name="Calculation 3 2 5 17 6" xfId="41518"/>
    <cellStyle name="Calculation 3 2 5 17 7" xfId="49675"/>
    <cellStyle name="Calculation 3 2 5 18" xfId="2295"/>
    <cellStyle name="Calculation 3 2 5 18 2" xfId="10118"/>
    <cellStyle name="Calculation 3 2 5 18 3" xfId="17546"/>
    <cellStyle name="Calculation 3 2 5 18 4" xfId="19465"/>
    <cellStyle name="Calculation 3 2 5 18 5" xfId="33150"/>
    <cellStyle name="Calculation 3 2 5 18 6" xfId="40735"/>
    <cellStyle name="Calculation 3 2 5 18 7" xfId="50428"/>
    <cellStyle name="Calculation 3 2 5 19" xfId="2867"/>
    <cellStyle name="Calculation 3 2 5 19 2" xfId="10690"/>
    <cellStyle name="Calculation 3 2 5 19 3" xfId="18118"/>
    <cellStyle name="Calculation 3 2 5 19 4" xfId="25587"/>
    <cellStyle name="Calculation 3 2 5 19 5" xfId="34095"/>
    <cellStyle name="Calculation 3 2 5 19 6" xfId="37873"/>
    <cellStyle name="Calculation 3 2 5 19 7" xfId="52070"/>
    <cellStyle name="Calculation 3 2 5 2" xfId="734"/>
    <cellStyle name="Calculation 3 2 5 2 2" xfId="8558"/>
    <cellStyle name="Calculation 3 2 5 2 3" xfId="15986"/>
    <cellStyle name="Calculation 3 2 5 2 4" xfId="19935"/>
    <cellStyle name="Calculation 3 2 5 2 5" xfId="26996"/>
    <cellStyle name="Calculation 3 2 5 2 6" xfId="37305"/>
    <cellStyle name="Calculation 3 2 5 2 7" xfId="50174"/>
    <cellStyle name="Calculation 3 2 5 20" xfId="2973"/>
    <cellStyle name="Calculation 3 2 5 20 2" xfId="10796"/>
    <cellStyle name="Calculation 3 2 5 20 3" xfId="18224"/>
    <cellStyle name="Calculation 3 2 5 20 4" xfId="20043"/>
    <cellStyle name="Calculation 3 2 5 20 5" xfId="27809"/>
    <cellStyle name="Calculation 3 2 5 20 6" xfId="37392"/>
    <cellStyle name="Calculation 3 2 5 20 7" xfId="48661"/>
    <cellStyle name="Calculation 3 2 5 21" xfId="3353"/>
    <cellStyle name="Calculation 3 2 5 21 2" xfId="11146"/>
    <cellStyle name="Calculation 3 2 5 21 3" xfId="18472"/>
    <cellStyle name="Calculation 3 2 5 21 4" xfId="26314"/>
    <cellStyle name="Calculation 3 2 5 21 5" xfId="35035"/>
    <cellStyle name="Calculation 3 2 5 21 6" xfId="41757"/>
    <cellStyle name="Calculation 3 2 5 21 7" xfId="53674"/>
    <cellStyle name="Calculation 3 2 5 22" xfId="3473"/>
    <cellStyle name="Calculation 3 2 5 22 2" xfId="11264"/>
    <cellStyle name="Calculation 3 2 5 22 3" xfId="18583"/>
    <cellStyle name="Calculation 3 2 5 22 4" xfId="19681"/>
    <cellStyle name="Calculation 3 2 5 22 5" xfId="27742"/>
    <cellStyle name="Calculation 3 2 5 22 6" xfId="37385"/>
    <cellStyle name="Calculation 3 2 5 22 7" xfId="50201"/>
    <cellStyle name="Calculation 3 2 5 23" xfId="3631"/>
    <cellStyle name="Calculation 3 2 5 23 2" xfId="11416"/>
    <cellStyle name="Calculation 3 2 5 23 3" xfId="18689"/>
    <cellStyle name="Calculation 3 2 5 23 4" xfId="19771"/>
    <cellStyle name="Calculation 3 2 5 23 5" xfId="27331"/>
    <cellStyle name="Calculation 3 2 5 23 6" xfId="42101"/>
    <cellStyle name="Calculation 3 2 5 23 7" xfId="47786"/>
    <cellStyle name="Calculation 3 2 5 24" xfId="3745"/>
    <cellStyle name="Calculation 3 2 5 24 2" xfId="11530"/>
    <cellStyle name="Calculation 3 2 5 24 3" xfId="18800"/>
    <cellStyle name="Calculation 3 2 5 24 4" xfId="26295"/>
    <cellStyle name="Calculation 3 2 5 24 5" xfId="35009"/>
    <cellStyle name="Calculation 3 2 5 24 6" xfId="40026"/>
    <cellStyle name="Calculation 3 2 5 24 7" xfId="53632"/>
    <cellStyle name="Calculation 3 2 5 25" xfId="3874"/>
    <cellStyle name="Calculation 3 2 5 25 2" xfId="11655"/>
    <cellStyle name="Calculation 3 2 5 25 3" xfId="18910"/>
    <cellStyle name="Calculation 3 2 5 25 4" xfId="26563"/>
    <cellStyle name="Calculation 3 2 5 25 5" xfId="35372"/>
    <cellStyle name="Calculation 3 2 5 25 6" xfId="41837"/>
    <cellStyle name="Calculation 3 2 5 25 7" xfId="54196"/>
    <cellStyle name="Calculation 3 2 5 26" xfId="3993"/>
    <cellStyle name="Calculation 3 2 5 26 2" xfId="11772"/>
    <cellStyle name="Calculation 3 2 5 26 3" xfId="19018"/>
    <cellStyle name="Calculation 3 2 5 26 4" xfId="19704"/>
    <cellStyle name="Calculation 3 2 5 26 5" xfId="26799"/>
    <cellStyle name="Calculation 3 2 5 26 6" xfId="37533"/>
    <cellStyle name="Calculation 3 2 5 26 7" xfId="50330"/>
    <cellStyle name="Calculation 3 2 5 27" xfId="3760"/>
    <cellStyle name="Calculation 3 2 5 27 2" xfId="11544"/>
    <cellStyle name="Calculation 3 2 5 27 3" xfId="20610"/>
    <cellStyle name="Calculation 3 2 5 27 4" xfId="28760"/>
    <cellStyle name="Calculation 3 2 5 27 5" xfId="38148"/>
    <cellStyle name="Calculation 3 2 5 27 6" xfId="42536"/>
    <cellStyle name="Calculation 3 2 5 27 7" xfId="52277"/>
    <cellStyle name="Calculation 3 2 5 28" xfId="4188"/>
    <cellStyle name="Calculation 3 2 5 28 2" xfId="11947"/>
    <cellStyle name="Calculation 3 2 5 28 3" xfId="20898"/>
    <cellStyle name="Calculation 3 2 5 28 4" xfId="29085"/>
    <cellStyle name="Calculation 3 2 5 28 5" xfId="38461"/>
    <cellStyle name="Calculation 3 2 5 28 6" xfId="42750"/>
    <cellStyle name="Calculation 3 2 5 28 7" xfId="48087"/>
    <cellStyle name="Calculation 3 2 5 29" xfId="4244"/>
    <cellStyle name="Calculation 3 2 5 29 2" xfId="20954"/>
    <cellStyle name="Calculation 3 2 5 29 3" xfId="29141"/>
    <cellStyle name="Calculation 3 2 5 29 4" xfId="38515"/>
    <cellStyle name="Calculation 3 2 5 29 5" xfId="42806"/>
    <cellStyle name="Calculation 3 2 5 29 6" xfId="48416"/>
    <cellStyle name="Calculation 3 2 5 3" xfId="844"/>
    <cellStyle name="Calculation 3 2 5 3 2" xfId="8668"/>
    <cellStyle name="Calculation 3 2 5 3 3" xfId="16096"/>
    <cellStyle name="Calculation 3 2 5 3 4" xfId="25287"/>
    <cellStyle name="Calculation 3 2 5 3 5" xfId="33699"/>
    <cellStyle name="Calculation 3 2 5 3 6" xfId="37262"/>
    <cellStyle name="Calculation 3 2 5 3 7" xfId="51399"/>
    <cellStyle name="Calculation 3 2 5 30" xfId="4388"/>
    <cellStyle name="Calculation 3 2 5 30 2" xfId="12105"/>
    <cellStyle name="Calculation 3 2 5 30 3" xfId="21098"/>
    <cellStyle name="Calculation 3 2 5 30 4" xfId="29285"/>
    <cellStyle name="Calculation 3 2 5 30 5" xfId="38655"/>
    <cellStyle name="Calculation 3 2 5 30 6" xfId="42950"/>
    <cellStyle name="Calculation 3 2 5 30 7" xfId="49831"/>
    <cellStyle name="Calculation 3 2 5 31" xfId="4507"/>
    <cellStyle name="Calculation 3 2 5 31 2" xfId="12224"/>
    <cellStyle name="Calculation 3 2 5 31 3" xfId="21217"/>
    <cellStyle name="Calculation 3 2 5 31 4" xfId="29404"/>
    <cellStyle name="Calculation 3 2 5 31 5" xfId="38768"/>
    <cellStyle name="Calculation 3 2 5 31 6" xfId="43069"/>
    <cellStyle name="Calculation 3 2 5 31 7" xfId="49589"/>
    <cellStyle name="Calculation 3 2 5 32" xfId="4621"/>
    <cellStyle name="Calculation 3 2 5 32 2" xfId="12338"/>
    <cellStyle name="Calculation 3 2 5 32 3" xfId="21331"/>
    <cellStyle name="Calculation 3 2 5 32 4" xfId="29518"/>
    <cellStyle name="Calculation 3 2 5 32 5" xfId="38877"/>
    <cellStyle name="Calculation 3 2 5 32 6" xfId="43183"/>
    <cellStyle name="Calculation 3 2 5 32 7" xfId="51827"/>
    <cellStyle name="Calculation 3 2 5 33" xfId="4734"/>
    <cellStyle name="Calculation 3 2 5 33 2" xfId="12451"/>
    <cellStyle name="Calculation 3 2 5 33 3" xfId="21444"/>
    <cellStyle name="Calculation 3 2 5 33 4" xfId="29631"/>
    <cellStyle name="Calculation 3 2 5 33 5" xfId="38986"/>
    <cellStyle name="Calculation 3 2 5 33 6" xfId="43296"/>
    <cellStyle name="Calculation 3 2 5 33 7" xfId="50893"/>
    <cellStyle name="Calculation 3 2 5 34" xfId="4844"/>
    <cellStyle name="Calculation 3 2 5 34 2" xfId="12561"/>
    <cellStyle name="Calculation 3 2 5 34 3" xfId="21554"/>
    <cellStyle name="Calculation 3 2 5 34 4" xfId="29741"/>
    <cellStyle name="Calculation 3 2 5 34 5" xfId="39092"/>
    <cellStyle name="Calculation 3 2 5 34 6" xfId="43406"/>
    <cellStyle name="Calculation 3 2 5 34 7" xfId="47687"/>
    <cellStyle name="Calculation 3 2 5 35" xfId="4954"/>
    <cellStyle name="Calculation 3 2 5 35 2" xfId="12671"/>
    <cellStyle name="Calculation 3 2 5 35 3" xfId="21664"/>
    <cellStyle name="Calculation 3 2 5 35 4" xfId="29851"/>
    <cellStyle name="Calculation 3 2 5 35 5" xfId="39198"/>
    <cellStyle name="Calculation 3 2 5 35 6" xfId="43516"/>
    <cellStyle name="Calculation 3 2 5 35 7" xfId="52566"/>
    <cellStyle name="Calculation 3 2 5 36" xfId="5063"/>
    <cellStyle name="Calculation 3 2 5 36 2" xfId="12780"/>
    <cellStyle name="Calculation 3 2 5 36 3" xfId="21773"/>
    <cellStyle name="Calculation 3 2 5 36 4" xfId="29960"/>
    <cellStyle name="Calculation 3 2 5 36 5" xfId="39303"/>
    <cellStyle name="Calculation 3 2 5 36 6" xfId="43625"/>
    <cellStyle name="Calculation 3 2 5 36 7" xfId="48392"/>
    <cellStyle name="Calculation 3 2 5 37" xfId="5445"/>
    <cellStyle name="Calculation 3 2 5 37 2" xfId="13162"/>
    <cellStyle name="Calculation 3 2 5 37 3" xfId="22155"/>
    <cellStyle name="Calculation 3 2 5 37 4" xfId="30342"/>
    <cellStyle name="Calculation 3 2 5 37 5" xfId="39671"/>
    <cellStyle name="Calculation 3 2 5 37 6" xfId="44007"/>
    <cellStyle name="Calculation 3 2 5 37 7" xfId="54267"/>
    <cellStyle name="Calculation 3 2 5 38" xfId="5564"/>
    <cellStyle name="Calculation 3 2 5 38 2" xfId="13281"/>
    <cellStyle name="Calculation 3 2 5 38 3" xfId="22274"/>
    <cellStyle name="Calculation 3 2 5 38 4" xfId="30461"/>
    <cellStyle name="Calculation 3 2 5 38 5" xfId="39784"/>
    <cellStyle name="Calculation 3 2 5 38 6" xfId="44126"/>
    <cellStyle name="Calculation 3 2 5 38 7" xfId="47168"/>
    <cellStyle name="Calculation 3 2 5 39" xfId="5690"/>
    <cellStyle name="Calculation 3 2 5 39 2" xfId="13407"/>
    <cellStyle name="Calculation 3 2 5 39 3" xfId="22400"/>
    <cellStyle name="Calculation 3 2 5 39 4" xfId="30587"/>
    <cellStyle name="Calculation 3 2 5 39 5" xfId="39905"/>
    <cellStyle name="Calculation 3 2 5 39 6" xfId="44252"/>
    <cellStyle name="Calculation 3 2 5 39 7" xfId="47014"/>
    <cellStyle name="Calculation 3 2 5 4" xfId="953"/>
    <cellStyle name="Calculation 3 2 5 4 2" xfId="8777"/>
    <cellStyle name="Calculation 3 2 5 4 3" xfId="16205"/>
    <cellStyle name="Calculation 3 2 5 4 4" xfId="26311"/>
    <cellStyle name="Calculation 3 2 5 4 5" xfId="35030"/>
    <cellStyle name="Calculation 3 2 5 4 6" xfId="37148"/>
    <cellStyle name="Calculation 3 2 5 4 7" xfId="53666"/>
    <cellStyle name="Calculation 3 2 5 40" xfId="5805"/>
    <cellStyle name="Calculation 3 2 5 40 2" xfId="13522"/>
    <cellStyle name="Calculation 3 2 5 40 3" xfId="22515"/>
    <cellStyle name="Calculation 3 2 5 40 4" xfId="30702"/>
    <cellStyle name="Calculation 3 2 5 40 5" xfId="40017"/>
    <cellStyle name="Calculation 3 2 5 40 6" xfId="44367"/>
    <cellStyle name="Calculation 3 2 5 40 7" xfId="52931"/>
    <cellStyle name="Calculation 3 2 5 41" xfId="5924"/>
    <cellStyle name="Calculation 3 2 5 41 2" xfId="13641"/>
    <cellStyle name="Calculation 3 2 5 41 3" xfId="22634"/>
    <cellStyle name="Calculation 3 2 5 41 4" xfId="30821"/>
    <cellStyle name="Calculation 3 2 5 41 5" xfId="40133"/>
    <cellStyle name="Calculation 3 2 5 41 6" xfId="44486"/>
    <cellStyle name="Calculation 3 2 5 41 7" xfId="54070"/>
    <cellStyle name="Calculation 3 2 5 42" xfId="6049"/>
    <cellStyle name="Calculation 3 2 5 42 2" xfId="13766"/>
    <cellStyle name="Calculation 3 2 5 42 3" xfId="22759"/>
    <cellStyle name="Calculation 3 2 5 42 4" xfId="30946"/>
    <cellStyle name="Calculation 3 2 5 42 5" xfId="40253"/>
    <cellStyle name="Calculation 3 2 5 42 6" xfId="44611"/>
    <cellStyle name="Calculation 3 2 5 42 7" xfId="49297"/>
    <cellStyle name="Calculation 3 2 5 43" xfId="6177"/>
    <cellStyle name="Calculation 3 2 5 43 2" xfId="13894"/>
    <cellStyle name="Calculation 3 2 5 43 3" xfId="22887"/>
    <cellStyle name="Calculation 3 2 5 43 4" xfId="31074"/>
    <cellStyle name="Calculation 3 2 5 43 5" xfId="40375"/>
    <cellStyle name="Calculation 3 2 5 43 6" xfId="44739"/>
    <cellStyle name="Calculation 3 2 5 43 7" xfId="50450"/>
    <cellStyle name="Calculation 3 2 5 44" xfId="6306"/>
    <cellStyle name="Calculation 3 2 5 44 2" xfId="14023"/>
    <cellStyle name="Calculation 3 2 5 44 3" xfId="23016"/>
    <cellStyle name="Calculation 3 2 5 44 4" xfId="31203"/>
    <cellStyle name="Calculation 3 2 5 44 5" xfId="40503"/>
    <cellStyle name="Calculation 3 2 5 44 6" xfId="44868"/>
    <cellStyle name="Calculation 3 2 5 44 7" xfId="53397"/>
    <cellStyle name="Calculation 3 2 5 45" xfId="6420"/>
    <cellStyle name="Calculation 3 2 5 45 2" xfId="14137"/>
    <cellStyle name="Calculation 3 2 5 45 3" xfId="23130"/>
    <cellStyle name="Calculation 3 2 5 45 4" xfId="31317"/>
    <cellStyle name="Calculation 3 2 5 45 5" xfId="40612"/>
    <cellStyle name="Calculation 3 2 5 45 6" xfId="44982"/>
    <cellStyle name="Calculation 3 2 5 45 7" xfId="54380"/>
    <cellStyle name="Calculation 3 2 5 46" xfId="6533"/>
    <cellStyle name="Calculation 3 2 5 46 2" xfId="14250"/>
    <cellStyle name="Calculation 3 2 5 46 3" xfId="23243"/>
    <cellStyle name="Calculation 3 2 5 46 4" xfId="31430"/>
    <cellStyle name="Calculation 3 2 5 46 5" xfId="40721"/>
    <cellStyle name="Calculation 3 2 5 46 6" xfId="45095"/>
    <cellStyle name="Calculation 3 2 5 46 7" xfId="50632"/>
    <cellStyle name="Calculation 3 2 5 47" xfId="5196"/>
    <cellStyle name="Calculation 3 2 5 47 2" xfId="12913"/>
    <cellStyle name="Calculation 3 2 5 47 3" xfId="21906"/>
    <cellStyle name="Calculation 3 2 5 47 4" xfId="30093"/>
    <cellStyle name="Calculation 3 2 5 47 5" xfId="39430"/>
    <cellStyle name="Calculation 3 2 5 47 6" xfId="43758"/>
    <cellStyle name="Calculation 3 2 5 47 7" xfId="49865"/>
    <cellStyle name="Calculation 3 2 5 48" xfId="6679"/>
    <cellStyle name="Calculation 3 2 5 48 2" xfId="14396"/>
    <cellStyle name="Calculation 3 2 5 48 3" xfId="23389"/>
    <cellStyle name="Calculation 3 2 5 48 4" xfId="31576"/>
    <cellStyle name="Calculation 3 2 5 48 5" xfId="40860"/>
    <cellStyle name="Calculation 3 2 5 48 6" xfId="45241"/>
    <cellStyle name="Calculation 3 2 5 48 7" xfId="50057"/>
    <cellStyle name="Calculation 3 2 5 49" xfId="6791"/>
    <cellStyle name="Calculation 3 2 5 49 2" xfId="14508"/>
    <cellStyle name="Calculation 3 2 5 49 3" xfId="23501"/>
    <cellStyle name="Calculation 3 2 5 49 4" xfId="31688"/>
    <cellStyle name="Calculation 3 2 5 49 5" xfId="40967"/>
    <cellStyle name="Calculation 3 2 5 49 6" xfId="45353"/>
    <cellStyle name="Calculation 3 2 5 49 7" xfId="53034"/>
    <cellStyle name="Calculation 3 2 5 5" xfId="1424"/>
    <cellStyle name="Calculation 3 2 5 5 2" xfId="9247"/>
    <cellStyle name="Calculation 3 2 5 5 3" xfId="16675"/>
    <cellStyle name="Calculation 3 2 5 5 4" xfId="26273"/>
    <cellStyle name="Calculation 3 2 5 5 5" xfId="34973"/>
    <cellStyle name="Calculation 3 2 5 5 6" xfId="41589"/>
    <cellStyle name="Calculation 3 2 5 5 7" xfId="53582"/>
    <cellStyle name="Calculation 3 2 5 50" xfId="6905"/>
    <cellStyle name="Calculation 3 2 5 50 2" xfId="14622"/>
    <cellStyle name="Calculation 3 2 5 50 3" xfId="23615"/>
    <cellStyle name="Calculation 3 2 5 50 4" xfId="31802"/>
    <cellStyle name="Calculation 3 2 5 50 5" xfId="41074"/>
    <cellStyle name="Calculation 3 2 5 50 6" xfId="45467"/>
    <cellStyle name="Calculation 3 2 5 50 7" xfId="47053"/>
    <cellStyle name="Calculation 3 2 5 51" xfId="7018"/>
    <cellStyle name="Calculation 3 2 5 51 2" xfId="14735"/>
    <cellStyle name="Calculation 3 2 5 51 3" xfId="23728"/>
    <cellStyle name="Calculation 3 2 5 51 4" xfId="31915"/>
    <cellStyle name="Calculation 3 2 5 51 5" xfId="41182"/>
    <cellStyle name="Calculation 3 2 5 51 6" xfId="45580"/>
    <cellStyle name="Calculation 3 2 5 51 7" xfId="47216"/>
    <cellStyle name="Calculation 3 2 5 52" xfId="7127"/>
    <cellStyle name="Calculation 3 2 5 52 2" xfId="14844"/>
    <cellStyle name="Calculation 3 2 5 52 3" xfId="23837"/>
    <cellStyle name="Calculation 3 2 5 52 4" xfId="32024"/>
    <cellStyle name="Calculation 3 2 5 52 5" xfId="41286"/>
    <cellStyle name="Calculation 3 2 5 52 6" xfId="45689"/>
    <cellStyle name="Calculation 3 2 5 52 7" xfId="52721"/>
    <cellStyle name="Calculation 3 2 5 53" xfId="7377"/>
    <cellStyle name="Calculation 3 2 5 53 2" xfId="15094"/>
    <cellStyle name="Calculation 3 2 5 53 3" xfId="24087"/>
    <cellStyle name="Calculation 3 2 5 53 4" xfId="32274"/>
    <cellStyle name="Calculation 3 2 5 53 5" xfId="41530"/>
    <cellStyle name="Calculation 3 2 5 53 6" xfId="45939"/>
    <cellStyle name="Calculation 3 2 5 53 7" xfId="52381"/>
    <cellStyle name="Calculation 3 2 5 54" xfId="7291"/>
    <cellStyle name="Calculation 3 2 5 54 2" xfId="15008"/>
    <cellStyle name="Calculation 3 2 5 54 3" xfId="24001"/>
    <cellStyle name="Calculation 3 2 5 54 4" xfId="32188"/>
    <cellStyle name="Calculation 3 2 5 54 5" xfId="41444"/>
    <cellStyle name="Calculation 3 2 5 54 6" xfId="45853"/>
    <cellStyle name="Calculation 3 2 5 54 7" xfId="50214"/>
    <cellStyle name="Calculation 3 2 5 55" xfId="7524"/>
    <cellStyle name="Calculation 3 2 5 55 2" xfId="15241"/>
    <cellStyle name="Calculation 3 2 5 55 3" xfId="24234"/>
    <cellStyle name="Calculation 3 2 5 55 4" xfId="32421"/>
    <cellStyle name="Calculation 3 2 5 55 5" xfId="41667"/>
    <cellStyle name="Calculation 3 2 5 55 6" xfId="46086"/>
    <cellStyle name="Calculation 3 2 5 55 7" xfId="49183"/>
    <cellStyle name="Calculation 3 2 5 56" xfId="7645"/>
    <cellStyle name="Calculation 3 2 5 56 2" xfId="15362"/>
    <cellStyle name="Calculation 3 2 5 56 3" xfId="24355"/>
    <cellStyle name="Calculation 3 2 5 56 4" xfId="32542"/>
    <cellStyle name="Calculation 3 2 5 56 5" xfId="41784"/>
    <cellStyle name="Calculation 3 2 5 56 6" xfId="46207"/>
    <cellStyle name="Calculation 3 2 5 56 7" xfId="51305"/>
    <cellStyle name="Calculation 3 2 5 57" xfId="7923"/>
    <cellStyle name="Calculation 3 2 5 57 2" xfId="15640"/>
    <cellStyle name="Calculation 3 2 5 57 3" xfId="24627"/>
    <cellStyle name="Calculation 3 2 5 57 4" xfId="32820"/>
    <cellStyle name="Calculation 3 2 5 57 5" xfId="42051"/>
    <cellStyle name="Calculation 3 2 5 57 6" xfId="46485"/>
    <cellStyle name="Calculation 3 2 5 57 7" xfId="50704"/>
    <cellStyle name="Calculation 3 2 5 58" xfId="8052"/>
    <cellStyle name="Calculation 3 2 5 58 2" xfId="15769"/>
    <cellStyle name="Calculation 3 2 5 58 3" xfId="24754"/>
    <cellStyle name="Calculation 3 2 5 58 4" xfId="32949"/>
    <cellStyle name="Calculation 3 2 5 58 5" xfId="42174"/>
    <cellStyle name="Calculation 3 2 5 58 6" xfId="46614"/>
    <cellStyle name="Calculation 3 2 5 58 7" xfId="51937"/>
    <cellStyle name="Calculation 3 2 5 59" xfId="7673"/>
    <cellStyle name="Calculation 3 2 5 59 2" xfId="15390"/>
    <cellStyle name="Calculation 3 2 5 59 3" xfId="24382"/>
    <cellStyle name="Calculation 3 2 5 59 4" xfId="32570"/>
    <cellStyle name="Calculation 3 2 5 59 5" xfId="41809"/>
    <cellStyle name="Calculation 3 2 5 59 6" xfId="46235"/>
    <cellStyle name="Calculation 3 2 5 59 7" xfId="48567"/>
    <cellStyle name="Calculation 3 2 5 6" xfId="1546"/>
    <cellStyle name="Calculation 3 2 5 6 2" xfId="9369"/>
    <cellStyle name="Calculation 3 2 5 6 3" xfId="16797"/>
    <cellStyle name="Calculation 3 2 5 6 4" xfId="24924"/>
    <cellStyle name="Calculation 3 2 5 6 5" xfId="33254"/>
    <cellStyle name="Calculation 3 2 5 6 6" xfId="37230"/>
    <cellStyle name="Calculation 3 2 5 6 7" xfId="50623"/>
    <cellStyle name="Calculation 3 2 5 60" xfId="8197"/>
    <cellStyle name="Calculation 3 2 5 60 2" xfId="15914"/>
    <cellStyle name="Calculation 3 2 5 60 3" xfId="33094"/>
    <cellStyle name="Calculation 3 2 5 60 4" xfId="42313"/>
    <cellStyle name="Calculation 3 2 5 60 5" xfId="46759"/>
    <cellStyle name="Calculation 3 2 5 60 6" xfId="46859"/>
    <cellStyle name="Calculation 3 2 5 61" xfId="19545"/>
    <cellStyle name="Calculation 3 2 5 62" xfId="27862"/>
    <cellStyle name="Calculation 3 2 5 63" xfId="38138"/>
    <cellStyle name="Calculation 3 2 5 64" xfId="50016"/>
    <cellStyle name="Calculation 3 2 5 7" xfId="1293"/>
    <cellStyle name="Calculation 3 2 5 7 2" xfId="9116"/>
    <cellStyle name="Calculation 3 2 5 7 3" xfId="16544"/>
    <cellStyle name="Calculation 3 2 5 7 4" xfId="19262"/>
    <cellStyle name="Calculation 3 2 5 7 5" xfId="27096"/>
    <cellStyle name="Calculation 3 2 5 7 6" xfId="38705"/>
    <cellStyle name="Calculation 3 2 5 7 7" xfId="47361"/>
    <cellStyle name="Calculation 3 2 5 8" xfId="1785"/>
    <cellStyle name="Calculation 3 2 5 8 2" xfId="9608"/>
    <cellStyle name="Calculation 3 2 5 8 3" xfId="17036"/>
    <cellStyle name="Calculation 3 2 5 8 4" xfId="25939"/>
    <cellStyle name="Calculation 3 2 5 8 5" xfId="34544"/>
    <cellStyle name="Calculation 3 2 5 8 6" xfId="36984"/>
    <cellStyle name="Calculation 3 2 5 8 7" xfId="52869"/>
    <cellStyle name="Calculation 3 2 5 9" xfId="1917"/>
    <cellStyle name="Calculation 3 2 5 9 2" xfId="9740"/>
    <cellStyle name="Calculation 3 2 5 9 3" xfId="17168"/>
    <cellStyle name="Calculation 3 2 5 9 4" xfId="19588"/>
    <cellStyle name="Calculation 3 2 5 9 5" xfId="28013"/>
    <cellStyle name="Calculation 3 2 5 9 6" xfId="36392"/>
    <cellStyle name="Calculation 3 2 5 9 7" xfId="46909"/>
    <cellStyle name="Calculation 3 2 50" xfId="5361"/>
    <cellStyle name="Calculation 3 2 50 2" xfId="13078"/>
    <cellStyle name="Calculation 3 2 50 3" xfId="22071"/>
    <cellStyle name="Calculation 3 2 50 4" xfId="30258"/>
    <cellStyle name="Calculation 3 2 50 5" xfId="39590"/>
    <cellStyle name="Calculation 3 2 50 6" xfId="43923"/>
    <cellStyle name="Calculation 3 2 50 7" xfId="49814"/>
    <cellStyle name="Calculation 3 2 51" xfId="6190"/>
    <cellStyle name="Calculation 3 2 51 2" xfId="13907"/>
    <cellStyle name="Calculation 3 2 51 3" xfId="22900"/>
    <cellStyle name="Calculation 3 2 51 4" xfId="31087"/>
    <cellStyle name="Calculation 3 2 51 5" xfId="40388"/>
    <cellStyle name="Calculation 3 2 51 6" xfId="44752"/>
    <cellStyle name="Calculation 3 2 51 7" xfId="49096"/>
    <cellStyle name="Calculation 3 2 52" xfId="5214"/>
    <cellStyle name="Calculation 3 2 52 2" xfId="12931"/>
    <cellStyle name="Calculation 3 2 52 3" xfId="21924"/>
    <cellStyle name="Calculation 3 2 52 4" xfId="30111"/>
    <cellStyle name="Calculation 3 2 52 5" xfId="39446"/>
    <cellStyle name="Calculation 3 2 52 6" xfId="43776"/>
    <cellStyle name="Calculation 3 2 52 7" xfId="52525"/>
    <cellStyle name="Calculation 3 2 53" xfId="5083"/>
    <cellStyle name="Calculation 3 2 53 2" xfId="12800"/>
    <cellStyle name="Calculation 3 2 53 3" xfId="21793"/>
    <cellStyle name="Calculation 3 2 53 4" xfId="29980"/>
    <cellStyle name="Calculation 3 2 53 5" xfId="39323"/>
    <cellStyle name="Calculation 3 2 53 6" xfId="43645"/>
    <cellStyle name="Calculation 3 2 53 7" xfId="52780"/>
    <cellStyle name="Calculation 3 2 54" xfId="6568"/>
    <cellStyle name="Calculation 3 2 54 2" xfId="14285"/>
    <cellStyle name="Calculation 3 2 54 3" xfId="23278"/>
    <cellStyle name="Calculation 3 2 54 4" xfId="31465"/>
    <cellStyle name="Calculation 3 2 54 5" xfId="40753"/>
    <cellStyle name="Calculation 3 2 54 6" xfId="45130"/>
    <cellStyle name="Calculation 3 2 54 7" xfId="48195"/>
    <cellStyle name="Calculation 3 2 55" xfId="6551"/>
    <cellStyle name="Calculation 3 2 55 2" xfId="14268"/>
    <cellStyle name="Calculation 3 2 55 3" xfId="23261"/>
    <cellStyle name="Calculation 3 2 55 4" xfId="31448"/>
    <cellStyle name="Calculation 3 2 55 5" xfId="40737"/>
    <cellStyle name="Calculation 3 2 55 6" xfId="45113"/>
    <cellStyle name="Calculation 3 2 55 7" xfId="47823"/>
    <cellStyle name="Calculation 3 2 56" xfId="6098"/>
    <cellStyle name="Calculation 3 2 56 2" xfId="13815"/>
    <cellStyle name="Calculation 3 2 56 3" xfId="22808"/>
    <cellStyle name="Calculation 3 2 56 4" xfId="30995"/>
    <cellStyle name="Calculation 3 2 56 5" xfId="40298"/>
    <cellStyle name="Calculation 3 2 56 6" xfId="44660"/>
    <cellStyle name="Calculation 3 2 56 7" xfId="51423"/>
    <cellStyle name="Calculation 3 2 57" xfId="6054"/>
    <cellStyle name="Calculation 3 2 57 2" xfId="13771"/>
    <cellStyle name="Calculation 3 2 57 3" xfId="22764"/>
    <cellStyle name="Calculation 3 2 57 4" xfId="30951"/>
    <cellStyle name="Calculation 3 2 57 5" xfId="40258"/>
    <cellStyle name="Calculation 3 2 57 6" xfId="44616"/>
    <cellStyle name="Calculation 3 2 57 7" xfId="48801"/>
    <cellStyle name="Calculation 3 2 58" xfId="7278"/>
    <cellStyle name="Calculation 3 2 58 2" xfId="14995"/>
    <cellStyle name="Calculation 3 2 58 3" xfId="23988"/>
    <cellStyle name="Calculation 3 2 58 4" xfId="32175"/>
    <cellStyle name="Calculation 3 2 58 5" xfId="41431"/>
    <cellStyle name="Calculation 3 2 58 6" xfId="45840"/>
    <cellStyle name="Calculation 3 2 58 7" xfId="51467"/>
    <cellStyle name="Calculation 3 2 59" xfId="7416"/>
    <cellStyle name="Calculation 3 2 59 2" xfId="15133"/>
    <cellStyle name="Calculation 3 2 59 3" xfId="24126"/>
    <cellStyle name="Calculation 3 2 59 4" xfId="32313"/>
    <cellStyle name="Calculation 3 2 59 5" xfId="41565"/>
    <cellStyle name="Calculation 3 2 59 6" xfId="45978"/>
    <cellStyle name="Calculation 3 2 59 7" xfId="51881"/>
    <cellStyle name="Calculation 3 2 6" xfId="594"/>
    <cellStyle name="Calculation 3 2 6 10" xfId="2040"/>
    <cellStyle name="Calculation 3 2 6 10 2" xfId="9863"/>
    <cellStyle name="Calculation 3 2 6 10 3" xfId="17291"/>
    <cellStyle name="Calculation 3 2 6 10 4" xfId="19117"/>
    <cellStyle name="Calculation 3 2 6 10 5" xfId="26867"/>
    <cellStyle name="Calculation 3 2 6 10 6" xfId="38641"/>
    <cellStyle name="Calculation 3 2 6 10 7" xfId="47290"/>
    <cellStyle name="Calculation 3 2 6 11" xfId="2154"/>
    <cellStyle name="Calculation 3 2 6 11 2" xfId="9977"/>
    <cellStyle name="Calculation 3 2 6 11 3" xfId="17405"/>
    <cellStyle name="Calculation 3 2 6 11 4" xfId="20079"/>
    <cellStyle name="Calculation 3 2 6 11 5" xfId="28173"/>
    <cellStyle name="Calculation 3 2 6 11 6" xfId="41835"/>
    <cellStyle name="Calculation 3 2 6 11 7" xfId="49362"/>
    <cellStyle name="Calculation 3 2 6 12" xfId="2271"/>
    <cellStyle name="Calculation 3 2 6 12 2" xfId="10094"/>
    <cellStyle name="Calculation 3 2 6 12 3" xfId="17522"/>
    <cellStyle name="Calculation 3 2 6 12 4" xfId="25880"/>
    <cellStyle name="Calculation 3 2 6 12 5" xfId="34470"/>
    <cellStyle name="Calculation 3 2 6 12 6" xfId="37603"/>
    <cellStyle name="Calculation 3 2 6 12 7" xfId="52740"/>
    <cellStyle name="Calculation 3 2 6 13" xfId="1576"/>
    <cellStyle name="Calculation 3 2 6 13 2" xfId="9399"/>
    <cellStyle name="Calculation 3 2 6 13 3" xfId="16827"/>
    <cellStyle name="Calculation 3 2 6 13 4" xfId="25898"/>
    <cellStyle name="Calculation 3 2 6 13 5" xfId="34493"/>
    <cellStyle name="Calculation 3 2 6 13 6" xfId="40885"/>
    <cellStyle name="Calculation 3 2 6 13 7" xfId="52777"/>
    <cellStyle name="Calculation 3 2 6 14" xfId="1166"/>
    <cellStyle name="Calculation 3 2 6 14 2" xfId="8989"/>
    <cellStyle name="Calculation 3 2 6 14 3" xfId="16417"/>
    <cellStyle name="Calculation 3 2 6 14 4" xfId="20363"/>
    <cellStyle name="Calculation 3 2 6 14 5" xfId="27812"/>
    <cellStyle name="Calculation 3 2 6 14 6" xfId="37729"/>
    <cellStyle name="Calculation 3 2 6 14 7" xfId="47960"/>
    <cellStyle name="Calculation 3 2 6 15" xfId="2567"/>
    <cellStyle name="Calculation 3 2 6 15 2" xfId="10390"/>
    <cellStyle name="Calculation 3 2 6 15 3" xfId="17818"/>
    <cellStyle name="Calculation 3 2 6 15 4" xfId="20384"/>
    <cellStyle name="Calculation 3 2 6 15 5" xfId="27429"/>
    <cellStyle name="Calculation 3 2 6 15 6" xfId="38434"/>
    <cellStyle name="Calculation 3 2 6 15 7" xfId="48079"/>
    <cellStyle name="Calculation 3 2 6 16" xfId="2681"/>
    <cellStyle name="Calculation 3 2 6 16 2" xfId="10504"/>
    <cellStyle name="Calculation 3 2 6 16 3" xfId="17932"/>
    <cellStyle name="Calculation 3 2 6 16 4" xfId="20528"/>
    <cellStyle name="Calculation 3 2 6 16 5" xfId="27942"/>
    <cellStyle name="Calculation 3 2 6 16 6" xfId="41688"/>
    <cellStyle name="Calculation 3 2 6 16 7" xfId="48519"/>
    <cellStyle name="Calculation 3 2 6 17" xfId="2450"/>
    <cellStyle name="Calculation 3 2 6 17 2" xfId="10273"/>
    <cellStyle name="Calculation 3 2 6 17 3" xfId="17701"/>
    <cellStyle name="Calculation 3 2 6 17 4" xfId="19241"/>
    <cellStyle name="Calculation 3 2 6 17 5" xfId="27719"/>
    <cellStyle name="Calculation 3 2 6 17 6" xfId="41727"/>
    <cellStyle name="Calculation 3 2 6 17 7" xfId="48777"/>
    <cellStyle name="Calculation 3 2 6 18" xfId="1060"/>
    <cellStyle name="Calculation 3 2 6 18 2" xfId="8884"/>
    <cellStyle name="Calculation 3 2 6 18 3" xfId="16312"/>
    <cellStyle name="Calculation 3 2 6 18 4" xfId="25530"/>
    <cellStyle name="Calculation 3 2 6 18 5" xfId="34016"/>
    <cellStyle name="Calculation 3 2 6 18 6" xfId="36890"/>
    <cellStyle name="Calculation 3 2 6 18 7" xfId="51944"/>
    <cellStyle name="Calculation 3 2 6 19" xfId="2870"/>
    <cellStyle name="Calculation 3 2 6 19 2" xfId="10693"/>
    <cellStyle name="Calculation 3 2 6 19 3" xfId="18121"/>
    <cellStyle name="Calculation 3 2 6 19 4" xfId="25396"/>
    <cellStyle name="Calculation 3 2 6 19 5" xfId="33845"/>
    <cellStyle name="Calculation 3 2 6 19 6" xfId="37553"/>
    <cellStyle name="Calculation 3 2 6 19 7" xfId="51631"/>
    <cellStyle name="Calculation 3 2 6 2" xfId="737"/>
    <cellStyle name="Calculation 3 2 6 2 2" xfId="8561"/>
    <cellStyle name="Calculation 3 2 6 2 3" xfId="15989"/>
    <cellStyle name="Calculation 3 2 6 2 4" xfId="19762"/>
    <cellStyle name="Calculation 3 2 6 2 5" xfId="28571"/>
    <cellStyle name="Calculation 3 2 6 2 6" xfId="37150"/>
    <cellStyle name="Calculation 3 2 6 2 7" xfId="49490"/>
    <cellStyle name="Calculation 3 2 6 20" xfId="2976"/>
    <cellStyle name="Calculation 3 2 6 20 2" xfId="10799"/>
    <cellStyle name="Calculation 3 2 6 20 3" xfId="18227"/>
    <cellStyle name="Calculation 3 2 6 20 4" xfId="25101"/>
    <cellStyle name="Calculation 3 2 6 20 5" xfId="33465"/>
    <cellStyle name="Calculation 3 2 6 20 6" xfId="37225"/>
    <cellStyle name="Calculation 3 2 6 20 7" xfId="51011"/>
    <cellStyle name="Calculation 3 2 6 21" xfId="3357"/>
    <cellStyle name="Calculation 3 2 6 21 2" xfId="11150"/>
    <cellStyle name="Calculation 3 2 6 21 3" xfId="18476"/>
    <cellStyle name="Calculation 3 2 6 21 4" xfId="26667"/>
    <cellStyle name="Calculation 3 2 6 21 5" xfId="35514"/>
    <cellStyle name="Calculation 3 2 6 21 6" xfId="41259"/>
    <cellStyle name="Calculation 3 2 6 21 7" xfId="54428"/>
    <cellStyle name="Calculation 3 2 6 22" xfId="3476"/>
    <cellStyle name="Calculation 3 2 6 22 2" xfId="11267"/>
    <cellStyle name="Calculation 3 2 6 22 3" xfId="18586"/>
    <cellStyle name="Calculation 3 2 6 22 4" xfId="24852"/>
    <cellStyle name="Calculation 3 2 6 22 5" xfId="27353"/>
    <cellStyle name="Calculation 3 2 6 22 6" xfId="37219"/>
    <cellStyle name="Calculation 3 2 6 22 7" xfId="49939"/>
    <cellStyle name="Calculation 3 2 6 23" xfId="3634"/>
    <cellStyle name="Calculation 3 2 6 23 2" xfId="11419"/>
    <cellStyle name="Calculation 3 2 6 23 3" xfId="18692"/>
    <cellStyle name="Calculation 3 2 6 23 4" xfId="19615"/>
    <cellStyle name="Calculation 3 2 6 23 5" xfId="28708"/>
    <cellStyle name="Calculation 3 2 6 23 6" xfId="41558"/>
    <cellStyle name="Calculation 3 2 6 23 7" xfId="48617"/>
    <cellStyle name="Calculation 3 2 6 24" xfId="3749"/>
    <cellStyle name="Calculation 3 2 6 24 2" xfId="11534"/>
    <cellStyle name="Calculation 3 2 6 24 3" xfId="18804"/>
    <cellStyle name="Calculation 3 2 6 24 4" xfId="26097"/>
    <cellStyle name="Calculation 3 2 6 24 5" xfId="34750"/>
    <cellStyle name="Calculation 3 2 6 24 6" xfId="39930"/>
    <cellStyle name="Calculation 3 2 6 24 7" xfId="53204"/>
    <cellStyle name="Calculation 3 2 6 25" xfId="3878"/>
    <cellStyle name="Calculation 3 2 6 25 2" xfId="11659"/>
    <cellStyle name="Calculation 3 2 6 25 3" xfId="18913"/>
    <cellStyle name="Calculation 3 2 6 25 4" xfId="26343"/>
    <cellStyle name="Calculation 3 2 6 25 5" xfId="35069"/>
    <cellStyle name="Calculation 3 2 6 25 6" xfId="41580"/>
    <cellStyle name="Calculation 3 2 6 25 7" xfId="53723"/>
    <cellStyle name="Calculation 3 2 6 26" xfId="3997"/>
    <cellStyle name="Calculation 3 2 6 26 2" xfId="11776"/>
    <cellStyle name="Calculation 3 2 6 26 3" xfId="19021"/>
    <cellStyle name="Calculation 3 2 6 26 4" xfId="19464"/>
    <cellStyle name="Calculation 3 2 6 26 5" xfId="28683"/>
    <cellStyle name="Calculation 3 2 6 26 6" xfId="37370"/>
    <cellStyle name="Calculation 3 2 6 26 7" xfId="50188"/>
    <cellStyle name="Calculation 3 2 6 27" xfId="3762"/>
    <cellStyle name="Calculation 3 2 6 27 2" xfId="11546"/>
    <cellStyle name="Calculation 3 2 6 27 3" xfId="20612"/>
    <cellStyle name="Calculation 3 2 6 27 4" xfId="28762"/>
    <cellStyle name="Calculation 3 2 6 27 5" xfId="38150"/>
    <cellStyle name="Calculation 3 2 6 27 6" xfId="42538"/>
    <cellStyle name="Calculation 3 2 6 27 7" xfId="52058"/>
    <cellStyle name="Calculation 3 2 6 28" xfId="4191"/>
    <cellStyle name="Calculation 3 2 6 28 2" xfId="11950"/>
    <cellStyle name="Calculation 3 2 6 28 3" xfId="20901"/>
    <cellStyle name="Calculation 3 2 6 28 4" xfId="29088"/>
    <cellStyle name="Calculation 3 2 6 28 5" xfId="38464"/>
    <cellStyle name="Calculation 3 2 6 28 6" xfId="42753"/>
    <cellStyle name="Calculation 3 2 6 28 7" xfId="52814"/>
    <cellStyle name="Calculation 3 2 6 29" xfId="4269"/>
    <cellStyle name="Calculation 3 2 6 29 2" xfId="20979"/>
    <cellStyle name="Calculation 3 2 6 29 3" xfId="29166"/>
    <cellStyle name="Calculation 3 2 6 29 4" xfId="38539"/>
    <cellStyle name="Calculation 3 2 6 29 5" xfId="42831"/>
    <cellStyle name="Calculation 3 2 6 29 6" xfId="52330"/>
    <cellStyle name="Calculation 3 2 6 3" xfId="848"/>
    <cellStyle name="Calculation 3 2 6 3 2" xfId="8672"/>
    <cellStyle name="Calculation 3 2 6 3 3" xfId="16100"/>
    <cellStyle name="Calculation 3 2 6 3 4" xfId="25085"/>
    <cellStyle name="Calculation 3 2 6 3 5" xfId="33446"/>
    <cellStyle name="Calculation 3 2 6 3 6" xfId="36260"/>
    <cellStyle name="Calculation 3 2 6 3 7" xfId="50974"/>
    <cellStyle name="Calculation 3 2 6 30" xfId="4392"/>
    <cellStyle name="Calculation 3 2 6 30 2" xfId="12109"/>
    <cellStyle name="Calculation 3 2 6 30 3" xfId="21102"/>
    <cellStyle name="Calculation 3 2 6 30 4" xfId="29289"/>
    <cellStyle name="Calculation 3 2 6 30 5" xfId="38659"/>
    <cellStyle name="Calculation 3 2 6 30 6" xfId="42954"/>
    <cellStyle name="Calculation 3 2 6 30 7" xfId="49547"/>
    <cellStyle name="Calculation 3 2 6 31" xfId="4511"/>
    <cellStyle name="Calculation 3 2 6 31 2" xfId="12228"/>
    <cellStyle name="Calculation 3 2 6 31 3" xfId="21221"/>
    <cellStyle name="Calculation 3 2 6 31 4" xfId="29408"/>
    <cellStyle name="Calculation 3 2 6 31 5" xfId="38772"/>
    <cellStyle name="Calculation 3 2 6 31 6" xfId="43073"/>
    <cellStyle name="Calculation 3 2 6 31 7" xfId="50482"/>
    <cellStyle name="Calculation 3 2 6 32" xfId="4625"/>
    <cellStyle name="Calculation 3 2 6 32 2" xfId="12342"/>
    <cellStyle name="Calculation 3 2 6 32 3" xfId="21335"/>
    <cellStyle name="Calculation 3 2 6 32 4" xfId="29522"/>
    <cellStyle name="Calculation 3 2 6 32 5" xfId="38881"/>
    <cellStyle name="Calculation 3 2 6 32 6" xfId="43187"/>
    <cellStyle name="Calculation 3 2 6 32 7" xfId="47873"/>
    <cellStyle name="Calculation 3 2 6 33" xfId="4738"/>
    <cellStyle name="Calculation 3 2 6 33 2" xfId="12455"/>
    <cellStyle name="Calculation 3 2 6 33 3" xfId="21448"/>
    <cellStyle name="Calculation 3 2 6 33 4" xfId="29635"/>
    <cellStyle name="Calculation 3 2 6 33 5" xfId="38990"/>
    <cellStyle name="Calculation 3 2 6 33 6" xfId="43300"/>
    <cellStyle name="Calculation 3 2 6 33 7" xfId="49709"/>
    <cellStyle name="Calculation 3 2 6 34" xfId="4847"/>
    <cellStyle name="Calculation 3 2 6 34 2" xfId="12564"/>
    <cellStyle name="Calculation 3 2 6 34 3" xfId="21557"/>
    <cellStyle name="Calculation 3 2 6 34 4" xfId="29744"/>
    <cellStyle name="Calculation 3 2 6 34 5" xfId="39095"/>
    <cellStyle name="Calculation 3 2 6 34 6" xfId="43409"/>
    <cellStyle name="Calculation 3 2 6 34 7" xfId="54318"/>
    <cellStyle name="Calculation 3 2 6 35" xfId="4958"/>
    <cellStyle name="Calculation 3 2 6 35 2" xfId="12675"/>
    <cellStyle name="Calculation 3 2 6 35 3" xfId="21668"/>
    <cellStyle name="Calculation 3 2 6 35 4" xfId="29855"/>
    <cellStyle name="Calculation 3 2 6 35 5" xfId="39202"/>
    <cellStyle name="Calculation 3 2 6 35 6" xfId="43520"/>
    <cellStyle name="Calculation 3 2 6 35 7" xfId="52143"/>
    <cellStyle name="Calculation 3 2 6 36" xfId="5066"/>
    <cellStyle name="Calculation 3 2 6 36 2" xfId="12783"/>
    <cellStyle name="Calculation 3 2 6 36 3" xfId="21776"/>
    <cellStyle name="Calculation 3 2 6 36 4" xfId="29963"/>
    <cellStyle name="Calculation 3 2 6 36 5" xfId="39306"/>
    <cellStyle name="Calculation 3 2 6 36 6" xfId="43628"/>
    <cellStyle name="Calculation 3 2 6 36 7" xfId="54055"/>
    <cellStyle name="Calculation 3 2 6 37" xfId="5449"/>
    <cellStyle name="Calculation 3 2 6 37 2" xfId="13166"/>
    <cellStyle name="Calculation 3 2 6 37 3" xfId="22159"/>
    <cellStyle name="Calculation 3 2 6 37 4" xfId="30346"/>
    <cellStyle name="Calculation 3 2 6 37 5" xfId="39675"/>
    <cellStyle name="Calculation 3 2 6 37 6" xfId="44011"/>
    <cellStyle name="Calculation 3 2 6 37 7" xfId="53831"/>
    <cellStyle name="Calculation 3 2 6 38" xfId="5568"/>
    <cellStyle name="Calculation 3 2 6 38 2" xfId="13285"/>
    <cellStyle name="Calculation 3 2 6 38 3" xfId="22278"/>
    <cellStyle name="Calculation 3 2 6 38 4" xfId="30465"/>
    <cellStyle name="Calculation 3 2 6 38 5" xfId="39788"/>
    <cellStyle name="Calculation 3 2 6 38 6" xfId="44130"/>
    <cellStyle name="Calculation 3 2 6 38 7" xfId="47166"/>
    <cellStyle name="Calculation 3 2 6 39" xfId="5694"/>
    <cellStyle name="Calculation 3 2 6 39 2" xfId="13411"/>
    <cellStyle name="Calculation 3 2 6 39 3" xfId="22404"/>
    <cellStyle name="Calculation 3 2 6 39 4" xfId="30591"/>
    <cellStyle name="Calculation 3 2 6 39 5" xfId="39909"/>
    <cellStyle name="Calculation 3 2 6 39 6" xfId="44256"/>
    <cellStyle name="Calculation 3 2 6 39 7" xfId="47085"/>
    <cellStyle name="Calculation 3 2 6 4" xfId="956"/>
    <cellStyle name="Calculation 3 2 6 4 2" xfId="8780"/>
    <cellStyle name="Calculation 3 2 6 4 3" xfId="16208"/>
    <cellStyle name="Calculation 3 2 6 4 4" xfId="26045"/>
    <cellStyle name="Calculation 3 2 6 4 5" xfId="34682"/>
    <cellStyle name="Calculation 3 2 6 4 6" xfId="36501"/>
    <cellStyle name="Calculation 3 2 6 4 7" xfId="53090"/>
    <cellStyle name="Calculation 3 2 6 40" xfId="5808"/>
    <cellStyle name="Calculation 3 2 6 40 2" xfId="13525"/>
    <cellStyle name="Calculation 3 2 6 40 3" xfId="22518"/>
    <cellStyle name="Calculation 3 2 6 40 4" xfId="30705"/>
    <cellStyle name="Calculation 3 2 6 40 5" xfId="40020"/>
    <cellStyle name="Calculation 3 2 6 40 6" xfId="44370"/>
    <cellStyle name="Calculation 3 2 6 40 7" xfId="52596"/>
    <cellStyle name="Calculation 3 2 6 41" xfId="5927"/>
    <cellStyle name="Calculation 3 2 6 41 2" xfId="13644"/>
    <cellStyle name="Calculation 3 2 6 41 3" xfId="22637"/>
    <cellStyle name="Calculation 3 2 6 41 4" xfId="30824"/>
    <cellStyle name="Calculation 3 2 6 41 5" xfId="40136"/>
    <cellStyle name="Calculation 3 2 6 41 6" xfId="44489"/>
    <cellStyle name="Calculation 3 2 6 41 7" xfId="48574"/>
    <cellStyle name="Calculation 3 2 6 42" xfId="6053"/>
    <cellStyle name="Calculation 3 2 6 42 2" xfId="13770"/>
    <cellStyle name="Calculation 3 2 6 42 3" xfId="22763"/>
    <cellStyle name="Calculation 3 2 6 42 4" xfId="30950"/>
    <cellStyle name="Calculation 3 2 6 42 5" xfId="40257"/>
    <cellStyle name="Calculation 3 2 6 42 6" xfId="44615"/>
    <cellStyle name="Calculation 3 2 6 42 7" xfId="48909"/>
    <cellStyle name="Calculation 3 2 6 43" xfId="6180"/>
    <cellStyle name="Calculation 3 2 6 43 2" xfId="13897"/>
    <cellStyle name="Calculation 3 2 6 43 3" xfId="22890"/>
    <cellStyle name="Calculation 3 2 6 43 4" xfId="31077"/>
    <cellStyle name="Calculation 3 2 6 43 5" xfId="40378"/>
    <cellStyle name="Calculation 3 2 6 43 6" xfId="44742"/>
    <cellStyle name="Calculation 3 2 6 43 7" xfId="50216"/>
    <cellStyle name="Calculation 3 2 6 44" xfId="6309"/>
    <cellStyle name="Calculation 3 2 6 44 2" xfId="14026"/>
    <cellStyle name="Calculation 3 2 6 44 3" xfId="23019"/>
    <cellStyle name="Calculation 3 2 6 44 4" xfId="31206"/>
    <cellStyle name="Calculation 3 2 6 44 5" xfId="40506"/>
    <cellStyle name="Calculation 3 2 6 44 6" xfId="44871"/>
    <cellStyle name="Calculation 3 2 6 44 7" xfId="53187"/>
    <cellStyle name="Calculation 3 2 6 45" xfId="6423"/>
    <cellStyle name="Calculation 3 2 6 45 2" xfId="14140"/>
    <cellStyle name="Calculation 3 2 6 45 3" xfId="23133"/>
    <cellStyle name="Calculation 3 2 6 45 4" xfId="31320"/>
    <cellStyle name="Calculation 3 2 6 45 5" xfId="40615"/>
    <cellStyle name="Calculation 3 2 6 45 6" xfId="44985"/>
    <cellStyle name="Calculation 3 2 6 45 7" xfId="53918"/>
    <cellStyle name="Calculation 3 2 6 46" xfId="6537"/>
    <cellStyle name="Calculation 3 2 6 46 2" xfId="14254"/>
    <cellStyle name="Calculation 3 2 6 46 3" xfId="23247"/>
    <cellStyle name="Calculation 3 2 6 46 4" xfId="31434"/>
    <cellStyle name="Calculation 3 2 6 46 5" xfId="40725"/>
    <cellStyle name="Calculation 3 2 6 46 6" xfId="45099"/>
    <cellStyle name="Calculation 3 2 6 46 7" xfId="49786"/>
    <cellStyle name="Calculation 3 2 6 47" xfId="5155"/>
    <cellStyle name="Calculation 3 2 6 47 2" xfId="12872"/>
    <cellStyle name="Calculation 3 2 6 47 3" xfId="21865"/>
    <cellStyle name="Calculation 3 2 6 47 4" xfId="30052"/>
    <cellStyle name="Calculation 3 2 6 47 5" xfId="39391"/>
    <cellStyle name="Calculation 3 2 6 47 6" xfId="43717"/>
    <cellStyle name="Calculation 3 2 6 47 7" xfId="54170"/>
    <cellStyle name="Calculation 3 2 6 48" xfId="6682"/>
    <cellStyle name="Calculation 3 2 6 48 2" xfId="14399"/>
    <cellStyle name="Calculation 3 2 6 48 3" xfId="23392"/>
    <cellStyle name="Calculation 3 2 6 48 4" xfId="31579"/>
    <cellStyle name="Calculation 3 2 6 48 5" xfId="40863"/>
    <cellStyle name="Calculation 3 2 6 48 6" xfId="45244"/>
    <cellStyle name="Calculation 3 2 6 48 7" xfId="47461"/>
    <cellStyle name="Calculation 3 2 6 49" xfId="6795"/>
    <cellStyle name="Calculation 3 2 6 49 2" xfId="14512"/>
    <cellStyle name="Calculation 3 2 6 49 3" xfId="23505"/>
    <cellStyle name="Calculation 3 2 6 49 4" xfId="31692"/>
    <cellStyle name="Calculation 3 2 6 49 5" xfId="40971"/>
    <cellStyle name="Calculation 3 2 6 49 6" xfId="45357"/>
    <cellStyle name="Calculation 3 2 6 49 7" xfId="52683"/>
    <cellStyle name="Calculation 3 2 6 5" xfId="1428"/>
    <cellStyle name="Calculation 3 2 6 5 2" xfId="9251"/>
    <cellStyle name="Calculation 3 2 6 5 3" xfId="16679"/>
    <cellStyle name="Calculation 3 2 6 5 4" xfId="26134"/>
    <cellStyle name="Calculation 3 2 6 5 5" xfId="34796"/>
    <cellStyle name="Calculation 3 2 6 5 6" xfId="41100"/>
    <cellStyle name="Calculation 3 2 6 5 7" xfId="53277"/>
    <cellStyle name="Calculation 3 2 6 50" xfId="6909"/>
    <cellStyle name="Calculation 3 2 6 50 2" xfId="14626"/>
    <cellStyle name="Calculation 3 2 6 50 3" xfId="23619"/>
    <cellStyle name="Calculation 3 2 6 50 4" xfId="31806"/>
    <cellStyle name="Calculation 3 2 6 50 5" xfId="41078"/>
    <cellStyle name="Calculation 3 2 6 50 6" xfId="45471"/>
    <cellStyle name="Calculation 3 2 6 50 7" xfId="46815"/>
    <cellStyle name="Calculation 3 2 6 51" xfId="7022"/>
    <cellStyle name="Calculation 3 2 6 51 2" xfId="14739"/>
    <cellStyle name="Calculation 3 2 6 51 3" xfId="23732"/>
    <cellStyle name="Calculation 3 2 6 51 4" xfId="31919"/>
    <cellStyle name="Calculation 3 2 6 51 5" xfId="41186"/>
    <cellStyle name="Calculation 3 2 6 51 6" xfId="45584"/>
    <cellStyle name="Calculation 3 2 6 51 7" xfId="54548"/>
    <cellStyle name="Calculation 3 2 6 52" xfId="7130"/>
    <cellStyle name="Calculation 3 2 6 52 2" xfId="14847"/>
    <cellStyle name="Calculation 3 2 6 52 3" xfId="23840"/>
    <cellStyle name="Calculation 3 2 6 52 4" xfId="32027"/>
    <cellStyle name="Calculation 3 2 6 52 5" xfId="41289"/>
    <cellStyle name="Calculation 3 2 6 52 6" xfId="45692"/>
    <cellStyle name="Calculation 3 2 6 52 7" xfId="52357"/>
    <cellStyle name="Calculation 3 2 6 53" xfId="7380"/>
    <cellStyle name="Calculation 3 2 6 53 2" xfId="15097"/>
    <cellStyle name="Calculation 3 2 6 53 3" xfId="24090"/>
    <cellStyle name="Calculation 3 2 6 53 4" xfId="32277"/>
    <cellStyle name="Calculation 3 2 6 53 5" xfId="41533"/>
    <cellStyle name="Calculation 3 2 6 53 6" xfId="45942"/>
    <cellStyle name="Calculation 3 2 6 53 7" xfId="51780"/>
    <cellStyle name="Calculation 3 2 6 54" xfId="7143"/>
    <cellStyle name="Calculation 3 2 6 54 2" xfId="14860"/>
    <cellStyle name="Calculation 3 2 6 54 3" xfId="23853"/>
    <cellStyle name="Calculation 3 2 6 54 4" xfId="32040"/>
    <cellStyle name="Calculation 3 2 6 54 5" xfId="41302"/>
    <cellStyle name="Calculation 3 2 6 54 6" xfId="45705"/>
    <cellStyle name="Calculation 3 2 6 54 7" xfId="47557"/>
    <cellStyle name="Calculation 3 2 6 55" xfId="7527"/>
    <cellStyle name="Calculation 3 2 6 55 2" xfId="15244"/>
    <cellStyle name="Calculation 3 2 6 55 3" xfId="24237"/>
    <cellStyle name="Calculation 3 2 6 55 4" xfId="32424"/>
    <cellStyle name="Calculation 3 2 6 55 5" xfId="41670"/>
    <cellStyle name="Calculation 3 2 6 55 6" xfId="46089"/>
    <cellStyle name="Calculation 3 2 6 55 7" xfId="48527"/>
    <cellStyle name="Calculation 3 2 6 56" xfId="7648"/>
    <cellStyle name="Calculation 3 2 6 56 2" xfId="15365"/>
    <cellStyle name="Calculation 3 2 6 56 3" xfId="24358"/>
    <cellStyle name="Calculation 3 2 6 56 4" xfId="32545"/>
    <cellStyle name="Calculation 3 2 6 56 5" xfId="41787"/>
    <cellStyle name="Calculation 3 2 6 56 6" xfId="46210"/>
    <cellStyle name="Calculation 3 2 6 56 7" xfId="50984"/>
    <cellStyle name="Calculation 3 2 6 57" xfId="7927"/>
    <cellStyle name="Calculation 3 2 6 57 2" xfId="15644"/>
    <cellStyle name="Calculation 3 2 6 57 3" xfId="24631"/>
    <cellStyle name="Calculation 3 2 6 57 4" xfId="32824"/>
    <cellStyle name="Calculation 3 2 6 57 5" xfId="42055"/>
    <cellStyle name="Calculation 3 2 6 57 6" xfId="46489"/>
    <cellStyle name="Calculation 3 2 6 57 7" xfId="50284"/>
    <cellStyle name="Calculation 3 2 6 58" xfId="8055"/>
    <cellStyle name="Calculation 3 2 6 58 2" xfId="15772"/>
    <cellStyle name="Calculation 3 2 6 58 3" xfId="24757"/>
    <cellStyle name="Calculation 3 2 6 58 4" xfId="32952"/>
    <cellStyle name="Calculation 3 2 6 58 5" xfId="42177"/>
    <cellStyle name="Calculation 3 2 6 58 6" xfId="46617"/>
    <cellStyle name="Calculation 3 2 6 58 7" xfId="51365"/>
    <cellStyle name="Calculation 3 2 6 59" xfId="8092"/>
    <cellStyle name="Calculation 3 2 6 59 2" xfId="15809"/>
    <cellStyle name="Calculation 3 2 6 59 3" xfId="24793"/>
    <cellStyle name="Calculation 3 2 6 59 4" xfId="32989"/>
    <cellStyle name="Calculation 3 2 6 59 5" xfId="42211"/>
    <cellStyle name="Calculation 3 2 6 59 6" xfId="46654"/>
    <cellStyle name="Calculation 3 2 6 59 7" xfId="48480"/>
    <cellStyle name="Calculation 3 2 6 6" xfId="1550"/>
    <cellStyle name="Calculation 3 2 6 6 2" xfId="9373"/>
    <cellStyle name="Calculation 3 2 6 6 3" xfId="16801"/>
    <cellStyle name="Calculation 3 2 6 6 4" xfId="26608"/>
    <cellStyle name="Calculation 3 2 6 6 5" xfId="35435"/>
    <cellStyle name="Calculation 3 2 6 6 6" xfId="38662"/>
    <cellStyle name="Calculation 3 2 6 6 7" xfId="54300"/>
    <cellStyle name="Calculation 3 2 6 60" xfId="8200"/>
    <cellStyle name="Calculation 3 2 6 60 2" xfId="15917"/>
    <cellStyle name="Calculation 3 2 6 60 3" xfId="33097"/>
    <cellStyle name="Calculation 3 2 6 60 4" xfId="42316"/>
    <cellStyle name="Calculation 3 2 6 60 5" xfId="46762"/>
    <cellStyle name="Calculation 3 2 6 60 6" xfId="46855"/>
    <cellStyle name="Calculation 3 2 6 61" xfId="20236"/>
    <cellStyle name="Calculation 3 2 6 62" xfId="27297"/>
    <cellStyle name="Calculation 3 2 6 63" xfId="37633"/>
    <cellStyle name="Calculation 3 2 6 64" xfId="49438"/>
    <cellStyle name="Calculation 3 2 6 7" xfId="1309"/>
    <cellStyle name="Calculation 3 2 6 7 2" xfId="9132"/>
    <cellStyle name="Calculation 3 2 6 7 3" xfId="16560"/>
    <cellStyle name="Calculation 3 2 6 7 4" xfId="19380"/>
    <cellStyle name="Calculation 3 2 6 7 5" xfId="28009"/>
    <cellStyle name="Calculation 3 2 6 7 6" xfId="37510"/>
    <cellStyle name="Calculation 3 2 6 7 7" xfId="48119"/>
    <cellStyle name="Calculation 3 2 6 8" xfId="1789"/>
    <cellStyle name="Calculation 3 2 6 8 2" xfId="9612"/>
    <cellStyle name="Calculation 3 2 6 8 3" xfId="17040"/>
    <cellStyle name="Calculation 3 2 6 8 4" xfId="25740"/>
    <cellStyle name="Calculation 3 2 6 8 5" xfId="34290"/>
    <cellStyle name="Calculation 3 2 6 8 6" xfId="42153"/>
    <cellStyle name="Calculation 3 2 6 8 7" xfId="52414"/>
    <cellStyle name="Calculation 3 2 6 9" xfId="1921"/>
    <cellStyle name="Calculation 3 2 6 9 2" xfId="9744"/>
    <cellStyle name="Calculation 3 2 6 9 3" xfId="17172"/>
    <cellStyle name="Calculation 3 2 6 9 4" xfId="19519"/>
    <cellStyle name="Calculation 3 2 6 9 5" xfId="27244"/>
    <cellStyle name="Calculation 3 2 6 9 6" xfId="41788"/>
    <cellStyle name="Calculation 3 2 6 9 7" xfId="48523"/>
    <cellStyle name="Calculation 3 2 60" xfId="7150"/>
    <cellStyle name="Calculation 3 2 60 2" xfId="14867"/>
    <cellStyle name="Calculation 3 2 60 3" xfId="23860"/>
    <cellStyle name="Calculation 3 2 60 4" xfId="32047"/>
    <cellStyle name="Calculation 3 2 60 5" xfId="41309"/>
    <cellStyle name="Calculation 3 2 60 6" xfId="45712"/>
    <cellStyle name="Calculation 3 2 60 7" xfId="50198"/>
    <cellStyle name="Calculation 3 2 61" xfId="7528"/>
    <cellStyle name="Calculation 3 2 61 2" xfId="15245"/>
    <cellStyle name="Calculation 3 2 61 3" xfId="24238"/>
    <cellStyle name="Calculation 3 2 61 4" xfId="32425"/>
    <cellStyle name="Calculation 3 2 61 5" xfId="41671"/>
    <cellStyle name="Calculation 3 2 61 6" xfId="46090"/>
    <cellStyle name="Calculation 3 2 61 7" xfId="48401"/>
    <cellStyle name="Calculation 3 2 62" xfId="7729"/>
    <cellStyle name="Calculation 3 2 62 2" xfId="15446"/>
    <cellStyle name="Calculation 3 2 62 3" xfId="24437"/>
    <cellStyle name="Calculation 3 2 62 4" xfId="32626"/>
    <cellStyle name="Calculation 3 2 62 5" xfId="41863"/>
    <cellStyle name="Calculation 3 2 62 6" xfId="46291"/>
    <cellStyle name="Calculation 3 2 62 7" xfId="48896"/>
    <cellStyle name="Calculation 3 2 63" xfId="7941"/>
    <cellStyle name="Calculation 3 2 63 2" xfId="15658"/>
    <cellStyle name="Calculation 3 2 63 3" xfId="24644"/>
    <cellStyle name="Calculation 3 2 63 4" xfId="32838"/>
    <cellStyle name="Calculation 3 2 63 5" xfId="42067"/>
    <cellStyle name="Calculation 3 2 63 6" xfId="46503"/>
    <cellStyle name="Calculation 3 2 63 7" xfId="48771"/>
    <cellStyle name="Calculation 3 2 64" xfId="7714"/>
    <cellStyle name="Calculation 3 2 64 2" xfId="15431"/>
    <cellStyle name="Calculation 3 2 64 3" xfId="24422"/>
    <cellStyle name="Calculation 3 2 64 4" xfId="32611"/>
    <cellStyle name="Calculation 3 2 64 5" xfId="41848"/>
    <cellStyle name="Calculation 3 2 64 6" xfId="46276"/>
    <cellStyle name="Calculation 3 2 64 7" xfId="50539"/>
    <cellStyle name="Calculation 3 2 65" xfId="7812"/>
    <cellStyle name="Calculation 3 2 65 2" xfId="15529"/>
    <cellStyle name="Calculation 3 2 65 3" xfId="32709"/>
    <cellStyle name="Calculation 3 2 65 4" xfId="41944"/>
    <cellStyle name="Calculation 3 2 65 5" xfId="46374"/>
    <cellStyle name="Calculation 3 2 65 6" xfId="53878"/>
    <cellStyle name="Calculation 3 2 66" xfId="20071"/>
    <cellStyle name="Calculation 3 2 67" xfId="33098"/>
    <cellStyle name="Calculation 3 2 68" xfId="36589"/>
    <cellStyle name="Calculation 3 2 69" xfId="49753"/>
    <cellStyle name="Calculation 3 2 7" xfId="596"/>
    <cellStyle name="Calculation 3 2 7 2" xfId="8420"/>
    <cellStyle name="Calculation 3 2 7 3" xfId="8395"/>
    <cellStyle name="Calculation 3 2 7 4" xfId="19463"/>
    <cellStyle name="Calculation 3 2 7 5" xfId="27039"/>
    <cellStyle name="Calculation 3 2 7 6" xfId="37578"/>
    <cellStyle name="Calculation 3 2 7 7" xfId="49320"/>
    <cellStyle name="Calculation 3 2 8" xfId="235"/>
    <cellStyle name="Calculation 3 2 8 2" xfId="8339"/>
    <cellStyle name="Calculation 3 2 8 3" xfId="8251"/>
    <cellStyle name="Calculation 3 2 8 4" xfId="20053"/>
    <cellStyle name="Calculation 3 2 8 5" xfId="28548"/>
    <cellStyle name="Calculation 3 2 8 6" xfId="37749"/>
    <cellStyle name="Calculation 3 2 8 7" xfId="49419"/>
    <cellStyle name="Calculation 3 2 9" xfId="215"/>
    <cellStyle name="Calculation 3 2 9 2" xfId="8320"/>
    <cellStyle name="Calculation 3 2 9 3" xfId="11796"/>
    <cellStyle name="Calculation 3 2 9 4" xfId="25385"/>
    <cellStyle name="Calculation 3 2 9 5" xfId="33833"/>
    <cellStyle name="Calculation 3 2 9 6" xfId="37708"/>
    <cellStyle name="Calculation 3 2 9 7" xfId="51615"/>
    <cellStyle name="Calculation 3 20" xfId="4198"/>
    <cellStyle name="Calculation 3 20 2" xfId="11954"/>
    <cellStyle name="Calculation 3 20 3" xfId="20908"/>
    <cellStyle name="Calculation 3 20 4" xfId="29095"/>
    <cellStyle name="Calculation 3 20 5" xfId="38471"/>
    <cellStyle name="Calculation 3 20 6" xfId="42760"/>
    <cellStyle name="Calculation 3 20 7" xfId="52124"/>
    <cellStyle name="Calculation 3 21" xfId="3490"/>
    <cellStyle name="Calculation 3 21 2" xfId="11281"/>
    <cellStyle name="Calculation 3 21 3" xfId="20476"/>
    <cellStyle name="Calculation 3 21 4" xfId="28598"/>
    <cellStyle name="Calculation 3 21 5" xfId="37974"/>
    <cellStyle name="Calculation 3 21 6" xfId="42485"/>
    <cellStyle name="Calculation 3 21 7" xfId="51608"/>
    <cellStyle name="Calculation 3 22" xfId="5281"/>
    <cellStyle name="Calculation 3 22 2" xfId="12998"/>
    <cellStyle name="Calculation 3 22 3" xfId="21991"/>
    <cellStyle name="Calculation 3 22 4" xfId="30178"/>
    <cellStyle name="Calculation 3 22 5" xfId="39512"/>
    <cellStyle name="Calculation 3 22 6" xfId="43843"/>
    <cellStyle name="Calculation 3 22 7" xfId="48597"/>
    <cellStyle name="Calculation 3 23" xfId="5219"/>
    <cellStyle name="Calculation 3 23 2" xfId="12936"/>
    <cellStyle name="Calculation 3 23 3" xfId="21929"/>
    <cellStyle name="Calculation 3 23 4" xfId="30116"/>
    <cellStyle name="Calculation 3 23 5" xfId="39451"/>
    <cellStyle name="Calculation 3 23 6" xfId="43781"/>
    <cellStyle name="Calculation 3 23 7" xfId="51669"/>
    <cellStyle name="Calculation 3 24" xfId="5580"/>
    <cellStyle name="Calculation 3 24 2" xfId="13297"/>
    <cellStyle name="Calculation 3 24 3" xfId="22290"/>
    <cellStyle name="Calculation 3 24 4" xfId="30477"/>
    <cellStyle name="Calculation 3 24 5" xfId="39799"/>
    <cellStyle name="Calculation 3 24 6" xfId="44142"/>
    <cellStyle name="Calculation 3 24 7" xfId="47157"/>
    <cellStyle name="Calculation 3 25" xfId="5261"/>
    <cellStyle name="Calculation 3 25 2" xfId="12978"/>
    <cellStyle name="Calculation 3 25 3" xfId="21971"/>
    <cellStyle name="Calculation 3 25 4" xfId="30158"/>
    <cellStyle name="Calculation 3 25 5" xfId="39493"/>
    <cellStyle name="Calculation 3 25 6" xfId="43823"/>
    <cellStyle name="Calculation 3 25 7" xfId="50641"/>
    <cellStyle name="Calculation 3 26" xfId="5234"/>
    <cellStyle name="Calculation 3 26 2" xfId="12951"/>
    <cellStyle name="Calculation 3 26 3" xfId="21944"/>
    <cellStyle name="Calculation 3 26 4" xfId="30131"/>
    <cellStyle name="Calculation 3 26 5" xfId="39466"/>
    <cellStyle name="Calculation 3 26 6" xfId="43796"/>
    <cellStyle name="Calculation 3 26 7" xfId="53307"/>
    <cellStyle name="Calculation 3 27" xfId="5313"/>
    <cellStyle name="Calculation 3 27 2" xfId="13030"/>
    <cellStyle name="Calculation 3 27 3" xfId="22023"/>
    <cellStyle name="Calculation 3 27 4" xfId="30210"/>
    <cellStyle name="Calculation 3 27 5" xfId="39544"/>
    <cellStyle name="Calculation 3 27 6" xfId="43875"/>
    <cellStyle name="Calculation 3 27 7" xfId="52855"/>
    <cellStyle name="Calculation 3 28" xfId="7134"/>
    <cellStyle name="Calculation 3 28 2" xfId="14851"/>
    <cellStyle name="Calculation 3 28 3" xfId="23844"/>
    <cellStyle name="Calculation 3 28 4" xfId="32031"/>
    <cellStyle name="Calculation 3 28 5" xfId="41293"/>
    <cellStyle name="Calculation 3 28 6" xfId="45696"/>
    <cellStyle name="Calculation 3 28 7" xfId="52021"/>
    <cellStyle name="Calculation 3 29" xfId="7153"/>
    <cellStyle name="Calculation 3 29 2" xfId="14870"/>
    <cellStyle name="Calculation 3 29 3" xfId="23863"/>
    <cellStyle name="Calculation 3 29 4" xfId="32050"/>
    <cellStyle name="Calculation 3 29 5" xfId="41312"/>
    <cellStyle name="Calculation 3 29 6" xfId="45715"/>
    <cellStyle name="Calculation 3 29 7" xfId="49571"/>
    <cellStyle name="Calculation 3 3" xfId="499"/>
    <cellStyle name="Calculation 3 3 10" xfId="1946"/>
    <cellStyle name="Calculation 3 3 10 2" xfId="9769"/>
    <cellStyle name="Calculation 3 3 10 3" xfId="17197"/>
    <cellStyle name="Calculation 3 3 10 4" xfId="25652"/>
    <cellStyle name="Calculation 3 3 10 5" xfId="34174"/>
    <cellStyle name="Calculation 3 3 10 6" xfId="40775"/>
    <cellStyle name="Calculation 3 3 10 7" xfId="52202"/>
    <cellStyle name="Calculation 3 3 11" xfId="2064"/>
    <cellStyle name="Calculation 3 3 11 2" xfId="9887"/>
    <cellStyle name="Calculation 3 3 11 3" xfId="17315"/>
    <cellStyle name="Calculation 3 3 11 4" xfId="25769"/>
    <cellStyle name="Calculation 3 3 11 5" xfId="34326"/>
    <cellStyle name="Calculation 3 3 11 6" xfId="36364"/>
    <cellStyle name="Calculation 3 3 11 7" xfId="52471"/>
    <cellStyle name="Calculation 3 3 12" xfId="2177"/>
    <cellStyle name="Calculation 3 3 12 2" xfId="10000"/>
    <cellStyle name="Calculation 3 3 12 3" xfId="17428"/>
    <cellStyle name="Calculation 3 3 12 4" xfId="26529"/>
    <cellStyle name="Calculation 3 3 12 5" xfId="35329"/>
    <cellStyle name="Calculation 3 3 12 6" xfId="36521"/>
    <cellStyle name="Calculation 3 3 12 7" xfId="54134"/>
    <cellStyle name="Calculation 3 3 13" xfId="2158"/>
    <cellStyle name="Calculation 3 3 13 2" xfId="9981"/>
    <cellStyle name="Calculation 3 3 13 3" xfId="17409"/>
    <cellStyle name="Calculation 3 3 13 4" xfId="20096"/>
    <cellStyle name="Calculation 3 3 13 5" xfId="27774"/>
    <cellStyle name="Calculation 3 3 13 6" xfId="41596"/>
    <cellStyle name="Calculation 3 3 13 7" xfId="49011"/>
    <cellStyle name="Calculation 3 3 14" xfId="1233"/>
    <cellStyle name="Calculation 3 3 14 2" xfId="9056"/>
    <cellStyle name="Calculation 3 3 14 3" xfId="16484"/>
    <cellStyle name="Calculation 3 3 14 4" xfId="19547"/>
    <cellStyle name="Calculation 3 3 14 5" xfId="27097"/>
    <cellStyle name="Calculation 3 3 14 6" xfId="38063"/>
    <cellStyle name="Calculation 3 3 14 7" xfId="47977"/>
    <cellStyle name="Calculation 3 3 15" xfId="2475"/>
    <cellStyle name="Calculation 3 3 15 2" xfId="10298"/>
    <cellStyle name="Calculation 3 3 15 3" xfId="17726"/>
    <cellStyle name="Calculation 3 3 15 4" xfId="26216"/>
    <cellStyle name="Calculation 3 3 15 5" xfId="34901"/>
    <cellStyle name="Calculation 3 3 15 6" xfId="39036"/>
    <cellStyle name="Calculation 3 3 15 7" xfId="53457"/>
    <cellStyle name="Calculation 3 3 16" xfId="2588"/>
    <cellStyle name="Calculation 3 3 16 2" xfId="10411"/>
    <cellStyle name="Calculation 3 3 16 3" xfId="17839"/>
    <cellStyle name="Calculation 3 3 16 4" xfId="24982"/>
    <cellStyle name="Calculation 3 3 16 5" xfId="33325"/>
    <cellStyle name="Calculation 3 3 16 6" xfId="36356"/>
    <cellStyle name="Calculation 3 3 16 7" xfId="50752"/>
    <cellStyle name="Calculation 3 3 17" xfId="2677"/>
    <cellStyle name="Calculation 3 3 17 2" xfId="10500"/>
    <cellStyle name="Calculation 3 3 17 3" xfId="17928"/>
    <cellStyle name="Calculation 3 3 17 4" xfId="26481"/>
    <cellStyle name="Calculation 3 3 17 5" xfId="35265"/>
    <cellStyle name="Calculation 3 3 17 6" xfId="41790"/>
    <cellStyle name="Calculation 3 3 17 7" xfId="54034"/>
    <cellStyle name="Calculation 3 3 18" xfId="1616"/>
    <cellStyle name="Calculation 3 3 18 2" xfId="9439"/>
    <cellStyle name="Calculation 3 3 18 3" xfId="16867"/>
    <cellStyle name="Calculation 3 3 18 4" xfId="26300"/>
    <cellStyle name="Calculation 3 3 18 5" xfId="35016"/>
    <cellStyle name="Calculation 3 3 18 6" xfId="37369"/>
    <cellStyle name="Calculation 3 3 18 7" xfId="53645"/>
    <cellStyle name="Calculation 3 3 19" xfId="2782"/>
    <cellStyle name="Calculation 3 3 19 2" xfId="10605"/>
    <cellStyle name="Calculation 3 3 19 3" xfId="18033"/>
    <cellStyle name="Calculation 3 3 19 4" xfId="26048"/>
    <cellStyle name="Calculation 3 3 19 5" xfId="34688"/>
    <cellStyle name="Calculation 3 3 19 6" xfId="38739"/>
    <cellStyle name="Calculation 3 3 19 7" xfId="53102"/>
    <cellStyle name="Calculation 3 3 2" xfId="650"/>
    <cellStyle name="Calculation 3 3 2 2" xfId="8474"/>
    <cellStyle name="Calculation 3 3 2 3" xfId="8286"/>
    <cellStyle name="Calculation 3 3 2 4" xfId="25894"/>
    <cellStyle name="Calculation 3 3 2 5" xfId="34489"/>
    <cellStyle name="Calculation 3 3 2 6" xfId="37352"/>
    <cellStyle name="Calculation 3 3 2 7" xfId="52772"/>
    <cellStyle name="Calculation 3 3 20" xfId="2889"/>
    <cellStyle name="Calculation 3 3 20 2" xfId="10712"/>
    <cellStyle name="Calculation 3 3 20 3" xfId="18140"/>
    <cellStyle name="Calculation 3 3 20 4" xfId="20090"/>
    <cellStyle name="Calculation 3 3 20 5" xfId="27323"/>
    <cellStyle name="Calculation 3 3 20 6" xfId="36747"/>
    <cellStyle name="Calculation 3 3 20 7" xfId="49504"/>
    <cellStyle name="Calculation 3 3 21" xfId="3265"/>
    <cellStyle name="Calculation 3 3 21 2" xfId="11058"/>
    <cellStyle name="Calculation 3 3 21 3" xfId="18387"/>
    <cellStyle name="Calculation 3 3 21 4" xfId="19178"/>
    <cellStyle name="Calculation 3 3 21 5" xfId="26911"/>
    <cellStyle name="Calculation 3 3 21 6" xfId="39785"/>
    <cellStyle name="Calculation 3 3 21 7" xfId="49177"/>
    <cellStyle name="Calculation 3 3 22" xfId="3385"/>
    <cellStyle name="Calculation 3 3 22 2" xfId="11176"/>
    <cellStyle name="Calculation 3 3 22 3" xfId="18498"/>
    <cellStyle name="Calculation 3 3 22 4" xfId="25397"/>
    <cellStyle name="Calculation 3 3 22 5" xfId="33847"/>
    <cellStyle name="Calculation 3 3 22 6" xfId="38432"/>
    <cellStyle name="Calculation 3 3 22 7" xfId="51635"/>
    <cellStyle name="Calculation 3 3 23" xfId="3008"/>
    <cellStyle name="Calculation 3 3 23 2" xfId="10827"/>
    <cellStyle name="Calculation 3 3 23 3" xfId="18250"/>
    <cellStyle name="Calculation 3 3 23 4" xfId="25680"/>
    <cellStyle name="Calculation 3 3 23 5" xfId="34213"/>
    <cellStyle name="Calculation 3 3 23 6" xfId="39884"/>
    <cellStyle name="Calculation 3 3 23 7" xfId="52265"/>
    <cellStyle name="Calculation 3 3 24" xfId="3655"/>
    <cellStyle name="Calculation 3 3 24 2" xfId="11440"/>
    <cellStyle name="Calculation 3 3 24 3" xfId="18713"/>
    <cellStyle name="Calculation 3 3 24 4" xfId="26439"/>
    <cellStyle name="Calculation 3 3 24 5" xfId="35211"/>
    <cellStyle name="Calculation 3 3 24 6" xfId="36767"/>
    <cellStyle name="Calculation 3 3 24 7" xfId="53939"/>
    <cellStyle name="Calculation 3 3 25" xfId="3786"/>
    <cellStyle name="Calculation 3 3 25 2" xfId="11568"/>
    <cellStyle name="Calculation 3 3 25 3" xfId="18825"/>
    <cellStyle name="Calculation 3 3 25 4" xfId="19942"/>
    <cellStyle name="Calculation 3 3 25 5" xfId="28026"/>
    <cellStyle name="Calculation 3 3 25 6" xfId="41013"/>
    <cellStyle name="Calculation 3 3 25 7" xfId="49391"/>
    <cellStyle name="Calculation 3 3 26" xfId="3903"/>
    <cellStyle name="Calculation 3 3 26 2" xfId="11683"/>
    <cellStyle name="Calculation 3 3 26 3" xfId="18934"/>
    <cellStyle name="Calculation 3 3 26 4" xfId="25090"/>
    <cellStyle name="Calculation 3 3 26 5" xfId="33452"/>
    <cellStyle name="Calculation 3 3 26 6" xfId="38895"/>
    <cellStyle name="Calculation 3 3 26 7" xfId="50982"/>
    <cellStyle name="Calculation 3 3 27" xfId="3927"/>
    <cellStyle name="Calculation 3 3 27 2" xfId="11707"/>
    <cellStyle name="Calculation 3 3 27 3" xfId="20674"/>
    <cellStyle name="Calculation 3 3 27 4" xfId="28852"/>
    <cellStyle name="Calculation 3 3 27 5" xfId="38240"/>
    <cellStyle name="Calculation 3 3 27 6" xfId="42553"/>
    <cellStyle name="Calculation 3 3 27 7" xfId="48635"/>
    <cellStyle name="Calculation 3 3 28" xfId="4100"/>
    <cellStyle name="Calculation 3 3 28 2" xfId="11860"/>
    <cellStyle name="Calculation 3 3 28 3" xfId="20810"/>
    <cellStyle name="Calculation 3 3 28 4" xfId="28997"/>
    <cellStyle name="Calculation 3 3 28 5" xfId="38375"/>
    <cellStyle name="Calculation 3 3 28 6" xfId="42662"/>
    <cellStyle name="Calculation 3 3 28 7" xfId="54416"/>
    <cellStyle name="Calculation 3 3 29" xfId="4058"/>
    <cellStyle name="Calculation 3 3 29 2" xfId="20768"/>
    <cellStyle name="Calculation 3 3 29 3" xfId="28955"/>
    <cellStyle name="Calculation 3 3 29 4" xfId="38334"/>
    <cellStyle name="Calculation 3 3 29 5" xfId="42620"/>
    <cellStyle name="Calculation 3 3 29 6" xfId="51360"/>
    <cellStyle name="Calculation 3 3 3" xfId="757"/>
    <cellStyle name="Calculation 3 3 3 2" xfId="8581"/>
    <cellStyle name="Calculation 3 3 3 3" xfId="16009"/>
    <cellStyle name="Calculation 3 3 3 4" xfId="26578"/>
    <cellStyle name="Calculation 3 3 3 5" xfId="35397"/>
    <cellStyle name="Calculation 3 3 3 6" xfId="36892"/>
    <cellStyle name="Calculation 3 3 3 7" xfId="54232"/>
    <cellStyle name="Calculation 3 3 30" xfId="4297"/>
    <cellStyle name="Calculation 3 3 30 2" xfId="12014"/>
    <cellStyle name="Calculation 3 3 30 3" xfId="21007"/>
    <cellStyle name="Calculation 3 3 30 4" xfId="29194"/>
    <cellStyle name="Calculation 3 3 30 5" xfId="38566"/>
    <cellStyle name="Calculation 3 3 30 6" xfId="42859"/>
    <cellStyle name="Calculation 3 3 30 7" xfId="49068"/>
    <cellStyle name="Calculation 3 3 31" xfId="4420"/>
    <cellStyle name="Calculation 3 3 31 2" xfId="12137"/>
    <cellStyle name="Calculation 3 3 31 3" xfId="21130"/>
    <cellStyle name="Calculation 3 3 31 4" xfId="29317"/>
    <cellStyle name="Calculation 3 3 31 5" xfId="38684"/>
    <cellStyle name="Calculation 3 3 31 6" xfId="42982"/>
    <cellStyle name="Calculation 3 3 31 7" xfId="53278"/>
    <cellStyle name="Calculation 3 3 32" xfId="4534"/>
    <cellStyle name="Calculation 3 3 32 2" xfId="12251"/>
    <cellStyle name="Calculation 3 3 32 3" xfId="21244"/>
    <cellStyle name="Calculation 3 3 32 4" xfId="29431"/>
    <cellStyle name="Calculation 3 3 32 5" xfId="38793"/>
    <cellStyle name="Calculation 3 3 32 6" xfId="43096"/>
    <cellStyle name="Calculation 3 3 32 7" xfId="53583"/>
    <cellStyle name="Calculation 3 3 33" xfId="4647"/>
    <cellStyle name="Calculation 3 3 33 2" xfId="12364"/>
    <cellStyle name="Calculation 3 3 33 3" xfId="21357"/>
    <cellStyle name="Calculation 3 3 33 4" xfId="29544"/>
    <cellStyle name="Calculation 3 3 33 5" xfId="38901"/>
    <cellStyle name="Calculation 3 3 33 6" xfId="43209"/>
    <cellStyle name="Calculation 3 3 33 7" xfId="52510"/>
    <cellStyle name="Calculation 3 3 34" xfId="4759"/>
    <cellStyle name="Calculation 3 3 34 2" xfId="12476"/>
    <cellStyle name="Calculation 3 3 34 3" xfId="21469"/>
    <cellStyle name="Calculation 3 3 34 4" xfId="29656"/>
    <cellStyle name="Calculation 3 3 34 5" xfId="39010"/>
    <cellStyle name="Calculation 3 3 34 6" xfId="43321"/>
    <cellStyle name="Calculation 3 3 34 7" xfId="51147"/>
    <cellStyle name="Calculation 3 3 35" xfId="4867"/>
    <cellStyle name="Calculation 3 3 35 2" xfId="12584"/>
    <cellStyle name="Calculation 3 3 35 3" xfId="21577"/>
    <cellStyle name="Calculation 3 3 35 4" xfId="29764"/>
    <cellStyle name="Calculation 3 3 35 5" xfId="39113"/>
    <cellStyle name="Calculation 3 3 35 6" xfId="43429"/>
    <cellStyle name="Calculation 3 3 35 7" xfId="52442"/>
    <cellStyle name="Calculation 3 3 36" xfId="4979"/>
    <cellStyle name="Calculation 3 3 36 2" xfId="12696"/>
    <cellStyle name="Calculation 3 3 36 3" xfId="21689"/>
    <cellStyle name="Calculation 3 3 36 4" xfId="29876"/>
    <cellStyle name="Calculation 3 3 36 5" xfId="39222"/>
    <cellStyle name="Calculation 3 3 36 6" xfId="43541"/>
    <cellStyle name="Calculation 3 3 36 7" xfId="49940"/>
    <cellStyle name="Calculation 3 3 37" xfId="5132"/>
    <cellStyle name="Calculation 3 3 37 2" xfId="12849"/>
    <cellStyle name="Calculation 3 3 37 3" xfId="21842"/>
    <cellStyle name="Calculation 3 3 37 4" xfId="30029"/>
    <cellStyle name="Calculation 3 3 37 5" xfId="39370"/>
    <cellStyle name="Calculation 3 3 37 6" xfId="43694"/>
    <cellStyle name="Calculation 3 3 37 7" xfId="50443"/>
    <cellStyle name="Calculation 3 3 38" xfId="5477"/>
    <cellStyle name="Calculation 3 3 38 2" xfId="13194"/>
    <cellStyle name="Calculation 3 3 38 3" xfId="22187"/>
    <cellStyle name="Calculation 3 3 38 4" xfId="30374"/>
    <cellStyle name="Calculation 3 3 38 5" xfId="39700"/>
    <cellStyle name="Calculation 3 3 38 6" xfId="44039"/>
    <cellStyle name="Calculation 3 3 38 7" xfId="50879"/>
    <cellStyle name="Calculation 3 3 39" xfId="5602"/>
    <cellStyle name="Calculation 3 3 39 2" xfId="13319"/>
    <cellStyle name="Calculation 3 3 39 3" xfId="22312"/>
    <cellStyle name="Calculation 3 3 39 4" xfId="30499"/>
    <cellStyle name="Calculation 3 3 39 5" xfId="39820"/>
    <cellStyle name="Calculation 3 3 39 6" xfId="44164"/>
    <cellStyle name="Calculation 3 3 39 7" xfId="47139"/>
    <cellStyle name="Calculation 3 3 4" xfId="869"/>
    <cellStyle name="Calculation 3 3 4 2" xfId="8693"/>
    <cellStyle name="Calculation 3 3 4 3" xfId="16121"/>
    <cellStyle name="Calculation 3 3 4 4" xfId="19521"/>
    <cellStyle name="Calculation 3 3 4 5" xfId="27473"/>
    <cellStyle name="Calculation 3 3 4 6" xfId="37502"/>
    <cellStyle name="Calculation 3 3 4 7" xfId="48844"/>
    <cellStyle name="Calculation 3 3 40" xfId="5717"/>
    <cellStyle name="Calculation 3 3 40 2" xfId="13434"/>
    <cellStyle name="Calculation 3 3 40 3" xfId="22427"/>
    <cellStyle name="Calculation 3 3 40 4" xfId="30614"/>
    <cellStyle name="Calculation 3 3 40 5" xfId="39931"/>
    <cellStyle name="Calculation 3 3 40 6" xfId="44279"/>
    <cellStyle name="Calculation 3 3 40 7" xfId="46775"/>
    <cellStyle name="Calculation 3 3 41" xfId="5834"/>
    <cellStyle name="Calculation 3 3 41 2" xfId="13551"/>
    <cellStyle name="Calculation 3 3 41 3" xfId="22544"/>
    <cellStyle name="Calculation 3 3 41 4" xfId="30731"/>
    <cellStyle name="Calculation 3 3 41 5" xfId="40045"/>
    <cellStyle name="Calculation 3 3 41 6" xfId="44396"/>
    <cellStyle name="Calculation 3 3 41 7" xfId="47451"/>
    <cellStyle name="Calculation 3 3 42" xfId="5962"/>
    <cellStyle name="Calculation 3 3 42 2" xfId="13679"/>
    <cellStyle name="Calculation 3 3 42 3" xfId="22672"/>
    <cellStyle name="Calculation 3 3 42 4" xfId="30859"/>
    <cellStyle name="Calculation 3 3 42 5" xfId="40169"/>
    <cellStyle name="Calculation 3 3 42 6" xfId="44524"/>
    <cellStyle name="Calculation 3 3 42 7" xfId="51031"/>
    <cellStyle name="Calculation 3 3 43" xfId="5282"/>
    <cellStyle name="Calculation 3 3 43 2" xfId="12999"/>
    <cellStyle name="Calculation 3 3 43 3" xfId="21992"/>
    <cellStyle name="Calculation 3 3 43 4" xfId="30179"/>
    <cellStyle name="Calculation 3 3 43 5" xfId="39513"/>
    <cellStyle name="Calculation 3 3 43 6" xfId="43844"/>
    <cellStyle name="Calculation 3 3 43 7" xfId="47230"/>
    <cellStyle name="Calculation 3 3 44" xfId="6218"/>
    <cellStyle name="Calculation 3 3 44 2" xfId="13935"/>
    <cellStyle name="Calculation 3 3 44 3" xfId="22928"/>
    <cellStyle name="Calculation 3 3 44 4" xfId="31115"/>
    <cellStyle name="Calculation 3 3 44 5" xfId="40416"/>
    <cellStyle name="Calculation 3 3 44 6" xfId="44780"/>
    <cellStyle name="Calculation 3 3 44 7" xfId="53687"/>
    <cellStyle name="Calculation 3 3 45" xfId="6335"/>
    <cellStyle name="Calculation 3 3 45 2" xfId="14052"/>
    <cellStyle name="Calculation 3 3 45 3" xfId="23045"/>
    <cellStyle name="Calculation 3 3 45 4" xfId="31232"/>
    <cellStyle name="Calculation 3 3 45 5" xfId="40530"/>
    <cellStyle name="Calculation 3 3 45 6" xfId="44897"/>
    <cellStyle name="Calculation 3 3 45 7" xfId="50437"/>
    <cellStyle name="Calculation 3 3 46" xfId="6445"/>
    <cellStyle name="Calculation 3 3 46 2" xfId="14162"/>
    <cellStyle name="Calculation 3 3 46 3" xfId="23155"/>
    <cellStyle name="Calculation 3 3 46 4" xfId="31342"/>
    <cellStyle name="Calculation 3 3 46 5" xfId="40636"/>
    <cellStyle name="Calculation 3 3 46 6" xfId="45007"/>
    <cellStyle name="Calculation 3 3 46 7" xfId="51497"/>
    <cellStyle name="Calculation 3 3 47" xfId="6425"/>
    <cellStyle name="Calculation 3 3 47 2" xfId="14142"/>
    <cellStyle name="Calculation 3 3 47 3" xfId="23135"/>
    <cellStyle name="Calculation 3 3 47 4" xfId="31322"/>
    <cellStyle name="Calculation 3 3 47 5" xfId="40617"/>
    <cellStyle name="Calculation 3 3 47 6" xfId="44987"/>
    <cellStyle name="Calculation 3 3 47 7" xfId="53762"/>
    <cellStyle name="Calculation 3 3 48" xfId="6592"/>
    <cellStyle name="Calculation 3 3 48 2" xfId="14309"/>
    <cellStyle name="Calculation 3 3 48 3" xfId="23302"/>
    <cellStyle name="Calculation 3 3 48 4" xfId="31489"/>
    <cellStyle name="Calculation 3 3 48 5" xfId="40776"/>
    <cellStyle name="Calculation 3 3 48 6" xfId="45154"/>
    <cellStyle name="Calculation 3 3 48 7" xfId="52001"/>
    <cellStyle name="Calculation 3 3 49" xfId="6703"/>
    <cellStyle name="Calculation 3 3 49 2" xfId="14420"/>
    <cellStyle name="Calculation 3 3 49 3" xfId="23413"/>
    <cellStyle name="Calculation 3 3 49 4" xfId="31600"/>
    <cellStyle name="Calculation 3 3 49 5" xfId="40882"/>
    <cellStyle name="Calculation 3 3 49 6" xfId="45265"/>
    <cellStyle name="Calculation 3 3 49 7" xfId="50083"/>
    <cellStyle name="Calculation 3 3 5" xfId="1334"/>
    <cellStyle name="Calculation 3 3 5 2" xfId="9157"/>
    <cellStyle name="Calculation 3 3 5 3" xfId="16585"/>
    <cellStyle name="Calculation 3 3 5 4" xfId="19451"/>
    <cellStyle name="Calculation 3 3 5 5" xfId="27933"/>
    <cellStyle name="Calculation 3 3 5 6" xfId="41903"/>
    <cellStyle name="Calculation 3 3 5 7" xfId="50306"/>
    <cellStyle name="Calculation 3 3 50" xfId="6818"/>
    <cellStyle name="Calculation 3 3 50 2" xfId="14535"/>
    <cellStyle name="Calculation 3 3 50 3" xfId="23528"/>
    <cellStyle name="Calculation 3 3 50 4" xfId="31715"/>
    <cellStyle name="Calculation 3 3 50 5" xfId="40990"/>
    <cellStyle name="Calculation 3 3 50 6" xfId="45380"/>
    <cellStyle name="Calculation 3 3 50 7" xfId="49611"/>
    <cellStyle name="Calculation 3 3 51" xfId="6931"/>
    <cellStyle name="Calculation 3 3 51 2" xfId="14648"/>
    <cellStyle name="Calculation 3 3 51 3" xfId="23641"/>
    <cellStyle name="Calculation 3 3 51 4" xfId="31828"/>
    <cellStyle name="Calculation 3 3 51 5" xfId="41098"/>
    <cellStyle name="Calculation 3 3 51 6" xfId="45493"/>
    <cellStyle name="Calculation 3 3 51 7" xfId="47044"/>
    <cellStyle name="Calculation 3 3 52" xfId="7043"/>
    <cellStyle name="Calculation 3 3 52 2" xfId="14760"/>
    <cellStyle name="Calculation 3 3 52 3" xfId="23753"/>
    <cellStyle name="Calculation 3 3 52 4" xfId="31940"/>
    <cellStyle name="Calculation 3 3 52 5" xfId="41204"/>
    <cellStyle name="Calculation 3 3 52 6" xfId="45605"/>
    <cellStyle name="Calculation 3 3 52 7" xfId="47788"/>
    <cellStyle name="Calculation 3 3 53" xfId="7320"/>
    <cellStyle name="Calculation 3 3 53 2" xfId="15037"/>
    <cellStyle name="Calculation 3 3 53 3" xfId="24030"/>
    <cellStyle name="Calculation 3 3 53 4" xfId="32217"/>
    <cellStyle name="Calculation 3 3 53 5" xfId="41473"/>
    <cellStyle name="Calculation 3 3 53 6" xfId="45882"/>
    <cellStyle name="Calculation 3 3 53 7" xfId="54509"/>
    <cellStyle name="Calculation 3 3 54" xfId="7267"/>
    <cellStyle name="Calculation 3 3 54 2" xfId="14984"/>
    <cellStyle name="Calculation 3 3 54 3" xfId="23977"/>
    <cellStyle name="Calculation 3 3 54 4" xfId="32164"/>
    <cellStyle name="Calculation 3 3 54 5" xfId="41420"/>
    <cellStyle name="Calculation 3 3 54 6" xfId="45829"/>
    <cellStyle name="Calculation 3 3 54 7" xfId="52844"/>
    <cellStyle name="Calculation 3 3 55" xfId="7440"/>
    <cellStyle name="Calculation 3 3 55 2" xfId="15157"/>
    <cellStyle name="Calculation 3 3 55 3" xfId="24150"/>
    <cellStyle name="Calculation 3 3 55 4" xfId="32337"/>
    <cellStyle name="Calculation 3 3 55 5" xfId="41587"/>
    <cellStyle name="Calculation 3 3 55 6" xfId="46002"/>
    <cellStyle name="Calculation 3 3 55 7" xfId="49152"/>
    <cellStyle name="Calculation 3 3 56" xfId="7561"/>
    <cellStyle name="Calculation 3 3 56 2" xfId="15278"/>
    <cellStyle name="Calculation 3 3 56 3" xfId="24271"/>
    <cellStyle name="Calculation 3 3 56 4" xfId="32458"/>
    <cellStyle name="Calculation 3 3 56 5" xfId="41702"/>
    <cellStyle name="Calculation 3 3 56 6" xfId="46123"/>
    <cellStyle name="Calculation 3 3 56 7" xfId="51092"/>
    <cellStyle name="Calculation 3 3 57" xfId="7837"/>
    <cellStyle name="Calculation 3 3 57 2" xfId="15554"/>
    <cellStyle name="Calculation 3 3 57 3" xfId="24541"/>
    <cellStyle name="Calculation 3 3 57 4" xfId="32734"/>
    <cellStyle name="Calculation 3 3 57 5" xfId="41967"/>
    <cellStyle name="Calculation 3 3 57 6" xfId="46399"/>
    <cellStyle name="Calculation 3 3 57 7" xfId="52485"/>
    <cellStyle name="Calculation 3 3 58" xfId="7944"/>
    <cellStyle name="Calculation 3 3 58 2" xfId="15661"/>
    <cellStyle name="Calculation 3 3 58 3" xfId="24647"/>
    <cellStyle name="Calculation 3 3 58 4" xfId="32841"/>
    <cellStyle name="Calculation 3 3 58 5" xfId="42070"/>
    <cellStyle name="Calculation 3 3 58 6" xfId="46506"/>
    <cellStyle name="Calculation 3 3 58 7" xfId="52390"/>
    <cellStyle name="Calculation 3 3 59" xfId="8057"/>
    <cellStyle name="Calculation 3 3 59 2" xfId="15774"/>
    <cellStyle name="Calculation 3 3 59 3" xfId="24759"/>
    <cellStyle name="Calculation 3 3 59 4" xfId="32954"/>
    <cellStyle name="Calculation 3 3 59 5" xfId="42179"/>
    <cellStyle name="Calculation 3 3 59 6" xfId="46619"/>
    <cellStyle name="Calculation 3 3 59 7" xfId="51155"/>
    <cellStyle name="Calculation 3 3 6" xfId="1457"/>
    <cellStyle name="Calculation 3 3 6 2" xfId="9280"/>
    <cellStyle name="Calculation 3 3 6 3" xfId="16708"/>
    <cellStyle name="Calculation 3 3 6 4" xfId="20011"/>
    <cellStyle name="Calculation 3 3 6 5" xfId="28547"/>
    <cellStyle name="Calculation 3 3 6 6" xfId="38226"/>
    <cellStyle name="Calculation 3 3 6 7" xfId="50298"/>
    <cellStyle name="Calculation 3 3 60" xfId="8113"/>
    <cellStyle name="Calculation 3 3 60 2" xfId="15830"/>
    <cellStyle name="Calculation 3 3 60 3" xfId="33010"/>
    <cellStyle name="Calculation 3 3 60 4" xfId="42231"/>
    <cellStyle name="Calculation 3 3 60 5" xfId="46675"/>
    <cellStyle name="Calculation 3 3 60 6" xfId="52893"/>
    <cellStyle name="Calculation 3 3 61" xfId="25691"/>
    <cellStyle name="Calculation 3 3 62" xfId="34229"/>
    <cellStyle name="Calculation 3 3 63" xfId="36837"/>
    <cellStyle name="Calculation 3 3 64" xfId="52294"/>
    <cellStyle name="Calculation 3 3 7" xfId="1227"/>
    <cellStyle name="Calculation 3 3 7 2" xfId="9050"/>
    <cellStyle name="Calculation 3 3 7 3" xfId="16478"/>
    <cellStyle name="Calculation 3 3 7 4" xfId="19514"/>
    <cellStyle name="Calculation 3 3 7 5" xfId="27602"/>
    <cellStyle name="Calculation 3 3 7 6" xfId="36494"/>
    <cellStyle name="Calculation 3 3 7 7" xfId="48988"/>
    <cellStyle name="Calculation 3 3 8" xfId="1694"/>
    <cellStyle name="Calculation 3 3 8 2" xfId="9517"/>
    <cellStyle name="Calculation 3 3 8 3" xfId="16945"/>
    <cellStyle name="Calculation 3 3 8 4" xfId="19109"/>
    <cellStyle name="Calculation 3 3 8 5" xfId="28249"/>
    <cellStyle name="Calculation 3 3 8 6" xfId="37100"/>
    <cellStyle name="Calculation 3 3 8 7" xfId="49959"/>
    <cellStyle name="Calculation 3 3 9" xfId="1828"/>
    <cellStyle name="Calculation 3 3 9 2" xfId="9651"/>
    <cellStyle name="Calculation 3 3 9 3" xfId="17079"/>
    <cellStyle name="Calculation 3 3 9 4" xfId="19657"/>
    <cellStyle name="Calculation 3 3 9 5" xfId="26880"/>
    <cellStyle name="Calculation 3 3 9 6" xfId="38203"/>
    <cellStyle name="Calculation 3 3 9 7" xfId="49760"/>
    <cellStyle name="Calculation 3 30" xfId="7259"/>
    <cellStyle name="Calculation 3 30 2" xfId="14976"/>
    <cellStyle name="Calculation 3 30 3" xfId="23969"/>
    <cellStyle name="Calculation 3 30 4" xfId="32156"/>
    <cellStyle name="Calculation 3 30 5" xfId="41412"/>
    <cellStyle name="Calculation 3 30 6" xfId="45821"/>
    <cellStyle name="Calculation 3 30 7" xfId="53505"/>
    <cellStyle name="Calculation 3 31" xfId="7989"/>
    <cellStyle name="Calculation 3 31 2" xfId="15706"/>
    <cellStyle name="Calculation 3 31 3" xfId="24691"/>
    <cellStyle name="Calculation 3 31 4" xfId="32886"/>
    <cellStyle name="Calculation 3 31 5" xfId="42112"/>
    <cellStyle name="Calculation 3 31 6" xfId="46551"/>
    <cellStyle name="Calculation 3 31 7" xfId="50980"/>
    <cellStyle name="Calculation 3 32" xfId="26663"/>
    <cellStyle name="Calculation 3 33" xfId="35509"/>
    <cellStyle name="Calculation 3 34" xfId="37462"/>
    <cellStyle name="Calculation 3 35" xfId="54421"/>
    <cellStyle name="Calculation 3 4" xfId="571"/>
    <cellStyle name="Calculation 3 4 10" xfId="2018"/>
    <cellStyle name="Calculation 3 4 10 2" xfId="9841"/>
    <cellStyle name="Calculation 3 4 10 3" xfId="17269"/>
    <cellStyle name="Calculation 3 4 10 4" xfId="19283"/>
    <cellStyle name="Calculation 3 4 10 5" xfId="27601"/>
    <cellStyle name="Calculation 3 4 10 6" xfId="40954"/>
    <cellStyle name="Calculation 3 4 10 7" xfId="47535"/>
    <cellStyle name="Calculation 3 4 11" xfId="2135"/>
    <cellStyle name="Calculation 3 4 11 2" xfId="9958"/>
    <cellStyle name="Calculation 3 4 11 3" xfId="17386"/>
    <cellStyle name="Calculation 3 4 11 4" xfId="25284"/>
    <cellStyle name="Calculation 3 4 11 5" xfId="33696"/>
    <cellStyle name="Calculation 3 4 11 6" xfId="37186"/>
    <cellStyle name="Calculation 3 4 11 7" xfId="51396"/>
    <cellStyle name="Calculation 3 4 12" xfId="2249"/>
    <cellStyle name="Calculation 3 4 12 2" xfId="10072"/>
    <cellStyle name="Calculation 3 4 12 3" xfId="17500"/>
    <cellStyle name="Calculation 3 4 12 4" xfId="25728"/>
    <cellStyle name="Calculation 3 4 12 5" xfId="34275"/>
    <cellStyle name="Calculation 3 4 12 6" xfId="39853"/>
    <cellStyle name="Calculation 3 4 12 7" xfId="52382"/>
    <cellStyle name="Calculation 3 4 13" xfId="1081"/>
    <cellStyle name="Calculation 3 4 13 2" xfId="8905"/>
    <cellStyle name="Calculation 3 4 13 3" xfId="16333"/>
    <cellStyle name="Calculation 3 4 13 4" xfId="19648"/>
    <cellStyle name="Calculation 3 4 13 5" xfId="27804"/>
    <cellStyle name="Calculation 3 4 13 6" xfId="36476"/>
    <cellStyle name="Calculation 3 4 13 7" xfId="49394"/>
    <cellStyle name="Calculation 3 4 14" xfId="1176"/>
    <cellStyle name="Calculation 3 4 14 2" xfId="8999"/>
    <cellStyle name="Calculation 3 4 14 3" xfId="16427"/>
    <cellStyle name="Calculation 3 4 14 4" xfId="19943"/>
    <cellStyle name="Calculation 3 4 14 5" xfId="27215"/>
    <cellStyle name="Calculation 3 4 14 6" xfId="37558"/>
    <cellStyle name="Calculation 3 4 14 7" xfId="48183"/>
    <cellStyle name="Calculation 3 4 15" xfId="2546"/>
    <cellStyle name="Calculation 3 4 15 2" xfId="10369"/>
    <cellStyle name="Calculation 3 4 15 3" xfId="17797"/>
    <cellStyle name="Calculation 3 4 15 4" xfId="19247"/>
    <cellStyle name="Calculation 3 4 15 5" xfId="27458"/>
    <cellStyle name="Calculation 3 4 15 6" xfId="40695"/>
    <cellStyle name="Calculation 3 4 15 7" xfId="47917"/>
    <cellStyle name="Calculation 3 4 16" xfId="2660"/>
    <cellStyle name="Calculation 3 4 16 2" xfId="10483"/>
    <cellStyle name="Calculation 3 4 16 3" xfId="17911"/>
    <cellStyle name="Calculation 3 4 16 4" xfId="19104"/>
    <cellStyle name="Calculation 3 4 16 5" xfId="28117"/>
    <cellStyle name="Calculation 3 4 16 6" xfId="37127"/>
    <cellStyle name="Calculation 3 4 16 7" xfId="50039"/>
    <cellStyle name="Calculation 3 4 17" xfId="2419"/>
    <cellStyle name="Calculation 3 4 17 2" xfId="10242"/>
    <cellStyle name="Calculation 3 4 17 3" xfId="17670"/>
    <cellStyle name="Calculation 3 4 17 4" xfId="19426"/>
    <cellStyle name="Calculation 3 4 17 5" xfId="27373"/>
    <cellStyle name="Calculation 3 4 17 6" xfId="38008"/>
    <cellStyle name="Calculation 3 4 17 7" xfId="47648"/>
    <cellStyle name="Calculation 3 4 18" xfId="1206"/>
    <cellStyle name="Calculation 3 4 18 2" xfId="9029"/>
    <cellStyle name="Calculation 3 4 18 3" xfId="16457"/>
    <cellStyle name="Calculation 3 4 18 4" xfId="25146"/>
    <cellStyle name="Calculation 3 4 18 5" xfId="33521"/>
    <cellStyle name="Calculation 3 4 18 6" xfId="40024"/>
    <cellStyle name="Calculation 3 4 18 7" xfId="51101"/>
    <cellStyle name="Calculation 3 4 19" xfId="2851"/>
    <cellStyle name="Calculation 3 4 19 2" xfId="10674"/>
    <cellStyle name="Calculation 3 4 19 3" xfId="18102"/>
    <cellStyle name="Calculation 3 4 19 4" xfId="26277"/>
    <cellStyle name="Calculation 3 4 19 5" xfId="34980"/>
    <cellStyle name="Calculation 3 4 19 6" xfId="39157"/>
    <cellStyle name="Calculation 3 4 19 7" xfId="53595"/>
    <cellStyle name="Calculation 3 4 2" xfId="719"/>
    <cellStyle name="Calculation 3 4 2 2" xfId="8543"/>
    <cellStyle name="Calculation 3 4 2 3" xfId="15971"/>
    <cellStyle name="Calculation 3 4 2 4" xfId="25401"/>
    <cellStyle name="Calculation 3 4 2 5" xfId="33855"/>
    <cellStyle name="Calculation 3 4 2 6" xfId="36526"/>
    <cellStyle name="Calculation 3 4 2 7" xfId="51647"/>
    <cellStyle name="Calculation 3 4 20" xfId="2958"/>
    <cellStyle name="Calculation 3 4 20 2" xfId="10781"/>
    <cellStyle name="Calculation 3 4 20 3" xfId="18209"/>
    <cellStyle name="Calculation 3 4 20 4" xfId="19673"/>
    <cellStyle name="Calculation 3 4 20 5" xfId="27383"/>
    <cellStyle name="Calculation 3 4 20 6" xfId="38419"/>
    <cellStyle name="Calculation 3 4 20 7" xfId="50180"/>
    <cellStyle name="Calculation 3 4 21" xfId="3335"/>
    <cellStyle name="Calculation 3 4 21 2" xfId="11128"/>
    <cellStyle name="Calculation 3 4 21 3" xfId="18456"/>
    <cellStyle name="Calculation 3 4 21 4" xfId="26469"/>
    <cellStyle name="Calculation 3 4 21 5" xfId="35248"/>
    <cellStyle name="Calculation 3 4 21 6" xfId="38217"/>
    <cellStyle name="Calculation 3 4 21 7" xfId="54003"/>
    <cellStyle name="Calculation 3 4 22" xfId="3454"/>
    <cellStyle name="Calculation 3 4 22 2" xfId="11245"/>
    <cellStyle name="Calculation 3 4 22 3" xfId="18567"/>
    <cellStyle name="Calculation 3 4 22 4" xfId="25675"/>
    <cellStyle name="Calculation 3 4 22 5" xfId="34207"/>
    <cellStyle name="Calculation 3 4 22 6" xfId="38718"/>
    <cellStyle name="Calculation 3 4 22 7" xfId="52250"/>
    <cellStyle name="Calculation 3 4 23" xfId="3614"/>
    <cellStyle name="Calculation 3 4 23 2" xfId="11400"/>
    <cellStyle name="Calculation 3 4 23 3" xfId="18674"/>
    <cellStyle name="Calculation 3 4 23 4" xfId="24942"/>
    <cellStyle name="Calculation 3 4 23 5" xfId="33277"/>
    <cellStyle name="Calculation 3 4 23 6" xfId="37654"/>
    <cellStyle name="Calculation 3 4 23 7" xfId="50661"/>
    <cellStyle name="Calculation 3 4 24" xfId="3727"/>
    <cellStyle name="Calculation 3 4 24 2" xfId="11512"/>
    <cellStyle name="Calculation 3 4 24 3" xfId="18784"/>
    <cellStyle name="Calculation 3 4 24 4" xfId="20649"/>
    <cellStyle name="Calculation 3 4 24 5" xfId="28321"/>
    <cellStyle name="Calculation 3 4 24 6" xfId="41833"/>
    <cellStyle name="Calculation 3 4 24 7" xfId="50050"/>
    <cellStyle name="Calculation 3 4 25" xfId="3856"/>
    <cellStyle name="Calculation 3 4 25 2" xfId="11638"/>
    <cellStyle name="Calculation 3 4 25 3" xfId="18894"/>
    <cellStyle name="Calculation 3 4 25 4" xfId="19486"/>
    <cellStyle name="Calculation 3 4 25 5" xfId="28849"/>
    <cellStyle name="Calculation 3 4 25 6" xfId="37071"/>
    <cellStyle name="Calculation 3 4 25 7" xfId="48848"/>
    <cellStyle name="Calculation 3 4 26" xfId="3975"/>
    <cellStyle name="Calculation 3 4 26 2" xfId="11754"/>
    <cellStyle name="Calculation 3 4 26 3" xfId="19003"/>
    <cellStyle name="Calculation 3 4 26 4" xfId="25797"/>
    <cellStyle name="Calculation 3 4 26 5" xfId="34370"/>
    <cellStyle name="Calculation 3 4 26 6" xfId="39015"/>
    <cellStyle name="Calculation 3 4 26 7" xfId="52558"/>
    <cellStyle name="Calculation 3 4 27" xfId="3711"/>
    <cellStyle name="Calculation 3 4 27 2" xfId="11496"/>
    <cellStyle name="Calculation 3 4 27 3" xfId="20585"/>
    <cellStyle name="Calculation 3 4 27 4" xfId="28734"/>
    <cellStyle name="Calculation 3 4 27 5" xfId="38116"/>
    <cellStyle name="Calculation 3 4 27 6" xfId="42525"/>
    <cellStyle name="Calculation 3 4 27 7" xfId="47850"/>
    <cellStyle name="Calculation 3 4 28" xfId="4171"/>
    <cellStyle name="Calculation 3 4 28 2" xfId="11930"/>
    <cellStyle name="Calculation 3 4 28 3" xfId="20881"/>
    <cellStyle name="Calculation 3 4 28 4" xfId="29068"/>
    <cellStyle name="Calculation 3 4 28 5" xfId="38444"/>
    <cellStyle name="Calculation 3 4 28 6" xfId="42733"/>
    <cellStyle name="Calculation 3 4 28 7" xfId="48429"/>
    <cellStyle name="Calculation 3 4 29" xfId="4251"/>
    <cellStyle name="Calculation 3 4 29 2" xfId="20961"/>
    <cellStyle name="Calculation 3 4 29 3" xfId="29148"/>
    <cellStyle name="Calculation 3 4 29 4" xfId="38521"/>
    <cellStyle name="Calculation 3 4 29 5" xfId="42813"/>
    <cellStyle name="Calculation 3 4 29 6" xfId="54214"/>
    <cellStyle name="Calculation 3 4 3" xfId="828"/>
    <cellStyle name="Calculation 3 4 3 2" xfId="8652"/>
    <cellStyle name="Calculation 3 4 3 3" xfId="16080"/>
    <cellStyle name="Calculation 3 4 3 4" xfId="19979"/>
    <cellStyle name="Calculation 3 4 3 5" xfId="27831"/>
    <cellStyle name="Calculation 3 4 3 6" xfId="37097"/>
    <cellStyle name="Calculation 3 4 3 7" xfId="48048"/>
    <cellStyle name="Calculation 3 4 30" xfId="4369"/>
    <cellStyle name="Calculation 3 4 30 2" xfId="12086"/>
    <cellStyle name="Calculation 3 4 30 3" xfId="21079"/>
    <cellStyle name="Calculation 3 4 30 4" xfId="29266"/>
    <cellStyle name="Calculation 3 4 30 5" xfId="38636"/>
    <cellStyle name="Calculation 3 4 30 6" xfId="42931"/>
    <cellStyle name="Calculation 3 4 30 7" xfId="52222"/>
    <cellStyle name="Calculation 3 4 31" xfId="4491"/>
    <cellStyle name="Calculation 3 4 31 2" xfId="12208"/>
    <cellStyle name="Calculation 3 4 31 3" xfId="21201"/>
    <cellStyle name="Calculation 3 4 31 4" xfId="29388"/>
    <cellStyle name="Calculation 3 4 31 5" xfId="38752"/>
    <cellStyle name="Calculation 3 4 31 6" xfId="43053"/>
    <cellStyle name="Calculation 3 4 31 7" xfId="51821"/>
    <cellStyle name="Calculation 3 4 32" xfId="4605"/>
    <cellStyle name="Calculation 3 4 32 2" xfId="12322"/>
    <cellStyle name="Calculation 3 4 32 3" xfId="21315"/>
    <cellStyle name="Calculation 3 4 32 4" xfId="29502"/>
    <cellStyle name="Calculation 3 4 32 5" xfId="38861"/>
    <cellStyle name="Calculation 3 4 32 6" xfId="43167"/>
    <cellStyle name="Calculation 3 4 32 7" xfId="49213"/>
    <cellStyle name="Calculation 3 4 33" xfId="4718"/>
    <cellStyle name="Calculation 3 4 33 2" xfId="12435"/>
    <cellStyle name="Calculation 3 4 33 3" xfId="21428"/>
    <cellStyle name="Calculation 3 4 33 4" xfId="29615"/>
    <cellStyle name="Calculation 3 4 33 5" xfId="38970"/>
    <cellStyle name="Calculation 3 4 33 6" xfId="43280"/>
    <cellStyle name="Calculation 3 4 33 7" xfId="52704"/>
    <cellStyle name="Calculation 3 4 34" xfId="4828"/>
    <cellStyle name="Calculation 3 4 34 2" xfId="12545"/>
    <cellStyle name="Calculation 3 4 34 3" xfId="21538"/>
    <cellStyle name="Calculation 3 4 34 4" xfId="29725"/>
    <cellStyle name="Calculation 3 4 34 5" xfId="39077"/>
    <cellStyle name="Calculation 3 4 34 6" xfId="43390"/>
    <cellStyle name="Calculation 3 4 34 7" xfId="48885"/>
    <cellStyle name="Calculation 3 4 35" xfId="4938"/>
    <cellStyle name="Calculation 3 4 35 2" xfId="12655"/>
    <cellStyle name="Calculation 3 4 35 3" xfId="21648"/>
    <cellStyle name="Calculation 3 4 35 4" xfId="29835"/>
    <cellStyle name="Calculation 3 4 35 5" xfId="39182"/>
    <cellStyle name="Calculation 3 4 35 6" xfId="43500"/>
    <cellStyle name="Calculation 3 4 35 7" xfId="54244"/>
    <cellStyle name="Calculation 3 4 36" xfId="5048"/>
    <cellStyle name="Calculation 3 4 36 2" xfId="12765"/>
    <cellStyle name="Calculation 3 4 36 3" xfId="21758"/>
    <cellStyle name="Calculation 3 4 36 4" xfId="29945"/>
    <cellStyle name="Calculation 3 4 36 5" xfId="39289"/>
    <cellStyle name="Calculation 3 4 36 6" xfId="43610"/>
    <cellStyle name="Calculation 3 4 36 7" xfId="49207"/>
    <cellStyle name="Calculation 3 4 37" xfId="5428"/>
    <cellStyle name="Calculation 3 4 37 2" xfId="13145"/>
    <cellStyle name="Calculation 3 4 37 3" xfId="22138"/>
    <cellStyle name="Calculation 3 4 37 4" xfId="30325"/>
    <cellStyle name="Calculation 3 4 37 5" xfId="39654"/>
    <cellStyle name="Calculation 3 4 37 6" xfId="43990"/>
    <cellStyle name="Calculation 3 4 37 7" xfId="47246"/>
    <cellStyle name="Calculation 3 4 38" xfId="5548"/>
    <cellStyle name="Calculation 3 4 38 2" xfId="13265"/>
    <cellStyle name="Calculation 3 4 38 3" xfId="22258"/>
    <cellStyle name="Calculation 3 4 38 4" xfId="30445"/>
    <cellStyle name="Calculation 3 4 38 5" xfId="39768"/>
    <cellStyle name="Calculation 3 4 38 6" xfId="44110"/>
    <cellStyle name="Calculation 3 4 38 7" xfId="46847"/>
    <cellStyle name="Calculation 3 4 39" xfId="5672"/>
    <cellStyle name="Calculation 3 4 39 2" xfId="13389"/>
    <cellStyle name="Calculation 3 4 39 3" xfId="22382"/>
    <cellStyle name="Calculation 3 4 39 4" xfId="30569"/>
    <cellStyle name="Calculation 3 4 39 5" xfId="39889"/>
    <cellStyle name="Calculation 3 4 39 6" xfId="44234"/>
    <cellStyle name="Calculation 3 4 39 7" xfId="47101"/>
    <cellStyle name="Calculation 3 4 4" xfId="938"/>
    <cellStyle name="Calculation 3 4 4 2" xfId="8762"/>
    <cellStyle name="Calculation 3 4 4 3" xfId="16190"/>
    <cellStyle name="Calculation 3 4 4 4" xfId="24856"/>
    <cellStyle name="Calculation 3 4 4 5" xfId="27968"/>
    <cellStyle name="Calculation 3 4 4 6" xfId="38171"/>
    <cellStyle name="Calculation 3 4 4 7" xfId="49938"/>
    <cellStyle name="Calculation 3 4 40" xfId="5788"/>
    <cellStyle name="Calculation 3 4 40 2" xfId="13505"/>
    <cellStyle name="Calculation 3 4 40 3" xfId="22498"/>
    <cellStyle name="Calculation 3 4 40 4" xfId="30685"/>
    <cellStyle name="Calculation 3 4 40 5" xfId="40001"/>
    <cellStyle name="Calculation 3 4 40 6" xfId="44350"/>
    <cellStyle name="Calculation 3 4 40 7" xfId="47835"/>
    <cellStyle name="Calculation 3 4 41" xfId="5905"/>
    <cellStyle name="Calculation 3 4 41 2" xfId="13622"/>
    <cellStyle name="Calculation 3 4 41 3" xfId="22615"/>
    <cellStyle name="Calculation 3 4 41 4" xfId="30802"/>
    <cellStyle name="Calculation 3 4 41 5" xfId="40115"/>
    <cellStyle name="Calculation 3 4 41 6" xfId="44467"/>
    <cellStyle name="Calculation 3 4 41 7" xfId="48729"/>
    <cellStyle name="Calculation 3 4 42" xfId="6033"/>
    <cellStyle name="Calculation 3 4 42 2" xfId="13750"/>
    <cellStyle name="Calculation 3 4 42 3" xfId="22743"/>
    <cellStyle name="Calculation 3 4 42 4" xfId="30930"/>
    <cellStyle name="Calculation 3 4 42 5" xfId="40238"/>
    <cellStyle name="Calculation 3 4 42 6" xfId="44595"/>
    <cellStyle name="Calculation 3 4 42 7" xfId="50923"/>
    <cellStyle name="Calculation 3 4 43" xfId="6160"/>
    <cellStyle name="Calculation 3 4 43 2" xfId="13877"/>
    <cellStyle name="Calculation 3 4 43 3" xfId="22870"/>
    <cellStyle name="Calculation 3 4 43 4" xfId="31057"/>
    <cellStyle name="Calculation 3 4 43 5" xfId="40358"/>
    <cellStyle name="Calculation 3 4 43 6" xfId="44722"/>
    <cellStyle name="Calculation 3 4 43 7" xfId="52393"/>
    <cellStyle name="Calculation 3 4 44" xfId="6289"/>
    <cellStyle name="Calculation 3 4 44 2" xfId="14006"/>
    <cellStyle name="Calculation 3 4 44 3" xfId="22999"/>
    <cellStyle name="Calculation 3 4 44 4" xfId="31186"/>
    <cellStyle name="Calculation 3 4 44 5" xfId="40486"/>
    <cellStyle name="Calculation 3 4 44 6" xfId="44851"/>
    <cellStyle name="Calculation 3 4 44 7" xfId="47727"/>
    <cellStyle name="Calculation 3 4 45" xfId="6404"/>
    <cellStyle name="Calculation 3 4 45 2" xfId="14121"/>
    <cellStyle name="Calculation 3 4 45 3" xfId="23114"/>
    <cellStyle name="Calculation 3 4 45 4" xfId="31301"/>
    <cellStyle name="Calculation 3 4 45 5" xfId="40597"/>
    <cellStyle name="Calculation 3 4 45 6" xfId="44966"/>
    <cellStyle name="Calculation 3 4 45 7" xfId="48979"/>
    <cellStyle name="Calculation 3 4 46" xfId="6516"/>
    <cellStyle name="Calculation 3 4 46 2" xfId="14233"/>
    <cellStyle name="Calculation 3 4 46 3" xfId="23226"/>
    <cellStyle name="Calculation 3 4 46 4" xfId="31413"/>
    <cellStyle name="Calculation 3 4 46 5" xfId="40705"/>
    <cellStyle name="Calculation 3 4 46 6" xfId="45078"/>
    <cellStyle name="Calculation 3 4 46 7" xfId="52497"/>
    <cellStyle name="Calculation 3 4 47" xfId="6314"/>
    <cellStyle name="Calculation 3 4 47 2" xfId="14031"/>
    <cellStyle name="Calculation 3 4 47 3" xfId="23024"/>
    <cellStyle name="Calculation 3 4 47 4" xfId="31211"/>
    <cellStyle name="Calculation 3 4 47 5" xfId="40511"/>
    <cellStyle name="Calculation 3 4 47 6" xfId="44876"/>
    <cellStyle name="Calculation 3 4 47 7" xfId="52731"/>
    <cellStyle name="Calculation 3 4 48" xfId="6663"/>
    <cellStyle name="Calculation 3 4 48 2" xfId="14380"/>
    <cellStyle name="Calculation 3 4 48 3" xfId="23373"/>
    <cellStyle name="Calculation 3 4 48 4" xfId="31560"/>
    <cellStyle name="Calculation 3 4 48 5" xfId="40844"/>
    <cellStyle name="Calculation 3 4 48 6" xfId="45225"/>
    <cellStyle name="Calculation 3 4 48 7" xfId="51918"/>
    <cellStyle name="Calculation 3 4 49" xfId="6774"/>
    <cellStyle name="Calculation 3 4 49 2" xfId="14491"/>
    <cellStyle name="Calculation 3 4 49 3" xfId="23484"/>
    <cellStyle name="Calculation 3 4 49 4" xfId="31671"/>
    <cellStyle name="Calculation 3 4 49 5" xfId="40950"/>
    <cellStyle name="Calculation 3 4 49 6" xfId="45336"/>
    <cellStyle name="Calculation 3 4 49 7" xfId="48530"/>
    <cellStyle name="Calculation 3 4 5" xfId="1406"/>
    <cellStyle name="Calculation 3 4 5 2" xfId="9229"/>
    <cellStyle name="Calculation 3 4 5 3" xfId="16657"/>
    <cellStyle name="Calculation 3 4 5 4" xfId="19154"/>
    <cellStyle name="Calculation 3 4 5 5" xfId="28077"/>
    <cellStyle name="Calculation 3 4 5 6" xfId="40936"/>
    <cellStyle name="Calculation 3 4 5 7" xfId="49263"/>
    <cellStyle name="Calculation 3 4 50" xfId="6889"/>
    <cellStyle name="Calculation 3 4 50 2" xfId="14606"/>
    <cellStyle name="Calculation 3 4 50 3" xfId="23599"/>
    <cellStyle name="Calculation 3 4 50 4" xfId="31786"/>
    <cellStyle name="Calculation 3 4 50 5" xfId="41058"/>
    <cellStyle name="Calculation 3 4 50 6" xfId="45451"/>
    <cellStyle name="Calculation 3 4 50 7" xfId="46824"/>
    <cellStyle name="Calculation 3 4 51" xfId="7002"/>
    <cellStyle name="Calculation 3 4 51 2" xfId="14719"/>
    <cellStyle name="Calculation 3 4 51 3" xfId="23712"/>
    <cellStyle name="Calculation 3 4 51 4" xfId="31899"/>
    <cellStyle name="Calculation 3 4 51 5" xfId="41166"/>
    <cellStyle name="Calculation 3 4 51 6" xfId="45564"/>
    <cellStyle name="Calculation 3 4 51 7" xfId="54542"/>
    <cellStyle name="Calculation 3 4 52" xfId="7112"/>
    <cellStyle name="Calculation 3 4 52 2" xfId="14829"/>
    <cellStyle name="Calculation 3 4 52 3" xfId="23822"/>
    <cellStyle name="Calculation 3 4 52 4" xfId="32009"/>
    <cellStyle name="Calculation 3 4 52 5" xfId="41271"/>
    <cellStyle name="Calculation 3 4 52 6" xfId="45674"/>
    <cellStyle name="Calculation 3 4 52 7" xfId="54360"/>
    <cellStyle name="Calculation 3 4 53" xfId="7164"/>
    <cellStyle name="Calculation 3 4 53 2" xfId="14881"/>
    <cellStyle name="Calculation 3 4 53 3" xfId="23874"/>
    <cellStyle name="Calculation 3 4 53 4" xfId="32061"/>
    <cellStyle name="Calculation 3 4 53 5" xfId="41323"/>
    <cellStyle name="Calculation 3 4 53 6" xfId="45726"/>
    <cellStyle name="Calculation 3 4 53 7" xfId="48680"/>
    <cellStyle name="Calculation 3 4 54" xfId="7180"/>
    <cellStyle name="Calculation 3 4 54 2" xfId="14897"/>
    <cellStyle name="Calculation 3 4 54 3" xfId="23890"/>
    <cellStyle name="Calculation 3 4 54 4" xfId="32077"/>
    <cellStyle name="Calculation 3 4 54 5" xfId="41338"/>
    <cellStyle name="Calculation 3 4 54 6" xfId="45742"/>
    <cellStyle name="Calculation 3 4 54 7" xfId="53422"/>
    <cellStyle name="Calculation 3 4 55" xfId="7509"/>
    <cellStyle name="Calculation 3 4 55 2" xfId="15226"/>
    <cellStyle name="Calculation 3 4 55 3" xfId="24219"/>
    <cellStyle name="Calculation 3 4 55 4" xfId="32406"/>
    <cellStyle name="Calculation 3 4 55 5" xfId="41653"/>
    <cellStyle name="Calculation 3 4 55 6" xfId="46071"/>
    <cellStyle name="Calculation 3 4 55 7" xfId="49275"/>
    <cellStyle name="Calculation 3 4 56" xfId="7630"/>
    <cellStyle name="Calculation 3 4 56 2" xfId="15347"/>
    <cellStyle name="Calculation 3 4 56 3" xfId="24340"/>
    <cellStyle name="Calculation 3 4 56 4" xfId="32527"/>
    <cellStyle name="Calculation 3 4 56 5" xfId="41769"/>
    <cellStyle name="Calculation 3 4 56 6" xfId="46192"/>
    <cellStyle name="Calculation 3 4 56 7" xfId="53030"/>
    <cellStyle name="Calculation 3 4 57" xfId="7907"/>
    <cellStyle name="Calculation 3 4 57 2" xfId="15624"/>
    <cellStyle name="Calculation 3 4 57 3" xfId="24611"/>
    <cellStyle name="Calculation 3 4 57 4" xfId="32804"/>
    <cellStyle name="Calculation 3 4 57 5" xfId="42035"/>
    <cellStyle name="Calculation 3 4 57 6" xfId="46469"/>
    <cellStyle name="Calculation 3 4 57 7" xfId="52459"/>
    <cellStyle name="Calculation 3 4 58" xfId="8035"/>
    <cellStyle name="Calculation 3 4 58 2" xfId="15752"/>
    <cellStyle name="Calculation 3 4 58 3" xfId="24737"/>
    <cellStyle name="Calculation 3 4 58 4" xfId="32932"/>
    <cellStyle name="Calculation 3 4 58 5" xfId="42157"/>
    <cellStyle name="Calculation 3 4 58 6" xfId="46597"/>
    <cellStyle name="Calculation 3 4 58 7" xfId="53678"/>
    <cellStyle name="Calculation 3 4 59" xfId="7684"/>
    <cellStyle name="Calculation 3 4 59 2" xfId="15401"/>
    <cellStyle name="Calculation 3 4 59 3" xfId="24392"/>
    <cellStyle name="Calculation 3 4 59 4" xfId="32581"/>
    <cellStyle name="Calculation 3 4 59 5" xfId="41819"/>
    <cellStyle name="Calculation 3 4 59 6" xfId="46246"/>
    <cellStyle name="Calculation 3 4 59 7" xfId="53539"/>
    <cellStyle name="Calculation 3 4 6" xfId="1529"/>
    <cellStyle name="Calculation 3 4 6 2" xfId="9352"/>
    <cellStyle name="Calculation 3 4 6 3" xfId="16780"/>
    <cellStyle name="Calculation 3 4 6 4" xfId="19168"/>
    <cellStyle name="Calculation 3 4 6 5" xfId="28545"/>
    <cellStyle name="Calculation 3 4 6 6" xfId="37683"/>
    <cellStyle name="Calculation 3 4 6 7" xfId="49231"/>
    <cellStyle name="Calculation 3 4 60" xfId="8182"/>
    <cellStyle name="Calculation 3 4 60 2" xfId="15899"/>
    <cellStyle name="Calculation 3 4 60 3" xfId="33079"/>
    <cellStyle name="Calculation 3 4 60 4" xfId="42298"/>
    <cellStyle name="Calculation 3 4 60 5" xfId="46744"/>
    <cellStyle name="Calculation 3 4 60 6" xfId="46872"/>
    <cellStyle name="Calculation 3 4 61" xfId="24823"/>
    <cellStyle name="Calculation 3 4 62" xfId="27613"/>
    <cellStyle name="Calculation 3 4 63" xfId="36251"/>
    <cellStyle name="Calculation 3 4 64" xfId="47629"/>
    <cellStyle name="Calculation 3 4 7" xfId="1265"/>
    <cellStyle name="Calculation 3 4 7 2" xfId="9088"/>
    <cellStyle name="Calculation 3 4 7 3" xfId="16516"/>
    <cellStyle name="Calculation 3 4 7 4" xfId="19310"/>
    <cellStyle name="Calculation 3 4 7 5" xfId="28086"/>
    <cellStyle name="Calculation 3 4 7 6" xfId="41723"/>
    <cellStyle name="Calculation 3 4 7 7" xfId="46931"/>
    <cellStyle name="Calculation 3 4 8" xfId="1766"/>
    <cellStyle name="Calculation 3 4 8 2" xfId="9589"/>
    <cellStyle name="Calculation 3 4 8 3" xfId="17017"/>
    <cellStyle name="Calculation 3 4 8 4" xfId="20416"/>
    <cellStyle name="Calculation 3 4 8 5" xfId="27235"/>
    <cellStyle name="Calculation 3 4 8 6" xfId="38109"/>
    <cellStyle name="Calculation 3 4 8 7" xfId="48505"/>
    <cellStyle name="Calculation 3 4 9" xfId="1899"/>
    <cellStyle name="Calculation 3 4 9 2" xfId="9722"/>
    <cellStyle name="Calculation 3 4 9 3" xfId="17150"/>
    <cellStyle name="Calculation 3 4 9 4" xfId="19620"/>
    <cellStyle name="Calculation 3 4 9 5" xfId="28542"/>
    <cellStyle name="Calculation 3 4 9 6" xfId="37537"/>
    <cellStyle name="Calculation 3 4 9 7" xfId="48347"/>
    <cellStyle name="Calculation 3 5" xfId="543"/>
    <cellStyle name="Calculation 3 5 10" xfId="1990"/>
    <cellStyle name="Calculation 3 5 10 2" xfId="9813"/>
    <cellStyle name="Calculation 3 5 10 3" xfId="17241"/>
    <cellStyle name="Calculation 3 5 10 4" xfId="26395"/>
    <cellStyle name="Calculation 3 5 10 5" xfId="35146"/>
    <cellStyle name="Calculation 3 5 10 6" xfId="37077"/>
    <cellStyle name="Calculation 3 5 10 7" xfId="53840"/>
    <cellStyle name="Calculation 3 5 11" xfId="2108"/>
    <cellStyle name="Calculation 3 5 11 2" xfId="9931"/>
    <cellStyle name="Calculation 3 5 11 3" xfId="17359"/>
    <cellStyle name="Calculation 3 5 11 4" xfId="19897"/>
    <cellStyle name="Calculation 3 5 11 5" xfId="28700"/>
    <cellStyle name="Calculation 3 5 11 6" xfId="39190"/>
    <cellStyle name="Calculation 3 5 11 7" xfId="48161"/>
    <cellStyle name="Calculation 3 5 12" xfId="2221"/>
    <cellStyle name="Calculation 3 5 12 2" xfId="10044"/>
    <cellStyle name="Calculation 3 5 12 3" xfId="17472"/>
    <cellStyle name="Calculation 3 5 12 4" xfId="24997"/>
    <cellStyle name="Calculation 3 5 12 5" xfId="33346"/>
    <cellStyle name="Calculation 3 5 12 6" xfId="37028"/>
    <cellStyle name="Calculation 3 5 12 7" xfId="50785"/>
    <cellStyle name="Calculation 3 5 13" xfId="994"/>
    <cellStyle name="Calculation 3 5 13 2" xfId="8818"/>
    <cellStyle name="Calculation 3 5 13 3" xfId="16246"/>
    <cellStyle name="Calculation 3 5 13 4" xfId="25225"/>
    <cellStyle name="Calculation 3 5 13 5" xfId="33625"/>
    <cellStyle name="Calculation 3 5 13 6" xfId="38127"/>
    <cellStyle name="Calculation 3 5 13 7" xfId="51273"/>
    <cellStyle name="Calculation 3 5 14" xfId="1571"/>
    <cellStyle name="Calculation 3 5 14 2" xfId="9394"/>
    <cellStyle name="Calculation 3 5 14 3" xfId="16822"/>
    <cellStyle name="Calculation 3 5 14 4" xfId="20057"/>
    <cellStyle name="Calculation 3 5 14 5" xfId="27927"/>
    <cellStyle name="Calculation 3 5 14 6" xfId="41305"/>
    <cellStyle name="Calculation 3 5 14 7" xfId="48047"/>
    <cellStyle name="Calculation 3 5 15" xfId="2519"/>
    <cellStyle name="Calculation 3 5 15 2" xfId="10342"/>
    <cellStyle name="Calculation 3 5 15 3" xfId="17770"/>
    <cellStyle name="Calculation 3 5 15 4" xfId="19344"/>
    <cellStyle name="Calculation 3 5 15 5" xfId="27548"/>
    <cellStyle name="Calculation 3 5 15 6" xfId="41899"/>
    <cellStyle name="Calculation 3 5 15 7" xfId="48862"/>
    <cellStyle name="Calculation 3 5 16" xfId="2632"/>
    <cellStyle name="Calculation 3 5 16 2" xfId="10455"/>
    <cellStyle name="Calculation 3 5 16 3" xfId="17883"/>
    <cellStyle name="Calculation 3 5 16 4" xfId="25968"/>
    <cellStyle name="Calculation 3 5 16 5" xfId="34578"/>
    <cellStyle name="Calculation 3 5 16 6" xfId="39200"/>
    <cellStyle name="Calculation 3 5 16 7" xfId="52924"/>
    <cellStyle name="Calculation 3 5 17" xfId="2289"/>
    <cellStyle name="Calculation 3 5 17 2" xfId="10112"/>
    <cellStyle name="Calculation 3 5 17 3" xfId="17540"/>
    <cellStyle name="Calculation 3 5 17 4" xfId="25055"/>
    <cellStyle name="Calculation 3 5 17 5" xfId="33415"/>
    <cellStyle name="Calculation 3 5 17 6" xfId="36989"/>
    <cellStyle name="Calculation 3 5 17 7" xfId="50912"/>
    <cellStyle name="Calculation 3 5 18" xfId="1261"/>
    <cellStyle name="Calculation 3 5 18 2" xfId="9084"/>
    <cellStyle name="Calculation 3 5 18 3" xfId="16512"/>
    <cellStyle name="Calculation 3 5 18 4" xfId="19480"/>
    <cellStyle name="Calculation 3 5 18 5" xfId="27043"/>
    <cellStyle name="Calculation 3 5 18 6" xfId="42108"/>
    <cellStyle name="Calculation 3 5 18 7" xfId="46936"/>
    <cellStyle name="Calculation 3 5 19" xfId="2825"/>
    <cellStyle name="Calculation 3 5 19 2" xfId="10648"/>
    <cellStyle name="Calculation 3 5 19 3" xfId="18076"/>
    <cellStyle name="Calculation 3 5 19 4" xfId="20680"/>
    <cellStyle name="Calculation 3 5 19 5" xfId="27116"/>
    <cellStyle name="Calculation 3 5 19 6" xfId="36839"/>
    <cellStyle name="Calculation 3 5 19 7" xfId="48821"/>
    <cellStyle name="Calculation 3 5 2" xfId="693"/>
    <cellStyle name="Calculation 3 5 2 2" xfId="8517"/>
    <cellStyle name="Calculation 3 5 2 3" xfId="15945"/>
    <cellStyle name="Calculation 3 5 2 4" xfId="26661"/>
    <cellStyle name="Calculation 3 5 2 5" xfId="35507"/>
    <cellStyle name="Calculation 3 5 2 6" xfId="36525"/>
    <cellStyle name="Calculation 3 5 2 7" xfId="54417"/>
    <cellStyle name="Calculation 3 5 20" xfId="2932"/>
    <cellStyle name="Calculation 3 5 20 2" xfId="10755"/>
    <cellStyle name="Calculation 3 5 20 3" xfId="18183"/>
    <cellStyle name="Calculation 3 5 20 4" xfId="25963"/>
    <cellStyle name="Calculation 3 5 20 5" xfId="34572"/>
    <cellStyle name="Calculation 3 5 20 6" xfId="41034"/>
    <cellStyle name="Calculation 3 5 20 7" xfId="52915"/>
    <cellStyle name="Calculation 3 5 21" xfId="3308"/>
    <cellStyle name="Calculation 3 5 21 2" xfId="11101"/>
    <cellStyle name="Calculation 3 5 21 3" xfId="18430"/>
    <cellStyle name="Calculation 3 5 21 4" xfId="25130"/>
    <cellStyle name="Calculation 3 5 21 5" xfId="33503"/>
    <cellStyle name="Calculation 3 5 21 6" xfId="38736"/>
    <cellStyle name="Calculation 3 5 21 7" xfId="51075"/>
    <cellStyle name="Calculation 3 5 22" xfId="3428"/>
    <cellStyle name="Calculation 3 5 22 2" xfId="11219"/>
    <cellStyle name="Calculation 3 5 22 3" xfId="18541"/>
    <cellStyle name="Calculation 3 5 22 4" xfId="19385"/>
    <cellStyle name="Calculation 3 5 22 5" xfId="27113"/>
    <cellStyle name="Calculation 3 5 22 6" xfId="41295"/>
    <cellStyle name="Calculation 3 5 22 7" xfId="48447"/>
    <cellStyle name="Calculation 3 5 23" xfId="3089"/>
    <cellStyle name="Calculation 3 5 23 2" xfId="10896"/>
    <cellStyle name="Calculation 3 5 23 3" xfId="18282"/>
    <cellStyle name="Calculation 3 5 23 4" xfId="25504"/>
    <cellStyle name="Calculation 3 5 23 5" xfId="33982"/>
    <cellStyle name="Calculation 3 5 23 6" xfId="37663"/>
    <cellStyle name="Calculation 3 5 23 7" xfId="51880"/>
    <cellStyle name="Calculation 3 5 24" xfId="3699"/>
    <cellStyle name="Calculation 3 5 24 2" xfId="11484"/>
    <cellStyle name="Calculation 3 5 24 3" xfId="18757"/>
    <cellStyle name="Calculation 3 5 24 4" xfId="19822"/>
    <cellStyle name="Calculation 3 5 24 5" xfId="28387"/>
    <cellStyle name="Calculation 3 5 24 6" xfId="36332"/>
    <cellStyle name="Calculation 3 5 24 7" xfId="48881"/>
    <cellStyle name="Calculation 3 5 25" xfId="3829"/>
    <cellStyle name="Calculation 3 5 25 2" xfId="11611"/>
    <cellStyle name="Calculation 3 5 25 3" xfId="18868"/>
    <cellStyle name="Calculation 3 5 25 4" xfId="25340"/>
    <cellStyle name="Calculation 3 5 25 5" xfId="33772"/>
    <cellStyle name="Calculation 3 5 25 6" xfId="38998"/>
    <cellStyle name="Calculation 3 5 25 7" xfId="51509"/>
    <cellStyle name="Calculation 3 5 26" xfId="3947"/>
    <cellStyle name="Calculation 3 5 26 2" xfId="11727"/>
    <cellStyle name="Calculation 3 5 26 3" xfId="18977"/>
    <cellStyle name="Calculation 3 5 26 4" xfId="26417"/>
    <cellStyle name="Calculation 3 5 26 5" xfId="35177"/>
    <cellStyle name="Calculation 3 5 26 6" xfId="41896"/>
    <cellStyle name="Calculation 3 5 26 7" xfId="53889"/>
    <cellStyle name="Calculation 3 5 27" xfId="3190"/>
    <cellStyle name="Calculation 3 5 27 2" xfId="10991"/>
    <cellStyle name="Calculation 3 5 27 3" xfId="20318"/>
    <cellStyle name="Calculation 3 5 27 4" xfId="28410"/>
    <cellStyle name="Calculation 3 5 27 5" xfId="37797"/>
    <cellStyle name="Calculation 3 5 27 6" xfId="42432"/>
    <cellStyle name="Calculation 3 5 27 7" xfId="50403"/>
    <cellStyle name="Calculation 3 5 28" xfId="4144"/>
    <cellStyle name="Calculation 3 5 28 2" xfId="11903"/>
    <cellStyle name="Calculation 3 5 28 3" xfId="20854"/>
    <cellStyle name="Calculation 3 5 28 4" xfId="29041"/>
    <cellStyle name="Calculation 3 5 28 5" xfId="38417"/>
    <cellStyle name="Calculation 3 5 28 6" xfId="42706"/>
    <cellStyle name="Calculation 3 5 28 7" xfId="50094"/>
    <cellStyle name="Calculation 3 5 29" xfId="4005"/>
    <cellStyle name="Calculation 3 5 29 2" xfId="20715"/>
    <cellStyle name="Calculation 3 5 29 3" xfId="28902"/>
    <cellStyle name="Calculation 3 5 29 4" xfId="38285"/>
    <cellStyle name="Calculation 3 5 29 5" xfId="42567"/>
    <cellStyle name="Calculation 3 5 29 6" xfId="48942"/>
    <cellStyle name="Calculation 3 5 3" xfId="801"/>
    <cellStyle name="Calculation 3 5 3 2" xfId="8625"/>
    <cellStyle name="Calculation 3 5 3 3" xfId="16053"/>
    <cellStyle name="Calculation 3 5 3 4" xfId="19785"/>
    <cellStyle name="Calculation 3 5 3 5" xfId="28655"/>
    <cellStyle name="Calculation 3 5 3 6" xfId="37335"/>
    <cellStyle name="Calculation 3 5 3 7" xfId="48466"/>
    <cellStyle name="Calculation 3 5 30" xfId="4341"/>
    <cellStyle name="Calculation 3 5 30 2" xfId="12058"/>
    <cellStyle name="Calculation 3 5 30 3" xfId="21051"/>
    <cellStyle name="Calculation 3 5 30 4" xfId="29238"/>
    <cellStyle name="Calculation 3 5 30 5" xfId="38608"/>
    <cellStyle name="Calculation 3 5 30 6" xfId="42903"/>
    <cellStyle name="Calculation 3 5 30 7" xfId="47362"/>
    <cellStyle name="Calculation 3 5 31" xfId="4464"/>
    <cellStyle name="Calculation 3 5 31 2" xfId="12181"/>
    <cellStyle name="Calculation 3 5 31 3" xfId="21174"/>
    <cellStyle name="Calculation 3 5 31 4" xfId="29361"/>
    <cellStyle name="Calculation 3 5 31 5" xfId="38726"/>
    <cellStyle name="Calculation 3 5 31 6" xfId="43026"/>
    <cellStyle name="Calculation 3 5 31 7" xfId="48892"/>
    <cellStyle name="Calculation 3 5 32" xfId="4578"/>
    <cellStyle name="Calculation 3 5 32 2" xfId="12295"/>
    <cellStyle name="Calculation 3 5 32 3" xfId="21288"/>
    <cellStyle name="Calculation 3 5 32 4" xfId="29475"/>
    <cellStyle name="Calculation 3 5 32 5" xfId="38835"/>
    <cellStyle name="Calculation 3 5 32 6" xfId="43140"/>
    <cellStyle name="Calculation 3 5 32 7" xfId="52065"/>
    <cellStyle name="Calculation 3 5 33" xfId="4691"/>
    <cellStyle name="Calculation 3 5 33 2" xfId="12408"/>
    <cellStyle name="Calculation 3 5 33 3" xfId="21401"/>
    <cellStyle name="Calculation 3 5 33 4" xfId="29588"/>
    <cellStyle name="Calculation 3 5 33 5" xfId="38944"/>
    <cellStyle name="Calculation 3 5 33 6" xfId="43253"/>
    <cellStyle name="Calculation 3 5 33 7" xfId="51765"/>
    <cellStyle name="Calculation 3 5 34" xfId="4802"/>
    <cellStyle name="Calculation 3 5 34 2" xfId="12519"/>
    <cellStyle name="Calculation 3 5 34 3" xfId="21512"/>
    <cellStyle name="Calculation 3 5 34 4" xfId="29699"/>
    <cellStyle name="Calculation 3 5 34 5" xfId="39052"/>
    <cellStyle name="Calculation 3 5 34 6" xfId="43364"/>
    <cellStyle name="Calculation 3 5 34 7" xfId="51439"/>
    <cellStyle name="Calculation 3 5 35" xfId="4911"/>
    <cellStyle name="Calculation 3 5 35 2" xfId="12628"/>
    <cellStyle name="Calculation 3 5 35 3" xfId="21621"/>
    <cellStyle name="Calculation 3 5 35 4" xfId="29808"/>
    <cellStyle name="Calculation 3 5 35 5" xfId="39156"/>
    <cellStyle name="Calculation 3 5 35 6" xfId="43473"/>
    <cellStyle name="Calculation 3 5 35 7" xfId="47948"/>
    <cellStyle name="Calculation 3 5 36" xfId="5022"/>
    <cellStyle name="Calculation 3 5 36 2" xfId="12739"/>
    <cellStyle name="Calculation 3 5 36 3" xfId="21732"/>
    <cellStyle name="Calculation 3 5 36 4" xfId="29919"/>
    <cellStyle name="Calculation 3 5 36 5" xfId="39264"/>
    <cellStyle name="Calculation 3 5 36 6" xfId="43584"/>
    <cellStyle name="Calculation 3 5 36 7" xfId="47583"/>
    <cellStyle name="Calculation 3 5 37" xfId="5401"/>
    <cellStyle name="Calculation 3 5 37 2" xfId="13118"/>
    <cellStyle name="Calculation 3 5 37 3" xfId="22111"/>
    <cellStyle name="Calculation 3 5 37 4" xfId="30298"/>
    <cellStyle name="Calculation 3 5 37 5" xfId="39628"/>
    <cellStyle name="Calculation 3 5 37 6" xfId="43963"/>
    <cellStyle name="Calculation 3 5 37 7" xfId="51175"/>
    <cellStyle name="Calculation 3 5 38" xfId="5521"/>
    <cellStyle name="Calculation 3 5 38 2" xfId="13238"/>
    <cellStyle name="Calculation 3 5 38 3" xfId="22231"/>
    <cellStyle name="Calculation 3 5 38 4" xfId="30418"/>
    <cellStyle name="Calculation 3 5 38 5" xfId="39742"/>
    <cellStyle name="Calculation 3 5 38 6" xfId="44083"/>
    <cellStyle name="Calculation 3 5 38 7" xfId="48476"/>
    <cellStyle name="Calculation 3 5 39" xfId="5645"/>
    <cellStyle name="Calculation 3 5 39 2" xfId="13362"/>
    <cellStyle name="Calculation 3 5 39 3" xfId="22355"/>
    <cellStyle name="Calculation 3 5 39 4" xfId="30542"/>
    <cellStyle name="Calculation 3 5 39 5" xfId="39862"/>
    <cellStyle name="Calculation 3 5 39 6" xfId="44207"/>
    <cellStyle name="Calculation 3 5 39 7" xfId="47200"/>
    <cellStyle name="Calculation 3 5 4" xfId="912"/>
    <cellStyle name="Calculation 3 5 4 2" xfId="8736"/>
    <cellStyle name="Calculation 3 5 4 3" xfId="16164"/>
    <cellStyle name="Calculation 3 5 4 4" xfId="25923"/>
    <cellStyle name="Calculation 3 5 4 5" xfId="34525"/>
    <cellStyle name="Calculation 3 5 4 6" xfId="38201"/>
    <cellStyle name="Calculation 3 5 4 7" xfId="52830"/>
    <cellStyle name="Calculation 3 5 40" xfId="5761"/>
    <cellStyle name="Calculation 3 5 40 2" xfId="13478"/>
    <cellStyle name="Calculation 3 5 40 3" xfId="22471"/>
    <cellStyle name="Calculation 3 5 40 4" xfId="30658"/>
    <cellStyle name="Calculation 3 5 40 5" xfId="39974"/>
    <cellStyle name="Calculation 3 5 40 6" xfId="44323"/>
    <cellStyle name="Calculation 3 5 40 7" xfId="50983"/>
    <cellStyle name="Calculation 3 5 41" xfId="5877"/>
    <cellStyle name="Calculation 3 5 41 2" xfId="13594"/>
    <cellStyle name="Calculation 3 5 41 3" xfId="22587"/>
    <cellStyle name="Calculation 3 5 41 4" xfId="30774"/>
    <cellStyle name="Calculation 3 5 41 5" xfId="40087"/>
    <cellStyle name="Calculation 3 5 41 6" xfId="44439"/>
    <cellStyle name="Calculation 3 5 41 7" xfId="51623"/>
    <cellStyle name="Calculation 3 5 42" xfId="6006"/>
    <cellStyle name="Calculation 3 5 42 2" xfId="13723"/>
    <cellStyle name="Calculation 3 5 42 3" xfId="22716"/>
    <cellStyle name="Calculation 3 5 42 4" xfId="30903"/>
    <cellStyle name="Calculation 3 5 42 5" xfId="40211"/>
    <cellStyle name="Calculation 3 5 42 6" xfId="44568"/>
    <cellStyle name="Calculation 3 5 42 7" xfId="53871"/>
    <cellStyle name="Calculation 3 5 43" xfId="5292"/>
    <cellStyle name="Calculation 3 5 43 2" xfId="13009"/>
    <cellStyle name="Calculation 3 5 43 3" xfId="22002"/>
    <cellStyle name="Calculation 3 5 43 4" xfId="30189"/>
    <cellStyle name="Calculation 3 5 43 5" xfId="39523"/>
    <cellStyle name="Calculation 3 5 43 6" xfId="43854"/>
    <cellStyle name="Calculation 3 5 43 7" xfId="51194"/>
    <cellStyle name="Calculation 3 5 44" xfId="6262"/>
    <cellStyle name="Calculation 3 5 44 2" xfId="13979"/>
    <cellStyle name="Calculation 3 5 44 3" xfId="22972"/>
    <cellStyle name="Calculation 3 5 44 4" xfId="31159"/>
    <cellStyle name="Calculation 3 5 44 5" xfId="40459"/>
    <cellStyle name="Calculation 3 5 44 6" xfId="44824"/>
    <cellStyle name="Calculation 3 5 44 7" xfId="48975"/>
    <cellStyle name="Calculation 3 5 45" xfId="6378"/>
    <cellStyle name="Calculation 3 5 45 2" xfId="14095"/>
    <cellStyle name="Calculation 3 5 45 3" xfId="23088"/>
    <cellStyle name="Calculation 3 5 45 4" xfId="31275"/>
    <cellStyle name="Calculation 3 5 45 5" xfId="40572"/>
    <cellStyle name="Calculation 3 5 45 6" xfId="44940"/>
    <cellStyle name="Calculation 3 5 45 7" xfId="52244"/>
    <cellStyle name="Calculation 3 5 46" xfId="6489"/>
    <cellStyle name="Calculation 3 5 46 2" xfId="14206"/>
    <cellStyle name="Calculation 3 5 46 3" xfId="23199"/>
    <cellStyle name="Calculation 3 5 46 4" xfId="31386"/>
    <cellStyle name="Calculation 3 5 46 5" xfId="40679"/>
    <cellStyle name="Calculation 3 5 46 6" xfId="45051"/>
    <cellStyle name="Calculation 3 5 46 7" xfId="54102"/>
    <cellStyle name="Calculation 3 5 47" xfId="5256"/>
    <cellStyle name="Calculation 3 5 47 2" xfId="12973"/>
    <cellStyle name="Calculation 3 5 47 3" xfId="21966"/>
    <cellStyle name="Calculation 3 5 47 4" xfId="30153"/>
    <cellStyle name="Calculation 3 5 47 5" xfId="39488"/>
    <cellStyle name="Calculation 3 5 47 6" xfId="43818"/>
    <cellStyle name="Calculation 3 5 47 7" xfId="51051"/>
    <cellStyle name="Calculation 3 5 48" xfId="6635"/>
    <cellStyle name="Calculation 3 5 48 2" xfId="14352"/>
    <cellStyle name="Calculation 3 5 48 3" xfId="23345"/>
    <cellStyle name="Calculation 3 5 48 4" xfId="31532"/>
    <cellStyle name="Calculation 3 5 48 5" xfId="40818"/>
    <cellStyle name="Calculation 3 5 48 6" xfId="45197"/>
    <cellStyle name="Calculation 3 5 48 7" xfId="48452"/>
    <cellStyle name="Calculation 3 5 49" xfId="6747"/>
    <cellStyle name="Calculation 3 5 49 2" xfId="14464"/>
    <cellStyle name="Calculation 3 5 49 3" xfId="23457"/>
    <cellStyle name="Calculation 3 5 49 4" xfId="31644"/>
    <cellStyle name="Calculation 3 5 49 5" xfId="40924"/>
    <cellStyle name="Calculation 3 5 49 6" xfId="45309"/>
    <cellStyle name="Calculation 3 5 49 7" xfId="50240"/>
    <cellStyle name="Calculation 3 5 5" xfId="1378"/>
    <cellStyle name="Calculation 3 5 5 2" xfId="9201"/>
    <cellStyle name="Calculation 3 5 5 3" xfId="16629"/>
    <cellStyle name="Calculation 3 5 5 4" xfId="25708"/>
    <cellStyle name="Calculation 3 5 5 5" xfId="34249"/>
    <cellStyle name="Calculation 3 5 5 6" xfId="38681"/>
    <cellStyle name="Calculation 3 5 5 7" xfId="52333"/>
    <cellStyle name="Calculation 3 5 50" xfId="6862"/>
    <cellStyle name="Calculation 3 5 50 2" xfId="14579"/>
    <cellStyle name="Calculation 3 5 50 3" xfId="23572"/>
    <cellStyle name="Calculation 3 5 50 4" xfId="31759"/>
    <cellStyle name="Calculation 3 5 50 5" xfId="41032"/>
    <cellStyle name="Calculation 3 5 50 6" xfId="45424"/>
    <cellStyle name="Calculation 3 5 50 7" xfId="47072"/>
    <cellStyle name="Calculation 3 5 51" xfId="6975"/>
    <cellStyle name="Calculation 3 5 51 2" xfId="14692"/>
    <cellStyle name="Calculation 3 5 51 3" xfId="23685"/>
    <cellStyle name="Calculation 3 5 51 4" xfId="31872"/>
    <cellStyle name="Calculation 3 5 51 5" xfId="41140"/>
    <cellStyle name="Calculation 3 5 51 6" xfId="45537"/>
    <cellStyle name="Calculation 3 5 51 7" xfId="54525"/>
    <cellStyle name="Calculation 3 5 52" xfId="7086"/>
    <cellStyle name="Calculation 3 5 52 2" xfId="14803"/>
    <cellStyle name="Calculation 3 5 52 3" xfId="23796"/>
    <cellStyle name="Calculation 3 5 52 4" xfId="31983"/>
    <cellStyle name="Calculation 3 5 52 5" xfId="41245"/>
    <cellStyle name="Calculation 3 5 52 6" xfId="45648"/>
    <cellStyle name="Calculation 3 5 52 7" xfId="49795"/>
    <cellStyle name="Calculation 3 5 53" xfId="7191"/>
    <cellStyle name="Calculation 3 5 53 2" xfId="14908"/>
    <cellStyle name="Calculation 3 5 53 3" xfId="23901"/>
    <cellStyle name="Calculation 3 5 53 4" xfId="32088"/>
    <cellStyle name="Calculation 3 5 53 5" xfId="41349"/>
    <cellStyle name="Calculation 3 5 53 6" xfId="45753"/>
    <cellStyle name="Calculation 3 5 53 7" xfId="52408"/>
    <cellStyle name="Calculation 3 5 54" xfId="7415"/>
    <cellStyle name="Calculation 3 5 54 2" xfId="15132"/>
    <cellStyle name="Calculation 3 5 54 3" xfId="24125"/>
    <cellStyle name="Calculation 3 5 54 4" xfId="32312"/>
    <cellStyle name="Calculation 3 5 54 5" xfId="41564"/>
    <cellStyle name="Calculation 3 5 54 6" xfId="45977"/>
    <cellStyle name="Calculation 3 5 54 7" xfId="51992"/>
    <cellStyle name="Calculation 3 5 55" xfId="7483"/>
    <cellStyle name="Calculation 3 5 55 2" xfId="15200"/>
    <cellStyle name="Calculation 3 5 55 3" xfId="24193"/>
    <cellStyle name="Calculation 3 5 55 4" xfId="32380"/>
    <cellStyle name="Calculation 3 5 55 5" xfId="41628"/>
    <cellStyle name="Calculation 3 5 55 6" xfId="46045"/>
    <cellStyle name="Calculation 3 5 55 7" xfId="47650"/>
    <cellStyle name="Calculation 3 5 56" xfId="7604"/>
    <cellStyle name="Calculation 3 5 56 2" xfId="15321"/>
    <cellStyle name="Calculation 3 5 56 3" xfId="24314"/>
    <cellStyle name="Calculation 3 5 56 4" xfId="32501"/>
    <cellStyle name="Calculation 3 5 56 5" xfId="41743"/>
    <cellStyle name="Calculation 3 5 56 6" xfId="46166"/>
    <cellStyle name="Calculation 3 5 56 7" xfId="49334"/>
    <cellStyle name="Calculation 3 5 57" xfId="7880"/>
    <cellStyle name="Calculation 3 5 57 2" xfId="15597"/>
    <cellStyle name="Calculation 3 5 57 3" xfId="24584"/>
    <cellStyle name="Calculation 3 5 57 4" xfId="32777"/>
    <cellStyle name="Calculation 3 5 57 5" xfId="42008"/>
    <cellStyle name="Calculation 3 5 57 6" xfId="46442"/>
    <cellStyle name="Calculation 3 5 57 7" xfId="52389"/>
    <cellStyle name="Calculation 3 5 58" xfId="7979"/>
    <cellStyle name="Calculation 3 5 58 2" xfId="15696"/>
    <cellStyle name="Calculation 3 5 58 3" xfId="24681"/>
    <cellStyle name="Calculation 3 5 58 4" xfId="32876"/>
    <cellStyle name="Calculation 3 5 58 5" xfId="42102"/>
    <cellStyle name="Calculation 3 5 58 6" xfId="46541"/>
    <cellStyle name="Calculation 3 5 58 7" xfId="52201"/>
    <cellStyle name="Calculation 3 5 59" xfId="7650"/>
    <cellStyle name="Calculation 3 5 59 2" xfId="15367"/>
    <cellStyle name="Calculation 3 5 59 3" xfId="24360"/>
    <cellStyle name="Calculation 3 5 59 4" xfId="32547"/>
    <cellStyle name="Calculation 3 5 59 5" xfId="41789"/>
    <cellStyle name="Calculation 3 5 59 6" xfId="46212"/>
    <cellStyle name="Calculation 3 5 59 7" xfId="47515"/>
    <cellStyle name="Calculation 3 5 6" xfId="1501"/>
    <cellStyle name="Calculation 3 5 6 2" xfId="9324"/>
    <cellStyle name="Calculation 3 5 6 3" xfId="16752"/>
    <cellStyle name="Calculation 3 5 6 4" xfId="25694"/>
    <cellStyle name="Calculation 3 5 6 5" xfId="34233"/>
    <cellStyle name="Calculation 3 5 6 6" xfId="41149"/>
    <cellStyle name="Calculation 3 5 6 7" xfId="52302"/>
    <cellStyle name="Calculation 3 5 60" xfId="8156"/>
    <cellStyle name="Calculation 3 5 60 2" xfId="15873"/>
    <cellStyle name="Calculation 3 5 60 3" xfId="33053"/>
    <cellStyle name="Calculation 3 5 60 4" xfId="42272"/>
    <cellStyle name="Calculation 3 5 60 5" xfId="46718"/>
    <cellStyle name="Calculation 3 5 60 6" xfId="47895"/>
    <cellStyle name="Calculation 3 5 61" xfId="19301"/>
    <cellStyle name="Calculation 3 5 62" xfId="28365"/>
    <cellStyle name="Calculation 3 5 63" xfId="36284"/>
    <cellStyle name="Calculation 3 5 64" xfId="47801"/>
    <cellStyle name="Calculation 3 5 7" xfId="1287"/>
    <cellStyle name="Calculation 3 5 7 2" xfId="9110"/>
    <cellStyle name="Calculation 3 5 7 3" xfId="16538"/>
    <cellStyle name="Calculation 3 5 7 4" xfId="19973"/>
    <cellStyle name="Calculation 3 5 7 5" xfId="27178"/>
    <cellStyle name="Calculation 3 5 7 6" xfId="39348"/>
    <cellStyle name="Calculation 3 5 7 7" xfId="47185"/>
    <cellStyle name="Calculation 3 5 8" xfId="1738"/>
    <cellStyle name="Calculation 3 5 8 2" xfId="9561"/>
    <cellStyle name="Calculation 3 5 8 3" xfId="16989"/>
    <cellStyle name="Calculation 3 5 8 4" xfId="20033"/>
    <cellStyle name="Calculation 3 5 8 5" xfId="33141"/>
    <cellStyle name="Calculation 3 5 8 6" xfId="40821"/>
    <cellStyle name="Calculation 3 5 8 7" xfId="50411"/>
    <cellStyle name="Calculation 3 5 9" xfId="1872"/>
    <cellStyle name="Calculation 3 5 9 2" xfId="9695"/>
    <cellStyle name="Calculation 3 5 9 3" xfId="17123"/>
    <cellStyle name="Calculation 3 5 9 4" xfId="25036"/>
    <cellStyle name="Calculation 3 5 9 5" xfId="33394"/>
    <cellStyle name="Calculation 3 5 9 6" xfId="40182"/>
    <cellStyle name="Calculation 3 5 9 7" xfId="50875"/>
    <cellStyle name="Calculation 3 6" xfId="245"/>
    <cellStyle name="Calculation 3 6 2" xfId="8345"/>
    <cellStyle name="Calculation 3 6 3" xfId="8374"/>
    <cellStyle name="Calculation 3 6 4" xfId="19377"/>
    <cellStyle name="Calculation 3 6 5" xfId="27945"/>
    <cellStyle name="Calculation 3 6 6" xfId="37315"/>
    <cellStyle name="Calculation 3 6 7" xfId="47259"/>
    <cellStyle name="Calculation 3 7" xfId="232"/>
    <cellStyle name="Calculation 3 7 2" xfId="8336"/>
    <cellStyle name="Calculation 3 7 3" xfId="8368"/>
    <cellStyle name="Calculation 3 7 4" xfId="19036"/>
    <cellStyle name="Calculation 3 7 5" xfId="28174"/>
    <cellStyle name="Calculation 3 7 6" xfId="38247"/>
    <cellStyle name="Calculation 3 7 7" xfId="49884"/>
    <cellStyle name="Calculation 3 8" xfId="1073"/>
    <cellStyle name="Calculation 3 8 2" xfId="8897"/>
    <cellStyle name="Calculation 3 8 3" xfId="16325"/>
    <cellStyle name="Calculation 3 8 4" xfId="19064"/>
    <cellStyle name="Calculation 3 8 5" xfId="33163"/>
    <cellStyle name="Calculation 3 8 6" xfId="36644"/>
    <cellStyle name="Calculation 3 8 7" xfId="50461"/>
    <cellStyle name="Calculation 3 9" xfId="1019"/>
    <cellStyle name="Calculation 3 9 2" xfId="8843"/>
    <cellStyle name="Calculation 3 9 3" xfId="16271"/>
    <cellStyle name="Calculation 3 9 4" xfId="19974"/>
    <cellStyle name="Calculation 3 9 5" xfId="27683"/>
    <cellStyle name="Calculation 3 9 6" xfId="38142"/>
    <cellStyle name="Calculation 3 9 7" xfId="48715"/>
    <cellStyle name="Check Cell 2" xfId="133"/>
    <cellStyle name="Check Cell 2 2" xfId="188"/>
    <cellStyle name="Check Cell 2 2 2" xfId="271"/>
    <cellStyle name="Check Cell 2 2 2 2" xfId="474"/>
    <cellStyle name="Check Cell 2 2 2 2 2" xfId="8388"/>
    <cellStyle name="Check Cell 2 2 2 3" xfId="8358"/>
    <cellStyle name="Check Cell 2 2 3" xfId="253"/>
    <cellStyle name="Check Cell 2 2 3 2" xfId="472"/>
    <cellStyle name="Check Cell 2 2 3 2 2" xfId="8386"/>
    <cellStyle name="Check Cell 2 2 3 3" xfId="8353"/>
    <cellStyle name="Check Cell 2 2 4" xfId="457"/>
    <cellStyle name="Check Cell 2 2 4 2" xfId="8375"/>
    <cellStyle name="Check Cell 2 2 5" xfId="240"/>
    <cellStyle name="Check Cell 2 2 5 2" xfId="8340"/>
    <cellStyle name="Check Cell 2 2 6" xfId="8228"/>
    <cellStyle name="Check Cell 2 2 6 2" xfId="15922"/>
    <cellStyle name="Check Cell 2 2 7" xfId="8231"/>
    <cellStyle name="Check Cell 2 2 7 2" xfId="15923"/>
    <cellStyle name="Check Cell 2 2 8" xfId="8233"/>
    <cellStyle name="Check Cell 2 3" xfId="190"/>
    <cellStyle name="Check Cell 2 3 2" xfId="273"/>
    <cellStyle name="Check Cell 2 3 2 2" xfId="476"/>
    <cellStyle name="Check Cell 2 3 2 2 2" xfId="8390"/>
    <cellStyle name="Check Cell 2 3 2 3" xfId="8360"/>
    <cellStyle name="Check Cell 2 3 3" xfId="250"/>
    <cellStyle name="Check Cell 2 3 3 2" xfId="469"/>
    <cellStyle name="Check Cell 2 3 3 2 2" xfId="8383"/>
    <cellStyle name="Check Cell 2 3 3 3" xfId="8350"/>
    <cellStyle name="Check Cell 2 3 4" xfId="459"/>
    <cellStyle name="Check Cell 2 3 4 2" xfId="8377"/>
    <cellStyle name="Check Cell 2 3 5" xfId="242"/>
    <cellStyle name="Check Cell 2 3 5 2" xfId="8342"/>
    <cellStyle name="Check Cell 2 3 6" xfId="8227"/>
    <cellStyle name="Check Cell 2 3 6 2" xfId="15921"/>
    <cellStyle name="Check Cell 2 3 7" xfId="8236"/>
    <cellStyle name="Check Cell 2 3 7 2" xfId="15925"/>
    <cellStyle name="Check Cell 2 3 8" xfId="8234"/>
    <cellStyle name="Check Cell 2 4" xfId="199"/>
    <cellStyle name="Check Cell 2 4 2" xfId="252"/>
    <cellStyle name="Check Cell 2 4 2 2" xfId="471"/>
    <cellStyle name="Check Cell 2 4 2 2 2" xfId="8385"/>
    <cellStyle name="Check Cell 2 4 2 3" xfId="8352"/>
    <cellStyle name="Check Cell 2 4 3" xfId="460"/>
    <cellStyle name="Check Cell 2 4 3 2" xfId="8378"/>
    <cellStyle name="Check Cell 2 4 4" xfId="8239"/>
    <cellStyle name="Check Cell 2 4 4 2" xfId="15928"/>
    <cellStyle name="Check Cell 2 4 5" xfId="8232"/>
    <cellStyle name="Check Cell 2 4 5 2" xfId="15924"/>
    <cellStyle name="Check Cell 2 4 6" xfId="8229"/>
    <cellStyle name="Check Cell 2 5" xfId="8224"/>
    <cellStyle name="Check Cell 3" xfId="132"/>
    <cellStyle name="Check Cell 3 2" xfId="189"/>
    <cellStyle name="Check Cell 3 2 2" xfId="272"/>
    <cellStyle name="Check Cell 3 2 2 2" xfId="475"/>
    <cellStyle name="Check Cell 3 2 2 2 2" xfId="8389"/>
    <cellStyle name="Check Cell 3 2 2 3" xfId="8359"/>
    <cellStyle name="Check Cell 3 2 3" xfId="254"/>
    <cellStyle name="Check Cell 3 2 3 2" xfId="473"/>
    <cellStyle name="Check Cell 3 2 3 2 2" xfId="8387"/>
    <cellStyle name="Check Cell 3 2 3 3" xfId="8354"/>
    <cellStyle name="Check Cell 3 2 4" xfId="458"/>
    <cellStyle name="Check Cell 3 2 4 2" xfId="8376"/>
    <cellStyle name="Check Cell 3 2 5" xfId="241"/>
    <cellStyle name="Check Cell 3 2 5 2" xfId="8341"/>
    <cellStyle name="Check Cell 3 2 6" xfId="8226"/>
    <cellStyle name="Check Cell 3 2 6 2" xfId="15920"/>
    <cellStyle name="Check Cell 3 2 7" xfId="8223"/>
    <cellStyle name="Check Cell 3 2 7 2" xfId="15918"/>
    <cellStyle name="Check Cell 3 2 8" xfId="8230"/>
    <cellStyle name="Check Cell 3 3" xfId="210"/>
    <cellStyle name="Check Cell 3 3 2" xfId="275"/>
    <cellStyle name="Check Cell 3 3 2 2" xfId="477"/>
    <cellStyle name="Check Cell 3 3 2 2 2" xfId="8391"/>
    <cellStyle name="Check Cell 3 3 2 3" xfId="8361"/>
    <cellStyle name="Check Cell 3 3 3" xfId="249"/>
    <cellStyle name="Check Cell 3 3 3 2" xfId="468"/>
    <cellStyle name="Check Cell 3 3 3 2 2" xfId="8382"/>
    <cellStyle name="Check Cell 3 3 3 3" xfId="8349"/>
    <cellStyle name="Check Cell 3 3 4" xfId="461"/>
    <cellStyle name="Check Cell 3 3 4 2" xfId="8379"/>
    <cellStyle name="Check Cell 3 3 5" xfId="247"/>
    <cellStyle name="Check Cell 3 3 5 2" xfId="8347"/>
    <cellStyle name="Check Cell 3 3 6" xfId="8240"/>
    <cellStyle name="Check Cell 3 3 6 2" xfId="15929"/>
    <cellStyle name="Check Cell 3 3 7" xfId="8242"/>
    <cellStyle name="Check Cell 3 3 7 2" xfId="15931"/>
    <cellStyle name="Check Cell 3 3 8" xfId="8235"/>
    <cellStyle name="Check Cell 3 4" xfId="211"/>
    <cellStyle name="Check Cell 3 4 2" xfId="251"/>
    <cellStyle name="Check Cell 3 4 2 2" xfId="470"/>
    <cellStyle name="Check Cell 3 4 2 2 2" xfId="8384"/>
    <cellStyle name="Check Cell 3 4 2 3" xfId="8351"/>
    <cellStyle name="Check Cell 3 4 3" xfId="462"/>
    <cellStyle name="Check Cell 3 4 3 2" xfId="8380"/>
    <cellStyle name="Check Cell 3 4 4" xfId="8241"/>
    <cellStyle name="Check Cell 3 4 4 2" xfId="15930"/>
    <cellStyle name="Check Cell 3 4 5" xfId="8243"/>
    <cellStyle name="Check Cell 3 4 5 2" xfId="15932"/>
    <cellStyle name="Check Cell 3 4 6" xfId="8244"/>
    <cellStyle name="Check Cell 3 5" xfId="8225"/>
    <cellStyle name="Comma" xfId="7" builtinId="3"/>
    <cellStyle name="Comma 10" xfId="191"/>
    <cellStyle name="Comma 10 2" xfId="277"/>
    <cellStyle name="Comma 10 2 2" xfId="278"/>
    <cellStyle name="Comma 10 3" xfId="276"/>
    <cellStyle name="Comma 11" xfId="279"/>
    <cellStyle name="Comma 11 2" xfId="280"/>
    <cellStyle name="Comma 12" xfId="8207"/>
    <cellStyle name="Comma 12 2" xfId="54557"/>
    <cellStyle name="Comma 13" xfId="8213"/>
    <cellStyle name="Comma 13 2" xfId="54567"/>
    <cellStyle name="Comma 13 2 2" xfId="54585"/>
    <cellStyle name="Comma 14" xfId="8203"/>
    <cellStyle name="Comma 15" xfId="54566"/>
    <cellStyle name="Comma 2" xfId="14"/>
    <cellStyle name="Comma 2 2" xfId="31"/>
    <cellStyle name="Comma 2 2 2" xfId="281"/>
    <cellStyle name="Comma 2 3" xfId="32"/>
    <cellStyle name="Comma 2 3 2" xfId="282"/>
    <cellStyle name="Comma 2 4" xfId="33"/>
    <cellStyle name="Comma 2 4 2" xfId="283"/>
    <cellStyle name="Comma 2 5" xfId="34"/>
    <cellStyle name="Comma 2 5 2" xfId="284"/>
    <cellStyle name="Comma 2 6" xfId="30"/>
    <cellStyle name="Comma 2 7" xfId="285"/>
    <cellStyle name="Comma 3" xfId="13"/>
    <cellStyle name="Comma 3 2" xfId="24"/>
    <cellStyle name="Comma 3 3" xfId="35"/>
    <cellStyle name="Comma 3 3 2" xfId="286"/>
    <cellStyle name="Comma 4" xfId="21"/>
    <cellStyle name="Comma 4 2" xfId="36"/>
    <cellStyle name="Comma 4 2 2" xfId="287"/>
    <cellStyle name="Comma 4 3" xfId="288"/>
    <cellStyle name="Comma 5" xfId="37"/>
    <cellStyle name="Comma 6" xfId="38"/>
    <cellStyle name="Comma 6 2" xfId="78"/>
    <cellStyle name="Comma 6 2 2" xfId="289"/>
    <cellStyle name="Comma 6 3" xfId="290"/>
    <cellStyle name="Comma 7" xfId="29"/>
    <cellStyle name="Comma 8" xfId="178"/>
    <cellStyle name="Comma 8 2" xfId="192"/>
    <cellStyle name="Comma 9" xfId="185"/>
    <cellStyle name="Comma 9 2" xfId="268"/>
    <cellStyle name="Comma 9 2 2" xfId="292"/>
    <cellStyle name="Comma 9 3" xfId="293"/>
    <cellStyle name="Comma 9 4" xfId="291"/>
    <cellStyle name="Comma 9 5" xfId="237"/>
    <cellStyle name="Currency" xfId="1" builtinId="4"/>
    <cellStyle name="Currency 10" xfId="179"/>
    <cellStyle name="Currency 10 2" xfId="194"/>
    <cellStyle name="Currency 11" xfId="181"/>
    <cellStyle name="Currency 11 2" xfId="195"/>
    <cellStyle name="Currency 11 2 2" xfId="294"/>
    <cellStyle name="Currency 12" xfId="186"/>
    <cellStyle name="Currency 12 2" xfId="269"/>
    <cellStyle name="Currency 12 2 2" xfId="296"/>
    <cellStyle name="Currency 12 3" xfId="297"/>
    <cellStyle name="Currency 12 4" xfId="295"/>
    <cellStyle name="Currency 12 5" xfId="238"/>
    <cellStyle name="Currency 13" xfId="193"/>
    <cellStyle name="Currency 13 2" xfId="299"/>
    <cellStyle name="Currency 13 3" xfId="298"/>
    <cellStyle name="Currency 14" xfId="8208"/>
    <cellStyle name="Currency 14 2" xfId="54558"/>
    <cellStyle name="Currency 14 3" xfId="54569"/>
    <cellStyle name="Currency 15" xfId="8212"/>
    <cellStyle name="Currency 15 2" xfId="54584"/>
    <cellStyle name="Currency 16" xfId="8202"/>
    <cellStyle name="Currency 17" xfId="54568"/>
    <cellStyle name="Currency 2" xfId="16"/>
    <cellStyle name="Currency 2 2" xfId="41"/>
    <cellStyle name="Currency 2 2 2" xfId="42"/>
    <cellStyle name="Currency 2 2 2 2" xfId="300"/>
    <cellStyle name="Currency 2 2 3" xfId="43"/>
    <cellStyle name="Currency 2 2 3 2" xfId="301"/>
    <cellStyle name="Currency 2 2 4" xfId="302"/>
    <cellStyle name="Currency 2 3" xfId="44"/>
    <cellStyle name="Currency 2 3 2" xfId="303"/>
    <cellStyle name="Currency 2 4" xfId="45"/>
    <cellStyle name="Currency 2 4 2" xfId="304"/>
    <cellStyle name="Currency 2 5" xfId="46"/>
    <cellStyle name="Currency 2 5 2" xfId="305"/>
    <cellStyle name="Currency 2 6" xfId="40"/>
    <cellStyle name="Currency 2 7" xfId="135"/>
    <cellStyle name="Currency 2 7 2" xfId="196"/>
    <cellStyle name="Currency 2 8" xfId="173"/>
    <cellStyle name="Currency 2 9" xfId="306"/>
    <cellStyle name="Currency 3" xfId="15"/>
    <cellStyle name="Currency 3 2" xfId="22"/>
    <cellStyle name="Currency 3 3" xfId="47"/>
    <cellStyle name="Currency 3 3 2" xfId="307"/>
    <cellStyle name="Currency 4" xfId="20"/>
    <cellStyle name="Currency 4 2" xfId="25"/>
    <cellStyle name="Currency 4 2 2" xfId="308"/>
    <cellStyle name="Currency 4 3" xfId="309"/>
    <cellStyle name="Currency 5" xfId="5"/>
    <cellStyle name="Currency 5 2" xfId="48"/>
    <cellStyle name="Currency 5 2 2" xfId="197"/>
    <cellStyle name="Currency 5 2 2 2" xfId="310"/>
    <cellStyle name="Currency 5 2 3" xfId="311"/>
    <cellStyle name="Currency 5 3" xfId="312"/>
    <cellStyle name="Currency 6" xfId="39"/>
    <cellStyle name="Currency 7" xfId="49"/>
    <cellStyle name="Currency 8" xfId="134"/>
    <cellStyle name="Currency 8 2" xfId="198"/>
    <cellStyle name="Currency 9" xfId="174"/>
    <cellStyle name="Data Field" xfId="313"/>
    <cellStyle name="Data Field 2" xfId="314"/>
    <cellStyle name="Data Name" xfId="315"/>
    <cellStyle name="Data Name 2" xfId="316"/>
    <cellStyle name="Date/Time" xfId="317"/>
    <cellStyle name="Explanatory Text 2" xfId="137"/>
    <cellStyle name="Explanatory Text 3" xfId="136"/>
    <cellStyle name="Good 2" xfId="139"/>
    <cellStyle name="Good 3" xfId="138"/>
    <cellStyle name="Heading" xfId="318"/>
    <cellStyle name="Heading 1 2" xfId="141"/>
    <cellStyle name="Heading 1 3" xfId="140"/>
    <cellStyle name="Heading 2 2" xfId="143"/>
    <cellStyle name="Heading 2 3" xfId="142"/>
    <cellStyle name="Heading 3 2" xfId="145"/>
    <cellStyle name="Heading 3 2 10" xfId="25377"/>
    <cellStyle name="Heading 3 2 11" xfId="26811"/>
    <cellStyle name="Heading 3 2 12" xfId="27214"/>
    <cellStyle name="Heading 3 2 13" xfId="27375"/>
    <cellStyle name="Heading 3 2 14" xfId="36258"/>
    <cellStyle name="Heading 3 2 15" xfId="42322"/>
    <cellStyle name="Heading 3 2 16" xfId="46765"/>
    <cellStyle name="Heading 3 2 17" xfId="46895"/>
    <cellStyle name="Heading 3 2 2" xfId="319"/>
    <cellStyle name="Heading 3 2 2 10" xfId="26896"/>
    <cellStyle name="Heading 3 2 2 11" xfId="27959"/>
    <cellStyle name="Heading 3 2 2 12" xfId="28087"/>
    <cellStyle name="Heading 3 2 2 13" xfId="36295"/>
    <cellStyle name="Heading 3 2 2 14" xfId="42323"/>
    <cellStyle name="Heading 3 2 2 15" xfId="42338"/>
    <cellStyle name="Heading 3 2 2 16" xfId="47066"/>
    <cellStyle name="Heading 3 2 2 2" xfId="555"/>
    <cellStyle name="Heading 3 2 2 2 10" xfId="36351"/>
    <cellStyle name="Heading 3 2 2 2 11" xfId="42328"/>
    <cellStyle name="Heading 3 2 2 2 12" xfId="46770"/>
    <cellStyle name="Heading 3 2 2 2 13" xfId="47297"/>
    <cellStyle name="Heading 3 2 2 2 2" xfId="8407"/>
    <cellStyle name="Heading 3 2 2 2 3" xfId="8248"/>
    <cellStyle name="Heading 3 2 2 2 4" xfId="19242"/>
    <cellStyle name="Heading 3 2 2 2 5" xfId="26721"/>
    <cellStyle name="Heading 3 2 2 2 6" xfId="26090"/>
    <cellStyle name="Heading 3 2 2 2 7" xfId="27025"/>
    <cellStyle name="Heading 3 2 2 2 8" xfId="26826"/>
    <cellStyle name="Heading 3 2 2 2 9" xfId="34979"/>
    <cellStyle name="Heading 3 2 2 3" xfId="574"/>
    <cellStyle name="Heading 3 2 2 3 10" xfId="36363"/>
    <cellStyle name="Heading 3 2 2 3 11" xfId="42330"/>
    <cellStyle name="Heading 3 2 2 3 12" xfId="42337"/>
    <cellStyle name="Heading 3 2 2 3 13" xfId="47315"/>
    <cellStyle name="Heading 3 2 2 3 2" xfId="8411"/>
    <cellStyle name="Heading 3 2 2 3 3" xfId="8245"/>
    <cellStyle name="Heading 3 2 2 3 4" xfId="19252"/>
    <cellStyle name="Heading 3 2 2 3 5" xfId="26717"/>
    <cellStyle name="Heading 3 2 2 3 6" xfId="19858"/>
    <cellStyle name="Heading 3 2 2 3 7" xfId="27038"/>
    <cellStyle name="Heading 3 2 2 3 8" xfId="33101"/>
    <cellStyle name="Heading 3 2 2 3 9" xfId="33205"/>
    <cellStyle name="Heading 3 2 2 4" xfId="478"/>
    <cellStyle name="Heading 3 2 2 4 10" xfId="36310"/>
    <cellStyle name="Heading 3 2 2 4 11" xfId="42325"/>
    <cellStyle name="Heading 3 2 2 4 12" xfId="46774"/>
    <cellStyle name="Heading 3 2 2 4 13" xfId="47223"/>
    <cellStyle name="Heading 3 2 2 4 2" xfId="8392"/>
    <cellStyle name="Heading 3 2 2 4 3" xfId="8315"/>
    <cellStyle name="Heading 3 2 2 4 4" xfId="19212"/>
    <cellStyle name="Heading 3 2 2 4 5" xfId="26711"/>
    <cellStyle name="Heading 3 2 2 4 6" xfId="26716"/>
    <cellStyle name="Heading 3 2 2 4 7" xfId="26986"/>
    <cellStyle name="Heading 3 2 2 4 8" xfId="27928"/>
    <cellStyle name="Heading 3 2 2 4 9" xfId="35392"/>
    <cellStyle name="Heading 3 2 2 5" xfId="8364"/>
    <cellStyle name="Heading 3 2 2 6" xfId="8250"/>
    <cellStyle name="Heading 3 2 2 7" xfId="19145"/>
    <cellStyle name="Heading 3 2 2 8" xfId="25074"/>
    <cellStyle name="Heading 3 2 2 9" xfId="26186"/>
    <cellStyle name="Heading 3 2 3" xfId="583"/>
    <cellStyle name="Heading 3 2 3 10" xfId="36367"/>
    <cellStyle name="Heading 3 2 3 11" xfId="42331"/>
    <cellStyle name="Heading 3 2 3 12" xfId="46773"/>
    <cellStyle name="Heading 3 2 3 13" xfId="47323"/>
    <cellStyle name="Heading 3 2 3 2" xfId="8413"/>
    <cellStyle name="Heading 3 2 3 3" xfId="15919"/>
    <cellStyle name="Heading 3 2 3 4" xfId="19257"/>
    <cellStyle name="Heading 3 2 3 5" xfId="26715"/>
    <cellStyle name="Heading 3 2 3 6" xfId="26718"/>
    <cellStyle name="Heading 3 2 3 7" xfId="27041"/>
    <cellStyle name="Heading 3 2 3 8" xfId="27630"/>
    <cellStyle name="Heading 3 2 3 9" xfId="28131"/>
    <cellStyle name="Heading 3 2 4" xfId="589"/>
    <cellStyle name="Heading 3 2 4 10" xfId="36370"/>
    <cellStyle name="Heading 3 2 4 11" xfId="42333"/>
    <cellStyle name="Heading 3 2 4 12" xfId="42472"/>
    <cellStyle name="Heading 3 2 4 13" xfId="47328"/>
    <cellStyle name="Heading 3 2 4 2" xfId="8415"/>
    <cellStyle name="Heading 3 2 4 3" xfId="8314"/>
    <cellStyle name="Heading 3 2 4 4" xfId="19260"/>
    <cellStyle name="Heading 3 2 4 5" xfId="26714"/>
    <cellStyle name="Heading 3 2 4 6" xfId="26656"/>
    <cellStyle name="Heading 3 2 4 7" xfId="27045"/>
    <cellStyle name="Heading 3 2 4 8" xfId="28893"/>
    <cellStyle name="Heading 3 2 4 9" xfId="27778"/>
    <cellStyle name="Heading 3 2 5" xfId="8237"/>
    <cellStyle name="Heading 3 2 5 10" xfId="42319"/>
    <cellStyle name="Heading 3 2 5 11" xfId="46763"/>
    <cellStyle name="Heading 3 2 5 12" xfId="46769"/>
    <cellStyle name="Heading 3 2 5 13" xfId="54549"/>
    <cellStyle name="Heading 3 2 5 2" xfId="15926"/>
    <cellStyle name="Heading 3 2 5 3" xfId="19022"/>
    <cellStyle name="Heading 3 2 5 4" xfId="26709"/>
    <cellStyle name="Heading 3 2 5 5" xfId="26723"/>
    <cellStyle name="Heading 3 2 5 6" xfId="19512"/>
    <cellStyle name="Heading 3 2 5 7" xfId="33117"/>
    <cellStyle name="Heading 3 2 5 8" xfId="35576"/>
    <cellStyle name="Heading 3 2 5 9" xfId="36247"/>
    <cellStyle name="Heading 3 2 6" xfId="8309"/>
    <cellStyle name="Heading 3 2 7" xfId="8404"/>
    <cellStyle name="Heading 3 2 8" xfId="19079"/>
    <cellStyle name="Heading 3 2 9" xfId="19987"/>
    <cellStyle name="Heading 3 3" xfId="144"/>
    <cellStyle name="Heading 3 3 10" xfId="26712"/>
    <cellStyle name="Heading 3 3 11" xfId="26810"/>
    <cellStyle name="Heading 3 3 12" xfId="27440"/>
    <cellStyle name="Heading 3 3 13" xfId="27033"/>
    <cellStyle name="Heading 3 3 14" xfId="36257"/>
    <cellStyle name="Heading 3 3 15" xfId="42321"/>
    <cellStyle name="Heading 3 3 16" xfId="46771"/>
    <cellStyle name="Heading 3 3 17" xfId="46894"/>
    <cellStyle name="Heading 3 3 2" xfId="320"/>
    <cellStyle name="Heading 3 3 2 10" xfId="26897"/>
    <cellStyle name="Heading 3 3 2 11" xfId="27365"/>
    <cellStyle name="Heading 3 3 2 12" xfId="28652"/>
    <cellStyle name="Heading 3 3 2 13" xfId="36296"/>
    <cellStyle name="Heading 3 3 2 14" xfId="42324"/>
    <cellStyle name="Heading 3 3 2 15" xfId="42336"/>
    <cellStyle name="Heading 3 3 2 16" xfId="47067"/>
    <cellStyle name="Heading 3 3 2 2" xfId="556"/>
    <cellStyle name="Heading 3 3 2 2 10" xfId="36352"/>
    <cellStyle name="Heading 3 3 2 2 11" xfId="42329"/>
    <cellStyle name="Heading 3 3 2 2 12" xfId="46772"/>
    <cellStyle name="Heading 3 3 2 2 13" xfId="47298"/>
    <cellStyle name="Heading 3 3 2 2 2" xfId="8408"/>
    <cellStyle name="Heading 3 3 2 2 3" xfId="8362"/>
    <cellStyle name="Heading 3 3 2 2 4" xfId="19243"/>
    <cellStyle name="Heading 3 3 2 2 5" xfId="25067"/>
    <cellStyle name="Heading 3 3 2 2 6" xfId="26719"/>
    <cellStyle name="Heading 3 3 2 2 7" xfId="27026"/>
    <cellStyle name="Heading 3 3 2 2 8" xfId="26822"/>
    <cellStyle name="Heading 3 3 2 2 9" xfId="26935"/>
    <cellStyle name="Heading 3 3 2 3" xfId="523"/>
    <cellStyle name="Heading 3 3 2 3 10" xfId="36335"/>
    <cellStyle name="Heading 3 3 2 3 11" xfId="42327"/>
    <cellStyle name="Heading 3 3 2 3 12" xfId="46767"/>
    <cellStyle name="Heading 3 3 2 3 13" xfId="47265"/>
    <cellStyle name="Heading 3 3 2 3 2" xfId="8398"/>
    <cellStyle name="Heading 3 3 2 3 3" xfId="8363"/>
    <cellStyle name="Heading 3 3 2 3 4" xfId="19224"/>
    <cellStyle name="Heading 3 3 2 3 5" xfId="26607"/>
    <cellStyle name="Heading 3 3 2 3 6" xfId="19647"/>
    <cellStyle name="Heading 3 3 2 3 7" xfId="27008"/>
    <cellStyle name="Heading 3 3 2 3 8" xfId="27555"/>
    <cellStyle name="Heading 3 3 2 3 9" xfId="34003"/>
    <cellStyle name="Heading 3 3 2 4" xfId="479"/>
    <cellStyle name="Heading 3 3 2 4 10" xfId="36311"/>
    <cellStyle name="Heading 3 3 2 4 11" xfId="42326"/>
    <cellStyle name="Heading 3 3 2 4 12" xfId="42335"/>
    <cellStyle name="Heading 3 3 2 4 13" xfId="47224"/>
    <cellStyle name="Heading 3 3 2 4 2" xfId="8393"/>
    <cellStyle name="Heading 3 3 2 4 3" xfId="8307"/>
    <cellStyle name="Heading 3 3 2 4 4" xfId="19213"/>
    <cellStyle name="Heading 3 3 2 4 5" xfId="26220"/>
    <cellStyle name="Heading 3 3 2 4 6" xfId="25656"/>
    <cellStyle name="Heading 3 3 2 4 7" xfId="26987"/>
    <cellStyle name="Heading 3 3 2 4 8" xfId="28037"/>
    <cellStyle name="Heading 3 3 2 4 9" xfId="27184"/>
    <cellStyle name="Heading 3 3 2 5" xfId="8365"/>
    <cellStyle name="Heading 3 3 2 6" xfId="8249"/>
    <cellStyle name="Heading 3 3 2 7" xfId="19146"/>
    <cellStyle name="Heading 3 3 2 8" xfId="26722"/>
    <cellStyle name="Heading 3 3 2 9" xfId="26720"/>
    <cellStyle name="Heading 3 3 3" xfId="585"/>
    <cellStyle name="Heading 3 3 3 10" xfId="36368"/>
    <cellStyle name="Heading 3 3 3 11" xfId="42332"/>
    <cellStyle name="Heading 3 3 3 12" xfId="42545"/>
    <cellStyle name="Heading 3 3 3 13" xfId="47325"/>
    <cellStyle name="Heading 3 3 3 2" xfId="8414"/>
    <cellStyle name="Heading 3 3 3 3" xfId="8316"/>
    <cellStyle name="Heading 3 3 3 4" xfId="19258"/>
    <cellStyle name="Heading 3 3 3 5" xfId="20492"/>
    <cellStyle name="Heading 3 3 3 6" xfId="19739"/>
    <cellStyle name="Heading 3 3 3 7" xfId="27042"/>
    <cellStyle name="Heading 3 3 3 8" xfId="27509"/>
    <cellStyle name="Heading 3 3 3 9" xfId="28135"/>
    <cellStyle name="Heading 3 3 4" xfId="591"/>
    <cellStyle name="Heading 3 3 4 10" xfId="36371"/>
    <cellStyle name="Heading 3 3 4 11" xfId="42334"/>
    <cellStyle name="Heading 3 3 4 12" xfId="46766"/>
    <cellStyle name="Heading 3 3 4 13" xfId="47330"/>
    <cellStyle name="Heading 3 3 4 2" xfId="8417"/>
    <cellStyle name="Heading 3 3 4 3" xfId="11784"/>
    <cellStyle name="Heading 3 3 4 4" xfId="19261"/>
    <cellStyle name="Heading 3 3 4 5" xfId="25654"/>
    <cellStyle name="Heading 3 3 4 6" xfId="20061"/>
    <cellStyle name="Heading 3 3 4 7" xfId="27047"/>
    <cellStyle name="Heading 3 3 4 8" xfId="28749"/>
    <cellStyle name="Heading 3 3 4 9" xfId="34287"/>
    <cellStyle name="Heading 3 3 5" xfId="8238"/>
    <cellStyle name="Heading 3 3 5 10" xfId="42320"/>
    <cellStyle name="Heading 3 3 5 11" xfId="46764"/>
    <cellStyle name="Heading 3 3 5 12" xfId="46768"/>
    <cellStyle name="Heading 3 3 5 13" xfId="54550"/>
    <cellStyle name="Heading 3 3 5 2" xfId="15927"/>
    <cellStyle name="Heading 3 3 5 3" xfId="19023"/>
    <cellStyle name="Heading 3 3 5 4" xfId="26710"/>
    <cellStyle name="Heading 3 3 5 5" xfId="26724"/>
    <cellStyle name="Heading 3 3 5 6" xfId="20626"/>
    <cellStyle name="Heading 3 3 5 7" xfId="33118"/>
    <cellStyle name="Heading 3 3 5 8" xfId="35577"/>
    <cellStyle name="Heading 3 3 5 9" xfId="36248"/>
    <cellStyle name="Heading 3 3 6" xfId="8308"/>
    <cellStyle name="Heading 3 3 7" xfId="11808"/>
    <cellStyle name="Heading 3 3 8" xfId="19078"/>
    <cellStyle name="Heading 3 3 9" xfId="26713"/>
    <cellStyle name="Heading 4 2" xfId="147"/>
    <cellStyle name="Heading 4 3" xfId="146"/>
    <cellStyle name="Hyperlink" xfId="9" builtinId="8"/>
    <cellStyle name="Hyperlink 10" xfId="8222"/>
    <cellStyle name="Hyperlink 2" xfId="10"/>
    <cellStyle name="Hyperlink 2 2" xfId="321"/>
    <cellStyle name="Hyperlink 2_ResWXMF_FY10v2_0" xfId="322"/>
    <cellStyle name="Hyperlink 3" xfId="323"/>
    <cellStyle name="Hyperlink 3 2" xfId="324"/>
    <cellStyle name="Hyperlink 4" xfId="325"/>
    <cellStyle name="Hyperlink 5" xfId="8209"/>
    <cellStyle name="Hyperlink 5 2" xfId="54559"/>
    <cellStyle name="Hyperlink 6" xfId="8214"/>
    <cellStyle name="Hyperlink 7" xfId="8218"/>
    <cellStyle name="Hyperlink 8" xfId="8219"/>
    <cellStyle name="Hyperlink 9" xfId="8221"/>
    <cellStyle name="Hyperlink_REMProgramPlanner_Master_20120829_2013" xfId="1116"/>
    <cellStyle name="Input 2" xfId="149"/>
    <cellStyle name="Input 2 10" xfId="1159"/>
    <cellStyle name="Input 2 10 2" xfId="8982"/>
    <cellStyle name="Input 2 10 3" xfId="16410"/>
    <cellStyle name="Input 2 10 4" xfId="19694"/>
    <cellStyle name="Input 2 10 5" xfId="28807"/>
    <cellStyle name="Input 2 10 6" xfId="38950"/>
    <cellStyle name="Input 2 10 7" xfId="48723"/>
    <cellStyle name="Input 2 11" xfId="1391"/>
    <cellStyle name="Input 2 11 2" xfId="9214"/>
    <cellStyle name="Input 2 11 3" xfId="16642"/>
    <cellStyle name="Input 2 11 4" xfId="20141"/>
    <cellStyle name="Input 2 11 5" xfId="27667"/>
    <cellStyle name="Input 2 11 6" xfId="37585"/>
    <cellStyle name="Input 2 11 7" xfId="47534"/>
    <cellStyle name="Input 2 12" xfId="2319"/>
    <cellStyle name="Input 2 12 2" xfId="10142"/>
    <cellStyle name="Input 2 12 3" xfId="17570"/>
    <cellStyle name="Input 2 12 4" xfId="25523"/>
    <cellStyle name="Input 2 12 5" xfId="34005"/>
    <cellStyle name="Input 2 12 6" xfId="41578"/>
    <cellStyle name="Input 2 12 7" xfId="51924"/>
    <cellStyle name="Input 2 13" xfId="2704"/>
    <cellStyle name="Input 2 13 2" xfId="10527"/>
    <cellStyle name="Input 2 13 3" xfId="17955"/>
    <cellStyle name="Input 2 13 4" xfId="25381"/>
    <cellStyle name="Input 2 13 5" xfId="33829"/>
    <cellStyle name="Input 2 13 6" xfId="39207"/>
    <cellStyle name="Input 2 13 7" xfId="51609"/>
    <cellStyle name="Input 2 14" xfId="3592"/>
    <cellStyle name="Input 2 14 2" xfId="11378"/>
    <cellStyle name="Input 2 14 3" xfId="18653"/>
    <cellStyle name="Input 2 14 4" xfId="25831"/>
    <cellStyle name="Input 2 14 5" xfId="34414"/>
    <cellStyle name="Input 2 14 6" xfId="40268"/>
    <cellStyle name="Input 2 14 7" xfId="52631"/>
    <cellStyle name="Input 2 15" xfId="3484"/>
    <cellStyle name="Input 2 15 2" xfId="11275"/>
    <cellStyle name="Input 2 15 3" xfId="20471"/>
    <cellStyle name="Input 2 15 4" xfId="19361"/>
    <cellStyle name="Input 2 15 5" xfId="27754"/>
    <cellStyle name="Input 2 15 6" xfId="36729"/>
    <cellStyle name="Input 2 15 7" xfId="48944"/>
    <cellStyle name="Input 2 16" xfId="3047"/>
    <cellStyle name="Input 2 16 2" xfId="20213"/>
    <cellStyle name="Input 2 16 3" xfId="28305"/>
    <cellStyle name="Input 2 16 4" xfId="37685"/>
    <cellStyle name="Input 2 16 5" xfId="42370"/>
    <cellStyle name="Input 2 16 6" xfId="47244"/>
    <cellStyle name="Input 2 17" xfId="3073"/>
    <cellStyle name="Input 2 17 2" xfId="10881"/>
    <cellStyle name="Input 2 17 3" xfId="20235"/>
    <cellStyle name="Input 2 17 4" xfId="28326"/>
    <cellStyle name="Input 2 17 5" xfId="37707"/>
    <cellStyle name="Input 2 17 6" xfId="42386"/>
    <cellStyle name="Input 2 17 7" xfId="53253"/>
    <cellStyle name="Input 2 18" xfId="4062"/>
    <cellStyle name="Input 2 18 2" xfId="11828"/>
    <cellStyle name="Input 2 18 3" xfId="20772"/>
    <cellStyle name="Input 2 18 4" xfId="28959"/>
    <cellStyle name="Input 2 18 5" xfId="38338"/>
    <cellStyle name="Input 2 18 6" xfId="42624"/>
    <cellStyle name="Input 2 18 7" xfId="50928"/>
    <cellStyle name="Input 2 19" xfId="3320"/>
    <cellStyle name="Input 2 19 2" xfId="11113"/>
    <cellStyle name="Input 2 19 3" xfId="20391"/>
    <cellStyle name="Input 2 19 4" xfId="28491"/>
    <cellStyle name="Input 2 19 5" xfId="37881"/>
    <cellStyle name="Input 2 19 6" xfId="42463"/>
    <cellStyle name="Input 2 19 7" xfId="49992"/>
    <cellStyle name="Input 2 2" xfId="258"/>
    <cellStyle name="Input 2 2 10" xfId="1126"/>
    <cellStyle name="Input 2 2 10 2" xfId="8949"/>
    <cellStyle name="Input 2 2 10 3" xfId="16377"/>
    <cellStyle name="Input 2 2 10 4" xfId="25689"/>
    <cellStyle name="Input 2 2 10 5" xfId="34227"/>
    <cellStyle name="Input 2 2 10 6" xfId="36664"/>
    <cellStyle name="Input 2 2 10 7" xfId="52291"/>
    <cellStyle name="Input 2 2 11" xfId="1187"/>
    <cellStyle name="Input 2 2 11 2" xfId="9010"/>
    <cellStyle name="Input 2 2 11 3" xfId="16438"/>
    <cellStyle name="Input 2 2 11 4" xfId="24820"/>
    <cellStyle name="Input 2 2 11 5" xfId="27885"/>
    <cellStyle name="Input 2 2 11 6" xfId="37049"/>
    <cellStyle name="Input 2 2 11 7" xfId="48068"/>
    <cellStyle name="Input 2 2 12" xfId="1200"/>
    <cellStyle name="Input 2 2 12 2" xfId="9023"/>
    <cellStyle name="Input 2 2 12 3" xfId="16451"/>
    <cellStyle name="Input 2 2 12 4" xfId="25555"/>
    <cellStyle name="Input 2 2 12 5" xfId="34050"/>
    <cellStyle name="Input 2 2 12 6" xfId="41262"/>
    <cellStyle name="Input 2 2 12 7" xfId="51989"/>
    <cellStyle name="Input 2 2 13" xfId="1651"/>
    <cellStyle name="Input 2 2 13 2" xfId="9474"/>
    <cellStyle name="Input 2 2 13 3" xfId="16902"/>
    <cellStyle name="Input 2 2 13 4" xfId="25648"/>
    <cellStyle name="Input 2 2 13 5" xfId="34169"/>
    <cellStyle name="Input 2 2 13 6" xfId="36778"/>
    <cellStyle name="Input 2 2 13 7" xfId="52196"/>
    <cellStyle name="Input 2 2 14" xfId="1784"/>
    <cellStyle name="Input 2 2 14 2" xfId="9607"/>
    <cellStyle name="Input 2 2 14 3" xfId="17035"/>
    <cellStyle name="Input 2 2 14 4" xfId="25457"/>
    <cellStyle name="Input 2 2 14 5" xfId="33922"/>
    <cellStyle name="Input 2 2 14 6" xfId="37053"/>
    <cellStyle name="Input 2 2 14 7" xfId="51775"/>
    <cellStyle name="Input 2 2 15" xfId="1182"/>
    <cellStyle name="Input 2 2 15 2" xfId="9005"/>
    <cellStyle name="Input 2 2 15 3" xfId="16433"/>
    <cellStyle name="Input 2 2 15 4" xfId="26360"/>
    <cellStyle name="Input 2 2 15 5" xfId="35092"/>
    <cellStyle name="Input 2 2 15 6" xfId="36677"/>
    <cellStyle name="Input 2 2 15 7" xfId="53759"/>
    <cellStyle name="Input 2 2 16" xfId="1799"/>
    <cellStyle name="Input 2 2 16 2" xfId="9622"/>
    <cellStyle name="Input 2 2 16 3" xfId="17050"/>
    <cellStyle name="Input 2 2 16 4" xfId="25179"/>
    <cellStyle name="Input 2 2 16 5" xfId="33561"/>
    <cellStyle name="Input 2 2 16 6" xfId="41054"/>
    <cellStyle name="Input 2 2 16 7" xfId="51176"/>
    <cellStyle name="Input 2 2 17" xfId="1083"/>
    <cellStyle name="Input 2 2 17 2" xfId="8907"/>
    <cellStyle name="Input 2 2 17 3" xfId="16335"/>
    <cellStyle name="Input 2 2 17 4" xfId="20149"/>
    <cellStyle name="Input 2 2 17 5" xfId="28682"/>
    <cellStyle name="Input 2 2 17 6" xfId="38182"/>
    <cellStyle name="Input 2 2 17 7" xfId="49305"/>
    <cellStyle name="Input 2 2 18" xfId="1209"/>
    <cellStyle name="Input 2 2 18 2" xfId="9032"/>
    <cellStyle name="Input 2 2 18 3" xfId="16460"/>
    <cellStyle name="Input 2 2 18 4" xfId="19550"/>
    <cellStyle name="Input 2 2 18 5" xfId="28385"/>
    <cellStyle name="Input 2 2 18 6" xfId="40477"/>
    <cellStyle name="Input 2 2 18 7" xfId="47525"/>
    <cellStyle name="Input 2 2 19" xfId="1597"/>
    <cellStyle name="Input 2 2 19 2" xfId="9420"/>
    <cellStyle name="Input 2 2 19 3" xfId="16848"/>
    <cellStyle name="Input 2 2 19 4" xfId="24863"/>
    <cellStyle name="Input 2 2 19 5" xfId="33176"/>
    <cellStyle name="Input 2 2 19 6" xfId="38687"/>
    <cellStyle name="Input 2 2 19 7" xfId="50485"/>
    <cellStyle name="Input 2 2 2" xfId="532"/>
    <cellStyle name="Input 2 2 2 10" xfId="1979"/>
    <cellStyle name="Input 2 2 2 10 2" xfId="9802"/>
    <cellStyle name="Input 2 2 2 10 3" xfId="17230"/>
    <cellStyle name="Input 2 2 2 10 4" xfId="19996"/>
    <cellStyle name="Input 2 2 2 10 5" xfId="27005"/>
    <cellStyle name="Input 2 2 2 10 6" xfId="37586"/>
    <cellStyle name="Input 2 2 2 10 7" xfId="48634"/>
    <cellStyle name="Input 2 2 2 11" xfId="2097"/>
    <cellStyle name="Input 2 2 2 11 2" xfId="9920"/>
    <cellStyle name="Input 2 2 2 11 3" xfId="17348"/>
    <cellStyle name="Input 2 2 2 11 4" xfId="19314"/>
    <cellStyle name="Input 2 2 2 11 5" xfId="28035"/>
    <cellStyle name="Input 2 2 2 11 6" xfId="40494"/>
    <cellStyle name="Input 2 2 2 11 7" xfId="48890"/>
    <cellStyle name="Input 2 2 2 12" xfId="2210"/>
    <cellStyle name="Input 2 2 2 12 2" xfId="10033"/>
    <cellStyle name="Input 2 2 2 12 3" xfId="17461"/>
    <cellStyle name="Input 2 2 2 12 4" xfId="25629"/>
    <cellStyle name="Input 2 2 2 12 5" xfId="34146"/>
    <cellStyle name="Input 2 2 2 12 6" xfId="36325"/>
    <cellStyle name="Input 2 2 2 12 7" xfId="52152"/>
    <cellStyle name="Input 2 2 2 13" xfId="2310"/>
    <cellStyle name="Input 2 2 2 13 2" xfId="10133"/>
    <cellStyle name="Input 2 2 2 13 3" xfId="17561"/>
    <cellStyle name="Input 2 2 2 13 4" xfId="20588"/>
    <cellStyle name="Input 2 2 2 13 5" xfId="27345"/>
    <cellStyle name="Input 2 2 2 13 6" xfId="36935"/>
    <cellStyle name="Input 2 2 2 13 7" xfId="48791"/>
    <cellStyle name="Input 2 2 2 14" xfId="2404"/>
    <cellStyle name="Input 2 2 2 14 2" xfId="10227"/>
    <cellStyle name="Input 2 2 2 14 3" xfId="17655"/>
    <cellStyle name="Input 2 2 2 14 4" xfId="26256"/>
    <cellStyle name="Input 2 2 2 14 5" xfId="34954"/>
    <cellStyle name="Input 2 2 2 14 6" xfId="39245"/>
    <cellStyle name="Input 2 2 2 14 7" xfId="53551"/>
    <cellStyle name="Input 2 2 2 15" xfId="2508"/>
    <cellStyle name="Input 2 2 2 15 2" xfId="10331"/>
    <cellStyle name="Input 2 2 2 15 3" xfId="17759"/>
    <cellStyle name="Input 2 2 2 15 4" xfId="19596"/>
    <cellStyle name="Input 2 2 2 15 5" xfId="27912"/>
    <cellStyle name="Input 2 2 2 15 6" xfId="39479"/>
    <cellStyle name="Input 2 2 2 15 7" xfId="50015"/>
    <cellStyle name="Input 2 2 2 16" xfId="2621"/>
    <cellStyle name="Input 2 2 2 16 2" xfId="10444"/>
    <cellStyle name="Input 2 2 2 16 3" xfId="17872"/>
    <cellStyle name="Input 2 2 2 16 4" xfId="26452"/>
    <cellStyle name="Input 2 2 2 16 5" xfId="35228"/>
    <cellStyle name="Input 2 2 2 16 6" xfId="40504"/>
    <cellStyle name="Input 2 2 2 16 7" xfId="53966"/>
    <cellStyle name="Input 2 2 2 17" xfId="2710"/>
    <cellStyle name="Input 2 2 2 17 2" xfId="10533"/>
    <cellStyle name="Input 2 2 2 17 3" xfId="17961"/>
    <cellStyle name="Input 2 2 2 17 4" xfId="19290"/>
    <cellStyle name="Input 2 2 2 17 5" xfId="28486"/>
    <cellStyle name="Input 2 2 2 17 6" xfId="38551"/>
    <cellStyle name="Input 2 2 2 17 7" xfId="47614"/>
    <cellStyle name="Input 2 2 2 18" xfId="2747"/>
    <cellStyle name="Input 2 2 2 18 2" xfId="10570"/>
    <cellStyle name="Input 2 2 2 18 3" xfId="17998"/>
    <cellStyle name="Input 2 2 2 18 4" xfId="25455"/>
    <cellStyle name="Input 2 2 2 18 5" xfId="33919"/>
    <cellStyle name="Input 2 2 2 18 6" xfId="36724"/>
    <cellStyle name="Input 2 2 2 18 7" xfId="51770"/>
    <cellStyle name="Input 2 2 2 19" xfId="2814"/>
    <cellStyle name="Input 2 2 2 19 2" xfId="10637"/>
    <cellStyle name="Input 2 2 2 19 3" xfId="18065"/>
    <cellStyle name="Input 2 2 2 19 4" xfId="19517"/>
    <cellStyle name="Input 2 2 2 19 5" xfId="27222"/>
    <cellStyle name="Input 2 2 2 19 6" xfId="37498"/>
    <cellStyle name="Input 2 2 2 19 7" xfId="49974"/>
    <cellStyle name="Input 2 2 2 2" xfId="682"/>
    <cellStyle name="Input 2 2 2 2 2" xfId="8506"/>
    <cellStyle name="Input 2 2 2 2 3" xfId="15934"/>
    <cellStyle name="Input 2 2 2 2 4" xfId="19169"/>
    <cellStyle name="Input 2 2 2 2 5" xfId="28790"/>
    <cellStyle name="Input 2 2 2 2 6" xfId="37147"/>
    <cellStyle name="Input 2 2 2 2 7" xfId="49228"/>
    <cellStyle name="Input 2 2 2 20" xfId="2921"/>
    <cellStyle name="Input 2 2 2 20 2" xfId="10744"/>
    <cellStyle name="Input 2 2 2 20 3" xfId="18172"/>
    <cellStyle name="Input 2 2 2 20 4" xfId="26449"/>
    <cellStyle name="Input 2 2 2 20 5" xfId="35224"/>
    <cellStyle name="Input 2 2 2 20 6" xfId="41826"/>
    <cellStyle name="Input 2 2 2 20 7" xfId="53958"/>
    <cellStyle name="Input 2 2 2 21" xfId="3297"/>
    <cellStyle name="Input 2 2 2 21 2" xfId="11090"/>
    <cellStyle name="Input 2 2 2 21 3" xfId="18419"/>
    <cellStyle name="Input 2 2 2 21 4" xfId="25744"/>
    <cellStyle name="Input 2 2 2 21 5" xfId="34295"/>
    <cellStyle name="Input 2 2 2 21 6" xfId="40097"/>
    <cellStyle name="Input 2 2 2 21 7" xfId="52421"/>
    <cellStyle name="Input 2 2 2 22" xfId="3417"/>
    <cellStyle name="Input 2 2 2 22 2" xfId="11208"/>
    <cellStyle name="Input 2 2 2 22 3" xfId="18530"/>
    <cellStyle name="Input 2 2 2 22 4" xfId="26089"/>
    <cellStyle name="Input 2 2 2 22 5" xfId="34739"/>
    <cellStyle name="Input 2 2 2 22 6" xfId="37029"/>
    <cellStyle name="Input 2 2 2 22 7" xfId="53186"/>
    <cellStyle name="Input 2 2 2 23" xfId="3001"/>
    <cellStyle name="Input 2 2 2 23 2" xfId="10820"/>
    <cellStyle name="Input 2 2 2 23 3" xfId="18243"/>
    <cellStyle name="Input 2 2 2 23 4" xfId="26052"/>
    <cellStyle name="Input 2 2 2 23 5" xfId="34693"/>
    <cellStyle name="Input 2 2 2 23 6" xfId="40592"/>
    <cellStyle name="Input 2 2 2 23 7" xfId="53110"/>
    <cellStyle name="Input 2 2 2 24" xfId="3688"/>
    <cellStyle name="Input 2 2 2 24 2" xfId="11473"/>
    <cellStyle name="Input 2 2 2 24 3" xfId="18746"/>
    <cellStyle name="Input 2 2 2 24 4" xfId="19498"/>
    <cellStyle name="Input 2 2 2 24 5" xfId="28534"/>
    <cellStyle name="Input 2 2 2 24 6" xfId="36416"/>
    <cellStyle name="Input 2 2 2 24 7" xfId="49619"/>
    <cellStyle name="Input 2 2 2 25" xfId="3818"/>
    <cellStyle name="Input 2 2 2 25 2" xfId="11600"/>
    <cellStyle name="Input 2 2 2 25 3" xfId="18857"/>
    <cellStyle name="Input 2 2 2 25 4" xfId="25902"/>
    <cellStyle name="Input 2 2 2 25 5" xfId="34497"/>
    <cellStyle name="Input 2 2 2 25 6" xfId="40292"/>
    <cellStyle name="Input 2 2 2 25 7" xfId="52782"/>
    <cellStyle name="Input 2 2 2 26" xfId="3936"/>
    <cellStyle name="Input 2 2 2 26 2" xfId="11716"/>
    <cellStyle name="Input 2 2 2 26 3" xfId="18966"/>
    <cellStyle name="Input 2 2 2 26 4" xfId="20604"/>
    <cellStyle name="Input 2 2 2 26 5" xfId="28039"/>
    <cellStyle name="Input 2 2 2 26 6" xfId="37814"/>
    <cellStyle name="Input 2 2 2 26 7" xfId="49626"/>
    <cellStyle name="Input 2 2 2 27" xfId="4019"/>
    <cellStyle name="Input 2 2 2 27 2" xfId="11794"/>
    <cellStyle name="Input 2 2 2 27 3" xfId="20729"/>
    <cellStyle name="Input 2 2 2 27 4" xfId="28916"/>
    <cellStyle name="Input 2 2 2 27 5" xfId="38299"/>
    <cellStyle name="Input 2 2 2 27 6" xfId="42581"/>
    <cellStyle name="Input 2 2 2 27 7" xfId="51806"/>
    <cellStyle name="Input 2 2 2 28" xfId="4133"/>
    <cellStyle name="Input 2 2 2 28 2" xfId="11892"/>
    <cellStyle name="Input 2 2 2 28 3" xfId="20843"/>
    <cellStyle name="Input 2 2 2 28 4" xfId="29030"/>
    <cellStyle name="Input 2 2 2 28 5" xfId="38407"/>
    <cellStyle name="Input 2 2 2 28 6" xfId="42695"/>
    <cellStyle name="Input 2 2 2 28 7" xfId="51049"/>
    <cellStyle name="Input 2 2 2 29" xfId="3062"/>
    <cellStyle name="Input 2 2 2 29 2" xfId="20228"/>
    <cellStyle name="Input 2 2 2 29 3" xfId="28319"/>
    <cellStyle name="Input 2 2 2 29 4" xfId="37700"/>
    <cellStyle name="Input 2 2 2 29 5" xfId="42383"/>
    <cellStyle name="Input 2 2 2 29 6" xfId="54399"/>
    <cellStyle name="Input 2 2 2 3" xfId="790"/>
    <cellStyle name="Input 2 2 2 3 2" xfId="8614"/>
    <cellStyle name="Input 2 2 2 3 3" xfId="16042"/>
    <cellStyle name="Input 2 2 2 3 4" xfId="20571"/>
    <cellStyle name="Input 2 2 2 3 5" xfId="26794"/>
    <cellStyle name="Input 2 2 2 3 6" xfId="37204"/>
    <cellStyle name="Input 2 2 2 3 7" xfId="50338"/>
    <cellStyle name="Input 2 2 2 30" xfId="4330"/>
    <cellStyle name="Input 2 2 2 30 2" xfId="12047"/>
    <cellStyle name="Input 2 2 2 30 3" xfId="21040"/>
    <cellStyle name="Input 2 2 2 30 4" xfId="29227"/>
    <cellStyle name="Input 2 2 2 30 5" xfId="38598"/>
    <cellStyle name="Input 2 2 2 30 6" xfId="42892"/>
    <cellStyle name="Input 2 2 2 30 7" xfId="50082"/>
    <cellStyle name="Input 2 2 2 31" xfId="4453"/>
    <cellStyle name="Input 2 2 2 31 2" xfId="12170"/>
    <cellStyle name="Input 2 2 2 31 3" xfId="21163"/>
    <cellStyle name="Input 2 2 2 31 4" xfId="29350"/>
    <cellStyle name="Input 2 2 2 31 5" xfId="38716"/>
    <cellStyle name="Input 2 2 2 31 6" xfId="43015"/>
    <cellStyle name="Input 2 2 2 31 7" xfId="50043"/>
    <cellStyle name="Input 2 2 2 32" xfId="4567"/>
    <cellStyle name="Input 2 2 2 32 2" xfId="12284"/>
    <cellStyle name="Input 2 2 2 32 3" xfId="21277"/>
    <cellStyle name="Input 2 2 2 32 4" xfId="29464"/>
    <cellStyle name="Input 2 2 2 32 5" xfId="38825"/>
    <cellStyle name="Input 2 2 2 32 6" xfId="43129"/>
    <cellStyle name="Input 2 2 2 32 7" xfId="53000"/>
    <cellStyle name="Input 2 2 2 33" xfId="4680"/>
    <cellStyle name="Input 2 2 2 33 2" xfId="12397"/>
    <cellStyle name="Input 2 2 2 33 3" xfId="21390"/>
    <cellStyle name="Input 2 2 2 33 4" xfId="29577"/>
    <cellStyle name="Input 2 2 2 33 5" xfId="38934"/>
    <cellStyle name="Input 2 2 2 33 6" xfId="43242"/>
    <cellStyle name="Input 2 2 2 33 7" xfId="48582"/>
    <cellStyle name="Input 2 2 2 34" xfId="4791"/>
    <cellStyle name="Input 2 2 2 34 2" xfId="12508"/>
    <cellStyle name="Input 2 2 2 34 3" xfId="21501"/>
    <cellStyle name="Input 2 2 2 34 4" xfId="29688"/>
    <cellStyle name="Input 2 2 2 34 5" xfId="39042"/>
    <cellStyle name="Input 2 2 2 34 6" xfId="43353"/>
    <cellStyle name="Input 2 2 2 34 7" xfId="52709"/>
    <cellStyle name="Input 2 2 2 35" xfId="4900"/>
    <cellStyle name="Input 2 2 2 35 2" xfId="12617"/>
    <cellStyle name="Input 2 2 2 35 3" xfId="21610"/>
    <cellStyle name="Input 2 2 2 35 4" xfId="29797"/>
    <cellStyle name="Input 2 2 2 35 5" xfId="39146"/>
    <cellStyle name="Input 2 2 2 35 6" xfId="43462"/>
    <cellStyle name="Input 2 2 2 35 7" xfId="47696"/>
    <cellStyle name="Input 2 2 2 36" xfId="5011"/>
    <cellStyle name="Input 2 2 2 36 2" xfId="12728"/>
    <cellStyle name="Input 2 2 2 36 3" xfId="21721"/>
    <cellStyle name="Input 2 2 2 36 4" xfId="29908"/>
    <cellStyle name="Input 2 2 2 36 5" xfId="39254"/>
    <cellStyle name="Input 2 2 2 36 6" xfId="43573"/>
    <cellStyle name="Input 2 2 2 36 7" xfId="48021"/>
    <cellStyle name="Input 2 2 2 37" xfId="5390"/>
    <cellStyle name="Input 2 2 2 37 2" xfId="13107"/>
    <cellStyle name="Input 2 2 2 37 3" xfId="22100"/>
    <cellStyle name="Input 2 2 2 37 4" xfId="30287"/>
    <cellStyle name="Input 2 2 2 37 5" xfId="39618"/>
    <cellStyle name="Input 2 2 2 37 6" xfId="43952"/>
    <cellStyle name="Input 2 2 2 37 7" xfId="52519"/>
    <cellStyle name="Input 2 2 2 38" xfId="5510"/>
    <cellStyle name="Input 2 2 2 38 2" xfId="13227"/>
    <cellStyle name="Input 2 2 2 38 3" xfId="22220"/>
    <cellStyle name="Input 2 2 2 38 4" xfId="30407"/>
    <cellStyle name="Input 2 2 2 38 5" xfId="39732"/>
    <cellStyle name="Input 2 2 2 38 6" xfId="44072"/>
    <cellStyle name="Input 2 2 2 38 7" xfId="48117"/>
    <cellStyle name="Input 2 2 2 39" xfId="5634"/>
    <cellStyle name="Input 2 2 2 39 2" xfId="13351"/>
    <cellStyle name="Input 2 2 2 39 3" xfId="22344"/>
    <cellStyle name="Input 2 2 2 39 4" xfId="30531"/>
    <cellStyle name="Input 2 2 2 39 5" xfId="39852"/>
    <cellStyle name="Input 2 2 2 39 6" xfId="44196"/>
    <cellStyle name="Input 2 2 2 39 7" xfId="46835"/>
    <cellStyle name="Input 2 2 2 4" xfId="901"/>
    <cellStyle name="Input 2 2 2 4 2" xfId="8725"/>
    <cellStyle name="Input 2 2 2 4 3" xfId="16153"/>
    <cellStyle name="Input 2 2 2 4 4" xfId="26406"/>
    <cellStyle name="Input 2 2 2 4 5" xfId="35162"/>
    <cellStyle name="Input 2 2 2 4 6" xfId="37168"/>
    <cellStyle name="Input 2 2 2 4 7" xfId="53863"/>
    <cellStyle name="Input 2 2 2 40" xfId="5750"/>
    <cellStyle name="Input 2 2 2 40 2" xfId="13467"/>
    <cellStyle name="Input 2 2 2 40 3" xfId="22460"/>
    <cellStyle name="Input 2 2 2 40 4" xfId="30647"/>
    <cellStyle name="Input 2 2 2 40 5" xfId="39964"/>
    <cellStyle name="Input 2 2 2 40 6" xfId="44312"/>
    <cellStyle name="Input 2 2 2 40 7" xfId="52313"/>
    <cellStyle name="Input 2 2 2 41" xfId="5866"/>
    <cellStyle name="Input 2 2 2 41 2" xfId="13583"/>
    <cellStyle name="Input 2 2 2 41 3" xfId="22576"/>
    <cellStyle name="Input 2 2 2 41 4" xfId="30763"/>
    <cellStyle name="Input 2 2 2 41 5" xfId="40077"/>
    <cellStyle name="Input 2 2 2 41 6" xfId="44428"/>
    <cellStyle name="Input 2 2 2 41 7" xfId="51584"/>
    <cellStyle name="Input 2 2 2 42" xfId="5995"/>
    <cellStyle name="Input 2 2 2 42 2" xfId="13712"/>
    <cellStyle name="Input 2 2 2 42 3" xfId="22705"/>
    <cellStyle name="Input 2 2 2 42 4" xfId="30892"/>
    <cellStyle name="Input 2 2 2 42 5" xfId="40201"/>
    <cellStyle name="Input 2 2 2 42 6" xfId="44557"/>
    <cellStyle name="Input 2 2 2 42 7" xfId="51737"/>
    <cellStyle name="Input 2 2 2 43" xfId="5577"/>
    <cellStyle name="Input 2 2 2 43 2" xfId="13294"/>
    <cellStyle name="Input 2 2 2 43 3" xfId="22287"/>
    <cellStyle name="Input 2 2 2 43 4" xfId="30474"/>
    <cellStyle name="Input 2 2 2 43 5" xfId="39796"/>
    <cellStyle name="Input 2 2 2 43 6" xfId="44139"/>
    <cellStyle name="Input 2 2 2 43 7" xfId="46971"/>
    <cellStyle name="Input 2 2 2 44" xfId="6251"/>
    <cellStyle name="Input 2 2 2 44 2" xfId="13968"/>
    <cellStyle name="Input 2 2 2 44 3" xfId="22961"/>
    <cellStyle name="Input 2 2 2 44 4" xfId="31148"/>
    <cellStyle name="Input 2 2 2 44 5" xfId="40449"/>
    <cellStyle name="Input 2 2 2 44 6" xfId="44813"/>
    <cellStyle name="Input 2 2 2 44 7" xfId="49822"/>
    <cellStyle name="Input 2 2 2 45" xfId="6367"/>
    <cellStyle name="Input 2 2 2 45 2" xfId="14084"/>
    <cellStyle name="Input 2 2 2 45 3" xfId="23077"/>
    <cellStyle name="Input 2 2 2 45 4" xfId="31264"/>
    <cellStyle name="Input 2 2 2 45 5" xfId="40562"/>
    <cellStyle name="Input 2 2 2 45 6" xfId="44929"/>
    <cellStyle name="Input 2 2 2 45 7" xfId="53280"/>
    <cellStyle name="Input 2 2 2 46" xfId="6478"/>
    <cellStyle name="Input 2 2 2 46 2" xfId="14195"/>
    <cellStyle name="Input 2 2 2 46 3" xfId="23188"/>
    <cellStyle name="Input 2 2 2 46 4" xfId="31375"/>
    <cellStyle name="Input 2 2 2 46 5" xfId="40669"/>
    <cellStyle name="Input 2 2 2 46 6" xfId="45040"/>
    <cellStyle name="Input 2 2 2 46 7" xfId="52620"/>
    <cellStyle name="Input 2 2 2 47" xfId="6556"/>
    <cellStyle name="Input 2 2 2 47 2" xfId="14273"/>
    <cellStyle name="Input 2 2 2 47 3" xfId="23266"/>
    <cellStyle name="Input 2 2 2 47 4" xfId="31453"/>
    <cellStyle name="Input 2 2 2 47 5" xfId="40742"/>
    <cellStyle name="Input 2 2 2 47 6" xfId="45118"/>
    <cellStyle name="Input 2 2 2 47 7" xfId="52158"/>
    <cellStyle name="Input 2 2 2 48" xfId="6624"/>
    <cellStyle name="Input 2 2 2 48 2" xfId="14341"/>
    <cellStyle name="Input 2 2 2 48 3" xfId="23334"/>
    <cellStyle name="Input 2 2 2 48 4" xfId="31521"/>
    <cellStyle name="Input 2 2 2 48 5" xfId="40808"/>
    <cellStyle name="Input 2 2 2 48 6" xfId="45186"/>
    <cellStyle name="Input 2 2 2 48 7" xfId="51683"/>
    <cellStyle name="Input 2 2 2 49" xfId="6736"/>
    <cellStyle name="Input 2 2 2 49 2" xfId="14453"/>
    <cellStyle name="Input 2 2 2 49 3" xfId="23446"/>
    <cellStyle name="Input 2 2 2 49 4" xfId="31633"/>
    <cellStyle name="Input 2 2 2 49 5" xfId="40914"/>
    <cellStyle name="Input 2 2 2 49 6" xfId="45298"/>
    <cellStyle name="Input 2 2 2 49 7" xfId="51285"/>
    <cellStyle name="Input 2 2 2 5" xfId="1367"/>
    <cellStyle name="Input 2 2 2 5 2" xfId="9190"/>
    <cellStyle name="Input 2 2 2 5 3" xfId="16618"/>
    <cellStyle name="Input 2 2 2 5 4" xfId="26171"/>
    <cellStyle name="Input 2 2 2 5 5" xfId="34842"/>
    <cellStyle name="Input 2 2 2 5 6" xfId="40041"/>
    <cellStyle name="Input 2 2 2 5 7" xfId="53365"/>
    <cellStyle name="Input 2 2 2 50" xfId="6851"/>
    <cellStyle name="Input 2 2 2 50 2" xfId="14568"/>
    <cellStyle name="Input 2 2 2 50 3" xfId="23561"/>
    <cellStyle name="Input 2 2 2 50 4" xfId="31748"/>
    <cellStyle name="Input 2 2 2 50 5" xfId="41022"/>
    <cellStyle name="Input 2 2 2 50 6" xfId="45413"/>
    <cellStyle name="Input 2 2 2 50 7" xfId="49326"/>
    <cellStyle name="Input 2 2 2 51" xfId="6964"/>
    <cellStyle name="Input 2 2 2 51 2" xfId="14681"/>
    <cellStyle name="Input 2 2 2 51 3" xfId="23674"/>
    <cellStyle name="Input 2 2 2 51 4" xfId="31861"/>
    <cellStyle name="Input 2 2 2 51 5" xfId="41130"/>
    <cellStyle name="Input 2 2 2 51 6" xfId="45526"/>
    <cellStyle name="Input 2 2 2 51 7" xfId="46805"/>
    <cellStyle name="Input 2 2 2 52" xfId="7075"/>
    <cellStyle name="Input 2 2 2 52 2" xfId="14792"/>
    <cellStyle name="Input 2 2 2 52 3" xfId="23785"/>
    <cellStyle name="Input 2 2 2 52 4" xfId="31972"/>
    <cellStyle name="Input 2 2 2 52 5" xfId="41235"/>
    <cellStyle name="Input 2 2 2 52 6" xfId="45637"/>
    <cellStyle name="Input 2 2 2 52 7" xfId="51883"/>
    <cellStyle name="Input 2 2 2 53" xfId="7349"/>
    <cellStyle name="Input 2 2 2 53 2" xfId="15066"/>
    <cellStyle name="Input 2 2 2 53 3" xfId="24059"/>
    <cellStyle name="Input 2 2 2 53 4" xfId="32246"/>
    <cellStyle name="Input 2 2 2 53 5" xfId="41502"/>
    <cellStyle name="Input 2 2 2 53 6" xfId="45911"/>
    <cellStyle name="Input 2 2 2 53 7" xfId="51359"/>
    <cellStyle name="Input 2 2 2 54" xfId="7206"/>
    <cellStyle name="Input 2 2 2 54 2" xfId="14923"/>
    <cellStyle name="Input 2 2 2 54 3" xfId="23916"/>
    <cellStyle name="Input 2 2 2 54 4" xfId="32103"/>
    <cellStyle name="Input 2 2 2 54 5" xfId="41363"/>
    <cellStyle name="Input 2 2 2 54 6" xfId="45768"/>
    <cellStyle name="Input 2 2 2 54 7" xfId="50617"/>
    <cellStyle name="Input 2 2 2 55" xfId="7472"/>
    <cellStyle name="Input 2 2 2 55 2" xfId="15189"/>
    <cellStyle name="Input 2 2 2 55 3" xfId="24182"/>
    <cellStyle name="Input 2 2 2 55 4" xfId="32369"/>
    <cellStyle name="Input 2 2 2 55 5" xfId="41618"/>
    <cellStyle name="Input 2 2 2 55 6" xfId="46034"/>
    <cellStyle name="Input 2 2 2 55 7" xfId="48090"/>
    <cellStyle name="Input 2 2 2 56" xfId="7593"/>
    <cellStyle name="Input 2 2 2 56 2" xfId="15310"/>
    <cellStyle name="Input 2 2 2 56 3" xfId="24303"/>
    <cellStyle name="Input 2 2 2 56 4" xfId="32490"/>
    <cellStyle name="Input 2 2 2 56 5" xfId="41733"/>
    <cellStyle name="Input 2 2 2 56 6" xfId="46155"/>
    <cellStyle name="Input 2 2 2 56 7" xfId="47805"/>
    <cellStyle name="Input 2 2 2 57" xfId="7869"/>
    <cellStyle name="Input 2 2 2 57 2" xfId="15586"/>
    <cellStyle name="Input 2 2 2 57 3" xfId="24573"/>
    <cellStyle name="Input 2 2 2 57 4" xfId="32766"/>
    <cellStyle name="Input 2 2 2 57 5" xfId="41998"/>
    <cellStyle name="Input 2 2 2 57 6" xfId="46431"/>
    <cellStyle name="Input 2 2 2 57 7" xfId="48272"/>
    <cellStyle name="Input 2 2 2 58" xfId="7948"/>
    <cellStyle name="Input 2 2 2 58 2" xfId="15665"/>
    <cellStyle name="Input 2 2 2 58 3" xfId="24651"/>
    <cellStyle name="Input 2 2 2 58 4" xfId="32845"/>
    <cellStyle name="Input 2 2 2 58 5" xfId="42074"/>
    <cellStyle name="Input 2 2 2 58 6" xfId="46510"/>
    <cellStyle name="Input 2 2 2 58 7" xfId="51815"/>
    <cellStyle name="Input 2 2 2 59" xfId="7682"/>
    <cellStyle name="Input 2 2 2 59 2" xfId="15399"/>
    <cellStyle name="Input 2 2 2 59 3" xfId="24390"/>
    <cellStyle name="Input 2 2 2 59 4" xfId="32579"/>
    <cellStyle name="Input 2 2 2 59 5" xfId="41817"/>
    <cellStyle name="Input 2 2 2 59 6" xfId="46244"/>
    <cellStyle name="Input 2 2 2 59 7" xfId="53860"/>
    <cellStyle name="Input 2 2 2 6" xfId="1490"/>
    <cellStyle name="Input 2 2 2 6 2" xfId="9313"/>
    <cellStyle name="Input 2 2 2 6 3" xfId="16741"/>
    <cellStyle name="Input 2 2 2 6 4" xfId="26156"/>
    <cellStyle name="Input 2 2 2 6 5" xfId="34825"/>
    <cellStyle name="Input 2 2 2 6 6" xfId="42281"/>
    <cellStyle name="Input 2 2 2 6 7" xfId="53333"/>
    <cellStyle name="Input 2 2 2 60" xfId="8145"/>
    <cellStyle name="Input 2 2 2 60 2" xfId="15862"/>
    <cellStyle name="Input 2 2 2 60 3" xfId="33042"/>
    <cellStyle name="Input 2 2 2 60 4" xfId="42262"/>
    <cellStyle name="Input 2 2 2 60 5" xfId="46707"/>
    <cellStyle name="Input 2 2 2 60 6" xfId="49339"/>
    <cellStyle name="Input 2 2 2 61" xfId="19594"/>
    <cellStyle name="Input 2 2 2 62" xfId="28653"/>
    <cellStyle name="Input 2 2 2 63" xfId="36291"/>
    <cellStyle name="Input 2 2 2 64" xfId="48726"/>
    <cellStyle name="Input 2 2 2 7" xfId="1608"/>
    <cellStyle name="Input 2 2 2 7 2" xfId="9431"/>
    <cellStyle name="Input 2 2 2 7 3" xfId="16859"/>
    <cellStyle name="Input 2 2 2 7 4" xfId="19166"/>
    <cellStyle name="Input 2 2 2 7 5" xfId="28217"/>
    <cellStyle name="Input 2 2 2 7 6" xfId="37919"/>
    <cellStyle name="Input 2 2 2 7 7" xfId="49233"/>
    <cellStyle name="Input 2 2 2 8" xfId="1727"/>
    <cellStyle name="Input 2 2 2 8 2" xfId="9550"/>
    <cellStyle name="Input 2 2 2 8 3" xfId="16978"/>
    <cellStyle name="Input 2 2 2 8 4" xfId="25304"/>
    <cellStyle name="Input 2 2 2 8 5" xfId="33720"/>
    <cellStyle name="Input 2 2 2 8 6" xfId="41907"/>
    <cellStyle name="Input 2 2 2 8 7" xfId="51435"/>
    <cellStyle name="Input 2 2 2 9" xfId="1861"/>
    <cellStyle name="Input 2 2 2 9 2" xfId="9684"/>
    <cellStyle name="Input 2 2 2 9 3" xfId="17112"/>
    <cellStyle name="Input 2 2 2 9 4" xfId="25657"/>
    <cellStyle name="Input 2 2 2 9 5" xfId="34179"/>
    <cellStyle name="Input 2 2 2 9 6" xfId="41111"/>
    <cellStyle name="Input 2 2 2 9 7" xfId="52212"/>
    <cellStyle name="Input 2 2 20" xfId="2435"/>
    <cellStyle name="Input 2 2 20 2" xfId="10258"/>
    <cellStyle name="Input 2 2 20 3" xfId="17686"/>
    <cellStyle name="Input 2 2 20 4" xfId="19923"/>
    <cellStyle name="Input 2 2 20 5" xfId="33142"/>
    <cellStyle name="Input 2 2 20 6" xfId="41808"/>
    <cellStyle name="Input 2 2 20 7" xfId="50414"/>
    <cellStyle name="Input 2 2 21" xfId="1153"/>
    <cellStyle name="Input 2 2 21 2" xfId="8976"/>
    <cellStyle name="Input 2 2 21 3" xfId="16404"/>
    <cellStyle name="Input 2 2 21 4" xfId="20058"/>
    <cellStyle name="Input 2 2 21 5" xfId="26740"/>
    <cellStyle name="Input 2 2 21 6" xfId="36544"/>
    <cellStyle name="Input 2 2 21 7" xfId="49043"/>
    <cellStyle name="Input 2 2 22" xfId="1358"/>
    <cellStyle name="Input 2 2 22 2" xfId="9181"/>
    <cellStyle name="Input 2 2 22 3" xfId="16609"/>
    <cellStyle name="Input 2 2 22 4" xfId="19273"/>
    <cellStyle name="Input 2 2 22 5" xfId="28239"/>
    <cellStyle name="Input 2 2 22 6" xfId="40772"/>
    <cellStyle name="Input 2 2 22 7" xfId="48192"/>
    <cellStyle name="Input 2 2 23" xfId="1092"/>
    <cellStyle name="Input 2 2 23 2" xfId="8916"/>
    <cellStyle name="Input 2 2 23 3" xfId="16344"/>
    <cellStyle name="Input 2 2 23 4" xfId="25169"/>
    <cellStyle name="Input 2 2 23 5" xfId="33549"/>
    <cellStyle name="Input 2 2 23 6" xfId="37504"/>
    <cellStyle name="Input 2 2 23 7" xfId="51153"/>
    <cellStyle name="Input 2 2 24" xfId="2758"/>
    <cellStyle name="Input 2 2 24 2" xfId="10581"/>
    <cellStyle name="Input 2 2 24 3" xfId="18009"/>
    <cellStyle name="Input 2 2 24 4" xfId="26513"/>
    <cellStyle name="Input 2 2 24 5" xfId="35309"/>
    <cellStyle name="Input 2 2 24 6" xfId="41257"/>
    <cellStyle name="Input 2 2 24 7" xfId="54099"/>
    <cellStyle name="Input 2 2 25" xfId="1438"/>
    <cellStyle name="Input 2 2 25 2" xfId="9261"/>
    <cellStyle name="Input 2 2 25 3" xfId="16689"/>
    <cellStyle name="Input 2 2 25 4" xfId="25718"/>
    <cellStyle name="Input 2 2 25 5" xfId="34260"/>
    <cellStyle name="Input 2 2 25 6" xfId="40277"/>
    <cellStyle name="Input 2 2 25 7" xfId="52351"/>
    <cellStyle name="Input 2 2 26" xfId="3108"/>
    <cellStyle name="Input 2 2 26 2" xfId="10913"/>
    <cellStyle name="Input 2 2 26 3" xfId="18294"/>
    <cellStyle name="Input 2 2 26 4" xfId="19347"/>
    <cellStyle name="Input 2 2 26 5" xfId="28292"/>
    <cellStyle name="Input 2 2 26 6" xfId="41947"/>
    <cellStyle name="Input 2 2 26 7" xfId="49542"/>
    <cellStyle name="Input 2 2 27" xfId="3157"/>
    <cellStyle name="Input 2 2 27 2" xfId="10959"/>
    <cellStyle name="Input 2 2 27 3" xfId="18329"/>
    <cellStyle name="Input 2 2 27 4" xfId="26280"/>
    <cellStyle name="Input 2 2 27 5" xfId="34983"/>
    <cellStyle name="Input 2 2 27 6" xfId="39219"/>
    <cellStyle name="Input 2 2 27 7" xfId="53598"/>
    <cellStyle name="Input 2 2 28" xfId="3101"/>
    <cellStyle name="Input 2 2 28 2" xfId="10906"/>
    <cellStyle name="Input 2 2 28 3" xfId="18288"/>
    <cellStyle name="Input 2 2 28 4" xfId="24876"/>
    <cellStyle name="Input 2 2 28 5" xfId="33190"/>
    <cellStyle name="Input 2 2 28 6" xfId="36634"/>
    <cellStyle name="Input 2 2 28 7" xfId="50509"/>
    <cellStyle name="Input 2 2 29" xfId="3211"/>
    <cellStyle name="Input 2 2 29 2" xfId="11009"/>
    <cellStyle name="Input 2 2 29 3" xfId="18349"/>
    <cellStyle name="Input 2 2 29 4" xfId="19978"/>
    <cellStyle name="Input 2 2 29 5" xfId="27583"/>
    <cellStyle name="Input 2 2 29 6" xfId="41199"/>
    <cellStyle name="Input 2 2 29 7" xfId="47993"/>
    <cellStyle name="Input 2 2 3" xfId="507"/>
    <cellStyle name="Input 2 2 3 10" xfId="1954"/>
    <cellStyle name="Input 2 2 3 10 2" xfId="9777"/>
    <cellStyle name="Input 2 2 3 10 3" xfId="17205"/>
    <cellStyle name="Input 2 2 3 10 4" xfId="25192"/>
    <cellStyle name="Input 2 2 3 10 5" xfId="33576"/>
    <cellStyle name="Input 2 2 3 10 6" xfId="40167"/>
    <cellStyle name="Input 2 2 3 10 7" xfId="51196"/>
    <cellStyle name="Input 2 2 3 11" xfId="2072"/>
    <cellStyle name="Input 2 2 3 11 2" xfId="9895"/>
    <cellStyle name="Input 2 2 3 11 3" xfId="17323"/>
    <cellStyle name="Input 2 2 3 11 4" xfId="25310"/>
    <cellStyle name="Input 2 2 3 11 5" xfId="33726"/>
    <cellStyle name="Input 2 2 3 11 6" xfId="38485"/>
    <cellStyle name="Input 2 2 3 11 7" xfId="51444"/>
    <cellStyle name="Input 2 2 3 12" xfId="2185"/>
    <cellStyle name="Input 2 2 3 12 2" xfId="10008"/>
    <cellStyle name="Input 2 2 3 12 3" xfId="17436"/>
    <cellStyle name="Input 2 2 3 12 4" xfId="19523"/>
    <cellStyle name="Input 2 2 3 12 5" xfId="28179"/>
    <cellStyle name="Input 2 2 3 12 6" xfId="38693"/>
    <cellStyle name="Input 2 2 3 12 7" xfId="47852"/>
    <cellStyle name="Input 2 2 3 13" xfId="1588"/>
    <cellStyle name="Input 2 2 3 13 2" xfId="9411"/>
    <cellStyle name="Input 2 2 3 13 3" xfId="16839"/>
    <cellStyle name="Input 2 2 3 13 4" xfId="25236"/>
    <cellStyle name="Input 2 2 3 13 5" xfId="33640"/>
    <cellStyle name="Input 2 2 3 13 6" xfId="39823"/>
    <cellStyle name="Input 2 2 3 13 7" xfId="51294"/>
    <cellStyle name="Input 2 2 3 14" xfId="2353"/>
    <cellStyle name="Input 2 2 3 14 2" xfId="10176"/>
    <cellStyle name="Input 2 2 3 14 3" xfId="17604"/>
    <cellStyle name="Input 2 2 3 14 4" xfId="25319"/>
    <cellStyle name="Input 2 2 3 14 5" xfId="33745"/>
    <cellStyle name="Input 2 2 3 14 6" xfId="38158"/>
    <cellStyle name="Input 2 2 3 14 7" xfId="51468"/>
    <cellStyle name="Input 2 2 3 15" xfId="2483"/>
    <cellStyle name="Input 2 2 3 15 2" xfId="10306"/>
    <cellStyle name="Input 2 2 3 15 3" xfId="17734"/>
    <cellStyle name="Input 2 2 3 15 4" xfId="25907"/>
    <cellStyle name="Input 2 2 3 15 5" xfId="34503"/>
    <cellStyle name="Input 2 2 3 15 6" xfId="38311"/>
    <cellStyle name="Input 2 2 3 15 7" xfId="52795"/>
    <cellStyle name="Input 2 2 3 16" xfId="2596"/>
    <cellStyle name="Input 2 2 3 16 2" xfId="10419"/>
    <cellStyle name="Input 2 2 3 16 3" xfId="17847"/>
    <cellStyle name="Input 2 2 3 16 4" xfId="19246"/>
    <cellStyle name="Input 2 2 3 16 5" xfId="28078"/>
    <cellStyle name="Input 2 2 3 16 6" xfId="39553"/>
    <cellStyle name="Input 2 2 3 16 7" xfId="50141"/>
    <cellStyle name="Input 2 2 3 17" xfId="2456"/>
    <cellStyle name="Input 2 2 3 17 2" xfId="10279"/>
    <cellStyle name="Input 2 2 3 17 3" xfId="17707"/>
    <cellStyle name="Input 2 2 3 17 4" xfId="19653"/>
    <cellStyle name="Input 2 2 3 17 5" xfId="26748"/>
    <cellStyle name="Input 2 2 3 17 6" xfId="41016"/>
    <cellStyle name="Input 2 2 3 17 7" xfId="49722"/>
    <cellStyle name="Input 2 2 3 18" xfId="2694"/>
    <cellStyle name="Input 2 2 3 18 2" xfId="10517"/>
    <cellStyle name="Input 2 2 3 18 3" xfId="17945"/>
    <cellStyle name="Input 2 2 3 18 4" xfId="26210"/>
    <cellStyle name="Input 2 2 3 18 5" xfId="34892"/>
    <cellStyle name="Input 2 2 3 18 6" xfId="40400"/>
    <cellStyle name="Input 2 2 3 18 7" xfId="53443"/>
    <cellStyle name="Input 2 2 3 19" xfId="2790"/>
    <cellStyle name="Input 2 2 3 19 2" xfId="10613"/>
    <cellStyle name="Input 2 2 3 19 3" xfId="18041"/>
    <cellStyle name="Input 2 2 3 19 4" xfId="25781"/>
    <cellStyle name="Input 2 2 3 19 5" xfId="34344"/>
    <cellStyle name="Input 2 2 3 19 6" xfId="38118"/>
    <cellStyle name="Input 2 2 3 19 7" xfId="52511"/>
    <cellStyle name="Input 2 2 3 2" xfId="658"/>
    <cellStyle name="Input 2 2 3 2 2" xfId="8482"/>
    <cellStyle name="Input 2 2 3 2 3" xfId="8278"/>
    <cellStyle name="Input 2 2 3 2 4" xfId="25539"/>
    <cellStyle name="Input 2 2 3 2 5" xfId="34030"/>
    <cellStyle name="Input 2 2 3 2 6" xfId="36359"/>
    <cellStyle name="Input 2 2 3 2 7" xfId="51963"/>
    <cellStyle name="Input 2 2 3 20" xfId="2897"/>
    <cellStyle name="Input 2 2 3 20 2" xfId="10720"/>
    <cellStyle name="Input 2 2 3 20 3" xfId="18148"/>
    <cellStyle name="Input 2 2 3 20 4" xfId="19677"/>
    <cellStyle name="Input 2 2 3 20 5" xfId="27537"/>
    <cellStyle name="Input 2 2 3 20 6" xfId="37278"/>
    <cellStyle name="Input 2 2 3 20 7" xfId="47723"/>
    <cellStyle name="Input 2 2 3 21" xfId="3273"/>
    <cellStyle name="Input 2 2 3 21 2" xfId="11066"/>
    <cellStyle name="Input 2 2 3 21 3" xfId="18395"/>
    <cellStyle name="Input 2 2 3 21 4" xfId="19482"/>
    <cellStyle name="Input 2 2 3 21 5" xfId="27011"/>
    <cellStyle name="Input 2 2 3 21 6" xfId="36636"/>
    <cellStyle name="Input 2 2 3 21 7" xfId="48385"/>
    <cellStyle name="Input 2 2 3 22" xfId="3393"/>
    <cellStyle name="Input 2 2 3 22 2" xfId="11184"/>
    <cellStyle name="Input 2 2 3 22 3" xfId="18506"/>
    <cellStyle name="Input 2 2 3 22 4" xfId="24905"/>
    <cellStyle name="Input 2 2 3 22 5" xfId="33227"/>
    <cellStyle name="Input 2 2 3 22 6" xfId="37884"/>
    <cellStyle name="Input 2 2 3 22 7" xfId="50576"/>
    <cellStyle name="Input 2 2 3 23" xfId="3005"/>
    <cellStyle name="Input 2 2 3 23 2" xfId="10824"/>
    <cellStyle name="Input 2 2 3 23 3" xfId="18247"/>
    <cellStyle name="Input 2 2 3 23 4" xfId="25937"/>
    <cellStyle name="Input 2 2 3 23 5" xfId="34542"/>
    <cellStyle name="Input 2 2 3 23 6" xfId="40233"/>
    <cellStyle name="Input 2 2 3 23 7" xfId="52866"/>
    <cellStyle name="Input 2 2 3 24" xfId="3663"/>
    <cellStyle name="Input 2 2 3 24 2" xfId="11448"/>
    <cellStyle name="Input 2 2 3 24 3" xfId="18721"/>
    <cellStyle name="Input 2 2 3 24 4" xfId="26019"/>
    <cellStyle name="Input 2 2 3 24 5" xfId="34647"/>
    <cellStyle name="Input 2 2 3 24 6" xfId="40066"/>
    <cellStyle name="Input 2 2 3 24 7" xfId="53035"/>
    <cellStyle name="Input 2 2 3 25" xfId="3794"/>
    <cellStyle name="Input 2 2 3 25 2" xfId="11576"/>
    <cellStyle name="Input 2 2 3 25 3" xfId="18833"/>
    <cellStyle name="Input 2 2 3 25 4" xfId="20364"/>
    <cellStyle name="Input 2 2 3 25 5" xfId="27839"/>
    <cellStyle name="Input 2 2 3 25 6" xfId="39407"/>
    <cellStyle name="Input 2 2 3 25 7" xfId="48709"/>
    <cellStyle name="Input 2 2 3 26" xfId="3911"/>
    <cellStyle name="Input 2 2 3 26 2" xfId="11691"/>
    <cellStyle name="Input 2 2 3 26 3" xfId="18942"/>
    <cellStyle name="Input 2 2 3 26 4" xfId="20423"/>
    <cellStyle name="Input 2 2 3 26 5" xfId="28768"/>
    <cellStyle name="Input 2 2 3 26 6" xfId="38222"/>
    <cellStyle name="Input 2 2 3 26 7" xfId="50259"/>
    <cellStyle name="Input 2 2 3 27" xfId="3183"/>
    <cellStyle name="Input 2 2 3 27 2" xfId="10984"/>
    <cellStyle name="Input 2 2 3 27 3" xfId="20311"/>
    <cellStyle name="Input 2 2 3 27 4" xfId="28403"/>
    <cellStyle name="Input 2 2 3 27 5" xfId="37790"/>
    <cellStyle name="Input 2 2 3 27 6" xfId="42426"/>
    <cellStyle name="Input 2 2 3 27 7" xfId="51002"/>
    <cellStyle name="Input 2 2 3 28" xfId="4108"/>
    <cellStyle name="Input 2 2 3 28 2" xfId="11868"/>
    <cellStyle name="Input 2 2 3 28 3" xfId="20818"/>
    <cellStyle name="Input 2 2 3 28 4" xfId="29005"/>
    <cellStyle name="Input 2 2 3 28 5" xfId="38383"/>
    <cellStyle name="Input 2 2 3 28 6" xfId="42670"/>
    <cellStyle name="Input 2 2 3 28 7" xfId="53710"/>
    <cellStyle name="Input 2 2 3 29" xfId="3539"/>
    <cellStyle name="Input 2 2 3 29 2" xfId="20507"/>
    <cellStyle name="Input 2 2 3 29 3" xfId="28633"/>
    <cellStyle name="Input 2 2 3 29 4" xfId="38010"/>
    <cellStyle name="Input 2 2 3 29 5" xfId="42503"/>
    <cellStyle name="Input 2 2 3 29 6" xfId="50804"/>
    <cellStyle name="Input 2 2 3 3" xfId="765"/>
    <cellStyle name="Input 2 2 3 3 2" xfId="8589"/>
    <cellStyle name="Input 2 2 3 3 3" xfId="16017"/>
    <cellStyle name="Input 2 2 3 3 4" xfId="19918"/>
    <cellStyle name="Input 2 2 3 3 5" xfId="27267"/>
    <cellStyle name="Input 2 2 3 3 6" xfId="36350"/>
    <cellStyle name="Input 2 2 3 3 7" xfId="48093"/>
    <cellStyle name="Input 2 2 3 30" xfId="4305"/>
    <cellStyle name="Input 2 2 3 30 2" xfId="12022"/>
    <cellStyle name="Input 2 2 3 30 3" xfId="21015"/>
    <cellStyle name="Input 2 2 3 30 4" xfId="29202"/>
    <cellStyle name="Input 2 2 3 30 5" xfId="38574"/>
    <cellStyle name="Input 2 2 3 30 6" xfId="42867"/>
    <cellStyle name="Input 2 2 3 30 7" xfId="47286"/>
    <cellStyle name="Input 2 2 3 31" xfId="4428"/>
    <cellStyle name="Input 2 2 3 31 2" xfId="12145"/>
    <cellStyle name="Input 2 2 3 31 3" xfId="21138"/>
    <cellStyle name="Input 2 2 3 31 4" xfId="29325"/>
    <cellStyle name="Input 2 2 3 31 5" xfId="38692"/>
    <cellStyle name="Input 2 2 3 31 6" xfId="42990"/>
    <cellStyle name="Input 2 2 3 31 7" xfId="52593"/>
    <cellStyle name="Input 2 2 3 32" xfId="4542"/>
    <cellStyle name="Input 2 2 3 32 2" xfId="12259"/>
    <cellStyle name="Input 2 2 3 32 3" xfId="21252"/>
    <cellStyle name="Input 2 2 3 32 4" xfId="29439"/>
    <cellStyle name="Input 2 2 3 32 5" xfId="38801"/>
    <cellStyle name="Input 2 2 3 32 6" xfId="43104"/>
    <cellStyle name="Input 2 2 3 32 7" xfId="54005"/>
    <cellStyle name="Input 2 2 3 33" xfId="4655"/>
    <cellStyle name="Input 2 2 3 33 2" xfId="12372"/>
    <cellStyle name="Input 2 2 3 33 3" xfId="21365"/>
    <cellStyle name="Input 2 2 3 33 4" xfId="29552"/>
    <cellStyle name="Input 2 2 3 33 5" xfId="38909"/>
    <cellStyle name="Input 2 2 3 33 6" xfId="43217"/>
    <cellStyle name="Input 2 2 3 33 7" xfId="51480"/>
    <cellStyle name="Input 2 2 3 34" xfId="4767"/>
    <cellStyle name="Input 2 2 3 34 2" xfId="12484"/>
    <cellStyle name="Input 2 2 3 34 3" xfId="21477"/>
    <cellStyle name="Input 2 2 3 34 4" xfId="29664"/>
    <cellStyle name="Input 2 2 3 34 5" xfId="39018"/>
    <cellStyle name="Input 2 2 3 34 6" xfId="43329"/>
    <cellStyle name="Input 2 2 3 34 7" xfId="50140"/>
    <cellStyle name="Input 2 2 3 35" xfId="4875"/>
    <cellStyle name="Input 2 2 3 35 2" xfId="12592"/>
    <cellStyle name="Input 2 2 3 35 3" xfId="21585"/>
    <cellStyle name="Input 2 2 3 35 4" xfId="29772"/>
    <cellStyle name="Input 2 2 3 35 5" xfId="39121"/>
    <cellStyle name="Input 2 2 3 35 6" xfId="43437"/>
    <cellStyle name="Input 2 2 3 35 7" xfId="51415"/>
    <cellStyle name="Input 2 2 3 36" xfId="4987"/>
    <cellStyle name="Input 2 2 3 36 2" xfId="12704"/>
    <cellStyle name="Input 2 2 3 36 3" xfId="21697"/>
    <cellStyle name="Input 2 2 3 36 4" xfId="29884"/>
    <cellStyle name="Input 2 2 3 36 5" xfId="39230"/>
    <cellStyle name="Input 2 2 3 36 6" xfId="43549"/>
    <cellStyle name="Input 2 2 3 36 7" xfId="48305"/>
    <cellStyle name="Input 2 2 3 37" xfId="5124"/>
    <cellStyle name="Input 2 2 3 37 2" xfId="12841"/>
    <cellStyle name="Input 2 2 3 37 3" xfId="21834"/>
    <cellStyle name="Input 2 2 3 37 4" xfId="30021"/>
    <cellStyle name="Input 2 2 3 37 5" xfId="39362"/>
    <cellStyle name="Input 2 2 3 37 6" xfId="43686"/>
    <cellStyle name="Input 2 2 3 37 7" xfId="47262"/>
    <cellStyle name="Input 2 2 3 38" xfId="5485"/>
    <cellStyle name="Input 2 2 3 38 2" xfId="13202"/>
    <cellStyle name="Input 2 2 3 38 3" xfId="22195"/>
    <cellStyle name="Input 2 2 3 38 4" xfId="30382"/>
    <cellStyle name="Input 2 2 3 38 5" xfId="39708"/>
    <cellStyle name="Input 2 2 3 38 6" xfId="44047"/>
    <cellStyle name="Input 2 2 3 38 7" xfId="49784"/>
    <cellStyle name="Input 2 2 3 39" xfId="5610"/>
    <cellStyle name="Input 2 2 3 39 2" xfId="13327"/>
    <cellStyle name="Input 2 2 3 39 3" xfId="22320"/>
    <cellStyle name="Input 2 2 3 39 4" xfId="30507"/>
    <cellStyle name="Input 2 2 3 39 5" xfId="39828"/>
    <cellStyle name="Input 2 2 3 39 6" xfId="44172"/>
    <cellStyle name="Input 2 2 3 39 7" xfId="47132"/>
    <cellStyle name="Input 2 2 3 4" xfId="877"/>
    <cellStyle name="Input 2 2 3 4 2" xfId="8701"/>
    <cellStyle name="Input 2 2 3 4 3" xfId="16129"/>
    <cellStyle name="Input 2 2 3 4 4" xfId="25424"/>
    <cellStyle name="Input 2 2 3 4 5" xfId="33880"/>
    <cellStyle name="Input 2 2 3 4 6" xfId="36336"/>
    <cellStyle name="Input 2 2 3 4 7" xfId="51695"/>
    <cellStyle name="Input 2 2 3 40" xfId="5725"/>
    <cellStyle name="Input 2 2 3 40 2" xfId="13442"/>
    <cellStyle name="Input 2 2 3 40 3" xfId="22435"/>
    <cellStyle name="Input 2 2 3 40 4" xfId="30622"/>
    <cellStyle name="Input 2 2 3 40 5" xfId="39939"/>
    <cellStyle name="Input 2 2 3 40 6" xfId="44287"/>
    <cellStyle name="Input 2 2 3 40 7" xfId="47363"/>
    <cellStyle name="Input 2 2 3 41" xfId="5842"/>
    <cellStyle name="Input 2 2 3 41 2" xfId="13559"/>
    <cellStyle name="Input 2 2 3 41 3" xfId="22552"/>
    <cellStyle name="Input 2 2 3 41 4" xfId="30739"/>
    <cellStyle name="Input 2 2 3 41 5" xfId="40053"/>
    <cellStyle name="Input 2 2 3 41 6" xfId="44404"/>
    <cellStyle name="Input 2 2 3 41 7" xfId="48895"/>
    <cellStyle name="Input 2 2 3 42" xfId="5970"/>
    <cellStyle name="Input 2 2 3 42 2" xfId="13687"/>
    <cellStyle name="Input 2 2 3 42 3" xfId="22680"/>
    <cellStyle name="Input 2 2 3 42 4" xfId="30867"/>
    <cellStyle name="Input 2 2 3 42 5" xfId="40177"/>
    <cellStyle name="Input 2 2 3 42 6" xfId="44532"/>
    <cellStyle name="Input 2 2 3 42 7" xfId="50310"/>
    <cellStyle name="Input 2 2 3 43" xfId="5813"/>
    <cellStyle name="Input 2 2 3 43 2" xfId="13530"/>
    <cellStyle name="Input 2 2 3 43 3" xfId="22523"/>
    <cellStyle name="Input 2 2 3 43 4" xfId="30710"/>
    <cellStyle name="Input 2 2 3 43 5" xfId="40025"/>
    <cellStyle name="Input 2 2 3 43 6" xfId="44375"/>
    <cellStyle name="Input 2 2 3 43 7" xfId="52136"/>
    <cellStyle name="Input 2 2 3 44" xfId="6226"/>
    <cellStyle name="Input 2 2 3 44 2" xfId="13943"/>
    <cellStyle name="Input 2 2 3 44 3" xfId="22936"/>
    <cellStyle name="Input 2 2 3 44 4" xfId="31123"/>
    <cellStyle name="Input 2 2 3 44 5" xfId="40424"/>
    <cellStyle name="Input 2 2 3 44 6" xfId="44788"/>
    <cellStyle name="Input 2 2 3 44 7" xfId="52894"/>
    <cellStyle name="Input 2 2 3 45" xfId="6343"/>
    <cellStyle name="Input 2 2 3 45 2" xfId="14060"/>
    <cellStyle name="Input 2 2 3 45 3" xfId="23053"/>
    <cellStyle name="Input 2 2 3 45 4" xfId="31240"/>
    <cellStyle name="Input 2 2 3 45 5" xfId="40538"/>
    <cellStyle name="Input 2 2 3 45 6" xfId="44905"/>
    <cellStyle name="Input 2 2 3 45 7" xfId="47932"/>
    <cellStyle name="Input 2 2 3 46" xfId="6453"/>
    <cellStyle name="Input 2 2 3 46 2" xfId="14170"/>
    <cellStyle name="Input 2 2 3 46 3" xfId="23163"/>
    <cellStyle name="Input 2 2 3 46 4" xfId="31350"/>
    <cellStyle name="Input 2 2 3 46 5" xfId="40644"/>
    <cellStyle name="Input 2 2 3 46 6" xfId="45015"/>
    <cellStyle name="Input 2 2 3 46 7" xfId="49957"/>
    <cellStyle name="Input 2 2 3 47" xfId="5163"/>
    <cellStyle name="Input 2 2 3 47 2" xfId="12880"/>
    <cellStyle name="Input 2 2 3 47 3" xfId="21873"/>
    <cellStyle name="Input 2 2 3 47 4" xfId="30060"/>
    <cellStyle name="Input 2 2 3 47 5" xfId="39399"/>
    <cellStyle name="Input 2 2 3 47 6" xfId="43725"/>
    <cellStyle name="Input 2 2 3 47 7" xfId="53106"/>
    <cellStyle name="Input 2 2 3 48" xfId="6600"/>
    <cellStyle name="Input 2 2 3 48 2" xfId="14317"/>
    <cellStyle name="Input 2 2 3 48 3" xfId="23310"/>
    <cellStyle name="Input 2 2 3 48 4" xfId="31497"/>
    <cellStyle name="Input 2 2 3 48 5" xfId="40784"/>
    <cellStyle name="Input 2 2 3 48 6" xfId="45162"/>
    <cellStyle name="Input 2 2 3 48 7" xfId="50890"/>
    <cellStyle name="Input 2 2 3 49" xfId="6711"/>
    <cellStyle name="Input 2 2 3 49 2" xfId="14428"/>
    <cellStyle name="Input 2 2 3 49 3" xfId="23421"/>
    <cellStyle name="Input 2 2 3 49 4" xfId="31608"/>
    <cellStyle name="Input 2 2 3 49 5" xfId="40890"/>
    <cellStyle name="Input 2 2 3 49 6" xfId="45273"/>
    <cellStyle name="Input 2 2 3 49 7" xfId="54179"/>
    <cellStyle name="Input 2 2 3 5" xfId="1342"/>
    <cellStyle name="Input 2 2 3 5 2" xfId="9165"/>
    <cellStyle name="Input 2 2 3 5 3" xfId="16593"/>
    <cellStyle name="Input 2 2 3 5 4" xfId="19701"/>
    <cellStyle name="Input 2 2 3 5 5" xfId="27694"/>
    <cellStyle name="Input 2 2 3 5 6" xfId="36937"/>
    <cellStyle name="Input 2 2 3 5 7" xfId="47467"/>
    <cellStyle name="Input 2 2 3 50" xfId="6826"/>
    <cellStyle name="Input 2 2 3 50 2" xfId="14543"/>
    <cellStyle name="Input 2 2 3 50 3" xfId="23536"/>
    <cellStyle name="Input 2 2 3 50 4" xfId="31723"/>
    <cellStyle name="Input 2 2 3 50 5" xfId="40998"/>
    <cellStyle name="Input 2 2 3 50 6" xfId="45388"/>
    <cellStyle name="Input 2 2 3 50 7" xfId="49248"/>
    <cellStyle name="Input 2 2 3 51" xfId="6939"/>
    <cellStyle name="Input 2 2 3 51 2" xfId="14656"/>
    <cellStyle name="Input 2 2 3 51 3" xfId="23649"/>
    <cellStyle name="Input 2 2 3 51 4" xfId="31836"/>
    <cellStyle name="Input 2 2 3 51 5" xfId="41106"/>
    <cellStyle name="Input 2 2 3 51 6" xfId="45501"/>
    <cellStyle name="Input 2 2 3 51 7" xfId="46928"/>
    <cellStyle name="Input 2 2 3 52" xfId="7051"/>
    <cellStyle name="Input 2 2 3 52 2" xfId="14768"/>
    <cellStyle name="Input 2 2 3 52 3" xfId="23761"/>
    <cellStyle name="Input 2 2 3 52 4" xfId="31948"/>
    <cellStyle name="Input 2 2 3 52 5" xfId="41212"/>
    <cellStyle name="Input 2 2 3 52 6" xfId="45613"/>
    <cellStyle name="Input 2 2 3 52 7" xfId="53992"/>
    <cellStyle name="Input 2 2 3 53" xfId="7221"/>
    <cellStyle name="Input 2 2 3 53 2" xfId="14938"/>
    <cellStyle name="Input 2 2 3 53 3" xfId="23931"/>
    <cellStyle name="Input 2 2 3 53 4" xfId="32118"/>
    <cellStyle name="Input 2 2 3 53 5" xfId="41376"/>
    <cellStyle name="Input 2 2 3 53 6" xfId="45783"/>
    <cellStyle name="Input 2 2 3 53 7" xfId="49111"/>
    <cellStyle name="Input 2 2 3 54" xfId="7284"/>
    <cellStyle name="Input 2 2 3 54 2" xfId="15001"/>
    <cellStyle name="Input 2 2 3 54 3" xfId="23994"/>
    <cellStyle name="Input 2 2 3 54 4" xfId="32181"/>
    <cellStyle name="Input 2 2 3 54 5" xfId="41437"/>
    <cellStyle name="Input 2 2 3 54 6" xfId="45846"/>
    <cellStyle name="Input 2 2 3 54 7" xfId="47574"/>
    <cellStyle name="Input 2 2 3 55" xfId="7448"/>
    <cellStyle name="Input 2 2 3 55 2" xfId="15165"/>
    <cellStyle name="Input 2 2 3 55 3" xfId="24158"/>
    <cellStyle name="Input 2 2 3 55 4" xfId="32345"/>
    <cellStyle name="Input 2 2 3 55 5" xfId="41595"/>
    <cellStyle name="Input 2 2 3 55 6" xfId="46010"/>
    <cellStyle name="Input 2 2 3 55 7" xfId="49811"/>
    <cellStyle name="Input 2 2 3 56" xfId="7569"/>
    <cellStyle name="Input 2 2 3 56 2" xfId="15286"/>
    <cellStyle name="Input 2 2 3 56 3" xfId="24279"/>
    <cellStyle name="Input 2 2 3 56 4" xfId="32466"/>
    <cellStyle name="Input 2 2 3 56 5" xfId="41710"/>
    <cellStyle name="Input 2 2 3 56 6" xfId="46131"/>
    <cellStyle name="Input 2 2 3 56 7" xfId="50386"/>
    <cellStyle name="Input 2 2 3 57" xfId="7845"/>
    <cellStyle name="Input 2 2 3 57 2" xfId="15562"/>
    <cellStyle name="Input 2 2 3 57 3" xfId="24549"/>
    <cellStyle name="Input 2 2 3 57 4" xfId="32742"/>
    <cellStyle name="Input 2 2 3 57 5" xfId="41975"/>
    <cellStyle name="Input 2 2 3 57 6" xfId="46407"/>
    <cellStyle name="Input 2 2 3 57 7" xfId="51458"/>
    <cellStyle name="Input 2 2 3 58" xfId="7983"/>
    <cellStyle name="Input 2 2 3 58 2" xfId="15700"/>
    <cellStyle name="Input 2 2 3 58 3" xfId="24685"/>
    <cellStyle name="Input 2 2 3 58 4" xfId="32880"/>
    <cellStyle name="Input 2 2 3 58 5" xfId="42106"/>
    <cellStyle name="Input 2 2 3 58 6" xfId="46545"/>
    <cellStyle name="Input 2 2 3 58 7" xfId="51865"/>
    <cellStyle name="Input 2 2 3 59" xfId="8066"/>
    <cellStyle name="Input 2 2 3 59 2" xfId="15783"/>
    <cellStyle name="Input 2 2 3 59 3" xfId="24768"/>
    <cellStyle name="Input 2 2 3 59 4" xfId="32963"/>
    <cellStyle name="Input 2 2 3 59 5" xfId="42187"/>
    <cellStyle name="Input 2 2 3 59 6" xfId="46628"/>
    <cellStyle name="Input 2 2 3 59 7" xfId="50342"/>
    <cellStyle name="Input 2 2 3 6" xfId="1465"/>
    <cellStyle name="Input 2 2 3 6 2" xfId="9288"/>
    <cellStyle name="Input 2 2 3 6 3" xfId="16716"/>
    <cellStyle name="Input 2 2 3 6 4" xfId="19233"/>
    <cellStyle name="Input 2 2 3 6 5" xfId="26947"/>
    <cellStyle name="Input 2 2 3 6 6" xfId="36406"/>
    <cellStyle name="Input 2 2 3 6 7" xfId="49086"/>
    <cellStyle name="Input 2 2 3 60" xfId="8121"/>
    <cellStyle name="Input 2 2 3 60 2" xfId="15838"/>
    <cellStyle name="Input 2 2 3 60 3" xfId="33018"/>
    <cellStyle name="Input 2 2 3 60 4" xfId="42239"/>
    <cellStyle name="Input 2 2 3 60 5" xfId="46683"/>
    <cellStyle name="Input 2 2 3 60 6" xfId="52098"/>
    <cellStyle name="Input 2 2 3 61" xfId="25230"/>
    <cellStyle name="Input 2 2 3 62" xfId="33632"/>
    <cellStyle name="Input 2 2 3 63" xfId="37938"/>
    <cellStyle name="Input 2 2 3 64" xfId="51284"/>
    <cellStyle name="Input 2 2 3 7" xfId="1149"/>
    <cellStyle name="Input 2 2 3 7 2" xfId="8972"/>
    <cellStyle name="Input 2 2 3 7 3" xfId="16400"/>
    <cellStyle name="Input 2 2 3 7 4" xfId="20034"/>
    <cellStyle name="Input 2 2 3 7 5" xfId="27412"/>
    <cellStyle name="Input 2 2 3 7 6" xfId="40217"/>
    <cellStyle name="Input 2 2 3 7 7" xfId="49506"/>
    <cellStyle name="Input 2 2 3 8" xfId="1702"/>
    <cellStyle name="Input 2 2 3 8 2" xfId="9525"/>
    <cellStyle name="Input 2 2 3 8 3" xfId="16953"/>
    <cellStyle name="Input 2 2 3 8 4" xfId="26629"/>
    <cellStyle name="Input 2 2 3 8 5" xfId="35462"/>
    <cellStyle name="Input 2 2 3 8 6" xfId="36732"/>
    <cellStyle name="Input 2 2 3 8 7" xfId="54344"/>
    <cellStyle name="Input 2 2 3 9" xfId="1836"/>
    <cellStyle name="Input 2 2 3 9 2" xfId="9659"/>
    <cellStyle name="Input 2 2 3 9 3" xfId="17087"/>
    <cellStyle name="Input 2 2 3 9 4" xfId="20523"/>
    <cellStyle name="Input 2 2 3 9 5" xfId="27360"/>
    <cellStyle name="Input 2 2 3 9 6" xfId="37570"/>
    <cellStyle name="Input 2 2 3 9 7" xfId="48533"/>
    <cellStyle name="Input 2 2 30" xfId="3493"/>
    <cellStyle name="Input 2 2 30 2" xfId="11284"/>
    <cellStyle name="Input 2 2 30 3" xfId="18591"/>
    <cellStyle name="Input 2 2 30 4" xfId="25477"/>
    <cellStyle name="Input 2 2 30 5" xfId="33949"/>
    <cellStyle name="Input 2 2 30 6" xfId="39324"/>
    <cellStyle name="Input 2 2 30 7" xfId="51823"/>
    <cellStyle name="Input 2 2 31" xfId="3224"/>
    <cellStyle name="Input 2 2 31 2" xfId="11020"/>
    <cellStyle name="Input 2 2 31 3" xfId="18357"/>
    <cellStyle name="Input 2 2 31 4" xfId="26135"/>
    <cellStyle name="Input 2 2 31 5" xfId="34797"/>
    <cellStyle name="Input 2 2 31 6" xfId="40040"/>
    <cellStyle name="Input 2 2 31 7" xfId="53279"/>
    <cellStyle name="Input 2 2 32" xfId="3481"/>
    <cellStyle name="Input 2 2 32 2" xfId="11272"/>
    <cellStyle name="Input 2 2 32 3" xfId="20468"/>
    <cellStyle name="Input 2 2 32 4" xfId="28590"/>
    <cellStyle name="Input 2 2 32 5" xfId="37968"/>
    <cellStyle name="Input 2 2 32 6" xfId="42479"/>
    <cellStyle name="Input 2 2 32 7" xfId="49091"/>
    <cellStyle name="Input 2 2 33" xfId="2990"/>
    <cellStyle name="Input 2 2 33 2" xfId="10812"/>
    <cellStyle name="Input 2 2 33 3" xfId="20174"/>
    <cellStyle name="Input 2 2 33 4" xfId="28259"/>
    <cellStyle name="Input 2 2 33 5" xfId="37645"/>
    <cellStyle name="Input 2 2 33 6" xfId="42342"/>
    <cellStyle name="Input 2 2 33 7" xfId="54269"/>
    <cellStyle name="Input 2 2 34" xfId="4260"/>
    <cellStyle name="Input 2 2 34 2" xfId="20970"/>
    <cellStyle name="Input 2 2 34 3" xfId="29157"/>
    <cellStyle name="Input 2 2 34 4" xfId="38530"/>
    <cellStyle name="Input 2 2 34 5" xfId="42822"/>
    <cellStyle name="Input 2 2 34 6" xfId="53046"/>
    <cellStyle name="Input 2 2 35" xfId="3196"/>
    <cellStyle name="Input 2 2 35 2" xfId="10996"/>
    <cellStyle name="Input 2 2 35 3" xfId="20323"/>
    <cellStyle name="Input 2 2 35 4" xfId="28416"/>
    <cellStyle name="Input 2 2 35 5" xfId="37802"/>
    <cellStyle name="Input 2 2 35 6" xfId="42437"/>
    <cellStyle name="Input 2 2 35 7" xfId="49548"/>
    <cellStyle name="Input 2 2 36" xfId="4321"/>
    <cellStyle name="Input 2 2 36 2" xfId="12038"/>
    <cellStyle name="Input 2 2 36 3" xfId="21031"/>
    <cellStyle name="Input 2 2 36 4" xfId="29218"/>
    <cellStyle name="Input 2 2 36 5" xfId="38589"/>
    <cellStyle name="Input 2 2 36 6" xfId="42883"/>
    <cellStyle name="Input 2 2 36 7" xfId="49766"/>
    <cellStyle name="Input 2 2 37" xfId="4230"/>
    <cellStyle name="Input 2 2 37 2" xfId="11967"/>
    <cellStyle name="Input 2 2 37 3" xfId="20940"/>
    <cellStyle name="Input 2 2 37 4" xfId="29127"/>
    <cellStyle name="Input 2 2 37 5" xfId="38502"/>
    <cellStyle name="Input 2 2 37 6" xfId="42792"/>
    <cellStyle name="Input 2 2 37 7" xfId="48776"/>
    <cellStyle name="Input 2 2 38" xfId="4401"/>
    <cellStyle name="Input 2 2 38 2" xfId="12118"/>
    <cellStyle name="Input 2 2 38 3" xfId="21111"/>
    <cellStyle name="Input 2 2 38 4" xfId="29298"/>
    <cellStyle name="Input 2 2 38 5" xfId="38668"/>
    <cellStyle name="Input 2 2 38 6" xfId="42963"/>
    <cellStyle name="Input 2 2 38 7" xfId="48871"/>
    <cellStyle name="Input 2 2 39" xfId="3208"/>
    <cellStyle name="Input 2 2 39 2" xfId="11007"/>
    <cellStyle name="Input 2 2 39 3" xfId="20334"/>
    <cellStyle name="Input 2 2 39 4" xfId="28425"/>
    <cellStyle name="Input 2 2 39 5" xfId="37813"/>
    <cellStyle name="Input 2 2 39 6" xfId="42445"/>
    <cellStyle name="Input 2 2 39 7" xfId="47288"/>
    <cellStyle name="Input 2 2 4" xfId="582"/>
    <cellStyle name="Input 2 2 4 10" xfId="2029"/>
    <cellStyle name="Input 2 2 4 10 2" xfId="9852"/>
    <cellStyle name="Input 2 2 4 10 3" xfId="17280"/>
    <cellStyle name="Input 2 2 4 10 4" xfId="19497"/>
    <cellStyle name="Input 2 2 4 10 5" xfId="28710"/>
    <cellStyle name="Input 2 2 4 10 6" xfId="40005"/>
    <cellStyle name="Input 2 2 4 10 7" xfId="47432"/>
    <cellStyle name="Input 2 2 4 11" xfId="2145"/>
    <cellStyle name="Input 2 2 4 11 2" xfId="9968"/>
    <cellStyle name="Input 2 2 4 11 3" xfId="17396"/>
    <cellStyle name="Input 2 2 4 11 4" xfId="24862"/>
    <cellStyle name="Input 2 2 4 11 5" xfId="33175"/>
    <cellStyle name="Input 2 2 4 11 6" xfId="37769"/>
    <cellStyle name="Input 2 2 4 11 7" xfId="50484"/>
    <cellStyle name="Input 2 2 4 12" xfId="2259"/>
    <cellStyle name="Input 2 2 4 12 2" xfId="10082"/>
    <cellStyle name="Input 2 2 4 12 3" xfId="17510"/>
    <cellStyle name="Input 2 2 4 12 4" xfId="26637"/>
    <cellStyle name="Input 2 2 4 12 5" xfId="35473"/>
    <cellStyle name="Input 2 2 4 12 6" xfId="38599"/>
    <cellStyle name="Input 2 2 4 12 7" xfId="54361"/>
    <cellStyle name="Input 2 2 4 13" xfId="2043"/>
    <cellStyle name="Input 2 2 4 13 2" xfId="9866"/>
    <cellStyle name="Input 2 2 4 13 3" xfId="17294"/>
    <cellStyle name="Input 2 2 4 13 4" xfId="20636"/>
    <cellStyle name="Input 2 2 4 13 5" xfId="27348"/>
    <cellStyle name="Input 2 2 4 13 6" xfId="38448"/>
    <cellStyle name="Input 2 2 4 13 7" xfId="47831"/>
    <cellStyle name="Input 2 2 4 14" xfId="1235"/>
    <cellStyle name="Input 2 2 4 14 2" xfId="9058"/>
    <cellStyle name="Input 2 2 4 14 3" xfId="16486"/>
    <cellStyle name="Input 2 2 4 14 4" xfId="20702"/>
    <cellStyle name="Input 2 2 4 14 5" xfId="28680"/>
    <cellStyle name="Input 2 2 4 14 6" xfId="37953"/>
    <cellStyle name="Input 2 2 4 14 7" xfId="47715"/>
    <cellStyle name="Input 2 2 4 15" xfId="2557"/>
    <cellStyle name="Input 2 2 4 15 2" xfId="10380"/>
    <cellStyle name="Input 2 2 4 15 3" xfId="17808"/>
    <cellStyle name="Input 2 2 4 15 4" xfId="26573"/>
    <cellStyle name="Input 2 2 4 15 5" xfId="35388"/>
    <cellStyle name="Input 2 2 4 15 6" xfId="39645"/>
    <cellStyle name="Input 2 2 4 15 7" xfId="54219"/>
    <cellStyle name="Input 2 2 4 16" xfId="2671"/>
    <cellStyle name="Input 2 2 4 16 2" xfId="10494"/>
    <cellStyle name="Input 2 2 4 16 3" xfId="17922"/>
    <cellStyle name="Input 2 2 4 16 4" xfId="19540"/>
    <cellStyle name="Input 2 2 4 16 5" xfId="28122"/>
    <cellStyle name="Input 2 2 4 16 6" xfId="38318"/>
    <cellStyle name="Input 2 2 4 16 7" xfId="48888"/>
    <cellStyle name="Input 2 2 4 17" xfId="2449"/>
    <cellStyle name="Input 2 2 4 17 2" xfId="10272"/>
    <cellStyle name="Input 2 2 4 17 3" xfId="17700"/>
    <cellStyle name="Input 2 2 4 17 4" xfId="19692"/>
    <cellStyle name="Input 2 2 4 17 5" xfId="28460"/>
    <cellStyle name="Input 2 2 4 17 6" xfId="41992"/>
    <cellStyle name="Input 2 2 4 17 7" xfId="48884"/>
    <cellStyle name="Input 2 2 4 18" xfId="2321"/>
    <cellStyle name="Input 2 2 4 18 2" xfId="10144"/>
    <cellStyle name="Input 2 2 4 18 3" xfId="17572"/>
    <cellStyle name="Input 2 2 4 18 4" xfId="25317"/>
    <cellStyle name="Input 2 2 4 18 5" xfId="33741"/>
    <cellStyle name="Input 2 2 4 18 6" xfId="41479"/>
    <cellStyle name="Input 2 2 4 18 7" xfId="51464"/>
    <cellStyle name="Input 2 2 4 19" xfId="2861"/>
    <cellStyle name="Input 2 2 4 19 2" xfId="10684"/>
    <cellStyle name="Input 2 2 4 19 3" xfId="18112"/>
    <cellStyle name="Input 2 2 4 19 4" xfId="25839"/>
    <cellStyle name="Input 2 2 4 19 5" xfId="34425"/>
    <cellStyle name="Input 2 2 4 19 6" xfId="38250"/>
    <cellStyle name="Input 2 2 4 19 7" xfId="52653"/>
    <cellStyle name="Input 2 2 4 2" xfId="729"/>
    <cellStyle name="Input 2 2 4 2 2" xfId="8553"/>
    <cellStyle name="Input 2 2 4 2 3" xfId="15981"/>
    <cellStyle name="Input 2 2 4 2 4" xfId="24931"/>
    <cellStyle name="Input 2 2 4 2 5" xfId="33263"/>
    <cellStyle name="Input 2 2 4 2 6" xfId="37541"/>
    <cellStyle name="Input 2 2 4 2 7" xfId="50640"/>
    <cellStyle name="Input 2 2 4 20" xfId="2968"/>
    <cellStyle name="Input 2 2 4 20 2" xfId="10791"/>
    <cellStyle name="Input 2 2 4 20 3" xfId="18219"/>
    <cellStyle name="Input 2 2 4 20 4" xfId="19182"/>
    <cellStyle name="Input 2 2 4 20 5" xfId="26918"/>
    <cellStyle name="Input 2 2 4 20 6" xfId="36427"/>
    <cellStyle name="Input 2 2 4 20 7" xfId="49163"/>
    <cellStyle name="Input 2 2 4 21" xfId="3346"/>
    <cellStyle name="Input 2 2 4 21 2" xfId="11139"/>
    <cellStyle name="Input 2 2 4 21 3" xfId="18466"/>
    <cellStyle name="Input 2 2 4 21 4" xfId="26463"/>
    <cellStyle name="Input 2 2 4 21 5" xfId="35242"/>
    <cellStyle name="Input 2 2 4 21 6" xfId="36651"/>
    <cellStyle name="Input 2 2 4 21 7" xfId="53991"/>
    <cellStyle name="Input 2 2 4 22" xfId="3465"/>
    <cellStyle name="Input 2 2 4 22 2" xfId="11256"/>
    <cellStyle name="Input 2 2 4 22 3" xfId="18577"/>
    <cellStyle name="Input 2 2 4 22 4" xfId="25057"/>
    <cellStyle name="Input 2 2 4 22 5" xfId="33417"/>
    <cellStyle name="Input 2 2 4 22 6" xfId="37935"/>
    <cellStyle name="Input 2 2 4 22 7" xfId="50915"/>
    <cellStyle name="Input 2 2 4 23" xfId="3624"/>
    <cellStyle name="Input 2 2 4 23 2" xfId="11410"/>
    <cellStyle name="Input 2 2 4 23 3" xfId="18684"/>
    <cellStyle name="Input 2 2 4 23 4" xfId="20641"/>
    <cellStyle name="Input 2 2 4 23 5" xfId="27031"/>
    <cellStyle name="Input 2 2 4 23 6" xfId="37361"/>
    <cellStyle name="Input 2 2 4 23 7" xfId="47394"/>
    <cellStyle name="Input 2 2 4 24" xfId="3738"/>
    <cellStyle name="Input 2 2 4 24 2" xfId="11523"/>
    <cellStyle name="Input 2 2 4 24 3" xfId="18794"/>
    <cellStyle name="Input 2 2 4 24 4" xfId="26472"/>
    <cellStyle name="Input 2 2 4 24 5" xfId="35251"/>
    <cellStyle name="Input 2 2 4 24 6" xfId="40881"/>
    <cellStyle name="Input 2 2 4 24 7" xfId="54008"/>
    <cellStyle name="Input 2 2 4 25" xfId="3867"/>
    <cellStyle name="Input 2 2 4 25 2" xfId="11649"/>
    <cellStyle name="Input 2 2 4 25 3" xfId="18904"/>
    <cellStyle name="Input 2 2 4 25 4" xfId="19289"/>
    <cellStyle name="Input 2 2 4 25 5" xfId="28675"/>
    <cellStyle name="Input 2 2 4 25 6" xfId="38925"/>
    <cellStyle name="Input 2 2 4 25 7" xfId="48398"/>
    <cellStyle name="Input 2 2 4 26" xfId="3985"/>
    <cellStyle name="Input 2 2 4 26 2" xfId="11764"/>
    <cellStyle name="Input 2 2 4 26 3" xfId="19013"/>
    <cellStyle name="Input 2 2 4 26 4" xfId="25256"/>
    <cellStyle name="Input 2 2 4 26 5" xfId="33662"/>
    <cellStyle name="Input 2 2 4 26 6" xfId="38166"/>
    <cellStyle name="Input 2 2 4 26 7" xfId="51336"/>
    <cellStyle name="Input 2 2 4 27" xfId="3182"/>
    <cellStyle name="Input 2 2 4 27 2" xfId="10983"/>
    <cellStyle name="Input 2 2 4 27 3" xfId="20310"/>
    <cellStyle name="Input 2 2 4 27 4" xfId="28402"/>
    <cellStyle name="Input 2 2 4 27 5" xfId="37789"/>
    <cellStyle name="Input 2 2 4 27 6" xfId="42425"/>
    <cellStyle name="Input 2 2 4 27 7" xfId="51109"/>
    <cellStyle name="Input 2 2 4 28" xfId="4181"/>
    <cellStyle name="Input 2 2 4 28 2" xfId="11940"/>
    <cellStyle name="Input 2 2 4 28 3" xfId="20891"/>
    <cellStyle name="Input 2 2 4 28 4" xfId="29078"/>
    <cellStyle name="Input 2 2 4 28 5" xfId="38454"/>
    <cellStyle name="Input 2 2 4 28 6" xfId="42743"/>
    <cellStyle name="Input 2 2 4 28 7" xfId="53611"/>
    <cellStyle name="Input 2 2 4 29" xfId="4208"/>
    <cellStyle name="Input 2 2 4 29 2" xfId="20918"/>
    <cellStyle name="Input 2 2 4 29 3" xfId="29105"/>
    <cellStyle name="Input 2 2 4 29 4" xfId="38481"/>
    <cellStyle name="Input 2 2 4 29 5" xfId="42770"/>
    <cellStyle name="Input 2 2 4 29 6" xfId="50897"/>
    <cellStyle name="Input 2 2 4 3" xfId="838"/>
    <cellStyle name="Input 2 2 4 3 2" xfId="8662"/>
    <cellStyle name="Input 2 2 4 3 3" xfId="16090"/>
    <cellStyle name="Input 2 2 4 3 4" xfId="25647"/>
    <cellStyle name="Input 2 2 4 3 5" xfId="34168"/>
    <cellStyle name="Input 2 2 4 3 6" xfId="36569"/>
    <cellStyle name="Input 2 2 4 3 7" xfId="52195"/>
    <cellStyle name="Input 2 2 4 30" xfId="4380"/>
    <cellStyle name="Input 2 2 4 30 2" xfId="12097"/>
    <cellStyle name="Input 2 2 4 30 3" xfId="21090"/>
    <cellStyle name="Input 2 2 4 30 4" xfId="29277"/>
    <cellStyle name="Input 2 2 4 30 5" xfId="38647"/>
    <cellStyle name="Input 2 2 4 30 6" xfId="42942"/>
    <cellStyle name="Input 2 2 4 30 7" xfId="50885"/>
    <cellStyle name="Input 2 2 4 31" xfId="4501"/>
    <cellStyle name="Input 2 2 4 31 2" xfId="12218"/>
    <cellStyle name="Input 2 2 4 31 3" xfId="21211"/>
    <cellStyle name="Input 2 2 4 31 4" xfId="29398"/>
    <cellStyle name="Input 2 2 4 31 5" xfId="38762"/>
    <cellStyle name="Input 2 2 4 31 6" xfId="43063"/>
    <cellStyle name="Input 2 2 4 31 7" xfId="51394"/>
    <cellStyle name="Input 2 2 4 32" xfId="4615"/>
    <cellStyle name="Input 2 2 4 32 2" xfId="12332"/>
    <cellStyle name="Input 2 2 4 32 3" xfId="21325"/>
    <cellStyle name="Input 2 2 4 32 4" xfId="29512"/>
    <cellStyle name="Input 2 2 4 32 5" xfId="38871"/>
    <cellStyle name="Input 2 2 4 32 6" xfId="43177"/>
    <cellStyle name="Input 2 2 4 32 7" xfId="52504"/>
    <cellStyle name="Input 2 2 4 33" xfId="4728"/>
    <cellStyle name="Input 2 2 4 33 2" xfId="12445"/>
    <cellStyle name="Input 2 2 4 33 3" xfId="21438"/>
    <cellStyle name="Input 2 2 4 33 4" xfId="29625"/>
    <cellStyle name="Input 2 2 4 33 5" xfId="38980"/>
    <cellStyle name="Input 2 2 4 33 6" xfId="43290"/>
    <cellStyle name="Input 2 2 4 33 7" xfId="51539"/>
    <cellStyle name="Input 2 2 4 34" xfId="4838"/>
    <cellStyle name="Input 2 2 4 34 2" xfId="12555"/>
    <cellStyle name="Input 2 2 4 34 3" xfId="21548"/>
    <cellStyle name="Input 2 2 4 34 4" xfId="29735"/>
    <cellStyle name="Input 2 2 4 34 5" xfId="39086"/>
    <cellStyle name="Input 2 2 4 34 6" xfId="43400"/>
    <cellStyle name="Input 2 2 4 34 7" xfId="49028"/>
    <cellStyle name="Input 2 2 4 35" xfId="4948"/>
    <cellStyle name="Input 2 2 4 35 2" xfId="12665"/>
    <cellStyle name="Input 2 2 4 35 3" xfId="21658"/>
    <cellStyle name="Input 2 2 4 35 4" xfId="29845"/>
    <cellStyle name="Input 2 2 4 35 5" xfId="39192"/>
    <cellStyle name="Input 2 2 4 35 6" xfId="43510"/>
    <cellStyle name="Input 2 2 4 35 7" xfId="48105"/>
    <cellStyle name="Input 2 2 4 36" xfId="5058"/>
    <cellStyle name="Input 2 2 4 36 2" xfId="12775"/>
    <cellStyle name="Input 2 2 4 36 3" xfId="21768"/>
    <cellStyle name="Input 2 2 4 36 4" xfId="29955"/>
    <cellStyle name="Input 2 2 4 36 5" xfId="39298"/>
    <cellStyle name="Input 2 2 4 36 6" xfId="43620"/>
    <cellStyle name="Input 2 2 4 36 7" xfId="54035"/>
    <cellStyle name="Input 2 2 4 37" xfId="5438"/>
    <cellStyle name="Input 2 2 4 37 2" xfId="13155"/>
    <cellStyle name="Input 2 2 4 37 3" xfId="22148"/>
    <cellStyle name="Input 2 2 4 37 4" xfId="30335"/>
    <cellStyle name="Input 2 2 4 37 5" xfId="39664"/>
    <cellStyle name="Input 2 2 4 37 6" xfId="44000"/>
    <cellStyle name="Input 2 2 4 37 7" xfId="48320"/>
    <cellStyle name="Input 2 2 4 38" xfId="5558"/>
    <cellStyle name="Input 2 2 4 38 2" xfId="13275"/>
    <cellStyle name="Input 2 2 4 38 3" xfId="22268"/>
    <cellStyle name="Input 2 2 4 38 4" xfId="30455"/>
    <cellStyle name="Input 2 2 4 38 5" xfId="39778"/>
    <cellStyle name="Input 2 2 4 38 6" xfId="44120"/>
    <cellStyle name="Input 2 2 4 38 7" xfId="46981"/>
    <cellStyle name="Input 2 2 4 39" xfId="5683"/>
    <cellStyle name="Input 2 2 4 39 2" xfId="13400"/>
    <cellStyle name="Input 2 2 4 39 3" xfId="22393"/>
    <cellStyle name="Input 2 2 4 39 4" xfId="30580"/>
    <cellStyle name="Input 2 2 4 39 5" xfId="39898"/>
    <cellStyle name="Input 2 2 4 39 6" xfId="44245"/>
    <cellStyle name="Input 2 2 4 39 7" xfId="47093"/>
    <cellStyle name="Input 2 2 4 4" xfId="948"/>
    <cellStyle name="Input 2 2 4 4 2" xfId="8772"/>
    <cellStyle name="Input 2 2 4 4 3" xfId="16200"/>
    <cellStyle name="Input 2 2 4 4 4" xfId="20095"/>
    <cellStyle name="Input 2 2 4 4 5" xfId="27247"/>
    <cellStyle name="Input 2 2 4 4 6" xfId="37437"/>
    <cellStyle name="Input 2 2 4 4 7" xfId="48899"/>
    <cellStyle name="Input 2 2 4 40" xfId="5798"/>
    <cellStyle name="Input 2 2 4 40 2" xfId="13515"/>
    <cellStyle name="Input 2 2 4 40 3" xfId="22508"/>
    <cellStyle name="Input 2 2 4 40 4" xfId="30695"/>
    <cellStyle name="Input 2 2 4 40 5" xfId="40010"/>
    <cellStyle name="Input 2 2 4 40 6" xfId="44360"/>
    <cellStyle name="Input 2 2 4 40 7" xfId="53488"/>
    <cellStyle name="Input 2 2 4 41" xfId="5916"/>
    <cellStyle name="Input 2 2 4 41 2" xfId="13633"/>
    <cellStyle name="Input 2 2 4 41 3" xfId="22626"/>
    <cellStyle name="Input 2 2 4 41 4" xfId="30813"/>
    <cellStyle name="Input 2 2 4 41 5" xfId="40125"/>
    <cellStyle name="Input 2 2 4 41 6" xfId="44478"/>
    <cellStyle name="Input 2 2 4 41 7" xfId="49826"/>
    <cellStyle name="Input 2 2 4 42" xfId="6043"/>
    <cellStyle name="Input 2 2 4 42 2" xfId="13760"/>
    <cellStyle name="Input 2 2 4 42 3" xfId="22753"/>
    <cellStyle name="Input 2 2 4 42 4" xfId="30940"/>
    <cellStyle name="Input 2 2 4 42 5" xfId="40247"/>
    <cellStyle name="Input 2 2 4 42 6" xfId="44605"/>
    <cellStyle name="Input 2 2 4 42 7" xfId="49948"/>
    <cellStyle name="Input 2 2 4 43" xfId="6171"/>
    <cellStyle name="Input 2 2 4 43 2" xfId="13888"/>
    <cellStyle name="Input 2 2 4 43 3" xfId="22881"/>
    <cellStyle name="Input 2 2 4 43 4" xfId="31068"/>
    <cellStyle name="Input 2 2 4 43 5" xfId="40369"/>
    <cellStyle name="Input 2 2 4 43 6" xfId="44733"/>
    <cellStyle name="Input 2 2 4 43 7" xfId="51047"/>
    <cellStyle name="Input 2 2 4 44" xfId="6299"/>
    <cellStyle name="Input 2 2 4 44 2" xfId="14016"/>
    <cellStyle name="Input 2 2 4 44 3" xfId="23009"/>
    <cellStyle name="Input 2 2 4 44 4" xfId="31196"/>
    <cellStyle name="Input 2 2 4 44 5" xfId="40496"/>
    <cellStyle name="Input 2 2 4 44 6" xfId="44861"/>
    <cellStyle name="Input 2 2 4 44 7" xfId="54370"/>
    <cellStyle name="Input 2 2 4 45" xfId="6414"/>
    <cellStyle name="Input 2 2 4 45 2" xfId="14131"/>
    <cellStyle name="Input 2 2 4 45 3" xfId="23124"/>
    <cellStyle name="Input 2 2 4 45 4" xfId="31311"/>
    <cellStyle name="Input 2 2 4 45 5" xfId="40606"/>
    <cellStyle name="Input 2 2 4 45 6" xfId="44976"/>
    <cellStyle name="Input 2 2 4 45 7" xfId="53756"/>
    <cellStyle name="Input 2 2 4 46" xfId="6526"/>
    <cellStyle name="Input 2 2 4 46 2" xfId="14243"/>
    <cellStyle name="Input 2 2 4 46 3" xfId="23236"/>
    <cellStyle name="Input 2 2 4 46 4" xfId="31423"/>
    <cellStyle name="Input 2 2 4 46 5" xfId="40714"/>
    <cellStyle name="Input 2 2 4 46 6" xfId="45088"/>
    <cellStyle name="Input 2 2 4 46 7" xfId="51260"/>
    <cellStyle name="Input 2 2 4 47" xfId="6079"/>
    <cellStyle name="Input 2 2 4 47 2" xfId="13796"/>
    <cellStyle name="Input 2 2 4 47 3" xfId="22789"/>
    <cellStyle name="Input 2 2 4 47 4" xfId="30976"/>
    <cellStyle name="Input 2 2 4 47 5" xfId="40280"/>
    <cellStyle name="Input 2 2 4 47 6" xfId="44641"/>
    <cellStyle name="Input 2 2 4 47 7" xfId="53463"/>
    <cellStyle name="Input 2 2 4 48" xfId="6673"/>
    <cellStyle name="Input 2 2 4 48 2" xfId="14390"/>
    <cellStyle name="Input 2 2 4 48 3" xfId="23383"/>
    <cellStyle name="Input 2 2 4 48 4" xfId="31570"/>
    <cellStyle name="Input 2 2 4 48 5" xfId="40854"/>
    <cellStyle name="Input 2 2 4 48 6" xfId="45235"/>
    <cellStyle name="Input 2 2 4 48 7" xfId="50731"/>
    <cellStyle name="Input 2 2 4 49" xfId="6784"/>
    <cellStyle name="Input 2 2 4 49 2" xfId="14501"/>
    <cellStyle name="Input 2 2 4 49 3" xfId="23494"/>
    <cellStyle name="Input 2 2 4 49 4" xfId="31681"/>
    <cellStyle name="Input 2 2 4 49 5" xfId="40960"/>
    <cellStyle name="Input 2 2 4 49 6" xfId="45346"/>
    <cellStyle name="Input 2 2 4 49 7" xfId="53577"/>
    <cellStyle name="Input 2 2 4 5" xfId="1416"/>
    <cellStyle name="Input 2 2 4 5 2" xfId="9239"/>
    <cellStyle name="Input 2 2 4 5 3" xfId="16667"/>
    <cellStyle name="Input 2 2 4 5 4" xfId="19398"/>
    <cellStyle name="Input 2 2 4 5 5" xfId="27595"/>
    <cellStyle name="Input 2 2 4 5 6" xfId="36866"/>
    <cellStyle name="Input 2 2 4 5 7" xfId="47854"/>
    <cellStyle name="Input 2 2 4 50" xfId="6899"/>
    <cellStyle name="Input 2 2 4 50 2" xfId="14616"/>
    <cellStyle name="Input 2 2 4 50 3" xfId="23609"/>
    <cellStyle name="Input 2 2 4 50 4" xfId="31796"/>
    <cellStyle name="Input 2 2 4 50 5" xfId="41068"/>
    <cellStyle name="Input 2 2 4 50 6" xfId="45461"/>
    <cellStyle name="Input 2 2 4 50 7" xfId="46800"/>
    <cellStyle name="Input 2 2 4 51" xfId="7012"/>
    <cellStyle name="Input 2 2 4 51 2" xfId="14729"/>
    <cellStyle name="Input 2 2 4 51 3" xfId="23722"/>
    <cellStyle name="Input 2 2 4 51 4" xfId="31909"/>
    <cellStyle name="Input 2 2 4 51 5" xfId="41176"/>
    <cellStyle name="Input 2 2 4 51 6" xfId="45574"/>
    <cellStyle name="Input 2 2 4 51 7" xfId="46882"/>
    <cellStyle name="Input 2 2 4 52" xfId="7122"/>
    <cellStyle name="Input 2 2 4 52 2" xfId="14839"/>
    <cellStyle name="Input 2 2 4 52 3" xfId="23832"/>
    <cellStyle name="Input 2 2 4 52 4" xfId="32019"/>
    <cellStyle name="Input 2 2 4 52 5" xfId="41281"/>
    <cellStyle name="Input 2 2 4 52 6" xfId="45684"/>
    <cellStyle name="Input 2 2 4 52 7" xfId="53177"/>
    <cellStyle name="Input 2 2 4 53" xfId="7156"/>
    <cellStyle name="Input 2 2 4 53 2" xfId="14873"/>
    <cellStyle name="Input 2 2 4 53 3" xfId="23866"/>
    <cellStyle name="Input 2 2 4 53 4" xfId="32053"/>
    <cellStyle name="Input 2 2 4 53 5" xfId="41315"/>
    <cellStyle name="Input 2 2 4 53 6" xfId="45718"/>
    <cellStyle name="Input 2 2 4 53 7" xfId="47911"/>
    <cellStyle name="Input 2 2 4 54" xfId="7346"/>
    <cellStyle name="Input 2 2 4 54 2" xfId="15063"/>
    <cellStyle name="Input 2 2 4 54 3" xfId="24056"/>
    <cellStyle name="Input 2 2 4 54 4" xfId="32243"/>
    <cellStyle name="Input 2 2 4 54 5" xfId="41499"/>
    <cellStyle name="Input 2 2 4 54 6" xfId="45908"/>
    <cellStyle name="Input 2 2 4 54 7" xfId="51923"/>
    <cellStyle name="Input 2 2 4 55" xfId="7519"/>
    <cellStyle name="Input 2 2 4 55 2" xfId="15236"/>
    <cellStyle name="Input 2 2 4 55 3" xfId="24229"/>
    <cellStyle name="Input 2 2 4 55 4" xfId="32416"/>
    <cellStyle name="Input 2 2 4 55 5" xfId="41662"/>
    <cellStyle name="Input 2 2 4 55 6" xfId="46081"/>
    <cellStyle name="Input 2 2 4 55 7" xfId="49676"/>
    <cellStyle name="Input 2 2 4 56" xfId="7640"/>
    <cellStyle name="Input 2 2 4 56 2" xfId="15357"/>
    <cellStyle name="Input 2 2 4 56 3" xfId="24350"/>
    <cellStyle name="Input 2 2 4 56 4" xfId="32537"/>
    <cellStyle name="Input 2 2 4 56 5" xfId="41779"/>
    <cellStyle name="Input 2 2 4 56 6" xfId="46202"/>
    <cellStyle name="Input 2 2 4 56 7" xfId="52096"/>
    <cellStyle name="Input 2 2 4 57" xfId="7917"/>
    <cellStyle name="Input 2 2 4 57 2" xfId="15634"/>
    <cellStyle name="Input 2 2 4 57 3" xfId="24621"/>
    <cellStyle name="Input 2 2 4 57 4" xfId="32814"/>
    <cellStyle name="Input 2 2 4 57 5" xfId="42045"/>
    <cellStyle name="Input 2 2 4 57 6" xfId="46479"/>
    <cellStyle name="Input 2 2 4 57 7" xfId="51222"/>
    <cellStyle name="Input 2 2 4 58" xfId="8045"/>
    <cellStyle name="Input 2 2 4 58 2" xfId="15762"/>
    <cellStyle name="Input 2 2 4 58 3" xfId="24747"/>
    <cellStyle name="Input 2 2 4 58 4" xfId="32942"/>
    <cellStyle name="Input 2 2 4 58 5" xfId="42167"/>
    <cellStyle name="Input 2 2 4 58 6" xfId="46607"/>
    <cellStyle name="Input 2 2 4 58 7" xfId="52636"/>
    <cellStyle name="Input 2 2 4 59" xfId="7746"/>
    <cellStyle name="Input 2 2 4 59 2" xfId="15463"/>
    <cellStyle name="Input 2 2 4 59 3" xfId="24454"/>
    <cellStyle name="Input 2 2 4 59 4" xfId="32643"/>
    <cellStyle name="Input 2 2 4 59 5" xfId="41879"/>
    <cellStyle name="Input 2 2 4 59 6" xfId="46308"/>
    <cellStyle name="Input 2 2 4 59 7" xfId="53602"/>
    <cellStyle name="Input 2 2 4 6" xfId="1539"/>
    <cellStyle name="Input 2 2 4 6 2" xfId="9362"/>
    <cellStyle name="Input 2 2 4 6 3" xfId="16790"/>
    <cellStyle name="Input 2 2 4 6 4" xfId="25431"/>
    <cellStyle name="Input 2 2 4 6 5" xfId="33890"/>
    <cellStyle name="Input 2 2 4 6 6" xfId="37559"/>
    <cellStyle name="Input 2 2 4 6 7" xfId="51711"/>
    <cellStyle name="Input 2 2 4 60" xfId="8192"/>
    <cellStyle name="Input 2 2 4 60 2" xfId="15909"/>
    <cellStyle name="Input 2 2 4 60 3" xfId="33089"/>
    <cellStyle name="Input 2 2 4 60 4" xfId="42308"/>
    <cellStyle name="Input 2 2 4 60 5" xfId="46754"/>
    <cellStyle name="Input 2 2 4 60 6" xfId="46862"/>
    <cellStyle name="Input 2 2 4 61" xfId="19599"/>
    <cellStyle name="Input 2 2 4 62" xfId="28418"/>
    <cellStyle name="Input 2 2 4 63" xfId="36993"/>
    <cellStyle name="Input 2 2 4 64" xfId="47524"/>
    <cellStyle name="Input 2 2 4 7" xfId="1104"/>
    <cellStyle name="Input 2 2 4 7 2" xfId="8928"/>
    <cellStyle name="Input 2 2 4 7 3" xfId="16356"/>
    <cellStyle name="Input 2 2 4 7 4" xfId="20518"/>
    <cellStyle name="Input 2 2 4 7 5" xfId="27342"/>
    <cellStyle name="Input 2 2 4 7 6" xfId="36918"/>
    <cellStyle name="Input 2 2 4 7 7" xfId="47875"/>
    <cellStyle name="Input 2 2 4 8" xfId="1777"/>
    <cellStyle name="Input 2 2 4 8 2" xfId="9600"/>
    <cellStyle name="Input 2 2 4 8 3" xfId="17028"/>
    <cellStyle name="Input 2 2 4 8 4" xfId="26320"/>
    <cellStyle name="Input 2 2 4 8 5" xfId="35043"/>
    <cellStyle name="Input 2 2 4 8 6" xfId="37393"/>
    <cellStyle name="Input 2 2 4 8 7" xfId="53684"/>
    <cellStyle name="Input 2 2 4 9" xfId="1910"/>
    <cellStyle name="Input 2 2 4 9 2" xfId="9733"/>
    <cellStyle name="Input 2 2 4 9 3" xfId="17161"/>
    <cellStyle name="Input 2 2 4 9 4" xfId="19096"/>
    <cellStyle name="Input 2 2 4 9 5" xfId="26833"/>
    <cellStyle name="Input 2 2 4 9 6" xfId="41799"/>
    <cellStyle name="Input 2 2 4 9 7" xfId="49809"/>
    <cellStyle name="Input 2 2 40" xfId="4278"/>
    <cellStyle name="Input 2 2 40 2" xfId="11995"/>
    <cellStyle name="Input 2 2 40 3" xfId="20988"/>
    <cellStyle name="Input 2 2 40 4" xfId="29175"/>
    <cellStyle name="Input 2 2 40 5" xfId="38548"/>
    <cellStyle name="Input 2 2 40 6" xfId="42840"/>
    <cellStyle name="Input 2 2 40 7" xfId="51215"/>
    <cellStyle name="Input 2 2 41" xfId="4398"/>
    <cellStyle name="Input 2 2 41 2" xfId="12115"/>
    <cellStyle name="Input 2 2 41 3" xfId="21108"/>
    <cellStyle name="Input 2 2 41 4" xfId="29295"/>
    <cellStyle name="Input 2 2 41 5" xfId="38665"/>
    <cellStyle name="Input 2 2 41 6" xfId="42960"/>
    <cellStyle name="Input 2 2 41 7" xfId="49156"/>
    <cellStyle name="Input 2 2 42" xfId="5177"/>
    <cellStyle name="Input 2 2 42 2" xfId="12894"/>
    <cellStyle name="Input 2 2 42 3" xfId="21887"/>
    <cellStyle name="Input 2 2 42 4" xfId="30074"/>
    <cellStyle name="Input 2 2 42 5" xfId="39413"/>
    <cellStyle name="Input 2 2 42 6" xfId="43739"/>
    <cellStyle name="Input 2 2 42 7" xfId="51950"/>
    <cellStyle name="Input 2 2 43" xfId="5376"/>
    <cellStyle name="Input 2 2 43 2" xfId="13093"/>
    <cellStyle name="Input 2 2 43 3" xfId="22086"/>
    <cellStyle name="Input 2 2 43 4" xfId="30273"/>
    <cellStyle name="Input 2 2 43 5" xfId="39604"/>
    <cellStyle name="Input 2 2 43 6" xfId="43938"/>
    <cellStyle name="Input 2 2 43 7" xfId="53798"/>
    <cellStyle name="Input 2 2 44" xfId="5153"/>
    <cellStyle name="Input 2 2 44 2" xfId="12870"/>
    <cellStyle name="Input 2 2 44 3" xfId="21863"/>
    <cellStyle name="Input 2 2 44 4" xfId="30050"/>
    <cellStyle name="Input 2 2 44 5" xfId="39389"/>
    <cellStyle name="Input 2 2 44 6" xfId="43715"/>
    <cellStyle name="Input 2 2 44 7" xfId="54016"/>
    <cellStyle name="Input 2 2 45" xfId="5231"/>
    <cellStyle name="Input 2 2 45 2" xfId="12948"/>
    <cellStyle name="Input 2 2 45 3" xfId="21941"/>
    <cellStyle name="Input 2 2 45 4" xfId="30128"/>
    <cellStyle name="Input 2 2 45 5" xfId="39463"/>
    <cellStyle name="Input 2 2 45 6" xfId="43793"/>
    <cellStyle name="Input 2 2 45 7" xfId="53665"/>
    <cellStyle name="Input 2 2 46" xfId="5374"/>
    <cellStyle name="Input 2 2 46 2" xfId="13091"/>
    <cellStyle name="Input 2 2 46 3" xfId="22084"/>
    <cellStyle name="Input 2 2 46 4" xfId="30271"/>
    <cellStyle name="Input 2 2 46 5" xfId="39602"/>
    <cellStyle name="Input 2 2 46 6" xfId="43936"/>
    <cellStyle name="Input 2 2 46 7" xfId="54176"/>
    <cellStyle name="Input 2 2 47" xfId="5073"/>
    <cellStyle name="Input 2 2 47 2" xfId="12790"/>
    <cellStyle name="Input 2 2 47 3" xfId="21783"/>
    <cellStyle name="Input 2 2 47 4" xfId="29970"/>
    <cellStyle name="Input 2 2 47 5" xfId="39313"/>
    <cellStyle name="Input 2 2 47 6" xfId="43635"/>
    <cellStyle name="Input 2 2 47 7" xfId="53690"/>
    <cellStyle name="Input 2 2 48" xfId="5698"/>
    <cellStyle name="Input 2 2 48 2" xfId="13415"/>
    <cellStyle name="Input 2 2 48 3" xfId="22408"/>
    <cellStyle name="Input 2 2 48 4" xfId="30595"/>
    <cellStyle name="Input 2 2 48 5" xfId="39913"/>
    <cellStyle name="Input 2 2 48 6" xfId="44260"/>
    <cellStyle name="Input 2 2 48 7" xfId="47081"/>
    <cellStyle name="Input 2 2 49" xfId="5187"/>
    <cellStyle name="Input 2 2 49 2" xfId="12904"/>
    <cellStyle name="Input 2 2 49 3" xfId="21897"/>
    <cellStyle name="Input 2 2 49 4" xfId="30084"/>
    <cellStyle name="Input 2 2 49 5" xfId="39423"/>
    <cellStyle name="Input 2 2 49 6" xfId="43749"/>
    <cellStyle name="Input 2 2 49 7" xfId="47485"/>
    <cellStyle name="Input 2 2 5" xfId="550"/>
    <cellStyle name="Input 2 2 5 10" xfId="1997"/>
    <cellStyle name="Input 2 2 5 10 2" xfId="9820"/>
    <cellStyle name="Input 2 2 5 10 3" xfId="17248"/>
    <cellStyle name="Input 2 2 5 10 4" xfId="26073"/>
    <cellStyle name="Input 2 2 5 10 5" xfId="34719"/>
    <cellStyle name="Input 2 2 5 10 6" xfId="40271"/>
    <cellStyle name="Input 2 2 5 10 7" xfId="53155"/>
    <cellStyle name="Input 2 2 5 11" xfId="2115"/>
    <cellStyle name="Input 2 2 5 11 2" xfId="9938"/>
    <cellStyle name="Input 2 2 5 11 3" xfId="17366"/>
    <cellStyle name="Input 2 2 5 11 4" xfId="26336"/>
    <cellStyle name="Input 2 2 5 11 5" xfId="35062"/>
    <cellStyle name="Input 2 2 5 11 6" xfId="36500"/>
    <cellStyle name="Input 2 2 5 11 7" xfId="53713"/>
    <cellStyle name="Input 2 2 5 12" xfId="2228"/>
    <cellStyle name="Input 2 2 5 12 2" xfId="10051"/>
    <cellStyle name="Input 2 2 5 12 3" xfId="17479"/>
    <cellStyle name="Input 2 2 5 12 4" xfId="19906"/>
    <cellStyle name="Input 2 2 5 12 5" xfId="27137"/>
    <cellStyle name="Input 2 2 5 12 6" xfId="36832"/>
    <cellStyle name="Input 2 2 5 12 7" xfId="50062"/>
    <cellStyle name="Input 2 2 5 13" xfId="1043"/>
    <cellStyle name="Input 2 2 5 13 2" xfId="8867"/>
    <cellStyle name="Input 2 2 5 13 3" xfId="16295"/>
    <cellStyle name="Input 2 2 5 13 4" xfId="26317"/>
    <cellStyle name="Input 2 2 5 13 5" xfId="35040"/>
    <cellStyle name="Input 2 2 5 13 6" xfId="36789"/>
    <cellStyle name="Input 2 2 5 13 7" xfId="53681"/>
    <cellStyle name="Input 2 2 5 14" xfId="1038"/>
    <cellStyle name="Input 2 2 5 14 2" xfId="8862"/>
    <cellStyle name="Input 2 2 5 14 3" xfId="16290"/>
    <cellStyle name="Input 2 2 5 14 4" xfId="26605"/>
    <cellStyle name="Input 2 2 5 14 5" xfId="35432"/>
    <cellStyle name="Input 2 2 5 14 6" xfId="38134"/>
    <cellStyle name="Input 2 2 5 14 7" xfId="54296"/>
    <cellStyle name="Input 2 2 5 15" xfId="2526"/>
    <cellStyle name="Input 2 2 5 15 2" xfId="10349"/>
    <cellStyle name="Input 2 2 5 15 3" xfId="17777"/>
    <cellStyle name="Input 2 2 5 15 4" xfId="20511"/>
    <cellStyle name="Input 2 2 5 15 5" xfId="28030"/>
    <cellStyle name="Input 2 2 5 15 6" xfId="37048"/>
    <cellStyle name="Input 2 2 5 15 7" xfId="48328"/>
    <cellStyle name="Input 2 2 5 16" xfId="2639"/>
    <cellStyle name="Input 2 2 5 16 2" xfId="10462"/>
    <cellStyle name="Input 2 2 5 16 3" xfId="17890"/>
    <cellStyle name="Input 2 2 5 16 4" xfId="25668"/>
    <cellStyle name="Input 2 2 5 16 5" xfId="34200"/>
    <cellStyle name="Input 2 2 5 16 6" xfId="36504"/>
    <cellStyle name="Input 2 2 5 16 7" xfId="52238"/>
    <cellStyle name="Input 2 2 5 17" xfId="1430"/>
    <cellStyle name="Input 2 2 5 17 2" xfId="9253"/>
    <cellStyle name="Input 2 2 5 17 3" xfId="16681"/>
    <cellStyle name="Input 2 2 5 17 4" xfId="26083"/>
    <cellStyle name="Input 2 2 5 17 5" xfId="34730"/>
    <cellStyle name="Input 2 2 5 17 6" xfId="40884"/>
    <cellStyle name="Input 2 2 5 17 7" xfId="53171"/>
    <cellStyle name="Input 2 2 5 18" xfId="2723"/>
    <cellStyle name="Input 2 2 5 18 2" xfId="10546"/>
    <cellStyle name="Input 2 2 5 18 3" xfId="17974"/>
    <cellStyle name="Input 2 2 5 18 4" xfId="24900"/>
    <cellStyle name="Input 2 2 5 18 5" xfId="33216"/>
    <cellStyle name="Input 2 2 5 18 6" xfId="36396"/>
    <cellStyle name="Input 2 2 5 18 7" xfId="50560"/>
    <cellStyle name="Input 2 2 5 19" xfId="2832"/>
    <cellStyle name="Input 2 2 5 19 2" xfId="10655"/>
    <cellStyle name="Input 2 2 5 19 3" xfId="18083"/>
    <cellStyle name="Input 2 2 5 19 4" xfId="25732"/>
    <cellStyle name="Input 2 2 5 19 5" xfId="34280"/>
    <cellStyle name="Input 2 2 5 19 6" xfId="41141"/>
    <cellStyle name="Input 2 2 5 19 7" xfId="52392"/>
    <cellStyle name="Input 2 2 5 2" xfId="700"/>
    <cellStyle name="Input 2 2 5 2 2" xfId="8524"/>
    <cellStyle name="Input 2 2 5 2 3" xfId="15952"/>
    <cellStyle name="Input 2 2 5 2 4" xfId="26241"/>
    <cellStyle name="Input 2 2 5 2 5" xfId="34931"/>
    <cellStyle name="Input 2 2 5 2 6" xfId="37861"/>
    <cellStyle name="Input 2 2 5 2 7" xfId="53514"/>
    <cellStyle name="Input 2 2 5 20" xfId="2939"/>
    <cellStyle name="Input 2 2 5 20 2" xfId="10762"/>
    <cellStyle name="Input 2 2 5 20 3" xfId="18190"/>
    <cellStyle name="Input 2 2 5 20 4" xfId="25664"/>
    <cellStyle name="Input 2 2 5 20 5" xfId="34193"/>
    <cellStyle name="Input 2 2 5 20 6" xfId="40461"/>
    <cellStyle name="Input 2 2 5 20 7" xfId="52229"/>
    <cellStyle name="Input 2 2 5 21" xfId="3315"/>
    <cellStyle name="Input 2 2 5 21 2" xfId="11108"/>
    <cellStyle name="Input 2 2 5 21 3" xfId="18437"/>
    <cellStyle name="Input 2 2 5 21 4" xfId="24860"/>
    <cellStyle name="Input 2 2 5 21 5" xfId="33173"/>
    <cellStyle name="Input 2 2 5 21 6" xfId="38193"/>
    <cellStyle name="Input 2 2 5 21 7" xfId="50481"/>
    <cellStyle name="Input 2 2 5 22" xfId="3435"/>
    <cellStyle name="Input 2 2 5 22 2" xfId="11226"/>
    <cellStyle name="Input 2 2 5 22 3" xfId="18548"/>
    <cellStyle name="Input 2 2 5 22 4" xfId="26584"/>
    <cellStyle name="Input 2 2 5 22 5" xfId="35404"/>
    <cellStyle name="Input 2 2 5 22 6" xfId="36773"/>
    <cellStyle name="Input 2 2 5 22 7" xfId="54243"/>
    <cellStyle name="Input 2 2 5 23" xfId="3594"/>
    <cellStyle name="Input 2 2 5 23 2" xfId="11380"/>
    <cellStyle name="Input 2 2 5 23 3" xfId="18655"/>
    <cellStyle name="Input 2 2 5 23 4" xfId="25893"/>
    <cellStyle name="Input 2 2 5 23 5" xfId="34488"/>
    <cellStyle name="Input 2 2 5 23 6" xfId="40036"/>
    <cellStyle name="Input 2 2 5 23 7" xfId="52769"/>
    <cellStyle name="Input 2 2 5 24" xfId="3706"/>
    <cellStyle name="Input 2 2 5 24 2" xfId="11491"/>
    <cellStyle name="Input 2 2 5 24 3" xfId="18764"/>
    <cellStyle name="Input 2 2 5 24 4" xfId="24827"/>
    <cellStyle name="Input 2 2 5 24 5" xfId="27600"/>
    <cellStyle name="Input 2 2 5 24 6" xfId="38337"/>
    <cellStyle name="Input 2 2 5 24 7" xfId="48753"/>
    <cellStyle name="Input 2 2 5 25" xfId="3836"/>
    <cellStyle name="Input 2 2 5 25 2" xfId="11618"/>
    <cellStyle name="Input 2 2 5 25 3" xfId="18875"/>
    <cellStyle name="Input 2 2 5 25 4" xfId="24908"/>
    <cellStyle name="Input 2 2 5 25 5" xfId="33230"/>
    <cellStyle name="Input 2 2 5 25 6" xfId="38363"/>
    <cellStyle name="Input 2 2 5 25 7" xfId="50581"/>
    <cellStyle name="Input 2 2 5 26" xfId="3954"/>
    <cellStyle name="Input 2 2 5 26 2" xfId="11734"/>
    <cellStyle name="Input 2 2 5 26 3" xfId="18984"/>
    <cellStyle name="Input 2 2 5 26 4" xfId="26696"/>
    <cellStyle name="Input 2 2 5 26 5" xfId="35548"/>
    <cellStyle name="Input 2 2 5 26 6" xfId="41209"/>
    <cellStyle name="Input 2 2 5 26 7" xfId="54487"/>
    <cellStyle name="Input 2 2 5 27" xfId="3043"/>
    <cellStyle name="Input 2 2 5 27 2" xfId="10856"/>
    <cellStyle name="Input 2 2 5 27 3" xfId="20209"/>
    <cellStyle name="Input 2 2 5 27 4" xfId="28301"/>
    <cellStyle name="Input 2 2 5 27 5" xfId="37681"/>
    <cellStyle name="Input 2 2 5 27 6" xfId="42367"/>
    <cellStyle name="Input 2 2 5 27 7" xfId="47901"/>
    <cellStyle name="Input 2 2 5 28" xfId="4151"/>
    <cellStyle name="Input 2 2 5 28 2" xfId="11910"/>
    <cellStyle name="Input 2 2 5 28 3" xfId="20861"/>
    <cellStyle name="Input 2 2 5 28 4" xfId="29048"/>
    <cellStyle name="Input 2 2 5 28 5" xfId="38424"/>
    <cellStyle name="Input 2 2 5 28 6" xfId="42713"/>
    <cellStyle name="Input 2 2 5 28 7" xfId="48353"/>
    <cellStyle name="Input 2 2 5 29" xfId="4213"/>
    <cellStyle name="Input 2 2 5 29 2" xfId="20923"/>
    <cellStyle name="Input 2 2 5 29 3" xfId="29110"/>
    <cellStyle name="Input 2 2 5 29 4" xfId="38486"/>
    <cellStyle name="Input 2 2 5 29 5" xfId="42775"/>
    <cellStyle name="Input 2 2 5 29 6" xfId="50526"/>
    <cellStyle name="Input 2 2 5 3" xfId="808"/>
    <cellStyle name="Input 2 2 5 3 2" xfId="8632"/>
    <cellStyle name="Input 2 2 5 3 3" xfId="16060"/>
    <cellStyle name="Input 2 2 5 3 4" xfId="24810"/>
    <cellStyle name="Input 2 2 5 3 5" xfId="28832"/>
    <cellStyle name="Input 2 2 5 3 6" xfId="36774"/>
    <cellStyle name="Input 2 2 5 3 7" xfId="48672"/>
    <cellStyle name="Input 2 2 5 30" xfId="4348"/>
    <cellStyle name="Input 2 2 5 30 2" xfId="12065"/>
    <cellStyle name="Input 2 2 5 30 3" xfId="21058"/>
    <cellStyle name="Input 2 2 5 30 4" xfId="29245"/>
    <cellStyle name="Input 2 2 5 30 5" xfId="38615"/>
    <cellStyle name="Input 2 2 5 30 6" xfId="42910"/>
    <cellStyle name="Input 2 2 5 30 7" xfId="54112"/>
    <cellStyle name="Input 2 2 5 31" xfId="4471"/>
    <cellStyle name="Input 2 2 5 31 2" xfId="12188"/>
    <cellStyle name="Input 2 2 5 31 3" xfId="21181"/>
    <cellStyle name="Input 2 2 5 31 4" xfId="29368"/>
    <cellStyle name="Input 2 2 5 31 5" xfId="38733"/>
    <cellStyle name="Input 2 2 5 31 6" xfId="43033"/>
    <cellStyle name="Input 2 2 5 31 7" xfId="54443"/>
    <cellStyle name="Input 2 2 5 32" xfId="4585"/>
    <cellStyle name="Input 2 2 5 32 2" xfId="12302"/>
    <cellStyle name="Input 2 2 5 32 3" xfId="21295"/>
    <cellStyle name="Input 2 2 5 32 4" xfId="29482"/>
    <cellStyle name="Input 2 2 5 32 5" xfId="38842"/>
    <cellStyle name="Input 2 2 5 32 6" xfId="43147"/>
    <cellStyle name="Input 2 2 5 32 7" xfId="51167"/>
    <cellStyle name="Input 2 2 5 33" xfId="4698"/>
    <cellStyle name="Input 2 2 5 33 2" xfId="12415"/>
    <cellStyle name="Input 2 2 5 33 3" xfId="21408"/>
    <cellStyle name="Input 2 2 5 33 4" xfId="29595"/>
    <cellStyle name="Input 2 2 5 33 5" xfId="38951"/>
    <cellStyle name="Input 2 2 5 33 6" xfId="43260"/>
    <cellStyle name="Input 2 2 5 33 7" xfId="47792"/>
    <cellStyle name="Input 2 2 5 34" xfId="4809"/>
    <cellStyle name="Input 2 2 5 34 2" xfId="12526"/>
    <cellStyle name="Input 2 2 5 34 3" xfId="21519"/>
    <cellStyle name="Input 2 2 5 34 4" xfId="29706"/>
    <cellStyle name="Input 2 2 5 34 5" xfId="39059"/>
    <cellStyle name="Input 2 2 5 34 6" xfId="43371"/>
    <cellStyle name="Input 2 2 5 34 7" xfId="47545"/>
    <cellStyle name="Input 2 2 5 35" xfId="4918"/>
    <cellStyle name="Input 2 2 5 35 2" xfId="12635"/>
    <cellStyle name="Input 2 2 5 35 3" xfId="21628"/>
    <cellStyle name="Input 2 2 5 35 4" xfId="29815"/>
    <cellStyle name="Input 2 2 5 35 5" xfId="39163"/>
    <cellStyle name="Input 2 2 5 35 6" xfId="43480"/>
    <cellStyle name="Input 2 2 5 35 7" xfId="51588"/>
    <cellStyle name="Input 2 2 5 36" xfId="5029"/>
    <cellStyle name="Input 2 2 5 36 2" xfId="12746"/>
    <cellStyle name="Input 2 2 5 36 3" xfId="21739"/>
    <cellStyle name="Input 2 2 5 36 4" xfId="29926"/>
    <cellStyle name="Input 2 2 5 36 5" xfId="39271"/>
    <cellStyle name="Input 2 2 5 36 6" xfId="43591"/>
    <cellStyle name="Input 2 2 5 36 7" xfId="51053"/>
    <cellStyle name="Input 2 2 5 37" xfId="5408"/>
    <cellStyle name="Input 2 2 5 37 2" xfId="13125"/>
    <cellStyle name="Input 2 2 5 37 3" xfId="22118"/>
    <cellStyle name="Input 2 2 5 37 4" xfId="30305"/>
    <cellStyle name="Input 2 2 5 37 5" xfId="39635"/>
    <cellStyle name="Input 2 2 5 37 6" xfId="43970"/>
    <cellStyle name="Input 2 2 5 37 7" xfId="50561"/>
    <cellStyle name="Input 2 2 5 38" xfId="5528"/>
    <cellStyle name="Input 2 2 5 38 2" xfId="13245"/>
    <cellStyle name="Input 2 2 5 38 3" xfId="22238"/>
    <cellStyle name="Input 2 2 5 38 4" xfId="30425"/>
    <cellStyle name="Input 2 2 5 38 5" xfId="39749"/>
    <cellStyle name="Input 2 2 5 38 6" xfId="44090"/>
    <cellStyle name="Input 2 2 5 38 7" xfId="49338"/>
    <cellStyle name="Input 2 2 5 39" xfId="5652"/>
    <cellStyle name="Input 2 2 5 39 2" xfId="13369"/>
    <cellStyle name="Input 2 2 5 39 3" xfId="22362"/>
    <cellStyle name="Input 2 2 5 39 4" xfId="30549"/>
    <cellStyle name="Input 2 2 5 39 5" xfId="39869"/>
    <cellStyle name="Input 2 2 5 39 6" xfId="44214"/>
    <cellStyle name="Input 2 2 5 39 7" xfId="47114"/>
    <cellStyle name="Input 2 2 5 4" xfId="919"/>
    <cellStyle name="Input 2 2 5 4 2" xfId="8743"/>
    <cellStyle name="Input 2 2 5 4 3" xfId="16171"/>
    <cellStyle name="Input 2 2 5 4 4" xfId="25625"/>
    <cellStyle name="Input 2 2 5 4 5" xfId="34139"/>
    <cellStyle name="Input 2 2 5 4 6" xfId="37567"/>
    <cellStyle name="Input 2 2 5 4 7" xfId="52141"/>
    <cellStyle name="Input 2 2 5 40" xfId="5768"/>
    <cellStyle name="Input 2 2 5 40 2" xfId="13485"/>
    <cellStyle name="Input 2 2 5 40 3" xfId="22478"/>
    <cellStyle name="Input 2 2 5 40 4" xfId="30665"/>
    <cellStyle name="Input 2 2 5 40 5" xfId="39981"/>
    <cellStyle name="Input 2 2 5 40 6" xfId="44330"/>
    <cellStyle name="Input 2 2 5 40 7" xfId="50384"/>
    <cellStyle name="Input 2 2 5 41" xfId="5884"/>
    <cellStyle name="Input 2 2 5 41 2" xfId="13601"/>
    <cellStyle name="Input 2 2 5 41 3" xfId="22594"/>
    <cellStyle name="Input 2 2 5 41 4" xfId="30781"/>
    <cellStyle name="Input 2 2 5 41 5" xfId="40094"/>
    <cellStyle name="Input 2 2 5 41 6" xfId="44446"/>
    <cellStyle name="Input 2 2 5 41 7" xfId="50850"/>
    <cellStyle name="Input 2 2 5 42" xfId="6013"/>
    <cellStyle name="Input 2 2 5 42 2" xfId="13730"/>
    <cellStyle name="Input 2 2 5 42 3" xfId="22723"/>
    <cellStyle name="Input 2 2 5 42 4" xfId="30910"/>
    <cellStyle name="Input 2 2 5 42 5" xfId="40218"/>
    <cellStyle name="Input 2 2 5 42 6" xfId="44575"/>
    <cellStyle name="Input 2 2 5 42 7" xfId="53188"/>
    <cellStyle name="Input 2 2 5 43" xfId="6140"/>
    <cellStyle name="Input 2 2 5 43 2" xfId="13857"/>
    <cellStyle name="Input 2 2 5 43 3" xfId="22850"/>
    <cellStyle name="Input 2 2 5 43 4" xfId="31037"/>
    <cellStyle name="Input 2 2 5 43 5" xfId="40338"/>
    <cellStyle name="Input 2 2 5 43 6" xfId="44702"/>
    <cellStyle name="Input 2 2 5 43 7" xfId="54414"/>
    <cellStyle name="Input 2 2 5 44" xfId="6269"/>
    <cellStyle name="Input 2 2 5 44 2" xfId="13986"/>
    <cellStyle name="Input 2 2 5 44 3" xfId="22979"/>
    <cellStyle name="Input 2 2 5 44 4" xfId="31166"/>
    <cellStyle name="Input 2 2 5 44 5" xfId="40466"/>
    <cellStyle name="Input 2 2 5 44 6" xfId="44831"/>
    <cellStyle name="Input 2 2 5 44 7" xfId="47880"/>
    <cellStyle name="Input 2 2 5 45" xfId="6385"/>
    <cellStyle name="Input 2 2 5 45 2" xfId="14102"/>
    <cellStyle name="Input 2 2 5 45 3" xfId="23095"/>
    <cellStyle name="Input 2 2 5 45 4" xfId="31282"/>
    <cellStyle name="Input 2 2 5 45 5" xfId="40579"/>
    <cellStyle name="Input 2 2 5 45 6" xfId="44947"/>
    <cellStyle name="Input 2 2 5 45 7" xfId="51343"/>
    <cellStyle name="Input 2 2 5 46" xfId="6496"/>
    <cellStyle name="Input 2 2 5 46 2" xfId="14213"/>
    <cellStyle name="Input 2 2 5 46 3" xfId="23206"/>
    <cellStyle name="Input 2 2 5 46 4" xfId="31393"/>
    <cellStyle name="Input 2 2 5 46 5" xfId="40686"/>
    <cellStyle name="Input 2 2 5 46 6" xfId="45058"/>
    <cellStyle name="Input 2 2 5 46 7" xfId="47915"/>
    <cellStyle name="Input 2 2 5 47" xfId="5308"/>
    <cellStyle name="Input 2 2 5 47 2" xfId="13025"/>
    <cellStyle name="Input 2 2 5 47 3" xfId="22018"/>
    <cellStyle name="Input 2 2 5 47 4" xfId="30205"/>
    <cellStyle name="Input 2 2 5 47 5" xfId="39539"/>
    <cellStyle name="Input 2 2 5 47 6" xfId="43870"/>
    <cellStyle name="Input 2 2 5 47 7" xfId="53206"/>
    <cellStyle name="Input 2 2 5 48" xfId="6642"/>
    <cellStyle name="Input 2 2 5 48 2" xfId="14359"/>
    <cellStyle name="Input 2 2 5 48 3" xfId="23352"/>
    <cellStyle name="Input 2 2 5 48 4" xfId="31539"/>
    <cellStyle name="Input 2 2 5 48 5" xfId="40825"/>
    <cellStyle name="Input 2 2 5 48 6" xfId="45204"/>
    <cellStyle name="Input 2 2 5 48 7" xfId="53983"/>
    <cellStyle name="Input 2 2 5 49" xfId="6754"/>
    <cellStyle name="Input 2 2 5 49 2" xfId="14471"/>
    <cellStyle name="Input 2 2 5 49 3" xfId="23464"/>
    <cellStyle name="Input 2 2 5 49 4" xfId="31651"/>
    <cellStyle name="Input 2 2 5 49 5" xfId="40931"/>
    <cellStyle name="Input 2 2 5 49 6" xfId="45316"/>
    <cellStyle name="Input 2 2 5 49 7" xfId="49316"/>
    <cellStyle name="Input 2 2 5 5" xfId="1385"/>
    <cellStyle name="Input 2 2 5 5 2" xfId="9208"/>
    <cellStyle name="Input 2 2 5 5 3" xfId="16636"/>
    <cellStyle name="Input 2 2 5 5 4" xfId="25300"/>
    <cellStyle name="Input 2 2 5 5 5" xfId="33716"/>
    <cellStyle name="Input 2 2 5 5 6" xfId="38162"/>
    <cellStyle name="Input 2 2 5 5 7" xfId="51428"/>
    <cellStyle name="Input 2 2 5 50" xfId="6869"/>
    <cellStyle name="Input 2 2 5 50 2" xfId="14586"/>
    <cellStyle name="Input 2 2 5 50 3" xfId="23579"/>
    <cellStyle name="Input 2 2 5 50 4" xfId="31766"/>
    <cellStyle name="Input 2 2 5 50 5" xfId="41039"/>
    <cellStyle name="Input 2 2 5 50 6" xfId="45431"/>
    <cellStyle name="Input 2 2 5 50 7" xfId="46784"/>
    <cellStyle name="Input 2 2 5 51" xfId="6982"/>
    <cellStyle name="Input 2 2 5 51 2" xfId="14699"/>
    <cellStyle name="Input 2 2 5 51 3" xfId="23692"/>
    <cellStyle name="Input 2 2 5 51 4" xfId="31879"/>
    <cellStyle name="Input 2 2 5 51 5" xfId="41147"/>
    <cellStyle name="Input 2 2 5 51 6" xfId="45544"/>
    <cellStyle name="Input 2 2 5 51 7" xfId="46940"/>
    <cellStyle name="Input 2 2 5 52" xfId="7093"/>
    <cellStyle name="Input 2 2 5 52 2" xfId="14810"/>
    <cellStyle name="Input 2 2 5 52 3" xfId="23803"/>
    <cellStyle name="Input 2 2 5 52 4" xfId="31990"/>
    <cellStyle name="Input 2 2 5 52 5" xfId="41252"/>
    <cellStyle name="Input 2 2 5 52 6" xfId="45655"/>
    <cellStyle name="Input 2 2 5 52 7" xfId="49545"/>
    <cellStyle name="Input 2 2 5 53" xfId="7186"/>
    <cellStyle name="Input 2 2 5 53 2" xfId="14903"/>
    <cellStyle name="Input 2 2 5 53 3" xfId="23896"/>
    <cellStyle name="Input 2 2 5 53 4" xfId="32083"/>
    <cellStyle name="Input 2 2 5 53 5" xfId="41344"/>
    <cellStyle name="Input 2 2 5 53 6" xfId="45748"/>
    <cellStyle name="Input 2 2 5 53 7" xfId="52846"/>
    <cellStyle name="Input 2 2 5 54" xfId="7249"/>
    <cellStyle name="Input 2 2 5 54 2" xfId="14966"/>
    <cellStyle name="Input 2 2 5 54 3" xfId="23959"/>
    <cellStyle name="Input 2 2 5 54 4" xfId="32146"/>
    <cellStyle name="Input 2 2 5 54 5" xfId="41402"/>
    <cellStyle name="Input 2 2 5 54 6" xfId="45811"/>
    <cellStyle name="Input 2 2 5 54 7" xfId="48008"/>
    <cellStyle name="Input 2 2 5 55" xfId="7490"/>
    <cellStyle name="Input 2 2 5 55 2" xfId="15207"/>
    <cellStyle name="Input 2 2 5 55 3" xfId="24200"/>
    <cellStyle name="Input 2 2 5 55 4" xfId="32387"/>
    <cellStyle name="Input 2 2 5 55 5" xfId="41635"/>
    <cellStyle name="Input 2 2 5 55 6" xfId="46052"/>
    <cellStyle name="Input 2 2 5 55 7" xfId="51230"/>
    <cellStyle name="Input 2 2 5 56" xfId="7611"/>
    <cellStyle name="Input 2 2 5 56 2" xfId="15328"/>
    <cellStyle name="Input 2 2 5 56 3" xfId="24321"/>
    <cellStyle name="Input 2 2 5 56 4" xfId="32508"/>
    <cellStyle name="Input 2 2 5 56 5" xfId="41750"/>
    <cellStyle name="Input 2 2 5 56 6" xfId="46173"/>
    <cellStyle name="Input 2 2 5 56 7" xfId="47348"/>
    <cellStyle name="Input 2 2 5 57" xfId="7887"/>
    <cellStyle name="Input 2 2 5 57 2" xfId="15604"/>
    <cellStyle name="Input 2 2 5 57 3" xfId="24591"/>
    <cellStyle name="Input 2 2 5 57 4" xfId="32784"/>
    <cellStyle name="Input 2 2 5 57 5" xfId="42015"/>
    <cellStyle name="Input 2 2 5 57 6" xfId="46449"/>
    <cellStyle name="Input 2 2 5 57 7" xfId="54479"/>
    <cellStyle name="Input 2 2 5 58" xfId="8015"/>
    <cellStyle name="Input 2 2 5 58 2" xfId="15732"/>
    <cellStyle name="Input 2 2 5 58 3" xfId="24717"/>
    <cellStyle name="Input 2 2 5 58 4" xfId="32912"/>
    <cellStyle name="Input 2 2 5 58 5" xfId="42138"/>
    <cellStyle name="Input 2 2 5 58 6" xfId="46577"/>
    <cellStyle name="Input 2 2 5 58 7" xfId="50749"/>
    <cellStyle name="Input 2 2 5 59" xfId="7685"/>
    <cellStyle name="Input 2 2 5 59 2" xfId="15402"/>
    <cellStyle name="Input 2 2 5 59 3" xfId="24393"/>
    <cellStyle name="Input 2 2 5 59 4" xfId="32582"/>
    <cellStyle name="Input 2 2 5 59 5" xfId="41820"/>
    <cellStyle name="Input 2 2 5 59 6" xfId="46247"/>
    <cellStyle name="Input 2 2 5 59 7" xfId="53489"/>
    <cellStyle name="Input 2 2 5 6" xfId="1508"/>
    <cellStyle name="Input 2 2 5 6 2" xfId="9331"/>
    <cellStyle name="Input 2 2 5 6 3" xfId="16759"/>
    <cellStyle name="Input 2 2 5 6 4" xfId="25283"/>
    <cellStyle name="Input 2 2 5 6 5" xfId="33695"/>
    <cellStyle name="Input 2 2 5 6 6" xfId="40581"/>
    <cellStyle name="Input 2 2 5 6 7" xfId="51395"/>
    <cellStyle name="Input 2 2 5 60" xfId="8163"/>
    <cellStyle name="Input 2 2 5 60 2" xfId="15880"/>
    <cellStyle name="Input 2 2 5 60 3" xfId="33060"/>
    <cellStyle name="Input 2 2 5 60 4" xfId="42279"/>
    <cellStyle name="Input 2 2 5 60 5" xfId="46725"/>
    <cellStyle name="Input 2 2 5 60 6" xfId="47837"/>
    <cellStyle name="Input 2 2 5 61" xfId="26655"/>
    <cellStyle name="Input 2 2 5 62" xfId="35499"/>
    <cellStyle name="Input 2 2 5 63" xfId="36304"/>
    <cellStyle name="Input 2 2 5 64" xfId="54403"/>
    <cellStyle name="Input 2 2 5 7" xfId="1222"/>
    <cellStyle name="Input 2 2 5 7 2" xfId="9045"/>
    <cellStyle name="Input 2 2 5 7 3" xfId="16473"/>
    <cellStyle name="Input 2 2 5 7 4" xfId="24835"/>
    <cellStyle name="Input 2 2 5 7 5" xfId="27394"/>
    <cellStyle name="Input 2 2 5 7 6" xfId="38962"/>
    <cellStyle name="Input 2 2 5 7 7" xfId="49379"/>
    <cellStyle name="Input 2 2 5 8" xfId="1745"/>
    <cellStyle name="Input 2 2 5 8 2" xfId="9568"/>
    <cellStyle name="Input 2 2 5 8 3" xfId="16996"/>
    <cellStyle name="Input 2 2 5 8 4" xfId="20280"/>
    <cellStyle name="Input 2 2 5 8 5" xfId="26852"/>
    <cellStyle name="Input 2 2 5 8 6" xfId="40304"/>
    <cellStyle name="Input 2 2 5 8 7" xfId="49455"/>
    <cellStyle name="Input 2 2 5 9" xfId="1879"/>
    <cellStyle name="Input 2 2 5 9 2" xfId="9702"/>
    <cellStyle name="Input 2 2 5 9 3" xfId="17130"/>
    <cellStyle name="Input 2 2 5 9 4" xfId="19731"/>
    <cellStyle name="Input 2 2 5 9 5" xfId="27308"/>
    <cellStyle name="Input 2 2 5 9 6" xfId="39235"/>
    <cellStyle name="Input 2 2 5 9 7" xfId="50268"/>
    <cellStyle name="Input 2 2 50" xfId="5928"/>
    <cellStyle name="Input 2 2 50 2" xfId="13645"/>
    <cellStyle name="Input 2 2 50 3" xfId="22638"/>
    <cellStyle name="Input 2 2 50 4" xfId="30825"/>
    <cellStyle name="Input 2 2 50 5" xfId="40137"/>
    <cellStyle name="Input 2 2 50 6" xfId="44490"/>
    <cellStyle name="Input 2 2 50 7" xfId="48449"/>
    <cellStyle name="Input 2 2 51" xfId="6191"/>
    <cellStyle name="Input 2 2 51 2" xfId="13908"/>
    <cellStyle name="Input 2 2 51 3" xfId="22901"/>
    <cellStyle name="Input 2 2 51 4" xfId="31088"/>
    <cellStyle name="Input 2 2 51 5" xfId="40389"/>
    <cellStyle name="Input 2 2 51 6" xfId="44753"/>
    <cellStyle name="Input 2 2 51 7" xfId="48264"/>
    <cellStyle name="Input 2 2 52" xfId="5228"/>
    <cellStyle name="Input 2 2 52 2" xfId="12945"/>
    <cellStyle name="Input 2 2 52 3" xfId="21938"/>
    <cellStyle name="Input 2 2 52 4" xfId="30125"/>
    <cellStyle name="Input 2 2 52 5" xfId="39460"/>
    <cellStyle name="Input 2 2 52 6" xfId="43790"/>
    <cellStyle name="Input 2 2 52 7" xfId="54160"/>
    <cellStyle name="Input 2 2 53" xfId="5302"/>
    <cellStyle name="Input 2 2 53 2" xfId="13019"/>
    <cellStyle name="Input 2 2 53 3" xfId="22012"/>
    <cellStyle name="Input 2 2 53 4" xfId="30199"/>
    <cellStyle name="Input 2 2 53 5" xfId="39533"/>
    <cellStyle name="Input 2 2 53 6" xfId="43864"/>
    <cellStyle name="Input 2 2 53 7" xfId="53899"/>
    <cellStyle name="Input 2 2 54" xfId="5323"/>
    <cellStyle name="Input 2 2 54 2" xfId="13040"/>
    <cellStyle name="Input 2 2 54 3" xfId="22033"/>
    <cellStyle name="Input 2 2 54 4" xfId="30220"/>
    <cellStyle name="Input 2 2 54 5" xfId="39554"/>
    <cellStyle name="Input 2 2 54 6" xfId="43885"/>
    <cellStyle name="Input 2 2 54 7" xfId="51943"/>
    <cellStyle name="Input 2 2 55" xfId="6543"/>
    <cellStyle name="Input 2 2 55 2" xfId="14260"/>
    <cellStyle name="Input 2 2 55 3" xfId="23253"/>
    <cellStyle name="Input 2 2 55 4" xfId="31440"/>
    <cellStyle name="Input 2 2 55 5" xfId="40730"/>
    <cellStyle name="Input 2 2 55 6" xfId="45105"/>
    <cellStyle name="Input 2 2 55 7" xfId="49385"/>
    <cellStyle name="Input 2 2 56" xfId="5356"/>
    <cellStyle name="Input 2 2 56 2" xfId="13073"/>
    <cellStyle name="Input 2 2 56 3" xfId="22066"/>
    <cellStyle name="Input 2 2 56 4" xfId="30253"/>
    <cellStyle name="Input 2 2 56 5" xfId="39585"/>
    <cellStyle name="Input 2 2 56 6" xfId="43918"/>
    <cellStyle name="Input 2 2 56 7" xfId="49806"/>
    <cellStyle name="Input 2 2 57" xfId="5695"/>
    <cellStyle name="Input 2 2 57 2" xfId="13412"/>
    <cellStyle name="Input 2 2 57 3" xfId="22405"/>
    <cellStyle name="Input 2 2 57 4" xfId="30592"/>
    <cellStyle name="Input 2 2 57 5" xfId="39910"/>
    <cellStyle name="Input 2 2 57 6" xfId="44257"/>
    <cellStyle name="Input 2 2 57 7" xfId="47084"/>
    <cellStyle name="Input 2 2 58" xfId="7132"/>
    <cellStyle name="Input 2 2 58 2" xfId="14849"/>
    <cellStyle name="Input 2 2 58 3" xfId="23842"/>
    <cellStyle name="Input 2 2 58 4" xfId="32029"/>
    <cellStyle name="Input 2 2 58 5" xfId="41291"/>
    <cellStyle name="Input 2 2 58 6" xfId="45694"/>
    <cellStyle name="Input 2 2 58 7" xfId="47661"/>
    <cellStyle name="Input 2 2 59" xfId="7256"/>
    <cellStyle name="Input 2 2 59 2" xfId="14973"/>
    <cellStyle name="Input 2 2 59 3" xfId="23966"/>
    <cellStyle name="Input 2 2 59 4" xfId="32153"/>
    <cellStyle name="Input 2 2 59 5" xfId="41409"/>
    <cellStyle name="Input 2 2 59 6" xfId="45818"/>
    <cellStyle name="Input 2 2 59 7" xfId="53876"/>
    <cellStyle name="Input 2 2 6" xfId="466"/>
    <cellStyle name="Input 2 2 6 10" xfId="1082"/>
    <cellStyle name="Input 2 2 6 10 2" xfId="8906"/>
    <cellStyle name="Input 2 2 6 10 3" xfId="16334"/>
    <cellStyle name="Input 2 2 6 10 4" xfId="19861"/>
    <cellStyle name="Input 2 2 6 10 5" xfId="27748"/>
    <cellStyle name="Input 2 2 6 10 6" xfId="38246"/>
    <cellStyle name="Input 2 2 6 10 7" xfId="49342"/>
    <cellStyle name="Input 2 2 6 11" xfId="1108"/>
    <cellStyle name="Input 2 2 6 11 2" xfId="8932"/>
    <cellStyle name="Input 2 2 6 11 3" xfId="16360"/>
    <cellStyle name="Input 2 2 6 11 4" xfId="26597"/>
    <cellStyle name="Input 2 2 6 11 5" xfId="35423"/>
    <cellStyle name="Input 2 2 6 11 6" xfId="36619"/>
    <cellStyle name="Input 2 2 6 11 7" xfId="54272"/>
    <cellStyle name="Input 2 2 6 12" xfId="1805"/>
    <cellStyle name="Input 2 2 6 12 2" xfId="9628"/>
    <cellStyle name="Input 2 2 6 12 3" xfId="17056"/>
    <cellStyle name="Input 2 2 6 12 4" xfId="24940"/>
    <cellStyle name="Input 2 2 6 12 5" xfId="33275"/>
    <cellStyle name="Input 2 2 6 12 6" xfId="40593"/>
    <cellStyle name="Input 2 2 6 12 7" xfId="50658"/>
    <cellStyle name="Input 2 2 6 13" xfId="1236"/>
    <cellStyle name="Input 2 2 6 13 2" xfId="9059"/>
    <cellStyle name="Input 2 2 6 13 3" xfId="16487"/>
    <cellStyle name="Input 2 2 6 13 4" xfId="24834"/>
    <cellStyle name="Input 2 2 6 13 5" xfId="26842"/>
    <cellStyle name="Input 2 2 6 13 6" xfId="37886"/>
    <cellStyle name="Input 2 2 6 13 7" xfId="47735"/>
    <cellStyle name="Input 2 2 6 14" xfId="1302"/>
    <cellStyle name="Input 2 2 6 14 2" xfId="9125"/>
    <cellStyle name="Input 2 2 6 14 3" xfId="16553"/>
    <cellStyle name="Input 2 2 6 14 4" xfId="26462"/>
    <cellStyle name="Input 2 2 6 14 5" xfId="35241"/>
    <cellStyle name="Input 2 2 6 14 6" xfId="37908"/>
    <cellStyle name="Input 2 2 6 14 7" xfId="53989"/>
    <cellStyle name="Input 2 2 6 15" xfId="2446"/>
    <cellStyle name="Input 2 2 6 15 2" xfId="10269"/>
    <cellStyle name="Input 2 2 6 15 3" xfId="17697"/>
    <cellStyle name="Input 2 2 6 15 4" xfId="19183"/>
    <cellStyle name="Input 2 2 6 15 5" xfId="26916"/>
    <cellStyle name="Input 2 2 6 15 6" xfId="42068"/>
    <cellStyle name="Input 2 2 6 15 7" xfId="49168"/>
    <cellStyle name="Input 2 2 6 16" xfId="2408"/>
    <cellStyle name="Input 2 2 6 16 2" xfId="10231"/>
    <cellStyle name="Input 2 2 6 16 3" xfId="17659"/>
    <cellStyle name="Input 2 2 6 16 4" xfId="19917"/>
    <cellStyle name="Input 2 2 6 16 5" xfId="28484"/>
    <cellStyle name="Input 2 2 6 16 6" xfId="38815"/>
    <cellStyle name="Input 2 2 6 16 7" xfId="48088"/>
    <cellStyle name="Input 2 2 6 17" xfId="1797"/>
    <cellStyle name="Input 2 2 6 17 2" xfId="9620"/>
    <cellStyle name="Input 2 2 6 17 3" xfId="17048"/>
    <cellStyle name="Input 2 2 6 17 4" xfId="25278"/>
    <cellStyle name="Input 2 2 6 17 5" xfId="33690"/>
    <cellStyle name="Input 2 2 6 17 6" xfId="41267"/>
    <cellStyle name="Input 2 2 6 17 7" xfId="51386"/>
    <cellStyle name="Input 2 2 6 18" xfId="1017"/>
    <cellStyle name="Input 2 2 6 18 2" xfId="8841"/>
    <cellStyle name="Input 2 2 6 18 3" xfId="16269"/>
    <cellStyle name="Input 2 2 6 18 4" xfId="19601"/>
    <cellStyle name="Input 2 2 6 18 5" xfId="27089"/>
    <cellStyle name="Input 2 2 6 18 6" xfId="36276"/>
    <cellStyle name="Input 2 2 6 18 7" xfId="48283"/>
    <cellStyle name="Input 2 2 6 19" xfId="2763"/>
    <cellStyle name="Input 2 2 6 19 2" xfId="10586"/>
    <cellStyle name="Input 2 2 6 19 3" xfId="18014"/>
    <cellStyle name="Input 2 2 6 19 4" xfId="26272"/>
    <cellStyle name="Input 2 2 6 19 5" xfId="34972"/>
    <cellStyle name="Input 2 2 6 19 6" xfId="36788"/>
    <cellStyle name="Input 2 2 6 19 7" xfId="53581"/>
    <cellStyle name="Input 2 2 6 2" xfId="630"/>
    <cellStyle name="Input 2 2 6 2 2" xfId="8454"/>
    <cellStyle name="Input 2 2 6 2 3" xfId="8306"/>
    <cellStyle name="Input 2 2 6 2 4" xfId="19686"/>
    <cellStyle name="Input 2 2 6 2 5" xfId="28800"/>
    <cellStyle name="Input 2 2 6 2 6" xfId="37167"/>
    <cellStyle name="Input 2 2 6 2 7" xfId="48510"/>
    <cellStyle name="Input 2 2 6 20" xfId="2749"/>
    <cellStyle name="Input 2 2 6 20 2" xfId="10572"/>
    <cellStyle name="Input 2 2 6 20 3" xfId="18000"/>
    <cellStyle name="Input 2 2 6 20 4" xfId="25468"/>
    <cellStyle name="Input 2 2 6 20 5" xfId="33933"/>
    <cellStyle name="Input 2 2 6 20 6" xfId="41855"/>
    <cellStyle name="Input 2 2 6 20 7" xfId="51797"/>
    <cellStyle name="Input 2 2 6 21" xfId="3237"/>
    <cellStyle name="Input 2 2 6 21 2" xfId="11030"/>
    <cellStyle name="Input 2 2 6 21 3" xfId="18362"/>
    <cellStyle name="Input 2 2 6 21 4" xfId="25623"/>
    <cellStyle name="Input 2 2 6 21 5" xfId="34137"/>
    <cellStyle name="Input 2 2 6 21 6" xfId="37714"/>
    <cellStyle name="Input 2 2 6 21 7" xfId="52134"/>
    <cellStyle name="Input 2 2 6 22" xfId="3032"/>
    <cellStyle name="Input 2 2 6 22 2" xfId="10847"/>
    <cellStyle name="Input 2 2 6 22 3" xfId="18258"/>
    <cellStyle name="Input 2 2 6 22 4" xfId="19993"/>
    <cellStyle name="Input 2 2 6 22 5" xfId="28715"/>
    <cellStyle name="Input 2 2 6 22 6" xfId="37569"/>
    <cellStyle name="Input 2 2 6 22 7" xfId="50111"/>
    <cellStyle name="Input 2 2 6 23" xfId="3472"/>
    <cellStyle name="Input 2 2 6 23 2" xfId="11263"/>
    <cellStyle name="Input 2 2 6 23 3" xfId="18582"/>
    <cellStyle name="Input 2 2 6 23 4" xfId="19617"/>
    <cellStyle name="Input 2 2 6 23 5" xfId="27827"/>
    <cellStyle name="Input 2 2 6 23 6" xfId="37447"/>
    <cellStyle name="Input 2 2 6 23 7" xfId="50308"/>
    <cellStyle name="Input 2 2 6 24" xfId="3181"/>
    <cellStyle name="Input 2 2 6 24 2" xfId="10982"/>
    <cellStyle name="Input 2 2 6 24 3" xfId="18343"/>
    <cellStyle name="Input 2 2 6 24 4" xfId="25199"/>
    <cellStyle name="Input 2 2 6 24 5" xfId="33588"/>
    <cellStyle name="Input 2 2 6 24 6" xfId="37365"/>
    <cellStyle name="Input 2 2 6 24 7" xfId="51217"/>
    <cellStyle name="Input 2 2 6 25" xfId="3754"/>
    <cellStyle name="Input 2 2 6 25 2" xfId="11539"/>
    <cellStyle name="Input 2 2 6 25 3" xfId="18806"/>
    <cellStyle name="Input 2 2 6 25 4" xfId="25931"/>
    <cellStyle name="Input 2 2 6 25 5" xfId="34535"/>
    <cellStyle name="Input 2 2 6 25 6" xfId="39221"/>
    <cellStyle name="Input 2 2 6 25 7" xfId="52853"/>
    <cellStyle name="Input 2 2 6 26" xfId="3499"/>
    <cellStyle name="Input 2 2 6 26 2" xfId="11290"/>
    <cellStyle name="Input 2 2 6 26 3" xfId="18593"/>
    <cellStyle name="Input 2 2 6 26 4" xfId="25003"/>
    <cellStyle name="Input 2 2 6 26 5" xfId="33354"/>
    <cellStyle name="Input 2 2 6 26 6" xfId="37641"/>
    <cellStyle name="Input 2 2 6 26 7" xfId="50805"/>
    <cellStyle name="Input 2 2 6 27" xfId="3599"/>
    <cellStyle name="Input 2 2 6 27 2" xfId="11385"/>
    <cellStyle name="Input 2 2 6 27 3" xfId="20547"/>
    <cellStyle name="Input 2 2 6 27 4" xfId="28671"/>
    <cellStyle name="Input 2 2 6 27 5" xfId="38058"/>
    <cellStyle name="Input 2 2 6 27 6" xfId="42522"/>
    <cellStyle name="Input 2 2 6 27 7" xfId="52296"/>
    <cellStyle name="Input 2 2 6 28" xfId="4076"/>
    <cellStyle name="Input 2 2 6 28 2" xfId="11838"/>
    <cellStyle name="Input 2 2 6 28 3" xfId="20786"/>
    <cellStyle name="Input 2 2 6 28 4" xfId="28973"/>
    <cellStyle name="Input 2 2 6 28 5" xfId="38352"/>
    <cellStyle name="Input 2 2 6 28 6" xfId="42638"/>
    <cellStyle name="Input 2 2 6 28 7" xfId="49484"/>
    <cellStyle name="Input 2 2 6 29" xfId="4028"/>
    <cellStyle name="Input 2 2 6 29 2" xfId="20738"/>
    <cellStyle name="Input 2 2 6 29 3" xfId="28925"/>
    <cellStyle name="Input 2 2 6 29 4" xfId="38305"/>
    <cellStyle name="Input 2 2 6 29 5" xfId="42590"/>
    <cellStyle name="Input 2 2 6 29 6" xfId="54066"/>
    <cellStyle name="Input 2 2 6 3" xfId="213"/>
    <cellStyle name="Input 2 2 6 3 2" xfId="8318"/>
    <cellStyle name="Input 2 2 6 3 3" xfId="11835"/>
    <cellStyle name="Input 2 2 6 3 4" xfId="25597"/>
    <cellStyle name="Input 2 2 6 3 5" xfId="34107"/>
    <cellStyle name="Input 2 2 6 3 6" xfId="37083"/>
    <cellStyle name="Input 2 2 6 3 7" xfId="52086"/>
    <cellStyle name="Input 2 2 6 30" xfId="4274"/>
    <cellStyle name="Input 2 2 6 30 2" xfId="11991"/>
    <cellStyle name="Input 2 2 6 30 3" xfId="20984"/>
    <cellStyle name="Input 2 2 6 30 4" xfId="29171"/>
    <cellStyle name="Input 2 2 6 30 5" xfId="38544"/>
    <cellStyle name="Input 2 2 6 30 6" xfId="42836"/>
    <cellStyle name="Input 2 2 6 30 7" xfId="51884"/>
    <cellStyle name="Input 2 2 6 31" xfId="4397"/>
    <cellStyle name="Input 2 2 6 31 2" xfId="12114"/>
    <cellStyle name="Input 2 2 6 31 3" xfId="21107"/>
    <cellStyle name="Input 2 2 6 31 4" xfId="29294"/>
    <cellStyle name="Input 2 2 6 31 5" xfId="38664"/>
    <cellStyle name="Input 2 2 6 31 6" xfId="42959"/>
    <cellStyle name="Input 2 2 6 31 7" xfId="49261"/>
    <cellStyle name="Input 2 2 6 32" xfId="4513"/>
    <cellStyle name="Input 2 2 6 32 2" xfId="12230"/>
    <cellStyle name="Input 2 2 6 32 3" xfId="21223"/>
    <cellStyle name="Input 2 2 6 32 4" xfId="29410"/>
    <cellStyle name="Input 2 2 6 32 5" xfId="38774"/>
    <cellStyle name="Input 2 2 6 32 6" xfId="43075"/>
    <cellStyle name="Input 2 2 6 32 7" xfId="50246"/>
    <cellStyle name="Input 2 2 6 33" xfId="4627"/>
    <cellStyle name="Input 2 2 6 33 2" xfId="12344"/>
    <cellStyle name="Input 2 2 6 33 3" xfId="21337"/>
    <cellStyle name="Input 2 2 6 33 4" xfId="29524"/>
    <cellStyle name="Input 2 2 6 33 5" xfId="38883"/>
    <cellStyle name="Input 2 2 6 33 6" xfId="43189"/>
    <cellStyle name="Input 2 2 6 33 7" xfId="54381"/>
    <cellStyle name="Input 2 2 6 34" xfId="4740"/>
    <cellStyle name="Input 2 2 6 34 2" xfId="12457"/>
    <cellStyle name="Input 2 2 6 34 3" xfId="21450"/>
    <cellStyle name="Input 2 2 6 34 4" xfId="29637"/>
    <cellStyle name="Input 2 2 6 34 5" xfId="38992"/>
    <cellStyle name="Input 2 2 6 34 6" xfId="43302"/>
    <cellStyle name="Input 2 2 6 34 7" xfId="50410"/>
    <cellStyle name="Input 2 2 6 35" xfId="3085"/>
    <cellStyle name="Input 2 2 6 35 2" xfId="10892"/>
    <cellStyle name="Input 2 2 6 35 3" xfId="20246"/>
    <cellStyle name="Input 2 2 6 35 4" xfId="28336"/>
    <cellStyle name="Input 2 2 6 35 5" xfId="37716"/>
    <cellStyle name="Input 2 2 6 35 6" xfId="42393"/>
    <cellStyle name="Input 2 2 6 35 7" xfId="52217"/>
    <cellStyle name="Input 2 2 6 36" xfId="4960"/>
    <cellStyle name="Input 2 2 6 36 2" xfId="12677"/>
    <cellStyle name="Input 2 2 6 36 3" xfId="21670"/>
    <cellStyle name="Input 2 2 6 36 4" xfId="29857"/>
    <cellStyle name="Input 2 2 6 36 5" xfId="39204"/>
    <cellStyle name="Input 2 2 6 36 6" xfId="43522"/>
    <cellStyle name="Input 2 2 6 36 7" xfId="52025"/>
    <cellStyle name="Input 2 2 6 37" xfId="5372"/>
    <cellStyle name="Input 2 2 6 37 2" xfId="13089"/>
    <cellStyle name="Input 2 2 6 37 3" xfId="22082"/>
    <cellStyle name="Input 2 2 6 37 4" xfId="30269"/>
    <cellStyle name="Input 2 2 6 37 5" xfId="39600"/>
    <cellStyle name="Input 2 2 6 37 6" xfId="43934"/>
    <cellStyle name="Input 2 2 6 37 7" xfId="54100"/>
    <cellStyle name="Input 2 2 6 38" xfId="5452"/>
    <cellStyle name="Input 2 2 6 38 2" xfId="13169"/>
    <cellStyle name="Input 2 2 6 38 3" xfId="22162"/>
    <cellStyle name="Input 2 2 6 38 4" xfId="30349"/>
    <cellStyle name="Input 2 2 6 38 5" xfId="39678"/>
    <cellStyle name="Input 2 2 6 38 6" xfId="44014"/>
    <cellStyle name="Input 2 2 6 38 7" xfId="53460"/>
    <cellStyle name="Input 2 2 6 39" xfId="5574"/>
    <cellStyle name="Input 2 2 6 39 2" xfId="13291"/>
    <cellStyle name="Input 2 2 6 39 3" xfId="22284"/>
    <cellStyle name="Input 2 2 6 39 4" xfId="30471"/>
    <cellStyle name="Input 2 2 6 39 5" xfId="39794"/>
    <cellStyle name="Input 2 2 6 39 6" xfId="44136"/>
    <cellStyle name="Input 2 2 6 39 7" xfId="47159"/>
    <cellStyle name="Input 2 2 6 4" xfId="850"/>
    <cellStyle name="Input 2 2 6 4 2" xfId="8674"/>
    <cellStyle name="Input 2 2 6 4 3" xfId="16102"/>
    <cellStyle name="Input 2 2 6 4 4" xfId="20157"/>
    <cellStyle name="Input 2 2 6 4 5" xfId="28840"/>
    <cellStyle name="Input 2 2 6 4 6" xfId="36278"/>
    <cellStyle name="Input 2 2 6 4 7" xfId="47505"/>
    <cellStyle name="Input 2 2 6 40" xfId="5156"/>
    <cellStyle name="Input 2 2 6 40 2" xfId="12873"/>
    <cellStyle name="Input 2 2 6 40 3" xfId="21866"/>
    <cellStyle name="Input 2 2 6 40 4" xfId="30053"/>
    <cellStyle name="Input 2 2 6 40 5" xfId="39392"/>
    <cellStyle name="Input 2 2 6 40 6" xfId="43718"/>
    <cellStyle name="Input 2 2 6 40 7" xfId="53906"/>
    <cellStyle name="Input 2 2 6 41" xfId="5076"/>
    <cellStyle name="Input 2 2 6 41 2" xfId="12793"/>
    <cellStyle name="Input 2 2 6 41 3" xfId="21786"/>
    <cellStyle name="Input 2 2 6 41 4" xfId="29973"/>
    <cellStyle name="Input 2 2 6 41 5" xfId="39316"/>
    <cellStyle name="Input 2 2 6 41 6" xfId="43638"/>
    <cellStyle name="Input 2 2 6 41 7" xfId="53338"/>
    <cellStyle name="Input 2 2 6 42" xfId="5936"/>
    <cellStyle name="Input 2 2 6 42 2" xfId="13653"/>
    <cellStyle name="Input 2 2 6 42 3" xfId="22646"/>
    <cellStyle name="Input 2 2 6 42 4" xfId="30833"/>
    <cellStyle name="Input 2 2 6 42 5" xfId="40144"/>
    <cellStyle name="Input 2 2 6 42 6" xfId="44498"/>
    <cellStyle name="Input 2 2 6 42 7" xfId="53866"/>
    <cellStyle name="Input 2 2 6 43" xfId="6056"/>
    <cellStyle name="Input 2 2 6 43 2" xfId="13773"/>
    <cellStyle name="Input 2 2 6 43 3" xfId="22766"/>
    <cellStyle name="Input 2 2 6 43 4" xfId="30953"/>
    <cellStyle name="Input 2 2 6 43 5" xfId="40260"/>
    <cellStyle name="Input 2 2 6 43 6" xfId="44618"/>
    <cellStyle name="Input 2 2 6 43 7" xfId="47326"/>
    <cellStyle name="Input 2 2 6 44" xfId="6193"/>
    <cellStyle name="Input 2 2 6 44 2" xfId="13910"/>
    <cellStyle name="Input 2 2 6 44 3" xfId="22903"/>
    <cellStyle name="Input 2 2 6 44 4" xfId="31090"/>
    <cellStyle name="Input 2 2 6 44 5" xfId="40391"/>
    <cellStyle name="Input 2 2 6 44 6" xfId="44755"/>
    <cellStyle name="Input 2 2 6 44 7" xfId="48811"/>
    <cellStyle name="Input 2 2 6 45" xfId="5457"/>
    <cellStyle name="Input 2 2 6 45 2" xfId="13174"/>
    <cellStyle name="Input 2 2 6 45 3" xfId="22167"/>
    <cellStyle name="Input 2 2 6 45 4" xfId="30354"/>
    <cellStyle name="Input 2 2 6 45 5" xfId="39682"/>
    <cellStyle name="Input 2 2 6 45 6" xfId="44019"/>
    <cellStyle name="Input 2 2 6 45 7" xfId="48069"/>
    <cellStyle name="Input 2 2 6 46" xfId="5207"/>
    <cellStyle name="Input 2 2 6 46 2" xfId="12924"/>
    <cellStyle name="Input 2 2 6 46 3" xfId="21917"/>
    <cellStyle name="Input 2 2 6 46 4" xfId="30104"/>
    <cellStyle name="Input 2 2 6 46 5" xfId="39441"/>
    <cellStyle name="Input 2 2 6 46 6" xfId="43769"/>
    <cellStyle name="Input 2 2 6 46 7" xfId="48718"/>
    <cellStyle name="Input 2 2 6 47" xfId="5275"/>
    <cellStyle name="Input 2 2 6 47 2" xfId="12992"/>
    <cellStyle name="Input 2 2 6 47 3" xfId="21985"/>
    <cellStyle name="Input 2 2 6 47 4" xfId="30172"/>
    <cellStyle name="Input 2 2 6 47 5" xfId="39507"/>
    <cellStyle name="Input 2 2 6 47 6" xfId="43837"/>
    <cellStyle name="Input 2 2 6 47 7" xfId="49205"/>
    <cellStyle name="Input 2 2 6 48" xfId="6547"/>
    <cellStyle name="Input 2 2 6 48 2" xfId="14264"/>
    <cellStyle name="Input 2 2 6 48 3" xfId="23257"/>
    <cellStyle name="Input 2 2 6 48 4" xfId="31444"/>
    <cellStyle name="Input 2 2 6 48 5" xfId="40734"/>
    <cellStyle name="Input 2 2 6 48 6" xfId="45109"/>
    <cellStyle name="Input 2 2 6 48 7" xfId="49085"/>
    <cellStyle name="Input 2 2 6 49" xfId="5312"/>
    <cellStyle name="Input 2 2 6 49 2" xfId="13029"/>
    <cellStyle name="Input 2 2 6 49 3" xfId="22022"/>
    <cellStyle name="Input 2 2 6 49 4" xfId="30209"/>
    <cellStyle name="Input 2 2 6 49 5" xfId="39543"/>
    <cellStyle name="Input 2 2 6 49 6" xfId="43874"/>
    <cellStyle name="Input 2 2 6 49 7" xfId="52266"/>
    <cellStyle name="Input 2 2 6 5" xfId="1301"/>
    <cellStyle name="Input 2 2 6 5 2" xfId="9124"/>
    <cellStyle name="Input 2 2 6 5 3" xfId="16552"/>
    <cellStyle name="Input 2 2 6 5 4" xfId="26589"/>
    <cellStyle name="Input 2 2 6 5 5" xfId="35410"/>
    <cellStyle name="Input 2 2 6 5 6" xfId="38097"/>
    <cellStyle name="Input 2 2 6 5 7" xfId="54256"/>
    <cellStyle name="Input 2 2 6 50" xfId="6797"/>
    <cellStyle name="Input 2 2 6 50 2" xfId="14514"/>
    <cellStyle name="Input 2 2 6 50 3" xfId="23507"/>
    <cellStyle name="Input 2 2 6 50 4" xfId="31694"/>
    <cellStyle name="Input 2 2 6 50 5" xfId="40973"/>
    <cellStyle name="Input 2 2 6 50 6" xfId="45359"/>
    <cellStyle name="Input 2 2 6 50 7" xfId="52440"/>
    <cellStyle name="Input 2 2 6 51" xfId="6911"/>
    <cellStyle name="Input 2 2 6 51 2" xfId="14628"/>
    <cellStyle name="Input 2 2 6 51 3" xfId="23621"/>
    <cellStyle name="Input 2 2 6 51 4" xfId="31808"/>
    <cellStyle name="Input 2 2 6 51 5" xfId="41080"/>
    <cellStyle name="Input 2 2 6 51 6" xfId="45473"/>
    <cellStyle name="Input 2 2 6 51 7" xfId="46821"/>
    <cellStyle name="Input 2 2 6 52" xfId="7024"/>
    <cellStyle name="Input 2 2 6 52 2" xfId="14741"/>
    <cellStyle name="Input 2 2 6 52 3" xfId="23734"/>
    <cellStyle name="Input 2 2 6 52 4" xfId="31921"/>
    <cellStyle name="Input 2 2 6 52 5" xfId="41188"/>
    <cellStyle name="Input 2 2 6 52 6" xfId="45586"/>
    <cellStyle name="Input 2 2 6 52 7" xfId="46989"/>
    <cellStyle name="Input 2 2 6 53" xfId="7141"/>
    <cellStyle name="Input 2 2 6 53 2" xfId="14858"/>
    <cellStyle name="Input 2 2 6 53 3" xfId="23851"/>
    <cellStyle name="Input 2 2 6 53 4" xfId="32038"/>
    <cellStyle name="Input 2 2 6 53 5" xfId="41300"/>
    <cellStyle name="Input 2 2 6 53 6" xfId="45703"/>
    <cellStyle name="Input 2 2 6 53 7" xfId="51026"/>
    <cellStyle name="Input 2 2 6 54" xfId="7414"/>
    <cellStyle name="Input 2 2 6 54 2" xfId="15131"/>
    <cellStyle name="Input 2 2 6 54 3" xfId="24124"/>
    <cellStyle name="Input 2 2 6 54 4" xfId="32311"/>
    <cellStyle name="Input 2 2 6 54 5" xfId="41563"/>
    <cellStyle name="Input 2 2 6 54 6" xfId="45976"/>
    <cellStyle name="Input 2 2 6 54 7" xfId="52109"/>
    <cellStyle name="Input 2 2 6 55" xfId="7421"/>
    <cellStyle name="Input 2 2 6 55 2" xfId="15138"/>
    <cellStyle name="Input 2 2 6 55 3" xfId="24131"/>
    <cellStyle name="Input 2 2 6 55 4" xfId="32318"/>
    <cellStyle name="Input 2 2 6 55 5" xfId="41570"/>
    <cellStyle name="Input 2 2 6 55 6" xfId="45983"/>
    <cellStyle name="Input 2 2 6 55 7" xfId="51104"/>
    <cellStyle name="Input 2 2 6 56" xfId="7542"/>
    <cellStyle name="Input 2 2 6 56 2" xfId="15259"/>
    <cellStyle name="Input 2 2 6 56 3" xfId="24252"/>
    <cellStyle name="Input 2 2 6 56 4" xfId="32439"/>
    <cellStyle name="Input 2 2 6 56 5" xfId="41685"/>
    <cellStyle name="Input 2 2 6 56 6" xfId="46104"/>
    <cellStyle name="Input 2 2 6 56 7" xfId="48059"/>
    <cellStyle name="Input 2 2 6 57" xfId="7814"/>
    <cellStyle name="Input 2 2 6 57 2" xfId="15531"/>
    <cellStyle name="Input 2 2 6 57 3" xfId="24518"/>
    <cellStyle name="Input 2 2 6 57 4" xfId="32711"/>
    <cellStyle name="Input 2 2 6 57 5" xfId="41946"/>
    <cellStyle name="Input 2 2 6 57 6" xfId="46376"/>
    <cellStyle name="Input 2 2 6 57 7" xfId="48576"/>
    <cellStyle name="Input 2 2 6 58" xfId="7659"/>
    <cellStyle name="Input 2 2 6 58 2" xfId="15376"/>
    <cellStyle name="Input 2 2 6 58 3" xfId="24368"/>
    <cellStyle name="Input 2 2 6 58 4" xfId="32556"/>
    <cellStyle name="Input 2 2 6 58 5" xfId="41797"/>
    <cellStyle name="Input 2 2 6 58 6" xfId="46221"/>
    <cellStyle name="Input 2 2 6 58 7" xfId="49894"/>
    <cellStyle name="Input 2 2 6 59" xfId="7958"/>
    <cellStyle name="Input 2 2 6 59 2" xfId="15675"/>
    <cellStyle name="Input 2 2 6 59 3" xfId="24661"/>
    <cellStyle name="Input 2 2 6 59 4" xfId="32855"/>
    <cellStyle name="Input 2 2 6 59 5" xfId="42083"/>
    <cellStyle name="Input 2 2 6 59 6" xfId="46520"/>
    <cellStyle name="Input 2 2 6 59 7" xfId="48169"/>
    <cellStyle name="Input 2 2 6 6" xfId="1429"/>
    <cellStyle name="Input 2 2 6 6 2" xfId="9252"/>
    <cellStyle name="Input 2 2 6 6 3" xfId="16680"/>
    <cellStyle name="Input 2 2 6 6 4" xfId="19684"/>
    <cellStyle name="Input 2 2 6 6 5" xfId="27994"/>
    <cellStyle name="Input 2 2 6 6 6" xfId="40992"/>
    <cellStyle name="Input 2 2 6 6 7" xfId="48095"/>
    <cellStyle name="Input 2 2 6 60" xfId="8094"/>
    <cellStyle name="Input 2 2 6 60 2" xfId="15811"/>
    <cellStyle name="Input 2 2 6 60 3" xfId="32991"/>
    <cellStyle name="Input 2 2 6 60 4" xfId="42213"/>
    <cellStyle name="Input 2 2 6 60 5" xfId="46656"/>
    <cellStyle name="Input 2 2 6 60 6" xfId="48528"/>
    <cellStyle name="Input 2 2 6 61" xfId="25139"/>
    <cellStyle name="Input 2 2 6 62" xfId="33512"/>
    <cellStyle name="Input 2 2 6 63" xfId="36460"/>
    <cellStyle name="Input 2 2 6 64" xfId="51086"/>
    <cellStyle name="Input 2 2 6 7" xfId="1210"/>
    <cellStyle name="Input 2 2 6 7 2" xfId="9033"/>
    <cellStyle name="Input 2 2 6 7 3" xfId="16461"/>
    <cellStyle name="Input 2 2 6 7 4" xfId="25007"/>
    <cellStyle name="Input 2 2 6 7 5" xfId="33359"/>
    <cellStyle name="Input 2 2 6 7 6" xfId="40349"/>
    <cellStyle name="Input 2 2 6 7 7" xfId="50811"/>
    <cellStyle name="Input 2 2 6 8" xfId="1663"/>
    <cellStyle name="Input 2 2 6 8 2" xfId="9486"/>
    <cellStyle name="Input 2 2 6 8 3" xfId="16914"/>
    <cellStyle name="Input 2 2 6 8 4" xfId="19300"/>
    <cellStyle name="Input 2 2 6 8 5" xfId="28780"/>
    <cellStyle name="Input 2 2 6 8 6" xfId="39739"/>
    <cellStyle name="Input 2 2 6 8 7" xfId="47506"/>
    <cellStyle name="Input 2 2 6 9" xfId="1802"/>
    <cellStyle name="Input 2 2 6 9 2" xfId="9625"/>
    <cellStyle name="Input 2 2 6 9 3" xfId="17053"/>
    <cellStyle name="Input 2 2 6 9 4" xfId="25021"/>
    <cellStyle name="Input 2 2 6 9 5" xfId="33376"/>
    <cellStyle name="Input 2 2 6 9 6" xfId="36795"/>
    <cellStyle name="Input 2 2 6 9 7" xfId="50846"/>
    <cellStyle name="Input 2 2 60" xfId="7403"/>
    <cellStyle name="Input 2 2 60 2" xfId="15120"/>
    <cellStyle name="Input 2 2 60 3" xfId="24113"/>
    <cellStyle name="Input 2 2 60 4" xfId="32300"/>
    <cellStyle name="Input 2 2 60 5" xfId="41552"/>
    <cellStyle name="Input 2 2 60 6" xfId="45965"/>
    <cellStyle name="Input 2 2 60 7" xfId="53148"/>
    <cellStyle name="Input 2 2 61" xfId="7531"/>
    <cellStyle name="Input 2 2 61 2" xfId="15248"/>
    <cellStyle name="Input 2 2 61 3" xfId="24241"/>
    <cellStyle name="Input 2 2 61 4" xfId="32428"/>
    <cellStyle name="Input 2 2 61 5" xfId="41674"/>
    <cellStyle name="Input 2 2 61 6" xfId="46093"/>
    <cellStyle name="Input 2 2 61 7" xfId="48174"/>
    <cellStyle name="Input 2 2 62" xfId="7732"/>
    <cellStyle name="Input 2 2 62 2" xfId="15449"/>
    <cellStyle name="Input 2 2 62 3" xfId="24440"/>
    <cellStyle name="Input 2 2 62 4" xfId="32629"/>
    <cellStyle name="Input 2 2 62 5" xfId="41866"/>
    <cellStyle name="Input 2 2 62 6" xfId="46294"/>
    <cellStyle name="Input 2 2 62 7" xfId="47312"/>
    <cellStyle name="Input 2 2 63" xfId="7955"/>
    <cellStyle name="Input 2 2 63 2" xfId="15672"/>
    <cellStyle name="Input 2 2 63 3" xfId="24658"/>
    <cellStyle name="Input 2 2 63 4" xfId="32852"/>
    <cellStyle name="Input 2 2 63 5" xfId="42080"/>
    <cellStyle name="Input 2 2 63 6" xfId="46517"/>
    <cellStyle name="Input 2 2 63 7" xfId="48396"/>
    <cellStyle name="Input 2 2 64" xfId="7765"/>
    <cellStyle name="Input 2 2 64 2" xfId="15482"/>
    <cellStyle name="Input 2 2 64 3" xfId="24471"/>
    <cellStyle name="Input 2 2 64 4" xfId="32662"/>
    <cellStyle name="Input 2 2 64 5" xfId="41898"/>
    <cellStyle name="Input 2 2 64 6" xfId="46327"/>
    <cellStyle name="Input 2 2 64 7" xfId="51487"/>
    <cellStyle name="Input 2 2 65" xfId="8081"/>
    <cellStyle name="Input 2 2 65 2" xfId="15798"/>
    <cellStyle name="Input 2 2 65 3" xfId="32978"/>
    <cellStyle name="Input 2 2 65 4" xfId="42200"/>
    <cellStyle name="Input 2 2 65 5" xfId="46643"/>
    <cellStyle name="Input 2 2 65 6" xfId="48705"/>
    <cellStyle name="Input 2 2 66" xfId="20707"/>
    <cellStyle name="Input 2 2 67" xfId="27857"/>
    <cellStyle name="Input 2 2 68" xfId="36627"/>
    <cellStyle name="Input 2 2 69" xfId="47343"/>
    <cellStyle name="Input 2 2 7" xfId="599"/>
    <cellStyle name="Input 2 2 7 2" xfId="8423"/>
    <cellStyle name="Input 2 2 7 3" xfId="11974"/>
    <cellStyle name="Input 2 2 7 4" xfId="19699"/>
    <cellStyle name="Input 2 2 7 5" xfId="28337"/>
    <cellStyle name="Input 2 2 7 6" xfId="37481"/>
    <cellStyle name="Input 2 2 7 7" xfId="49025"/>
    <cellStyle name="Input 2 2 8" xfId="229"/>
    <cellStyle name="Input 2 2 8 2" xfId="8333"/>
    <cellStyle name="Input 2 2 8 3" xfId="8253"/>
    <cellStyle name="Input 2 2 8 4" xfId="24803"/>
    <cellStyle name="Input 2 2 8 5" xfId="28323"/>
    <cellStyle name="Input 2 2 8 6" xfId="36776"/>
    <cellStyle name="Input 2 2 8 7" xfId="50250"/>
    <cellStyle name="Input 2 2 9" xfId="627"/>
    <cellStyle name="Input 2 2 9 2" xfId="8451"/>
    <cellStyle name="Input 2 2 9 3" xfId="8402"/>
    <cellStyle name="Input 2 2 9 4" xfId="24815"/>
    <cellStyle name="Input 2 2 9 5" xfId="28833"/>
    <cellStyle name="Input 2 2 9 6" xfId="37272"/>
    <cellStyle name="Input 2 2 9 7" xfId="47921"/>
    <cellStyle name="Input 2 20" xfId="4038"/>
    <cellStyle name="Input 2 20 2" xfId="11809"/>
    <cellStyle name="Input 2 20 3" xfId="20748"/>
    <cellStyle name="Input 2 20 4" xfId="28935"/>
    <cellStyle name="Input 2 20 5" xfId="38314"/>
    <cellStyle name="Input 2 20 6" xfId="42600"/>
    <cellStyle name="Input 2 20 7" xfId="53402"/>
    <cellStyle name="Input 2 21" xfId="4049"/>
    <cellStyle name="Input 2 21 2" xfId="11818"/>
    <cellStyle name="Input 2 21 3" xfId="20759"/>
    <cellStyle name="Input 2 21 4" xfId="28946"/>
    <cellStyle name="Input 2 21 5" xfId="38325"/>
    <cellStyle name="Input 2 21 6" xfId="42611"/>
    <cellStyle name="Input 2 21 7" xfId="52492"/>
    <cellStyle name="Input 2 22" xfId="5269"/>
    <cellStyle name="Input 2 22 2" xfId="12986"/>
    <cellStyle name="Input 2 22 3" xfId="21979"/>
    <cellStyle name="Input 2 22 4" xfId="30166"/>
    <cellStyle name="Input 2 22 5" xfId="39501"/>
    <cellStyle name="Input 2 22 6" xfId="43831"/>
    <cellStyle name="Input 2 22 7" xfId="49855"/>
    <cellStyle name="Input 2 23" xfId="5204"/>
    <cellStyle name="Input 2 23 2" xfId="12921"/>
    <cellStyle name="Input 2 23 3" xfId="21914"/>
    <cellStyle name="Input 2 23 4" xfId="30101"/>
    <cellStyle name="Input 2 23 5" xfId="39438"/>
    <cellStyle name="Input 2 23 6" xfId="43766"/>
    <cellStyle name="Input 2 23 7" xfId="49012"/>
    <cellStyle name="Input 2 24" xfId="5937"/>
    <cellStyle name="Input 2 24 2" xfId="13654"/>
    <cellStyle name="Input 2 24 3" xfId="22647"/>
    <cellStyle name="Input 2 24 4" xfId="30834"/>
    <cellStyle name="Input 2 24 5" xfId="40145"/>
    <cellStyle name="Input 2 24 6" xfId="44499"/>
    <cellStyle name="Input 2 24 7" xfId="53610"/>
    <cellStyle name="Input 2 25" xfId="5230"/>
    <cellStyle name="Input 2 25 2" xfId="12947"/>
    <cellStyle name="Input 2 25 3" xfId="21940"/>
    <cellStyle name="Input 2 25 4" xfId="30127"/>
    <cellStyle name="Input 2 25 5" xfId="39462"/>
    <cellStyle name="Input 2 25 6" xfId="43792"/>
    <cellStyle name="Input 2 25 7" xfId="53782"/>
    <cellStyle name="Input 2 26" xfId="6185"/>
    <cellStyle name="Input 2 26 2" xfId="13902"/>
    <cellStyle name="Input 2 26 3" xfId="22895"/>
    <cellStyle name="Input 2 26 4" xfId="31082"/>
    <cellStyle name="Input 2 26 5" xfId="40383"/>
    <cellStyle name="Input 2 26 6" xfId="44747"/>
    <cellStyle name="Input 2 26 7" xfId="47371"/>
    <cellStyle name="Input 2 27" xfId="6553"/>
    <cellStyle name="Input 2 27 2" xfId="14270"/>
    <cellStyle name="Input 2 27 3" xfId="23263"/>
    <cellStyle name="Input 2 27 4" xfId="31450"/>
    <cellStyle name="Input 2 27 5" xfId="40739"/>
    <cellStyle name="Input 2 27 6" xfId="45115"/>
    <cellStyle name="Input 2 27 7" xfId="47211"/>
    <cellStyle name="Input 2 28" xfId="7299"/>
    <cellStyle name="Input 2 28 2" xfId="15016"/>
    <cellStyle name="Input 2 28 3" xfId="24009"/>
    <cellStyle name="Input 2 28 4" xfId="32196"/>
    <cellStyle name="Input 2 28 5" xfId="41452"/>
    <cellStyle name="Input 2 28 6" xfId="45861"/>
    <cellStyle name="Input 2 28 7" xfId="49303"/>
    <cellStyle name="Input 2 29" xfId="7274"/>
    <cellStyle name="Input 2 29 2" xfId="14991"/>
    <cellStyle name="Input 2 29 3" xfId="23984"/>
    <cellStyle name="Input 2 29 4" xfId="32171"/>
    <cellStyle name="Input 2 29 5" xfId="41427"/>
    <cellStyle name="Input 2 29 6" xfId="45836"/>
    <cellStyle name="Input 2 29 7" xfId="52157"/>
    <cellStyle name="Input 2 3" xfId="510"/>
    <cellStyle name="Input 2 3 10" xfId="1957"/>
    <cellStyle name="Input 2 3 10 2" xfId="9780"/>
    <cellStyle name="Input 2 3 10 3" xfId="17208"/>
    <cellStyle name="Input 2 3 10 4" xfId="25033"/>
    <cellStyle name="Input 2 3 10 5" xfId="33389"/>
    <cellStyle name="Input 2 3 10 6" xfId="39819"/>
    <cellStyle name="Input 2 3 10 7" xfId="50865"/>
    <cellStyle name="Input 2 3 11" xfId="2075"/>
    <cellStyle name="Input 2 3 11 2" xfId="9898"/>
    <cellStyle name="Input 2 3 11 3" xfId="17326"/>
    <cellStyle name="Input 2 3 11 4" xfId="25158"/>
    <cellStyle name="Input 2 3 11 5" xfId="33535"/>
    <cellStyle name="Input 2 3 11 6" xfId="37058"/>
    <cellStyle name="Input 2 3 11 7" xfId="51126"/>
    <cellStyle name="Input 2 3 12" xfId="2188"/>
    <cellStyle name="Input 2 3 12 2" xfId="10011"/>
    <cellStyle name="Input 2 3 12 3" xfId="17439"/>
    <cellStyle name="Input 2 3 12 4" xfId="26542"/>
    <cellStyle name="Input 2 3 12 5" xfId="35343"/>
    <cellStyle name="Input 2 3 12 6" xfId="36463"/>
    <cellStyle name="Input 2 3 12 7" xfId="54153"/>
    <cellStyle name="Input 2 3 13" xfId="1289"/>
    <cellStyle name="Input 2 3 13 2" xfId="9112"/>
    <cellStyle name="Input 2 3 13 3" xfId="16540"/>
    <cellStyle name="Input 2 3 13 4" xfId="20178"/>
    <cellStyle name="Input 2 3 13 5" xfId="28150"/>
    <cellStyle name="Input 2 3 13 6" xfId="39135"/>
    <cellStyle name="Input 2 3 13 7" xfId="46954"/>
    <cellStyle name="Input 2 3 14" xfId="1041"/>
    <cellStyle name="Input 2 3 14 2" xfId="8865"/>
    <cellStyle name="Input 2 3 14 3" xfId="16293"/>
    <cellStyle name="Input 2 3 14 4" xfId="26370"/>
    <cellStyle name="Input 2 3 14 5" xfId="35107"/>
    <cellStyle name="Input 2 3 14 6" xfId="36739"/>
    <cellStyle name="Input 2 3 14 7" xfId="53786"/>
    <cellStyle name="Input 2 3 15" xfId="2486"/>
    <cellStyle name="Input 2 3 15 2" xfId="10309"/>
    <cellStyle name="Input 2 3 15 3" xfId="17737"/>
    <cellStyle name="Input 2 3 15 4" xfId="25757"/>
    <cellStyle name="Input 2 3 15 5" xfId="34310"/>
    <cellStyle name="Input 2 3 15 6" xfId="38100"/>
    <cellStyle name="Input 2 3 15 7" xfId="52444"/>
    <cellStyle name="Input 2 3 16" xfId="2599"/>
    <cellStyle name="Input 2 3 16 2" xfId="10422"/>
    <cellStyle name="Input 2 3 16 3" xfId="17850"/>
    <cellStyle name="Input 2 3 16 4" xfId="20128"/>
    <cellStyle name="Input 2 3 16 5" xfId="27388"/>
    <cellStyle name="Input 2 3 16 6" xfId="37064"/>
    <cellStyle name="Input 2 3 16 7" xfId="49551"/>
    <cellStyle name="Input 2 3 17" xfId="2304"/>
    <cellStyle name="Input 2 3 17 2" xfId="10127"/>
    <cellStyle name="Input 2 3 17 3" xfId="17555"/>
    <cellStyle name="Input 2 3 17 4" xfId="19964"/>
    <cellStyle name="Input 2 3 17 5" xfId="27177"/>
    <cellStyle name="Input 2 3 17 6" xfId="38507"/>
    <cellStyle name="Input 2 3 17 7" xfId="48926"/>
    <cellStyle name="Input 2 3 18" xfId="2714"/>
    <cellStyle name="Input 2 3 18 2" xfId="10537"/>
    <cellStyle name="Input 2 3 18 3" xfId="17965"/>
    <cellStyle name="Input 2 3 18 4" xfId="25289"/>
    <cellStyle name="Input 2 3 18 5" xfId="33701"/>
    <cellStyle name="Input 2 3 18 6" xfId="38025"/>
    <cellStyle name="Input 2 3 18 7" xfId="51402"/>
    <cellStyle name="Input 2 3 19" xfId="2793"/>
    <cellStyle name="Input 2 3 19 2" xfId="10616"/>
    <cellStyle name="Input 2 3 19 3" xfId="18044"/>
    <cellStyle name="Input 2 3 19 4" xfId="25634"/>
    <cellStyle name="Input 2 3 19 5" xfId="34153"/>
    <cellStyle name="Input 2 3 19 6" xfId="37949"/>
    <cellStyle name="Input 2 3 19 7" xfId="52172"/>
    <cellStyle name="Input 2 3 2" xfId="661"/>
    <cellStyle name="Input 2 3 2 2" xfId="8485"/>
    <cellStyle name="Input 2 3 2 3" xfId="8273"/>
    <cellStyle name="Input 2 3 2 4" xfId="25281"/>
    <cellStyle name="Input 2 3 2 5" xfId="33693"/>
    <cellStyle name="Input 2 3 2 6" xfId="36585"/>
    <cellStyle name="Input 2 3 2 7" xfId="51392"/>
    <cellStyle name="Input 2 3 20" xfId="2900"/>
    <cellStyle name="Input 2 3 20 2" xfId="10723"/>
    <cellStyle name="Input 2 3 20 3" xfId="18151"/>
    <cellStyle name="Input 2 3 20 4" xfId="19441"/>
    <cellStyle name="Input 2 3 20 5" xfId="27515"/>
    <cellStyle name="Input 2 3 20 6" xfId="36704"/>
    <cellStyle name="Input 2 3 20 7" xfId="48610"/>
    <cellStyle name="Input 2 3 21" xfId="3276"/>
    <cellStyle name="Input 2 3 21 2" xfId="11069"/>
    <cellStyle name="Input 2 3 21 3" xfId="18398"/>
    <cellStyle name="Input 2 3 21 4" xfId="26602"/>
    <cellStyle name="Input 2 3 21 5" xfId="35429"/>
    <cellStyle name="Input 2 3 21 6" xfId="42141"/>
    <cellStyle name="Input 2 3 21 7" xfId="54291"/>
    <cellStyle name="Input 2 3 22" xfId="3396"/>
    <cellStyle name="Input 2 3 22 2" xfId="11187"/>
    <cellStyle name="Input 2 3 22 3" xfId="18509"/>
    <cellStyle name="Input 2 3 22 4" xfId="19143"/>
    <cellStyle name="Input 2 3 22 5" xfId="26871"/>
    <cellStyle name="Input 2 3 22 6" xfId="37564"/>
    <cellStyle name="Input 2 3 22 7" xfId="49804"/>
    <cellStyle name="Input 2 3 23" xfId="3161"/>
    <cellStyle name="Input 2 3 23 2" xfId="10963"/>
    <cellStyle name="Input 2 3 23 3" xfId="18333"/>
    <cellStyle name="Input 2 3 23 4" xfId="26122"/>
    <cellStyle name="Input 2 3 23 5" xfId="34783"/>
    <cellStyle name="Input 2 3 23 6" xfId="38791"/>
    <cellStyle name="Input 2 3 23 7" xfId="53259"/>
    <cellStyle name="Input 2 3 24" xfId="3666"/>
    <cellStyle name="Input 2 3 24 2" xfId="11451"/>
    <cellStyle name="Input 2 3 24 3" xfId="18724"/>
    <cellStyle name="Input 2 3 24 4" xfId="25953"/>
    <cellStyle name="Input 2 3 24 5" xfId="34560"/>
    <cellStyle name="Input 2 3 24 6" xfId="36527"/>
    <cellStyle name="Input 2 3 24 7" xfId="52896"/>
    <cellStyle name="Input 2 3 25" xfId="3797"/>
    <cellStyle name="Input 2 3 25 2" xfId="11579"/>
    <cellStyle name="Input 2 3 25 3" xfId="18836"/>
    <cellStyle name="Input 2 3 25 4" xfId="20198"/>
    <cellStyle name="Input 2 3 25 5" xfId="28059"/>
    <cellStyle name="Input 2 3 25 6" xfId="36595"/>
    <cellStyle name="Input 2 3 25 7" xfId="48520"/>
    <cellStyle name="Input 2 3 26" xfId="3914"/>
    <cellStyle name="Input 2 3 26 2" xfId="11694"/>
    <cellStyle name="Input 2 3 26 3" xfId="18945"/>
    <cellStyle name="Input 2 3 26 4" xfId="19483"/>
    <cellStyle name="Input 2 3 26 5" xfId="28363"/>
    <cellStyle name="Input 2 3 26 6" xfId="38041"/>
    <cellStyle name="Input 2 3 26 7" xfId="50005"/>
    <cellStyle name="Input 2 3 27" xfId="3175"/>
    <cellStyle name="Input 2 3 27 2" xfId="10976"/>
    <cellStyle name="Input 2 3 27 3" xfId="20307"/>
    <cellStyle name="Input 2 3 27 4" xfId="28398"/>
    <cellStyle name="Input 2 3 27 5" xfId="37786"/>
    <cellStyle name="Input 2 3 27 6" xfId="42424"/>
    <cellStyle name="Input 2 3 27 7" xfId="47638"/>
    <cellStyle name="Input 2 3 28" xfId="4111"/>
    <cellStyle name="Input 2 3 28 2" xfId="11871"/>
    <cellStyle name="Input 2 3 28 3" xfId="20821"/>
    <cellStyle name="Input 2 3 28 4" xfId="29008"/>
    <cellStyle name="Input 2 3 28 5" xfId="38386"/>
    <cellStyle name="Input 2 3 28 6" xfId="42673"/>
    <cellStyle name="Input 2 3 28 7" xfId="53305"/>
    <cellStyle name="Input 2 3 29" xfId="3360"/>
    <cellStyle name="Input 2 3 29 2" xfId="20409"/>
    <cellStyle name="Input 2 3 29 3" xfId="28516"/>
    <cellStyle name="Input 2 3 29 4" xfId="37902"/>
    <cellStyle name="Input 2 3 29 5" xfId="42466"/>
    <cellStyle name="Input 2 3 29 6" xfId="54155"/>
    <cellStyle name="Input 2 3 3" xfId="768"/>
    <cellStyle name="Input 2 3 3 2" xfId="8592"/>
    <cellStyle name="Input 2 3 3 3" xfId="16020"/>
    <cellStyle name="Input 2 3 3 4" xfId="25776"/>
    <cellStyle name="Input 2 3 3 5" xfId="34335"/>
    <cellStyle name="Input 2 3 3 6" xfId="37015"/>
    <cellStyle name="Input 2 3 3 7" xfId="52496"/>
    <cellStyle name="Input 2 3 30" xfId="4308"/>
    <cellStyle name="Input 2 3 30 2" xfId="12025"/>
    <cellStyle name="Input 2 3 30 3" xfId="21018"/>
    <cellStyle name="Input 2 3 30 4" xfId="29205"/>
    <cellStyle name="Input 2 3 30 5" xfId="38577"/>
    <cellStyle name="Input 2 3 30 6" xfId="42870"/>
    <cellStyle name="Input 2 3 30 7" xfId="48743"/>
    <cellStyle name="Input 2 3 31" xfId="4431"/>
    <cellStyle name="Input 2 3 31 2" xfId="12148"/>
    <cellStyle name="Input 2 3 31 3" xfId="21141"/>
    <cellStyle name="Input 2 3 31 4" xfId="29328"/>
    <cellStyle name="Input 2 3 31 5" xfId="38695"/>
    <cellStyle name="Input 2 3 31 6" xfId="42993"/>
    <cellStyle name="Input 2 3 31 7" xfId="52352"/>
    <cellStyle name="Input 2 3 32" xfId="4545"/>
    <cellStyle name="Input 2 3 32 2" xfId="12262"/>
    <cellStyle name="Input 2 3 32 3" xfId="21255"/>
    <cellStyle name="Input 2 3 32 4" xfId="29442"/>
    <cellStyle name="Input 2 3 32 5" xfId="38804"/>
    <cellStyle name="Input 2 3 32 6" xfId="43107"/>
    <cellStyle name="Input 2 3 32 7" xfId="54073"/>
    <cellStyle name="Input 2 3 33" xfId="4658"/>
    <cellStyle name="Input 2 3 33 2" xfId="12375"/>
    <cellStyle name="Input 2 3 33 3" xfId="21368"/>
    <cellStyle name="Input 2 3 33 4" xfId="29555"/>
    <cellStyle name="Input 2 3 33 5" xfId="38912"/>
    <cellStyle name="Input 2 3 33 6" xfId="43220"/>
    <cellStyle name="Input 2 3 33 7" xfId="51164"/>
    <cellStyle name="Input 2 3 34" xfId="4770"/>
    <cellStyle name="Input 2 3 34 2" xfId="12487"/>
    <cellStyle name="Input 2 3 34 3" xfId="21480"/>
    <cellStyle name="Input 2 3 34 4" xfId="29667"/>
    <cellStyle name="Input 2 3 34 5" xfId="39021"/>
    <cellStyle name="Input 2 3 34 6" xfId="43332"/>
    <cellStyle name="Input 2 3 34 7" xfId="48431"/>
    <cellStyle name="Input 2 3 35" xfId="4878"/>
    <cellStyle name="Input 2 3 35 2" xfId="12595"/>
    <cellStyle name="Input 2 3 35 3" xfId="21588"/>
    <cellStyle name="Input 2 3 35 4" xfId="29775"/>
    <cellStyle name="Input 2 3 35 5" xfId="39124"/>
    <cellStyle name="Input 2 3 35 6" xfId="43440"/>
    <cellStyle name="Input 2 3 35 7" xfId="51097"/>
    <cellStyle name="Input 2 3 36" xfId="4990"/>
    <cellStyle name="Input 2 3 36 2" xfId="12707"/>
    <cellStyle name="Input 2 3 36 3" xfId="21700"/>
    <cellStyle name="Input 2 3 36 4" xfId="29887"/>
    <cellStyle name="Input 2 3 36 5" xfId="39233"/>
    <cellStyle name="Input 2 3 36 6" xfId="43552"/>
    <cellStyle name="Input 2 3 36 7" xfId="48794"/>
    <cellStyle name="Input 2 3 37" xfId="5123"/>
    <cellStyle name="Input 2 3 37 2" xfId="12840"/>
    <cellStyle name="Input 2 3 37 3" xfId="21833"/>
    <cellStyle name="Input 2 3 37 4" xfId="30020"/>
    <cellStyle name="Input 2 3 37 5" xfId="39361"/>
    <cellStyle name="Input 2 3 37 6" xfId="43685"/>
    <cellStyle name="Input 2 3 37 7" xfId="48629"/>
    <cellStyle name="Input 2 3 38" xfId="5488"/>
    <cellStyle name="Input 2 3 38 2" xfId="13205"/>
    <cellStyle name="Input 2 3 38 3" xfId="22198"/>
    <cellStyle name="Input 2 3 38 4" xfId="30385"/>
    <cellStyle name="Input 2 3 38 5" xfId="39711"/>
    <cellStyle name="Input 2 3 38 6" xfId="44050"/>
    <cellStyle name="Input 2 3 38 7" xfId="49904"/>
    <cellStyle name="Input 2 3 39" xfId="5613"/>
    <cellStyle name="Input 2 3 39 2" xfId="13330"/>
    <cellStyle name="Input 2 3 39 3" xfId="22323"/>
    <cellStyle name="Input 2 3 39 4" xfId="30510"/>
    <cellStyle name="Input 2 3 39 5" xfId="39831"/>
    <cellStyle name="Input 2 3 39 6" xfId="44175"/>
    <cellStyle name="Input 2 3 39 7" xfId="46840"/>
    <cellStyle name="Input 2 3 4" xfId="880"/>
    <cellStyle name="Input 2 3 4 2" xfId="8704"/>
    <cellStyle name="Input 2 3 4 3" xfId="16132"/>
    <cellStyle name="Input 2 3 4 4" xfId="24983"/>
    <cellStyle name="Input 2 3 4 5" xfId="33326"/>
    <cellStyle name="Input 2 3 4 6" xfId="36581"/>
    <cellStyle name="Input 2 3 4 7" xfId="50755"/>
    <cellStyle name="Input 2 3 40" xfId="5728"/>
    <cellStyle name="Input 2 3 40 2" xfId="13445"/>
    <cellStyle name="Input 2 3 40 3" xfId="22438"/>
    <cellStyle name="Input 2 3 40 4" xfId="30625"/>
    <cellStyle name="Input 2 3 40 5" xfId="39942"/>
    <cellStyle name="Input 2 3 40 6" xfId="44290"/>
    <cellStyle name="Input 2 3 40 7" xfId="48268"/>
    <cellStyle name="Input 2 3 41" xfId="5845"/>
    <cellStyle name="Input 2 3 41 2" xfId="13562"/>
    <cellStyle name="Input 2 3 41 3" xfId="22555"/>
    <cellStyle name="Input 2 3 41 4" xfId="30742"/>
    <cellStyle name="Input 2 3 41 5" xfId="40056"/>
    <cellStyle name="Input 2 3 41 6" xfId="44407"/>
    <cellStyle name="Input 2 3 41 7" xfId="47311"/>
    <cellStyle name="Input 2 3 42" xfId="5973"/>
    <cellStyle name="Input 2 3 42 2" xfId="13690"/>
    <cellStyle name="Input 2 3 42 3" xfId="22683"/>
    <cellStyle name="Input 2 3 42 4" xfId="30870"/>
    <cellStyle name="Input 2 3 42 5" xfId="40180"/>
    <cellStyle name="Input 2 3 42 6" xfId="44535"/>
    <cellStyle name="Input 2 3 42 7" xfId="49941"/>
    <cellStyle name="Input 2 3 43" xfId="5691"/>
    <cellStyle name="Input 2 3 43 2" xfId="13408"/>
    <cellStyle name="Input 2 3 43 3" xfId="22401"/>
    <cellStyle name="Input 2 3 43 4" xfId="30588"/>
    <cellStyle name="Input 2 3 43 5" xfId="39906"/>
    <cellStyle name="Input 2 3 43 6" xfId="44253"/>
    <cellStyle name="Input 2 3 43 7" xfId="46933"/>
    <cellStyle name="Input 2 3 44" xfId="6229"/>
    <cellStyle name="Input 2 3 44 2" xfId="13946"/>
    <cellStyle name="Input 2 3 44 3" xfId="22939"/>
    <cellStyle name="Input 2 3 44 4" xfId="31126"/>
    <cellStyle name="Input 2 3 44 5" xfId="40427"/>
    <cellStyle name="Input 2 3 44 6" xfId="44791"/>
    <cellStyle name="Input 2 3 44 7" xfId="52041"/>
    <cellStyle name="Input 2 3 45" xfId="6346"/>
    <cellStyle name="Input 2 3 45 2" xfId="14063"/>
    <cellStyle name="Input 2 3 45 3" xfId="23056"/>
    <cellStyle name="Input 2 3 45 4" xfId="31243"/>
    <cellStyle name="Input 2 3 45 5" xfId="40541"/>
    <cellStyle name="Input 2 3 45 6" xfId="44908"/>
    <cellStyle name="Input 2 3 45 7" xfId="49192"/>
    <cellStyle name="Input 2 3 46" xfId="6456"/>
    <cellStyle name="Input 2 3 46 2" xfId="14173"/>
    <cellStyle name="Input 2 3 46 3" xfId="23166"/>
    <cellStyle name="Input 2 3 46 4" xfId="31353"/>
    <cellStyle name="Input 2 3 46 5" xfId="40647"/>
    <cellStyle name="Input 2 3 46 6" xfId="45018"/>
    <cellStyle name="Input 2 3 46 7" xfId="50479"/>
    <cellStyle name="Input 2 3 47" xfId="5576"/>
    <cellStyle name="Input 2 3 47 2" xfId="13293"/>
    <cellStyle name="Input 2 3 47 3" xfId="22286"/>
    <cellStyle name="Input 2 3 47 4" xfId="30473"/>
    <cellStyle name="Input 2 3 47 5" xfId="39795"/>
    <cellStyle name="Input 2 3 47 6" xfId="44138"/>
    <cellStyle name="Input 2 3 47 7" xfId="46802"/>
    <cellStyle name="Input 2 3 48" xfId="6603"/>
    <cellStyle name="Input 2 3 48 2" xfId="14320"/>
    <cellStyle name="Input 2 3 48 3" xfId="23313"/>
    <cellStyle name="Input 2 3 48 4" xfId="31500"/>
    <cellStyle name="Input 2 3 48 5" xfId="40787"/>
    <cellStyle name="Input 2 3 48 6" xfId="45165"/>
    <cellStyle name="Input 2 3 48 7" xfId="50703"/>
    <cellStyle name="Input 2 3 49" xfId="6714"/>
    <cellStyle name="Input 2 3 49 2" xfId="14431"/>
    <cellStyle name="Input 2 3 49 3" xfId="23424"/>
    <cellStyle name="Input 2 3 49 4" xfId="31611"/>
    <cellStyle name="Input 2 3 49 5" xfId="40893"/>
    <cellStyle name="Input 2 3 49 6" xfId="45276"/>
    <cellStyle name="Input 2 3 49 7" xfId="53647"/>
    <cellStyle name="Input 2 3 5" xfId="1345"/>
    <cellStyle name="Input 2 3 5 2" xfId="9168"/>
    <cellStyle name="Input 2 3 5 3" xfId="16596"/>
    <cellStyle name="Input 2 3 5 4" xfId="19450"/>
    <cellStyle name="Input 2 3 5 5" xfId="27681"/>
    <cellStyle name="Input 2 3 5 6" xfId="42184"/>
    <cellStyle name="Input 2 3 5 7" xfId="48468"/>
    <cellStyle name="Input 2 3 50" xfId="6829"/>
    <cellStyle name="Input 2 3 50 2" xfId="14546"/>
    <cellStyle name="Input 2 3 50 3" xfId="23539"/>
    <cellStyle name="Input 2 3 50 4" xfId="31726"/>
    <cellStyle name="Input 2 3 50 5" xfId="41001"/>
    <cellStyle name="Input 2 3 50 6" xfId="45391"/>
    <cellStyle name="Input 2 3 50 7" xfId="48953"/>
    <cellStyle name="Input 2 3 51" xfId="6942"/>
    <cellStyle name="Input 2 3 51 2" xfId="14659"/>
    <cellStyle name="Input 2 3 51 3" xfId="23652"/>
    <cellStyle name="Input 2 3 51 4" xfId="31839"/>
    <cellStyle name="Input 2 3 51 5" xfId="41109"/>
    <cellStyle name="Input 2 3 51 6" xfId="45504"/>
    <cellStyle name="Input 2 3 51 7" xfId="47038"/>
    <cellStyle name="Input 2 3 52" xfId="7054"/>
    <cellStyle name="Input 2 3 52 2" xfId="14771"/>
    <cellStyle name="Input 2 3 52 3" xfId="23764"/>
    <cellStyle name="Input 2 3 52 4" xfId="31951"/>
    <cellStyle name="Input 2 3 52 5" xfId="41215"/>
    <cellStyle name="Input 2 3 52 6" xfId="45616"/>
    <cellStyle name="Input 2 3 52 7" xfId="53949"/>
    <cellStyle name="Input 2 3 53" xfId="7236"/>
    <cellStyle name="Input 2 3 53 2" xfId="14953"/>
    <cellStyle name="Input 2 3 53 3" xfId="23946"/>
    <cellStyle name="Input 2 3 53 4" xfId="32133"/>
    <cellStyle name="Input 2 3 53 5" xfId="41391"/>
    <cellStyle name="Input 2 3 53 6" xfId="45798"/>
    <cellStyle name="Input 2 3 53 7" xfId="50080"/>
    <cellStyle name="Input 2 3 54" xfId="7407"/>
    <cellStyle name="Input 2 3 54 2" xfId="15124"/>
    <cellStyle name="Input 2 3 54 3" xfId="24117"/>
    <cellStyle name="Input 2 3 54 4" xfId="32304"/>
    <cellStyle name="Input 2 3 54 5" xfId="41556"/>
    <cellStyle name="Input 2 3 54 6" xfId="45969"/>
    <cellStyle name="Input 2 3 54 7" xfId="52800"/>
    <cellStyle name="Input 2 3 55" xfId="7451"/>
    <cellStyle name="Input 2 3 55 2" xfId="15168"/>
    <cellStyle name="Input 2 3 55 3" xfId="24161"/>
    <cellStyle name="Input 2 3 55 4" xfId="32348"/>
    <cellStyle name="Input 2 3 55 5" xfId="41598"/>
    <cellStyle name="Input 2 3 55 6" xfId="46013"/>
    <cellStyle name="Input 2 3 55 7" xfId="50774"/>
    <cellStyle name="Input 2 3 56" xfId="7572"/>
    <cellStyle name="Input 2 3 56 2" xfId="15289"/>
    <cellStyle name="Input 2 3 56 3" xfId="24282"/>
    <cellStyle name="Input 2 3 56 4" xfId="32469"/>
    <cellStyle name="Input 2 3 56 5" xfId="41713"/>
    <cellStyle name="Input 2 3 56 6" xfId="46134"/>
    <cellStyle name="Input 2 3 56 7" xfId="50008"/>
    <cellStyle name="Input 2 3 57" xfId="7848"/>
    <cellStyle name="Input 2 3 57 2" xfId="15565"/>
    <cellStyle name="Input 2 3 57 3" xfId="24552"/>
    <cellStyle name="Input 2 3 57 4" xfId="32745"/>
    <cellStyle name="Input 2 3 57 5" xfId="41978"/>
    <cellStyle name="Input 2 3 57 6" xfId="46410"/>
    <cellStyle name="Input 2 3 57 7" xfId="51140"/>
    <cellStyle name="Input 2 3 58" xfId="7981"/>
    <cellStyle name="Input 2 3 58 2" xfId="15698"/>
    <cellStyle name="Input 2 3 58 3" xfId="24683"/>
    <cellStyle name="Input 2 3 58 4" xfId="32878"/>
    <cellStyle name="Input 2 3 58 5" xfId="42104"/>
    <cellStyle name="Input 2 3 58 6" xfId="46543"/>
    <cellStyle name="Input 2 3 58 7" xfId="52092"/>
    <cellStyle name="Input 2 3 59" xfId="8058"/>
    <cellStyle name="Input 2 3 59 2" xfId="15775"/>
    <cellStyle name="Input 2 3 59 3" xfId="24760"/>
    <cellStyle name="Input 2 3 59 4" xfId="32955"/>
    <cellStyle name="Input 2 3 59 5" xfId="42180"/>
    <cellStyle name="Input 2 3 59 6" xfId="46620"/>
    <cellStyle name="Input 2 3 59 7" xfId="51048"/>
    <cellStyle name="Input 2 3 6" xfId="1468"/>
    <cellStyle name="Input 2 3 6 2" xfId="9291"/>
    <cellStyle name="Input 2 3 6 3" xfId="16719"/>
    <cellStyle name="Input 2 3 6 4" xfId="20373"/>
    <cellStyle name="Input 2 3 6 5" xfId="28688"/>
    <cellStyle name="Input 2 3 6 6" xfId="37001"/>
    <cellStyle name="Input 2 3 6 7" xfId="47690"/>
    <cellStyle name="Input 2 3 60" xfId="8124"/>
    <cellStyle name="Input 2 3 60 2" xfId="15841"/>
    <cellStyle name="Input 2 3 60 3" xfId="33021"/>
    <cellStyle name="Input 2 3 60 4" xfId="42242"/>
    <cellStyle name="Input 2 3 60 5" xfId="46686"/>
    <cellStyle name="Input 2 3 60 6" xfId="51516"/>
    <cellStyle name="Input 2 3 61" xfId="25077"/>
    <cellStyle name="Input 2 3 62" xfId="33437"/>
    <cellStyle name="Input 2 3 63" xfId="36424"/>
    <cellStyle name="Input 2 3 64" xfId="50962"/>
    <cellStyle name="Input 2 3 7" xfId="1168"/>
    <cellStyle name="Input 2 3 7 2" xfId="8991"/>
    <cellStyle name="Input 2 3 7 3" xfId="16419"/>
    <cellStyle name="Input 2 3 7 4" xfId="19770"/>
    <cellStyle name="Input 2 3 7 5" xfId="27992"/>
    <cellStyle name="Input 2 3 7 6" xfId="38191"/>
    <cellStyle name="Input 2 3 7 7" xfId="48521"/>
    <cellStyle name="Input 2 3 8" xfId="1705"/>
    <cellStyle name="Input 2 3 8 2" xfId="9528"/>
    <cellStyle name="Input 2 3 8 3" xfId="16956"/>
    <cellStyle name="Input 2 3 8 4" xfId="26398"/>
    <cellStyle name="Input 2 3 8 5" xfId="35150"/>
    <cellStyle name="Input 2 3 8 6" xfId="36658"/>
    <cellStyle name="Input 2 3 8 7" xfId="53846"/>
    <cellStyle name="Input 2 3 9" xfId="1839"/>
    <cellStyle name="Input 2 3 9 2" xfId="9662"/>
    <cellStyle name="Input 2 3 9 3" xfId="17090"/>
    <cellStyle name="Input 2 3 9 4" xfId="26685"/>
    <cellStyle name="Input 2 3 9 5" xfId="35535"/>
    <cellStyle name="Input 2 3 9 6" xfId="37472"/>
    <cellStyle name="Input 2 3 9 7" xfId="54463"/>
    <cellStyle name="Input 2 30" xfId="7401"/>
    <cellStyle name="Input 2 30 2" xfId="15118"/>
    <cellStyle name="Input 2 30 3" xfId="24111"/>
    <cellStyle name="Input 2 30 4" xfId="32298"/>
    <cellStyle name="Input 2 30 5" xfId="41550"/>
    <cellStyle name="Input 2 30 6" xfId="45963"/>
    <cellStyle name="Input 2 30 7" xfId="53254"/>
    <cellStyle name="Input 2 31" xfId="7724"/>
    <cellStyle name="Input 2 31 2" xfId="15441"/>
    <cellStyle name="Input 2 31 3" xfId="24432"/>
    <cellStyle name="Input 2 31 4" xfId="32621"/>
    <cellStyle name="Input 2 31 5" xfId="41858"/>
    <cellStyle name="Input 2 31 6" xfId="46286"/>
    <cellStyle name="Input 2 31 7" xfId="49062"/>
    <cellStyle name="Input 2 32" xfId="25794"/>
    <cellStyle name="Input 2 33" xfId="34365"/>
    <cellStyle name="Input 2 34" xfId="38069"/>
    <cellStyle name="Input 2 35" xfId="52550"/>
    <cellStyle name="Input 2 4" xfId="568"/>
    <cellStyle name="Input 2 4 10" xfId="2015"/>
    <cellStyle name="Input 2 4 10 2" xfId="9838"/>
    <cellStyle name="Input 2 4 10 3" xfId="17266"/>
    <cellStyle name="Input 2 4 10 4" xfId="25149"/>
    <cellStyle name="Input 2 4 10 5" xfId="33526"/>
    <cellStyle name="Input 2 4 10 6" xfId="41275"/>
    <cellStyle name="Input 2 4 10 7" xfId="51111"/>
    <cellStyle name="Input 2 4 11" xfId="2132"/>
    <cellStyle name="Input 2 4 11 2" xfId="9955"/>
    <cellStyle name="Input 2 4 11 3" xfId="17383"/>
    <cellStyle name="Input 2 4 11 4" xfId="25542"/>
    <cellStyle name="Input 2 4 11 5" xfId="34033"/>
    <cellStyle name="Input 2 4 11 6" xfId="36710"/>
    <cellStyle name="Input 2 4 11 7" xfId="51967"/>
    <cellStyle name="Input 2 4 12" xfId="2246"/>
    <cellStyle name="Input 2 4 12 2" xfId="10069"/>
    <cellStyle name="Input 2 4 12 3" xfId="17497"/>
    <cellStyle name="Input 2 4 12 4" xfId="26140"/>
    <cellStyle name="Input 2 4 12 5" xfId="34805"/>
    <cellStyle name="Input 2 4 12 6" xfId="40202"/>
    <cellStyle name="Input 2 4 12 7" xfId="53296"/>
    <cellStyle name="Input 2 4 13" xfId="974"/>
    <cellStyle name="Input 2 4 13 2" xfId="8798"/>
    <cellStyle name="Input 2 4 13 3" xfId="16226"/>
    <cellStyle name="Input 2 4 13 4" xfId="26196"/>
    <cellStyle name="Input 2 4 13 5" xfId="34877"/>
    <cellStyle name="Input 2 4 13 6" xfId="37576"/>
    <cellStyle name="Input 2 4 13 7" xfId="53418"/>
    <cellStyle name="Input 2 4 14" xfId="1003"/>
    <cellStyle name="Input 2 4 14 2" xfId="8827"/>
    <cellStyle name="Input 2 4 14 3" xfId="16255"/>
    <cellStyle name="Input 2 4 14 4" xfId="19062"/>
    <cellStyle name="Input 2 4 14 5" xfId="33165"/>
    <cellStyle name="Input 2 4 14 6" xfId="37473"/>
    <cellStyle name="Input 2 4 14 7" xfId="50464"/>
    <cellStyle name="Input 2 4 15" xfId="2543"/>
    <cellStyle name="Input 2 4 15 2" xfId="10366"/>
    <cellStyle name="Input 2 4 15 3" xfId="17794"/>
    <cellStyle name="Input 2 4 15 4" xfId="20277"/>
    <cellStyle name="Input 2 4 15 5" xfId="28492"/>
    <cellStyle name="Input 2 4 15 6" xfId="40835"/>
    <cellStyle name="Input 2 4 15 7" xfId="47767"/>
    <cellStyle name="Input 2 4 16" xfId="2657"/>
    <cellStyle name="Input 2 4 16 2" xfId="10480"/>
    <cellStyle name="Input 2 4 16 3" xfId="17908"/>
    <cellStyle name="Input 2 4 16 4" xfId="19959"/>
    <cellStyle name="Input 2 4 16 5" xfId="28792"/>
    <cellStyle name="Input 2 4 16 6" xfId="36880"/>
    <cellStyle name="Input 2 4 16 7" xfId="50295"/>
    <cellStyle name="Input 2 4 17" xfId="2336"/>
    <cellStyle name="Input 2 4 17 2" xfId="10159"/>
    <cellStyle name="Input 2 4 17 3" xfId="17587"/>
    <cellStyle name="Input 2 4 17 4" xfId="26142"/>
    <cellStyle name="Input 2 4 17 5" xfId="34807"/>
    <cellStyle name="Input 2 4 17 6" xfId="39921"/>
    <cellStyle name="Input 2 4 17 7" xfId="53300"/>
    <cellStyle name="Input 2 4 18" xfId="2293"/>
    <cellStyle name="Input 2 4 18 2" xfId="10116"/>
    <cellStyle name="Input 2 4 18 3" xfId="17544"/>
    <cellStyle name="Input 2 4 18 4" xfId="20675"/>
    <cellStyle name="Input 2 4 18 5" xfId="26796"/>
    <cellStyle name="Input 2 4 18 6" xfId="36653"/>
    <cellStyle name="Input 2 4 18 7" xfId="50337"/>
    <cellStyle name="Input 2 4 19" xfId="2848"/>
    <cellStyle name="Input 2 4 19 2" xfId="10671"/>
    <cellStyle name="Input 2 4 19 3" xfId="18099"/>
    <cellStyle name="Input 2 4 19 4" xfId="26424"/>
    <cellStyle name="Input 2 4 19 5" xfId="35189"/>
    <cellStyle name="Input 2 4 19 6" xfId="39743"/>
    <cellStyle name="Input 2 4 19 7" xfId="53909"/>
    <cellStyle name="Input 2 4 2" xfId="716"/>
    <cellStyle name="Input 2 4 2 2" xfId="8540"/>
    <cellStyle name="Input 2 4 2 3" xfId="15968"/>
    <cellStyle name="Input 2 4 2 4" xfId="19230"/>
    <cellStyle name="Input 2 4 2 5" xfId="27596"/>
    <cellStyle name="Input 2 4 2 6" xfId="36872"/>
    <cellStyle name="Input 2 4 2 7" xfId="47580"/>
    <cellStyle name="Input 2 4 20" xfId="2955"/>
    <cellStyle name="Input 2 4 20 2" xfId="10778"/>
    <cellStyle name="Input 2 4 20 3" xfId="18206"/>
    <cellStyle name="Input 2 4 20 4" xfId="24881"/>
    <cellStyle name="Input 2 4 20 5" xfId="33195"/>
    <cellStyle name="Input 2 4 20 6" xfId="38610"/>
    <cellStyle name="Input 2 4 20 7" xfId="50521"/>
    <cellStyle name="Input 2 4 21" xfId="3332"/>
    <cellStyle name="Input 2 4 21 2" xfId="11125"/>
    <cellStyle name="Input 2 4 21 3" xfId="18453"/>
    <cellStyle name="Input 2 4 21 4" xfId="20563"/>
    <cellStyle name="Input 2 4 21 5" xfId="28103"/>
    <cellStyle name="Input 2 4 21 6" xfId="37107"/>
    <cellStyle name="Input 2 4 21 7" xfId="48732"/>
    <cellStyle name="Input 2 4 22" xfId="3451"/>
    <cellStyle name="Input 2 4 22 2" xfId="11242"/>
    <cellStyle name="Input 2 4 22 3" xfId="18564"/>
    <cellStyle name="Input 2 4 22 4" xfId="25800"/>
    <cellStyle name="Input 2 4 22 5" xfId="34376"/>
    <cellStyle name="Input 2 4 22 6" xfId="39044"/>
    <cellStyle name="Input 2 4 22 7" xfId="52565"/>
    <cellStyle name="Input 2 4 23" xfId="3611"/>
    <cellStyle name="Input 2 4 23 2" xfId="11397"/>
    <cellStyle name="Input 2 4 23 3" xfId="18671"/>
    <cellStyle name="Input 2 4 23 4" xfId="25023"/>
    <cellStyle name="Input 2 4 23 5" xfId="33378"/>
    <cellStyle name="Input 2 4 23 6" xfId="38221"/>
    <cellStyle name="Input 2 4 23 7" xfId="50849"/>
    <cellStyle name="Input 2 4 24" xfId="3724"/>
    <cellStyle name="Input 2 4 24 2" xfId="11509"/>
    <cellStyle name="Input 2 4 24 3" xfId="18781"/>
    <cellStyle name="Input 2 4 24 4" xfId="25453"/>
    <cellStyle name="Input 2 4 24 5" xfId="33915"/>
    <cellStyle name="Input 2 4 24 6" xfId="36877"/>
    <cellStyle name="Input 2 4 24 7" xfId="51760"/>
    <cellStyle name="Input 2 4 25" xfId="3853"/>
    <cellStyle name="Input 2 4 25 2" xfId="11635"/>
    <cellStyle name="Input 2 4 25 3" xfId="18891"/>
    <cellStyle name="Input 2 4 25 4" xfId="19193"/>
    <cellStyle name="Input 2 4 25 5" xfId="26759"/>
    <cellStyle name="Input 2 4 25 6" xfId="37215"/>
    <cellStyle name="Input 2 4 25 7" xfId="49133"/>
    <cellStyle name="Input 2 4 26" xfId="3972"/>
    <cellStyle name="Input 2 4 26 2" xfId="11751"/>
    <cellStyle name="Input 2 4 26 3" xfId="19000"/>
    <cellStyle name="Input 2 4 26 4" xfId="25917"/>
    <cellStyle name="Input 2 4 26 5" xfId="34518"/>
    <cellStyle name="Input 2 4 26 6" xfId="39367"/>
    <cellStyle name="Input 2 4 26 7" xfId="52818"/>
    <cellStyle name="Input 2 4 27" xfId="3501"/>
    <cellStyle name="Input 2 4 27 2" xfId="11292"/>
    <cellStyle name="Input 2 4 27 3" xfId="20485"/>
    <cellStyle name="Input 2 4 27 4" xfId="28607"/>
    <cellStyle name="Input 2 4 27 5" xfId="37981"/>
    <cellStyle name="Input 2 4 27 6" xfId="42491"/>
    <cellStyle name="Input 2 4 27 7" xfId="48450"/>
    <cellStyle name="Input 2 4 28" xfId="4168"/>
    <cellStyle name="Input 2 4 28 2" xfId="11927"/>
    <cellStyle name="Input 2 4 28 3" xfId="20878"/>
    <cellStyle name="Input 2 4 28 4" xfId="29065"/>
    <cellStyle name="Input 2 4 28 5" xfId="38441"/>
    <cellStyle name="Input 2 4 28 6" xfId="42730"/>
    <cellStyle name="Input 2 4 28 7" xfId="50154"/>
    <cellStyle name="Input 2 4 29" xfId="3873"/>
    <cellStyle name="Input 2 4 29 2" xfId="20646"/>
    <cellStyle name="Input 2 4 29 3" xfId="28817"/>
    <cellStyle name="Input 2 4 29 4" xfId="38210"/>
    <cellStyle name="Input 2 4 29 5" xfId="42547"/>
    <cellStyle name="Input 2 4 29 6" xfId="48171"/>
    <cellStyle name="Input 2 4 3" xfId="825"/>
    <cellStyle name="Input 2 4 3 2" xfId="8649"/>
    <cellStyle name="Input 2 4 3 3" xfId="16077"/>
    <cellStyle name="Input 2 4 3 4" xfId="26208"/>
    <cellStyle name="Input 2 4 3 5" xfId="34890"/>
    <cellStyle name="Input 2 4 3 6" xfId="37275"/>
    <cellStyle name="Input 2 4 3 7" xfId="53440"/>
    <cellStyle name="Input 2 4 30" xfId="4366"/>
    <cellStyle name="Input 2 4 30 2" xfId="12083"/>
    <cellStyle name="Input 2 4 30 3" xfId="21076"/>
    <cellStyle name="Input 2 4 30 4" xfId="29263"/>
    <cellStyle name="Input 2 4 30 5" xfId="38633"/>
    <cellStyle name="Input 2 4 30 6" xfId="42928"/>
    <cellStyle name="Input 2 4 30 7" xfId="52545"/>
    <cellStyle name="Input 2 4 31" xfId="4488"/>
    <cellStyle name="Input 2 4 31 2" xfId="12205"/>
    <cellStyle name="Input 2 4 31 3" xfId="21198"/>
    <cellStyle name="Input 2 4 31 4" xfId="29385"/>
    <cellStyle name="Input 2 4 31 5" xfId="38749"/>
    <cellStyle name="Input 2 4 31 6" xfId="43050"/>
    <cellStyle name="Input 2 4 31 7" xfId="52877"/>
    <cellStyle name="Input 2 4 32" xfId="4602"/>
    <cellStyle name="Input 2 4 32 2" xfId="12319"/>
    <cellStyle name="Input 2 4 32 3" xfId="21312"/>
    <cellStyle name="Input 2 4 32 4" xfId="29499"/>
    <cellStyle name="Input 2 4 32 5" xfId="38858"/>
    <cellStyle name="Input 2 4 32 6" xfId="43164"/>
    <cellStyle name="Input 2 4 32 7" xfId="49398"/>
    <cellStyle name="Input 2 4 33" xfId="4715"/>
    <cellStyle name="Input 2 4 33 2" xfId="12432"/>
    <cellStyle name="Input 2 4 33 3" xfId="21425"/>
    <cellStyle name="Input 2 4 33 4" xfId="29612"/>
    <cellStyle name="Input 2 4 33 5" xfId="38967"/>
    <cellStyle name="Input 2 4 33 6" xfId="43277"/>
    <cellStyle name="Input 2 4 33 7" xfId="51839"/>
    <cellStyle name="Input 2 4 34" xfId="4825"/>
    <cellStyle name="Input 2 4 34 2" xfId="12542"/>
    <cellStyle name="Input 2 4 34 3" xfId="21535"/>
    <cellStyle name="Input 2 4 34 4" xfId="29722"/>
    <cellStyle name="Input 2 4 34 5" xfId="39074"/>
    <cellStyle name="Input 2 4 34 6" xfId="43387"/>
    <cellStyle name="Input 2 4 34 7" xfId="49169"/>
    <cellStyle name="Input 2 4 35" xfId="4935"/>
    <cellStyle name="Input 2 4 35 2" xfId="12652"/>
    <cellStyle name="Input 2 4 35 3" xfId="21645"/>
    <cellStyle name="Input 2 4 35 4" xfId="29832"/>
    <cellStyle name="Input 2 4 35 5" xfId="39179"/>
    <cellStyle name="Input 2 4 35 6" xfId="43497"/>
    <cellStyle name="Input 2 4 35 7" xfId="54364"/>
    <cellStyle name="Input 2 4 36" xfId="5045"/>
    <cellStyle name="Input 2 4 36 2" xfId="12762"/>
    <cellStyle name="Input 2 4 36 3" xfId="21755"/>
    <cellStyle name="Input 2 4 36 4" xfId="29942"/>
    <cellStyle name="Input 2 4 36 5" xfId="39286"/>
    <cellStyle name="Input 2 4 36 6" xfId="43607"/>
    <cellStyle name="Input 2 4 36 7" xfId="49392"/>
    <cellStyle name="Input 2 4 37" xfId="5425"/>
    <cellStyle name="Input 2 4 37 2" xfId="13142"/>
    <cellStyle name="Input 2 4 37 3" xfId="22135"/>
    <cellStyle name="Input 2 4 37 4" xfId="30322"/>
    <cellStyle name="Input 2 4 37 5" xfId="39651"/>
    <cellStyle name="Input 2 4 37 6" xfId="43987"/>
    <cellStyle name="Input 2 4 37 7" xfId="48831"/>
    <cellStyle name="Input 2 4 38" xfId="5545"/>
    <cellStyle name="Input 2 4 38 2" xfId="13262"/>
    <cellStyle name="Input 2 4 38 3" xfId="22255"/>
    <cellStyle name="Input 2 4 38 4" xfId="30442"/>
    <cellStyle name="Input 2 4 38 5" xfId="39765"/>
    <cellStyle name="Input 2 4 38 6" xfId="44107"/>
    <cellStyle name="Input 2 4 38 7" xfId="47181"/>
    <cellStyle name="Input 2 4 39" xfId="5669"/>
    <cellStyle name="Input 2 4 39 2" xfId="13386"/>
    <cellStyle name="Input 2 4 39 3" xfId="22379"/>
    <cellStyle name="Input 2 4 39 4" xfId="30566"/>
    <cellStyle name="Input 2 4 39 5" xfId="39886"/>
    <cellStyle name="Input 2 4 39 6" xfId="44231"/>
    <cellStyle name="Input 2 4 39 7" xfId="47102"/>
    <cellStyle name="Input 2 4 4" xfId="935"/>
    <cellStyle name="Input 2 4 4 2" xfId="8759"/>
    <cellStyle name="Input 2 4 4 3" xfId="16187"/>
    <cellStyle name="Input 2 4 4 4" xfId="24826"/>
    <cellStyle name="Input 2 4 4 5" xfId="27886"/>
    <cellStyle name="Input 2 4 4 6" xfId="36524"/>
    <cellStyle name="Input 2 4 4 7" xfId="50307"/>
    <cellStyle name="Input 2 4 40" xfId="5785"/>
    <cellStyle name="Input 2 4 40 2" xfId="13502"/>
    <cellStyle name="Input 2 4 40 3" xfId="22495"/>
    <cellStyle name="Input 2 4 40 4" xfId="30682"/>
    <cellStyle name="Input 2 4 40 5" xfId="39998"/>
    <cellStyle name="Input 2 4 40 6" xfId="44347"/>
    <cellStyle name="Input 2 4 40 7" xfId="47269"/>
    <cellStyle name="Input 2 4 41" xfId="5902"/>
    <cellStyle name="Input 2 4 41 2" xfId="13619"/>
    <cellStyle name="Input 2 4 41 3" xfId="22612"/>
    <cellStyle name="Input 2 4 41 4" xfId="30799"/>
    <cellStyle name="Input 2 4 41 5" xfId="40112"/>
    <cellStyle name="Input 2 4 41 6" xfId="44464"/>
    <cellStyle name="Input 2 4 41 7" xfId="49006"/>
    <cellStyle name="Input 2 4 42" xfId="6030"/>
    <cellStyle name="Input 2 4 42 2" xfId="13747"/>
    <cellStyle name="Input 2 4 42 3" xfId="22740"/>
    <cellStyle name="Input 2 4 42 4" xfId="30927"/>
    <cellStyle name="Input 2 4 42 5" xfId="40235"/>
    <cellStyle name="Input 2 4 42 6" xfId="44592"/>
    <cellStyle name="Input 2 4 42 7" xfId="51252"/>
    <cellStyle name="Input 2 4 43" xfId="6157"/>
    <cellStyle name="Input 2 4 43 2" xfId="13874"/>
    <cellStyle name="Input 2 4 43 3" xfId="22867"/>
    <cellStyle name="Input 2 4 43 4" xfId="31054"/>
    <cellStyle name="Input 2 4 43 5" xfId="40355"/>
    <cellStyle name="Input 2 4 43 6" xfId="44719"/>
    <cellStyle name="Input 2 4 43 7" xfId="52745"/>
    <cellStyle name="Input 2 4 44" xfId="6286"/>
    <cellStyle name="Input 2 4 44 2" xfId="14003"/>
    <cellStyle name="Input 2 4 44 3" xfId="22996"/>
    <cellStyle name="Input 2 4 44 4" xfId="31183"/>
    <cellStyle name="Input 2 4 44 5" xfId="40483"/>
    <cellStyle name="Input 2 4 44 6" xfId="44848"/>
    <cellStyle name="Input 2 4 44 7" xfId="47707"/>
    <cellStyle name="Input 2 4 45" xfId="6401"/>
    <cellStyle name="Input 2 4 45 2" xfId="14118"/>
    <cellStyle name="Input 2 4 45 3" xfId="23111"/>
    <cellStyle name="Input 2 4 45 4" xfId="31298"/>
    <cellStyle name="Input 2 4 45 5" xfId="40594"/>
    <cellStyle name="Input 2 4 45 6" xfId="44963"/>
    <cellStyle name="Input 2 4 45 7" xfId="47450"/>
    <cellStyle name="Input 2 4 46" xfId="6513"/>
    <cellStyle name="Input 2 4 46 2" xfId="14230"/>
    <cellStyle name="Input 2 4 46 3" xfId="23223"/>
    <cellStyle name="Input 2 4 46 4" xfId="31410"/>
    <cellStyle name="Input 2 4 46 5" xfId="40702"/>
    <cellStyle name="Input 2 4 46 6" xfId="45075"/>
    <cellStyle name="Input 2 4 46 7" xfId="51702"/>
    <cellStyle name="Input 2 4 47" xfId="6242"/>
    <cellStyle name="Input 2 4 47 2" xfId="13959"/>
    <cellStyle name="Input 2 4 47 3" xfId="22952"/>
    <cellStyle name="Input 2 4 47 4" xfId="31139"/>
    <cellStyle name="Input 2 4 47 5" xfId="40440"/>
    <cellStyle name="Input 2 4 47 6" xfId="44804"/>
    <cellStyle name="Input 2 4 47 7" xfId="50987"/>
    <cellStyle name="Input 2 4 48" xfId="6660"/>
    <cellStyle name="Input 2 4 48 2" xfId="14377"/>
    <cellStyle name="Input 2 4 48 3" xfId="23370"/>
    <cellStyle name="Input 2 4 48 4" xfId="31557"/>
    <cellStyle name="Input 2 4 48 5" xfId="40841"/>
    <cellStyle name="Input 2 4 48 6" xfId="45222"/>
    <cellStyle name="Input 2 4 48 7" xfId="47669"/>
    <cellStyle name="Input 2 4 49" xfId="6771"/>
    <cellStyle name="Input 2 4 49 2" xfId="14488"/>
    <cellStyle name="Input 2 4 49 3" xfId="23481"/>
    <cellStyle name="Input 2 4 49 4" xfId="31668"/>
    <cellStyle name="Input 2 4 49 5" xfId="40947"/>
    <cellStyle name="Input 2 4 49 6" xfId="45333"/>
    <cellStyle name="Input 2 4 49 7" xfId="48053"/>
    <cellStyle name="Input 2 4 5" xfId="1403"/>
    <cellStyle name="Input 2 4 5 2" xfId="9226"/>
    <cellStyle name="Input 2 4 5 3" xfId="16654"/>
    <cellStyle name="Input 2 4 5 4" xfId="19947"/>
    <cellStyle name="Input 2 4 5 5" xfId="27266"/>
    <cellStyle name="Input 2 4 5 6" xfId="36317"/>
    <cellStyle name="Input 2 4 5 7" xfId="49448"/>
    <cellStyle name="Input 2 4 50" xfId="6886"/>
    <cellStyle name="Input 2 4 50 2" xfId="14603"/>
    <cellStyle name="Input 2 4 50 3" xfId="23596"/>
    <cellStyle name="Input 2 4 50 4" xfId="31783"/>
    <cellStyle name="Input 2 4 50 5" xfId="41055"/>
    <cellStyle name="Input 2 4 50 6" xfId="45448"/>
    <cellStyle name="Input 2 4 50 7" xfId="46923"/>
    <cellStyle name="Input 2 4 51" xfId="6999"/>
    <cellStyle name="Input 2 4 51 2" xfId="14716"/>
    <cellStyle name="Input 2 4 51 3" xfId="23709"/>
    <cellStyle name="Input 2 4 51 4" xfId="31896"/>
    <cellStyle name="Input 2 4 51 5" xfId="41163"/>
    <cellStyle name="Input 2 4 51 6" xfId="45561"/>
    <cellStyle name="Input 2 4 51 7" xfId="47222"/>
    <cellStyle name="Input 2 4 52" xfId="7109"/>
    <cellStyle name="Input 2 4 52 2" xfId="14826"/>
    <cellStyle name="Input 2 4 52 3" xfId="23819"/>
    <cellStyle name="Input 2 4 52 4" xfId="32006"/>
    <cellStyle name="Input 2 4 52 5" xfId="41268"/>
    <cellStyle name="Input 2 4 52 6" xfId="45671"/>
    <cellStyle name="Input 2 4 52 7" xfId="54497"/>
    <cellStyle name="Input 2 4 53" xfId="7169"/>
    <cellStyle name="Input 2 4 53 2" xfId="14886"/>
    <cellStyle name="Input 2 4 53 3" xfId="23879"/>
    <cellStyle name="Input 2 4 53 4" xfId="32066"/>
    <cellStyle name="Input 2 4 53 5" xfId="41328"/>
    <cellStyle name="Input 2 4 53 6" xfId="45731"/>
    <cellStyle name="Input 2 4 53 7" xfId="48373"/>
    <cellStyle name="Input 2 4 54" xfId="7262"/>
    <cellStyle name="Input 2 4 54 2" xfId="14979"/>
    <cellStyle name="Input 2 4 54 3" xfId="23972"/>
    <cellStyle name="Input 2 4 54 4" xfId="32159"/>
    <cellStyle name="Input 2 4 54 5" xfId="41415"/>
    <cellStyle name="Input 2 4 54 6" xfId="45824"/>
    <cellStyle name="Input 2 4 54 7" xfId="48120"/>
    <cellStyle name="Input 2 4 55" xfId="7506"/>
    <cellStyle name="Input 2 4 55 2" xfId="15223"/>
    <cellStyle name="Input 2 4 55 3" xfId="24216"/>
    <cellStyle name="Input 2 4 55 4" xfId="32403"/>
    <cellStyle name="Input 2 4 55 5" xfId="41650"/>
    <cellStyle name="Input 2 4 55 6" xfId="46068"/>
    <cellStyle name="Input 2 4 55 7" xfId="49459"/>
    <cellStyle name="Input 2 4 56" xfId="7627"/>
    <cellStyle name="Input 2 4 56 2" xfId="15344"/>
    <cellStyle name="Input 2 4 56 3" xfId="24337"/>
    <cellStyle name="Input 2 4 56 4" xfId="32524"/>
    <cellStyle name="Input 2 4 56 5" xfId="41766"/>
    <cellStyle name="Input 2 4 56 6" xfId="46189"/>
    <cellStyle name="Input 2 4 56 7" xfId="53241"/>
    <cellStyle name="Input 2 4 57" xfId="7904"/>
    <cellStyle name="Input 2 4 57 2" xfId="15621"/>
    <cellStyle name="Input 2 4 57 3" xfId="24608"/>
    <cellStyle name="Input 2 4 57 4" xfId="32801"/>
    <cellStyle name="Input 2 4 57 5" xfId="42032"/>
    <cellStyle name="Input 2 4 57 6" xfId="46466"/>
    <cellStyle name="Input 2 4 57 7" xfId="52810"/>
    <cellStyle name="Input 2 4 58" xfId="8032"/>
    <cellStyle name="Input 2 4 58 2" xfId="15749"/>
    <cellStyle name="Input 2 4 58 3" xfId="24734"/>
    <cellStyle name="Input 2 4 58 4" xfId="32929"/>
    <cellStyle name="Input 2 4 58 5" xfId="42154"/>
    <cellStyle name="Input 2 4 58 6" xfId="46594"/>
    <cellStyle name="Input 2 4 58 7" xfId="53893"/>
    <cellStyle name="Input 2 4 59" xfId="7690"/>
    <cellStyle name="Input 2 4 59 2" xfId="15407"/>
    <cellStyle name="Input 2 4 59 3" xfId="24398"/>
    <cellStyle name="Input 2 4 59 4" xfId="32587"/>
    <cellStyle name="Input 2 4 59 5" xfId="41825"/>
    <cellStyle name="Input 2 4 59 6" xfId="46252"/>
    <cellStyle name="Input 2 4 59 7" xfId="53072"/>
    <cellStyle name="Input 2 4 6" xfId="1526"/>
    <cellStyle name="Input 2 4 6 2" xfId="9349"/>
    <cellStyle name="Input 2 4 6 3" xfId="16777"/>
    <cellStyle name="Input 2 4 6 4" xfId="20130"/>
    <cellStyle name="Input 2 4 6 5" xfId="28793"/>
    <cellStyle name="Input 2 4 6 6" xfId="38472"/>
    <cellStyle name="Input 2 4 6 7" xfId="49416"/>
    <cellStyle name="Input 2 4 60" xfId="8179"/>
    <cellStyle name="Input 2 4 60 2" xfId="15896"/>
    <cellStyle name="Input 2 4 60 3" xfId="33076"/>
    <cellStyle name="Input 2 4 60 4" xfId="42295"/>
    <cellStyle name="Input 2 4 60 5" xfId="46741"/>
    <cellStyle name="Input 2 4 60 6" xfId="46877"/>
    <cellStyle name="Input 2 4 61" xfId="25758"/>
    <cellStyle name="Input 2 4 62" xfId="34311"/>
    <cellStyle name="Input 2 4 63" xfId="36254"/>
    <cellStyle name="Input 2 4 64" xfId="52445"/>
    <cellStyle name="Input 2 4 7" xfId="1114"/>
    <cellStyle name="Input 2 4 7 2" xfId="8938"/>
    <cellStyle name="Input 2 4 7 3" xfId="16366"/>
    <cellStyle name="Input 2 4 7 4" xfId="26200"/>
    <cellStyle name="Input 2 4 7 5" xfId="34881"/>
    <cellStyle name="Input 2 4 7 6" xfId="36592"/>
    <cellStyle name="Input 2 4 7 7" xfId="53426"/>
    <cellStyle name="Input 2 4 8" xfId="1763"/>
    <cellStyle name="Input 2 4 8 2" xfId="9586"/>
    <cellStyle name="Input 2 4 8 3" xfId="17014"/>
    <cellStyle name="Input 2 4 8 4" xfId="20552"/>
    <cellStyle name="Input 2 4 8 5" xfId="28669"/>
    <cellStyle name="Input 2 4 8 6" xfId="37723"/>
    <cellStyle name="Input 2 4 8 7" xfId="49682"/>
    <cellStyle name="Input 2 4 9" xfId="1896"/>
    <cellStyle name="Input 2 4 9 2" xfId="9719"/>
    <cellStyle name="Input 2 4 9 3" xfId="17147"/>
    <cellStyle name="Input 2 4 9 4" xfId="19217"/>
    <cellStyle name="Input 2 4 9 5" xfId="27080"/>
    <cellStyle name="Input 2 4 9 6" xfId="37858"/>
    <cellStyle name="Input 2 4 9 7" xfId="48965"/>
    <cellStyle name="Input 2 5" xfId="584"/>
    <cellStyle name="Input 2 5 10" xfId="2030"/>
    <cellStyle name="Input 2 5 10 2" xfId="9853"/>
    <cellStyle name="Input 2 5 10 3" xfId="17281"/>
    <cellStyle name="Input 2 5 10 4" xfId="19920"/>
    <cellStyle name="Input 2 5 10 5" xfId="27239"/>
    <cellStyle name="Input 2 5 10 6" xfId="39893"/>
    <cellStyle name="Input 2 5 10 7" xfId="49449"/>
    <cellStyle name="Input 2 5 11" xfId="2147"/>
    <cellStyle name="Input 2 5 11 2" xfId="9970"/>
    <cellStyle name="Input 2 5 11 3" xfId="17398"/>
    <cellStyle name="Input 2 5 11 4" xfId="19697"/>
    <cellStyle name="Input 2 5 11 5" xfId="27009"/>
    <cellStyle name="Input 2 5 11 6" xfId="37803"/>
    <cellStyle name="Input 2 5 11 7" xfId="50248"/>
    <cellStyle name="Input 2 5 12" xfId="2261"/>
    <cellStyle name="Input 2 5 12 2" xfId="10084"/>
    <cellStyle name="Input 2 5 12 3" xfId="17512"/>
    <cellStyle name="Input 2 5 12 4" xfId="26457"/>
    <cellStyle name="Input 2 5 12 5" xfId="35233"/>
    <cellStyle name="Input 2 5 12 6" xfId="36474"/>
    <cellStyle name="Input 2 5 12 7" xfId="53976"/>
    <cellStyle name="Input 2 5 13" xfId="1656"/>
    <cellStyle name="Input 2 5 13 2" xfId="9479"/>
    <cellStyle name="Input 2 5 13 3" xfId="16907"/>
    <cellStyle name="Input 2 5 13 4" xfId="25338"/>
    <cellStyle name="Input 2 5 13 5" xfId="33769"/>
    <cellStyle name="Input 2 5 13 6" xfId="39800"/>
    <cellStyle name="Input 2 5 13 7" xfId="51506"/>
    <cellStyle name="Input 2 5 14" xfId="1008"/>
    <cellStyle name="Input 2 5 14 2" xfId="8832"/>
    <cellStyle name="Input 2 5 14 3" xfId="16260"/>
    <cellStyle name="Input 2 5 14 4" xfId="19131"/>
    <cellStyle name="Input 2 5 14 5" xfId="26868"/>
    <cellStyle name="Input 2 5 14 6" xfId="37183"/>
    <cellStyle name="Input 2 5 14 7" xfId="49862"/>
    <cellStyle name="Input 2 5 15" xfId="2559"/>
    <cellStyle name="Input 2 5 15 2" xfId="10382"/>
    <cellStyle name="Input 2 5 15 3" xfId="17810"/>
    <cellStyle name="Input 2 5 15 4" xfId="26396"/>
    <cellStyle name="Input 2 5 15 5" xfId="35147"/>
    <cellStyle name="Input 2 5 15 6" xfId="39173"/>
    <cellStyle name="Input 2 5 15 7" xfId="53841"/>
    <cellStyle name="Input 2 5 16" xfId="2673"/>
    <cellStyle name="Input 2 5 16 2" xfId="10496"/>
    <cellStyle name="Input 2 5 16 3" xfId="17924"/>
    <cellStyle name="Input 2 5 16 4" xfId="19641"/>
    <cellStyle name="Input 2 5 16 5" xfId="27119"/>
    <cellStyle name="Input 2 5 16 6" xfId="36933"/>
    <cellStyle name="Input 2 5 16 7" xfId="48671"/>
    <cellStyle name="Input 2 5 17" xfId="1156"/>
    <cellStyle name="Input 2 5 17 2" xfId="8979"/>
    <cellStyle name="Input 2 5 17 3" xfId="16407"/>
    <cellStyle name="Input 2 5 17 4" xfId="19793"/>
    <cellStyle name="Input 2 5 17 5" xfId="27125"/>
    <cellStyle name="Input 2 5 17 6" xfId="39270"/>
    <cellStyle name="Input 2 5 17 7" xfId="47998"/>
    <cellStyle name="Input 2 5 18" xfId="1228"/>
    <cellStyle name="Input 2 5 18 2" xfId="9051"/>
    <cellStyle name="Input 2 5 18 3" xfId="16479"/>
    <cellStyle name="Input 2 5 18 4" xfId="20643"/>
    <cellStyle name="Input 2 5 18 5" xfId="27820"/>
    <cellStyle name="Input 2 5 18 6" xfId="38435"/>
    <cellStyle name="Input 2 5 18 7" xfId="48864"/>
    <cellStyle name="Input 2 5 19" xfId="2862"/>
    <cellStyle name="Input 2 5 19 2" xfId="10685"/>
    <cellStyle name="Input 2 5 19 3" xfId="18113"/>
    <cellStyle name="Input 2 5 19 4" xfId="25414"/>
    <cellStyle name="Input 2 5 19 5" xfId="33870"/>
    <cellStyle name="Input 2 5 19 6" xfId="38186"/>
    <cellStyle name="Input 2 5 19 7" xfId="51678"/>
    <cellStyle name="Input 2 5 2" xfId="730"/>
    <cellStyle name="Input 2 5 2 2" xfId="8554"/>
    <cellStyle name="Input 2 5 2 3" xfId="15982"/>
    <cellStyle name="Input 2 5 2 4" xfId="24894"/>
    <cellStyle name="Input 2 5 2 5" xfId="33210"/>
    <cellStyle name="Input 2 5 2 6" xfId="36607"/>
    <cellStyle name="Input 2 5 2 7" xfId="50549"/>
    <cellStyle name="Input 2 5 20" xfId="2969"/>
    <cellStyle name="Input 2 5 20 2" xfId="10792"/>
    <cellStyle name="Input 2 5 20 3" xfId="18220"/>
    <cellStyle name="Input 2 5 20 4" xfId="19667"/>
    <cellStyle name="Input 2 5 20 5" xfId="28771"/>
    <cellStyle name="Input 2 5 20 6" xfId="37554"/>
    <cellStyle name="Input 2 5 20 7" xfId="48929"/>
    <cellStyle name="Input 2 5 21" xfId="3348"/>
    <cellStyle name="Input 2 5 21 2" xfId="11141"/>
    <cellStyle name="Input 2 5 21 3" xfId="18468"/>
    <cellStyle name="Input 2 5 21 4" xfId="26530"/>
    <cellStyle name="Input 2 5 21 5" xfId="35330"/>
    <cellStyle name="Input 2 5 21 6" xfId="41882"/>
    <cellStyle name="Input 2 5 21 7" xfId="54136"/>
    <cellStyle name="Input 2 5 22" xfId="3467"/>
    <cellStyle name="Input 2 5 22 2" xfId="11258"/>
    <cellStyle name="Input 2 5 22 3" xfId="18578"/>
    <cellStyle name="Input 2 5 22 4" xfId="19611"/>
    <cellStyle name="Input 2 5 22 5" xfId="27346"/>
    <cellStyle name="Input 2 5 22 6" xfId="37604"/>
    <cellStyle name="Input 2 5 22 7" xfId="47560"/>
    <cellStyle name="Input 2 5 23" xfId="3625"/>
    <cellStyle name="Input 2 5 23 2" xfId="11411"/>
    <cellStyle name="Input 2 5 23 3" xfId="18685"/>
    <cellStyle name="Input 2 5 23 4" xfId="20597"/>
    <cellStyle name="Input 2 5 23 5" xfId="27556"/>
    <cellStyle name="Input 2 5 23 6" xfId="36583"/>
    <cellStyle name="Input 2 5 23 7" xfId="49410"/>
    <cellStyle name="Input 2 5 24" xfId="3740"/>
    <cellStyle name="Input 2 5 24 2" xfId="11525"/>
    <cellStyle name="Input 2 5 24 3" xfId="18795"/>
    <cellStyle name="Input 2 5 24 4" xfId="26486"/>
    <cellStyle name="Input 2 5 24 5" xfId="35275"/>
    <cellStyle name="Input 2 5 24 6" xfId="36756"/>
    <cellStyle name="Input 2 5 24 7" xfId="54048"/>
    <cellStyle name="Input 2 5 25" xfId="3868"/>
    <cellStyle name="Input 2 5 25 2" xfId="11650"/>
    <cellStyle name="Input 2 5 25 3" xfId="18905"/>
    <cellStyle name="Input 2 5 25 4" xfId="19331"/>
    <cellStyle name="Input 2 5 25 5" xfId="28193"/>
    <cellStyle name="Input 2 5 25 6" xfId="37006"/>
    <cellStyle name="Input 2 5 25 7" xfId="48323"/>
    <cellStyle name="Input 2 5 26" xfId="3987"/>
    <cellStyle name="Input 2 5 26 2" xfId="11766"/>
    <cellStyle name="Input 2 5 26 3" xfId="19014"/>
    <cellStyle name="Input 2 5 26 4" xfId="25155"/>
    <cellStyle name="Input 2 5 26 5" xfId="33532"/>
    <cellStyle name="Input 2 5 26 6" xfId="37752"/>
    <cellStyle name="Input 2 5 26 7" xfId="51123"/>
    <cellStyle name="Input 2 5 27" xfId="3052"/>
    <cellStyle name="Input 2 5 27 2" xfId="10864"/>
    <cellStyle name="Input 2 5 27 3" xfId="20218"/>
    <cellStyle name="Input 2 5 27 4" xfId="28310"/>
    <cellStyle name="Input 2 5 27 5" xfId="37690"/>
    <cellStyle name="Input 2 5 27 6" xfId="42375"/>
    <cellStyle name="Input 2 5 27 7" xfId="47686"/>
    <cellStyle name="Input 2 5 28" xfId="4183"/>
    <cellStyle name="Input 2 5 28 2" xfId="11942"/>
    <cellStyle name="Input 2 5 28 3" xfId="20893"/>
    <cellStyle name="Input 2 5 28 4" xfId="29080"/>
    <cellStyle name="Input 2 5 28 5" xfId="38456"/>
    <cellStyle name="Input 2 5 28 6" xfId="42745"/>
    <cellStyle name="Input 2 5 28 7" xfId="53476"/>
    <cellStyle name="Input 2 5 29" xfId="4254"/>
    <cellStyle name="Input 2 5 29 2" xfId="20964"/>
    <cellStyle name="Input 2 5 29 3" xfId="29151"/>
    <cellStyle name="Input 2 5 29 4" xfId="38524"/>
    <cellStyle name="Input 2 5 29 5" xfId="42816"/>
    <cellStyle name="Input 2 5 29 6" xfId="53701"/>
    <cellStyle name="Input 2 5 3" xfId="839"/>
    <cellStyle name="Input 2 5 3 2" xfId="8663"/>
    <cellStyle name="Input 2 5 3 3" xfId="16091"/>
    <cellStyle name="Input 2 5 3 4" xfId="20435"/>
    <cellStyle name="Input 2 5 3 5" xfId="28728"/>
    <cellStyle name="Input 2 5 3 6" xfId="36654"/>
    <cellStyle name="Input 2 5 3 7" xfId="47611"/>
    <cellStyle name="Input 2 5 30" xfId="4382"/>
    <cellStyle name="Input 2 5 30 2" xfId="12099"/>
    <cellStyle name="Input 2 5 30 3" xfId="21092"/>
    <cellStyle name="Input 2 5 30 4" xfId="29279"/>
    <cellStyle name="Input 2 5 30 5" xfId="38649"/>
    <cellStyle name="Input 2 5 30 6" xfId="42944"/>
    <cellStyle name="Input 2 5 30 7" xfId="47532"/>
    <cellStyle name="Input 2 5 31" xfId="4502"/>
    <cellStyle name="Input 2 5 31 2" xfId="12219"/>
    <cellStyle name="Input 2 5 31 3" xfId="21212"/>
    <cellStyle name="Input 2 5 31 4" xfId="29399"/>
    <cellStyle name="Input 2 5 31 5" xfId="38763"/>
    <cellStyle name="Input 2 5 31 6" xfId="43064"/>
    <cellStyle name="Input 2 5 31 7" xfId="51291"/>
    <cellStyle name="Input 2 5 32" xfId="4616"/>
    <cellStyle name="Input 2 5 32 2" xfId="12333"/>
    <cellStyle name="Input 2 5 32 3" xfId="21326"/>
    <cellStyle name="Input 2 5 32 4" xfId="29513"/>
    <cellStyle name="Input 2 5 32 5" xfId="38872"/>
    <cellStyle name="Input 2 5 32 6" xfId="43178"/>
    <cellStyle name="Input 2 5 32 7" xfId="52380"/>
    <cellStyle name="Input 2 5 33" xfId="4729"/>
    <cellStyle name="Input 2 5 33 2" xfId="12446"/>
    <cellStyle name="Input 2 5 33 3" xfId="21439"/>
    <cellStyle name="Input 2 5 33 4" xfId="29626"/>
    <cellStyle name="Input 2 5 33 5" xfId="38981"/>
    <cellStyle name="Input 2 5 33 6" xfId="43291"/>
    <cellStyle name="Input 2 5 33 7" xfId="51434"/>
    <cellStyle name="Input 2 5 34" xfId="4839"/>
    <cellStyle name="Input 2 5 34 2" xfId="12556"/>
    <cellStyle name="Input 2 5 34 3" xfId="21549"/>
    <cellStyle name="Input 2 5 34 4" xfId="29736"/>
    <cellStyle name="Input 2 5 34 5" xfId="39087"/>
    <cellStyle name="Input 2 5 34 6" xfId="43401"/>
    <cellStyle name="Input 2 5 34 7" xfId="49041"/>
    <cellStyle name="Input 2 5 35" xfId="4949"/>
    <cellStyle name="Input 2 5 35 2" xfId="12666"/>
    <cellStyle name="Input 2 5 35 3" xfId="21659"/>
    <cellStyle name="Input 2 5 35 4" xfId="29846"/>
    <cellStyle name="Input 2 5 35 5" xfId="39193"/>
    <cellStyle name="Input 2 5 35 6" xfId="43511"/>
    <cellStyle name="Input 2 5 35 7" xfId="51672"/>
    <cellStyle name="Input 2 5 36" xfId="5059"/>
    <cellStyle name="Input 2 5 36 2" xfId="12776"/>
    <cellStyle name="Input 2 5 36 3" xfId="21769"/>
    <cellStyle name="Input 2 5 36 4" xfId="29956"/>
    <cellStyle name="Input 2 5 36 5" xfId="39299"/>
    <cellStyle name="Input 2 5 36 6" xfId="43621"/>
    <cellStyle name="Input 2 5 36 7" xfId="53764"/>
    <cellStyle name="Input 2 5 37" xfId="5440"/>
    <cellStyle name="Input 2 5 37 2" xfId="13157"/>
    <cellStyle name="Input 2 5 37 3" xfId="22150"/>
    <cellStyle name="Input 2 5 37 4" xfId="30337"/>
    <cellStyle name="Input 2 5 37 5" xfId="39666"/>
    <cellStyle name="Input 2 5 37 6" xfId="44002"/>
    <cellStyle name="Input 2 5 37 7" xfId="48411"/>
    <cellStyle name="Input 2 5 38" xfId="5559"/>
    <cellStyle name="Input 2 5 38 2" xfId="13276"/>
    <cellStyle name="Input 2 5 38 3" xfId="22269"/>
    <cellStyle name="Input 2 5 38 4" xfId="30456"/>
    <cellStyle name="Input 2 5 38 5" xfId="39779"/>
    <cellStyle name="Input 2 5 38 6" xfId="44121"/>
    <cellStyle name="Input 2 5 38 7" xfId="47212"/>
    <cellStyle name="Input 2 5 39" xfId="5685"/>
    <cellStyle name="Input 2 5 39 2" xfId="13402"/>
    <cellStyle name="Input 2 5 39 3" xfId="22395"/>
    <cellStyle name="Input 2 5 39 4" xfId="30582"/>
    <cellStyle name="Input 2 5 39 5" xfId="39900"/>
    <cellStyle name="Input 2 5 39 6" xfId="44247"/>
    <cellStyle name="Input 2 5 39 7" xfId="47091"/>
    <cellStyle name="Input 2 5 4" xfId="949"/>
    <cellStyle name="Input 2 5 4 2" xfId="8773"/>
    <cellStyle name="Input 2 5 4 3" xfId="16201"/>
    <cellStyle name="Input 2 5 4 4" xfId="20524"/>
    <cellStyle name="Input 2 5 4 5" xfId="27059"/>
    <cellStyle name="Input 2 5 4 6" xfId="37375"/>
    <cellStyle name="Input 2 5 4 7" xfId="48792"/>
    <cellStyle name="Input 2 5 40" xfId="5799"/>
    <cellStyle name="Input 2 5 40 2" xfId="13516"/>
    <cellStyle name="Input 2 5 40 3" xfId="22509"/>
    <cellStyle name="Input 2 5 40 4" xfId="30696"/>
    <cellStyle name="Input 2 5 40 5" xfId="40011"/>
    <cellStyle name="Input 2 5 40 6" xfId="44361"/>
    <cellStyle name="Input 2 5 40 7" xfId="53386"/>
    <cellStyle name="Input 2 5 41" xfId="5918"/>
    <cellStyle name="Input 2 5 41 2" xfId="13635"/>
    <cellStyle name="Input 2 5 41 3" xfId="22628"/>
    <cellStyle name="Input 2 5 41 4" xfId="30815"/>
    <cellStyle name="Input 2 5 41 5" xfId="40127"/>
    <cellStyle name="Input 2 5 41 6" xfId="44480"/>
    <cellStyle name="Input 2 5 41 7" xfId="47365"/>
    <cellStyle name="Input 2 5 42" xfId="6044"/>
    <cellStyle name="Input 2 5 42 2" xfId="13761"/>
    <cellStyle name="Input 2 5 42 3" xfId="22754"/>
    <cellStyle name="Input 2 5 42 4" xfId="30941"/>
    <cellStyle name="Input 2 5 42 5" xfId="40248"/>
    <cellStyle name="Input 2 5 42 6" xfId="44606"/>
    <cellStyle name="Input 2 5 42 7" xfId="49581"/>
    <cellStyle name="Input 2 5 43" xfId="6172"/>
    <cellStyle name="Input 2 5 43 2" xfId="13889"/>
    <cellStyle name="Input 2 5 43 3" xfId="22882"/>
    <cellStyle name="Input 2 5 43 4" xfId="31069"/>
    <cellStyle name="Input 2 5 43 5" xfId="40370"/>
    <cellStyle name="Input 2 5 43 6" xfId="44734"/>
    <cellStyle name="Input 2 5 43 7" xfId="50940"/>
    <cellStyle name="Input 2 5 44" xfId="6301"/>
    <cellStyle name="Input 2 5 44 2" xfId="14018"/>
    <cellStyle name="Input 2 5 44 3" xfId="23011"/>
    <cellStyle name="Input 2 5 44 4" xfId="31198"/>
    <cellStyle name="Input 2 5 44 5" xfId="40498"/>
    <cellStyle name="Input 2 5 44 6" xfId="44863"/>
    <cellStyle name="Input 2 5 44 7" xfId="53984"/>
    <cellStyle name="Input 2 5 45" xfId="6416"/>
    <cellStyle name="Input 2 5 45 2" xfId="14133"/>
    <cellStyle name="Input 2 5 45 3" xfId="23126"/>
    <cellStyle name="Input 2 5 45 4" xfId="31313"/>
    <cellStyle name="Input 2 5 45 5" xfId="40608"/>
    <cellStyle name="Input 2 5 45 6" xfId="44978"/>
    <cellStyle name="Input 2 5 45 7" xfId="48383"/>
    <cellStyle name="Input 2 5 46" xfId="6528"/>
    <cellStyle name="Input 2 5 46 2" xfId="14245"/>
    <cellStyle name="Input 2 5 46 3" xfId="23238"/>
    <cellStyle name="Input 2 5 46 4" xfId="31425"/>
    <cellStyle name="Input 2 5 46 5" xfId="40716"/>
    <cellStyle name="Input 2 5 46 6" xfId="45090"/>
    <cellStyle name="Input 2 5 46 7" xfId="51044"/>
    <cellStyle name="Input 2 5 47" xfId="6132"/>
    <cellStyle name="Input 2 5 47 2" xfId="13849"/>
    <cellStyle name="Input 2 5 47 3" xfId="22842"/>
    <cellStyle name="Input 2 5 47 4" xfId="31029"/>
    <cellStyle name="Input 2 5 47 5" xfId="40330"/>
    <cellStyle name="Input 2 5 47 6" xfId="44694"/>
    <cellStyle name="Input 2 5 47 7" xfId="50745"/>
    <cellStyle name="Input 2 5 48" xfId="6674"/>
    <cellStyle name="Input 2 5 48 2" xfId="14391"/>
    <cellStyle name="Input 2 5 48 3" xfId="23384"/>
    <cellStyle name="Input 2 5 48 4" xfId="31571"/>
    <cellStyle name="Input 2 5 48 5" xfId="40855"/>
    <cellStyle name="Input 2 5 48 6" xfId="45236"/>
    <cellStyle name="Input 2 5 48 7" xfId="49787"/>
    <cellStyle name="Input 2 5 49" xfId="6786"/>
    <cellStyle name="Input 2 5 49 2" xfId="14503"/>
    <cellStyle name="Input 2 5 49 3" xfId="23496"/>
    <cellStyle name="Input 2 5 49 4" xfId="31683"/>
    <cellStyle name="Input 2 5 49 5" xfId="40962"/>
    <cellStyle name="Input 2 5 49 6" xfId="45348"/>
    <cellStyle name="Input 2 5 49 7" xfId="53453"/>
    <cellStyle name="Input 2 5 5" xfId="1418"/>
    <cellStyle name="Input 2 5 5 2" xfId="9241"/>
    <cellStyle name="Input 2 5 5 3" xfId="16669"/>
    <cellStyle name="Input 2 5 5 4" xfId="20365"/>
    <cellStyle name="Input 2 5 5 5" xfId="27217"/>
    <cellStyle name="Input 2 5 5 6" xfId="42173"/>
    <cellStyle name="Input 2 5 5 7" xfId="48210"/>
    <cellStyle name="Input 2 5 50" xfId="6900"/>
    <cellStyle name="Input 2 5 50 2" xfId="14617"/>
    <cellStyle name="Input 2 5 50 3" xfId="23610"/>
    <cellStyle name="Input 2 5 50 4" xfId="31797"/>
    <cellStyle name="Input 2 5 50 5" xfId="41069"/>
    <cellStyle name="Input 2 5 50 6" xfId="45462"/>
    <cellStyle name="Input 2 5 50 7" xfId="46795"/>
    <cellStyle name="Input 2 5 51" xfId="7013"/>
    <cellStyle name="Input 2 5 51 2" xfId="14730"/>
    <cellStyle name="Input 2 5 51 3" xfId="23723"/>
    <cellStyle name="Input 2 5 51 4" xfId="31910"/>
    <cellStyle name="Input 2 5 51 5" xfId="41177"/>
    <cellStyle name="Input 2 5 51 6" xfId="45575"/>
    <cellStyle name="Input 2 5 51 7" xfId="54536"/>
    <cellStyle name="Input 2 5 52" xfId="7123"/>
    <cellStyle name="Input 2 5 52 2" xfId="14840"/>
    <cellStyle name="Input 2 5 52 3" xfId="23833"/>
    <cellStyle name="Input 2 5 52 4" xfId="32020"/>
    <cellStyle name="Input 2 5 52 5" xfId="41282"/>
    <cellStyle name="Input 2 5 52 6" xfId="45685"/>
    <cellStyle name="Input 2 5 52 7" xfId="53073"/>
    <cellStyle name="Input 2 5 53" xfId="7154"/>
    <cellStyle name="Input 2 5 53 2" xfId="14871"/>
    <cellStyle name="Input 2 5 53 3" xfId="23864"/>
    <cellStyle name="Input 2 5 53 4" xfId="32051"/>
    <cellStyle name="Input 2 5 53 5" xfId="41313"/>
    <cellStyle name="Input 2 5 53 6" xfId="45716"/>
    <cellStyle name="Input 2 5 53 7" xfId="47453"/>
    <cellStyle name="Input 2 5 54" xfId="7279"/>
    <cellStyle name="Input 2 5 54 2" xfId="14996"/>
    <cellStyle name="Input 2 5 54 3" xfId="23989"/>
    <cellStyle name="Input 2 5 54 4" xfId="32176"/>
    <cellStyle name="Input 2 5 54 5" xfId="41432"/>
    <cellStyle name="Input 2 5 54 6" xfId="45841"/>
    <cellStyle name="Input 2 5 54 7" xfId="51362"/>
    <cellStyle name="Input 2 5 55" xfId="7520"/>
    <cellStyle name="Input 2 5 55 2" xfId="15237"/>
    <cellStyle name="Input 2 5 55 3" xfId="24230"/>
    <cellStyle name="Input 2 5 55 4" xfId="32417"/>
    <cellStyle name="Input 2 5 55 5" xfId="41663"/>
    <cellStyle name="Input 2 5 55 6" xfId="46082"/>
    <cellStyle name="Input 2 5 55 7" xfId="49715"/>
    <cellStyle name="Input 2 5 56" xfId="7641"/>
    <cellStyle name="Input 2 5 56 2" xfId="15358"/>
    <cellStyle name="Input 2 5 56 3" xfId="24351"/>
    <cellStyle name="Input 2 5 56 4" xfId="32538"/>
    <cellStyle name="Input 2 5 56 5" xfId="41780"/>
    <cellStyle name="Input 2 5 56 6" xfId="46203"/>
    <cellStyle name="Input 2 5 56 7" xfId="51979"/>
    <cellStyle name="Input 2 5 57" xfId="7919"/>
    <cellStyle name="Input 2 5 57 2" xfId="15636"/>
    <cellStyle name="Input 2 5 57 3" xfId="24623"/>
    <cellStyle name="Input 2 5 57 4" xfId="32816"/>
    <cellStyle name="Input 2 5 57 5" xfId="42047"/>
    <cellStyle name="Input 2 5 57 6" xfId="46481"/>
    <cellStyle name="Input 2 5 57 7" xfId="51007"/>
    <cellStyle name="Input 2 5 58" xfId="8047"/>
    <cellStyle name="Input 2 5 58 2" xfId="15764"/>
    <cellStyle name="Input 2 5 58 3" xfId="24749"/>
    <cellStyle name="Input 2 5 58 4" xfId="32944"/>
    <cellStyle name="Input 2 5 58 5" xfId="42169"/>
    <cellStyle name="Input 2 5 58 6" xfId="46609"/>
    <cellStyle name="Input 2 5 58 7" xfId="52394"/>
    <cellStyle name="Input 2 5 59" xfId="7778"/>
    <cellStyle name="Input 2 5 59 2" xfId="15495"/>
    <cellStyle name="Input 2 5 59 3" xfId="24484"/>
    <cellStyle name="Input 2 5 59 4" xfId="32675"/>
    <cellStyle name="Input 2 5 59 5" xfId="41910"/>
    <cellStyle name="Input 2 5 59 6" xfId="46340"/>
    <cellStyle name="Input 2 5 59 7" xfId="50233"/>
    <cellStyle name="Input 2 5 6" xfId="1541"/>
    <cellStyle name="Input 2 5 6 2" xfId="9364"/>
    <cellStyle name="Input 2 5 6 3" xfId="16792"/>
    <cellStyle name="Input 2 5 6 4" xfId="25426"/>
    <cellStyle name="Input 2 5 6 5" xfId="33883"/>
    <cellStyle name="Input 2 5 6 6" xfId="37331"/>
    <cellStyle name="Input 2 5 6 7" xfId="51698"/>
    <cellStyle name="Input 2 5 60" xfId="8193"/>
    <cellStyle name="Input 2 5 60 2" xfId="15910"/>
    <cellStyle name="Input 2 5 60 3" xfId="33090"/>
    <cellStyle name="Input 2 5 60 4" xfId="42309"/>
    <cellStyle name="Input 2 5 60 5" xfId="46755"/>
    <cellStyle name="Input 2 5 60 6" xfId="46863"/>
    <cellStyle name="Input 2 5 61" xfId="24959"/>
    <cellStyle name="Input 2 5 62" xfId="33297"/>
    <cellStyle name="Input 2 5 63" xfId="36865"/>
    <cellStyle name="Input 2 5 64" xfId="50690"/>
    <cellStyle name="Input 2 5 7" xfId="1304"/>
    <cellStyle name="Input 2 5 7 2" xfId="9127"/>
    <cellStyle name="Input 2 5 7 3" xfId="16555"/>
    <cellStyle name="Input 2 5 7 4" xfId="26291"/>
    <cellStyle name="Input 2 5 7 5" xfId="35000"/>
    <cellStyle name="Input 2 5 7 6" xfId="37930"/>
    <cellStyle name="Input 2 5 7 7" xfId="53621"/>
    <cellStyle name="Input 2 5 8" xfId="1779"/>
    <cellStyle name="Input 2 5 8 2" xfId="9602"/>
    <cellStyle name="Input 2 5 8 3" xfId="17030"/>
    <cellStyle name="Input 2 5 8 4" xfId="26152"/>
    <cellStyle name="Input 2 5 8 5" xfId="34821"/>
    <cellStyle name="Input 2 5 8 6" xfId="36882"/>
    <cellStyle name="Input 2 5 8 7" xfId="53324"/>
    <cellStyle name="Input 2 5 9" xfId="1912"/>
    <cellStyle name="Input 2 5 9 2" xfId="9735"/>
    <cellStyle name="Input 2 5 9 3" xfId="17163"/>
    <cellStyle name="Input 2 5 9 4" xfId="20008"/>
    <cellStyle name="Input 2 5 9 5" xfId="27554"/>
    <cellStyle name="Input 2 5 9 6" xfId="41824"/>
    <cellStyle name="Input 2 5 9 7" xfId="47750"/>
    <cellStyle name="Input 2 6" xfId="244"/>
    <cellStyle name="Input 2 6 2" xfId="8344"/>
    <cellStyle name="Input 2 6 3" xfId="8381"/>
    <cellStyle name="Input 2 6 4" xfId="20446"/>
    <cellStyle name="Input 2 6 5" xfId="28091"/>
    <cellStyle name="Input 2 6 6" xfId="37388"/>
    <cellStyle name="Input 2 6 7" xfId="48626"/>
    <cellStyle name="Input 2 7" xfId="220"/>
    <cellStyle name="Input 2 7 2" xfId="8325"/>
    <cellStyle name="Input 2 7 3" xfId="8247"/>
    <cellStyle name="Input 2 7 4" xfId="25134"/>
    <cellStyle name="Input 2 7 5" xfId="33507"/>
    <cellStyle name="Input 2 7 6" xfId="36574"/>
    <cellStyle name="Input 2 7 7" xfId="51080"/>
    <cellStyle name="Input 2 8" xfId="1292"/>
    <cellStyle name="Input 2 8 2" xfId="9115"/>
    <cellStyle name="Input 2 8 3" xfId="16543"/>
    <cellStyle name="Input 2 8 4" xfId="19794"/>
    <cellStyle name="Input 2 8 5" xfId="28357"/>
    <cellStyle name="Input 2 8 6" xfId="38814"/>
    <cellStyle name="Input 2 8 7" xfId="46968"/>
    <cellStyle name="Input 2 9" xfId="1010"/>
    <cellStyle name="Input 2 9 2" xfId="8834"/>
    <cellStyle name="Input 2 9 3" xfId="16262"/>
    <cellStyle name="Input 2 9 4" xfId="19889"/>
    <cellStyle name="Input 2 9 5" xfId="28497"/>
    <cellStyle name="Input 2 9 6" xfId="36361"/>
    <cellStyle name="Input 2 9 7" xfId="47382"/>
    <cellStyle name="Input 3" xfId="148"/>
    <cellStyle name="Input 3 10" xfId="1172"/>
    <cellStyle name="Input 3 10 2" xfId="8995"/>
    <cellStyle name="Input 3 10 3" xfId="16423"/>
    <cellStyle name="Input 3 10 4" xfId="20158"/>
    <cellStyle name="Input 3 10 5" xfId="27392"/>
    <cellStyle name="Input 3 10 6" xfId="37945"/>
    <cellStyle name="Input 3 10 7" xfId="48536"/>
    <cellStyle name="Input 3 11" xfId="988"/>
    <cellStyle name="Input 3 11 2" xfId="8812"/>
    <cellStyle name="Input 3 11 3" xfId="16240"/>
    <cellStyle name="Input 3 11 4" xfId="19115"/>
    <cellStyle name="Input 3 11 5" xfId="28474"/>
    <cellStyle name="Input 3 11 6" xfId="36859"/>
    <cellStyle name="Input 3 11 7" xfId="47588"/>
    <cellStyle name="Input 3 12" xfId="1058"/>
    <cellStyle name="Input 3 12 2" xfId="8882"/>
    <cellStyle name="Input 3 12 3" xfId="16310"/>
    <cellStyle name="Input 3 12 4" xfId="19432"/>
    <cellStyle name="Input 3 12 5" xfId="28712"/>
    <cellStyle name="Input 3 12 6" xfId="37401"/>
    <cellStyle name="Input 3 12 7" xfId="47585"/>
    <cellStyle name="Input 3 13" xfId="1578"/>
    <cellStyle name="Input 3 13 2" xfId="9401"/>
    <cellStyle name="Input 3 13 3" xfId="16829"/>
    <cellStyle name="Input 3 13 4" xfId="25375"/>
    <cellStyle name="Input 3 13 5" xfId="33822"/>
    <cellStyle name="Input 3 13 6" xfId="36758"/>
    <cellStyle name="Input 3 13 7" xfId="51598"/>
    <cellStyle name="Input 3 14" xfId="3245"/>
    <cellStyle name="Input 3 14 2" xfId="11038"/>
    <cellStyle name="Input 3 14 3" xfId="18367"/>
    <cellStyle name="Input 3 14 4" xfId="25160"/>
    <cellStyle name="Input 3 14 5" xfId="33537"/>
    <cellStyle name="Input 3 14 6" xfId="37990"/>
    <cellStyle name="Input 3 14 7" xfId="51129"/>
    <cellStyle name="Input 3 15" xfId="3232"/>
    <cellStyle name="Input 3 15 2" xfId="11027"/>
    <cellStyle name="Input 3 15 3" xfId="20352"/>
    <cellStyle name="Input 3 15 4" xfId="25815"/>
    <cellStyle name="Input 3 15 5" xfId="34394"/>
    <cellStyle name="Input 3 15 6" xfId="39005"/>
    <cellStyle name="Input 3 15 7" xfId="52594"/>
    <cellStyle name="Input 3 16" xfId="3170"/>
    <cellStyle name="Input 3 16 2" xfId="20303"/>
    <cellStyle name="Input 3 16 3" xfId="28393"/>
    <cellStyle name="Input 3 16 4" xfId="37781"/>
    <cellStyle name="Input 3 16 5" xfId="42420"/>
    <cellStyle name="Input 3 16 6" xfId="52546"/>
    <cellStyle name="Input 3 17" xfId="3363"/>
    <cellStyle name="Input 3 17 2" xfId="11155"/>
    <cellStyle name="Input 3 17 3" xfId="20412"/>
    <cellStyle name="Input 3 17 4" xfId="28519"/>
    <cellStyle name="Input 3 17 5" xfId="37905"/>
    <cellStyle name="Input 3 17 6" xfId="42469"/>
    <cellStyle name="Input 3 17 7" xfId="53905"/>
    <cellStyle name="Input 3 18" xfId="3148"/>
    <cellStyle name="Input 3 18 2" xfId="10952"/>
    <cellStyle name="Input 3 18 3" xfId="20285"/>
    <cellStyle name="Input 3 18 4" xfId="28378"/>
    <cellStyle name="Input 3 18 5" xfId="37764"/>
    <cellStyle name="Input 3 18 6" xfId="42412"/>
    <cellStyle name="Input 3 18 7" xfId="47859"/>
    <cellStyle name="Input 3 19" xfId="4393"/>
    <cellStyle name="Input 3 19 2" xfId="12110"/>
    <cellStyle name="Input 3 19 3" xfId="21103"/>
    <cellStyle name="Input 3 19 4" xfId="29290"/>
    <cellStyle name="Input 3 19 5" xfId="38660"/>
    <cellStyle name="Input 3 19 6" xfId="42955"/>
    <cellStyle name="Input 3 19 7" xfId="47429"/>
    <cellStyle name="Input 3 2" xfId="257"/>
    <cellStyle name="Input 3 2 10" xfId="1125"/>
    <cellStyle name="Input 3 2 10 2" xfId="8948"/>
    <cellStyle name="Input 3 2 10 3" xfId="16376"/>
    <cellStyle name="Input 3 2 10 4" xfId="25739"/>
    <cellStyle name="Input 3 2 10 5" xfId="34289"/>
    <cellStyle name="Input 3 2 10 6" xfId="36971"/>
    <cellStyle name="Input 3 2 10 7" xfId="52412"/>
    <cellStyle name="Input 3 2 11" xfId="1188"/>
    <cellStyle name="Input 3 2 11 2" xfId="9011"/>
    <cellStyle name="Input 3 2 11 3" xfId="16439"/>
    <cellStyle name="Input 3 2 11 4" xfId="26070"/>
    <cellStyle name="Input 3 2 11 5" xfId="34715"/>
    <cellStyle name="Input 3 2 11 6" xfId="36980"/>
    <cellStyle name="Input 3 2 11 7" xfId="53145"/>
    <cellStyle name="Input 3 2 12" xfId="1078"/>
    <cellStyle name="Input 3 2 12 2" xfId="8902"/>
    <cellStyle name="Input 3 2 12 3" xfId="16330"/>
    <cellStyle name="Input 3 2 12 4" xfId="19105"/>
    <cellStyle name="Input 3 2 12 5" xfId="26980"/>
    <cellStyle name="Input 3 2 12 6" xfId="36835"/>
    <cellStyle name="Input 3 2 12 7" xfId="49859"/>
    <cellStyle name="Input 3 2 13" xfId="1198"/>
    <cellStyle name="Input 3 2 13 2" xfId="9021"/>
    <cellStyle name="Input 3 2 13 3" xfId="16449"/>
    <cellStyle name="Input 3 2 13 4" xfId="19616"/>
    <cellStyle name="Input 3 2 13 5" xfId="27302"/>
    <cellStyle name="Input 3 2 13 6" xfId="41362"/>
    <cellStyle name="Input 3 2 13 7" xfId="47630"/>
    <cellStyle name="Input 3 2 14" xfId="1112"/>
    <cellStyle name="Input 3 2 14 2" xfId="8936"/>
    <cellStyle name="Input 3 2 14 3" xfId="16364"/>
    <cellStyle name="Input 3 2 14 4" xfId="26355"/>
    <cellStyle name="Input 3 2 14 5" xfId="35084"/>
    <cellStyle name="Input 3 2 14 6" xfId="37699"/>
    <cellStyle name="Input 3 2 14 7" xfId="53743"/>
    <cellStyle name="Input 3 2 15" xfId="1111"/>
    <cellStyle name="Input 3 2 15 2" xfId="8935"/>
    <cellStyle name="Input 3 2 15 3" xfId="16363"/>
    <cellStyle name="Input 3 2 15 4" xfId="26374"/>
    <cellStyle name="Input 3 2 15 5" xfId="35116"/>
    <cellStyle name="Input 3 2 15 6" xfId="36289"/>
    <cellStyle name="Input 3 2 15 7" xfId="53797"/>
    <cellStyle name="Input 3 2 16" xfId="1800"/>
    <cellStyle name="Input 3 2 16 2" xfId="9623"/>
    <cellStyle name="Input 3 2 16 3" xfId="17051"/>
    <cellStyle name="Input 3 2 16 4" xfId="25126"/>
    <cellStyle name="Input 3 2 16 5" xfId="33499"/>
    <cellStyle name="Input 3 2 16 6" xfId="40946"/>
    <cellStyle name="Input 3 2 16 7" xfId="51068"/>
    <cellStyle name="Input 3 2 17" xfId="1175"/>
    <cellStyle name="Input 3 2 17 2" xfId="8998"/>
    <cellStyle name="Input 3 2 17 3" xfId="16426"/>
    <cellStyle name="Input 3 2 17 4" xfId="26688"/>
    <cellStyle name="Input 3 2 17 5" xfId="35538"/>
    <cellStyle name="Input 3 2 17 6" xfId="36431"/>
    <cellStyle name="Input 3 2 17 7" xfId="54466"/>
    <cellStyle name="Input 3 2 18" xfId="1665"/>
    <cellStyle name="Input 3 2 18 2" xfId="9488"/>
    <cellStyle name="Input 3 2 18 3" xfId="16916"/>
    <cellStyle name="Input 3 2 18 4" xfId="24950"/>
    <cellStyle name="Input 3 2 18 5" xfId="33286"/>
    <cellStyle name="Input 3 2 18 6" xfId="39261"/>
    <cellStyle name="Input 3 2 18 7" xfId="50672"/>
    <cellStyle name="Input 3 2 19" xfId="1070"/>
    <cellStyle name="Input 3 2 19 2" xfId="8894"/>
    <cellStyle name="Input 3 2 19 3" xfId="16322"/>
    <cellStyle name="Input 3 2 19 4" xfId="24929"/>
    <cellStyle name="Input 3 2 19 5" xfId="33260"/>
    <cellStyle name="Input 3 2 19 6" xfId="36682"/>
    <cellStyle name="Input 3 2 19 7" xfId="50633"/>
    <cellStyle name="Input 3 2 2" xfId="531"/>
    <cellStyle name="Input 3 2 2 10" xfId="1978"/>
    <cellStyle name="Input 3 2 2 10 2" xfId="9801"/>
    <cellStyle name="Input 3 2 2 10 3" xfId="17229"/>
    <cellStyle name="Input 3 2 2 10 4" xfId="19395"/>
    <cellStyle name="Input 3 2 2 10 5" xfId="28355"/>
    <cellStyle name="Input 3 2 2 10 6" xfId="37851"/>
    <cellStyle name="Input 3 2 2 10 7" xfId="48745"/>
    <cellStyle name="Input 3 2 2 11" xfId="2096"/>
    <cellStyle name="Input 3 2 2 11 2" xfId="9919"/>
    <cellStyle name="Input 3 2 2 11 3" xfId="17347"/>
    <cellStyle name="Input 3 2 2 11 4" xfId="20102"/>
    <cellStyle name="Input 3 2 2 11 5" xfId="27296"/>
    <cellStyle name="Input 3 2 2 11 6" xfId="40604"/>
    <cellStyle name="Input 3 2 2 11 7" xfId="48296"/>
    <cellStyle name="Input 3 2 2 12" xfId="2209"/>
    <cellStyle name="Input 3 2 2 12 2" xfId="10032"/>
    <cellStyle name="Input 3 2 2 12 3" xfId="17460"/>
    <cellStyle name="Input 3 2 2 12 4" xfId="19664"/>
    <cellStyle name="Input 3 2 2 12 5" xfId="27860"/>
    <cellStyle name="Input 3 2 2 12 6" xfId="37084"/>
    <cellStyle name="Input 3 2 2 12 7" xfId="47672"/>
    <cellStyle name="Input 3 2 2 13" xfId="2332"/>
    <cellStyle name="Input 3 2 2 13 2" xfId="10155"/>
    <cellStyle name="Input 3 2 2 13 3" xfId="17583"/>
    <cellStyle name="Input 3 2 2 13 4" xfId="26366"/>
    <cellStyle name="Input 3 2 2 13 5" xfId="35101"/>
    <cellStyle name="Input 3 2 2 13 6" xfId="40276"/>
    <cellStyle name="Input 3 2 2 13 7" xfId="53775"/>
    <cellStyle name="Input 3 2 2 14" xfId="2418"/>
    <cellStyle name="Input 3 2 2 14 2" xfId="10241"/>
    <cellStyle name="Input 3 2 2 14 3" xfId="17669"/>
    <cellStyle name="Input 3 2 2 14 4" xfId="25666"/>
    <cellStyle name="Input 3 2 2 14 5" xfId="34197"/>
    <cellStyle name="Input 3 2 2 14 6" xfId="37709"/>
    <cellStyle name="Input 3 2 2 14 7" xfId="52234"/>
    <cellStyle name="Input 3 2 2 15" xfId="2507"/>
    <cellStyle name="Input 3 2 2 15 2" xfId="10330"/>
    <cellStyle name="Input 3 2 2 15 3" xfId="17758"/>
    <cellStyle name="Input 3 2 2 15 4" xfId="19961"/>
    <cellStyle name="Input 3 2 2 15 5" xfId="26735"/>
    <cellStyle name="Input 3 2 2 15 6" xfId="39589"/>
    <cellStyle name="Input 3 2 2 15 7" xfId="49735"/>
    <cellStyle name="Input 3 2 2 16" xfId="2620"/>
    <cellStyle name="Input 3 2 2 16 2" xfId="10443"/>
    <cellStyle name="Input 3 2 2 16 3" xfId="17871"/>
    <cellStyle name="Input 3 2 2 16 4" xfId="26577"/>
    <cellStyle name="Input 3 2 2 16 5" xfId="35396"/>
    <cellStyle name="Input 3 2 2 16 6" xfId="40613"/>
    <cellStyle name="Input 3 2 2 16 7" xfId="54231"/>
    <cellStyle name="Input 3 2 2 17" xfId="2724"/>
    <cellStyle name="Input 3 2 2 17 2" xfId="10547"/>
    <cellStyle name="Input 3 2 2 17 3" xfId="17975"/>
    <cellStyle name="Input 3 2 2 17 4" xfId="24867"/>
    <cellStyle name="Input 3 2 2 17 5" xfId="33180"/>
    <cellStyle name="Input 3 2 2 17 6" xfId="37521"/>
    <cellStyle name="Input 3 2 2 17 7" xfId="50490"/>
    <cellStyle name="Input 3 2 2 18" xfId="2753"/>
    <cellStyle name="Input 3 2 2 18 2" xfId="10576"/>
    <cellStyle name="Input 3 2 2 18 3" xfId="18004"/>
    <cellStyle name="Input 3 2 2 18 4" xfId="19076"/>
    <cellStyle name="Input 3 2 2 18 5" xfId="26734"/>
    <cellStyle name="Input 3 2 2 18 6" xfId="42021"/>
    <cellStyle name="Input 3 2 2 18 7" xfId="49800"/>
    <cellStyle name="Input 3 2 2 19" xfId="2813"/>
    <cellStyle name="Input 3 2 2 19 2" xfId="10636"/>
    <cellStyle name="Input 3 2 2 19 3" xfId="18064"/>
    <cellStyle name="Input 3 2 2 19 4" xfId="20443"/>
    <cellStyle name="Input 3 2 2 19 5" xfId="27597"/>
    <cellStyle name="Input 3 2 2 19 6" xfId="37489"/>
    <cellStyle name="Input 3 2 2 19 7" xfId="50103"/>
    <cellStyle name="Input 3 2 2 2" xfId="681"/>
    <cellStyle name="Input 3 2 2 2 2" xfId="8505"/>
    <cellStyle name="Input 3 2 2 2 3" xfId="15933"/>
    <cellStyle name="Input 3 2 2 2 4" xfId="19315"/>
    <cellStyle name="Input 3 2 2 2 5" xfId="28146"/>
    <cellStyle name="Input 3 2 2 2 6" xfId="37208"/>
    <cellStyle name="Input 3 2 2 2 7" xfId="47953"/>
    <cellStyle name="Input 3 2 2 20" xfId="2920"/>
    <cellStyle name="Input 3 2 2 20 2" xfId="10743"/>
    <cellStyle name="Input 3 2 2 20 3" xfId="18171"/>
    <cellStyle name="Input 3 2 2 20 4" xfId="26574"/>
    <cellStyle name="Input 3 2 2 20 5" xfId="35390"/>
    <cellStyle name="Input 3 2 2 20 6" xfId="42274"/>
    <cellStyle name="Input 3 2 2 20 7" xfId="54222"/>
    <cellStyle name="Input 3 2 2 21" xfId="3296"/>
    <cellStyle name="Input 3 2 2 21 2" xfId="11089"/>
    <cellStyle name="Input 3 2 2 21 3" xfId="18418"/>
    <cellStyle name="Input 3 2 2 21 4" xfId="25786"/>
    <cellStyle name="Input 3 2 2 21 5" xfId="34352"/>
    <cellStyle name="Input 3 2 2 21 6" xfId="40221"/>
    <cellStyle name="Input 3 2 2 21 7" xfId="52522"/>
    <cellStyle name="Input 3 2 2 22" xfId="3416"/>
    <cellStyle name="Input 3 2 2 22 2" xfId="11207"/>
    <cellStyle name="Input 3 2 2 22 3" xfId="18529"/>
    <cellStyle name="Input 3 2 2 22 4" xfId="19877"/>
    <cellStyle name="Input 3 2 2 22 5" xfId="27670"/>
    <cellStyle name="Input 3 2 2 22 6" xfId="37248"/>
    <cellStyle name="Input 3 2 2 22 7" xfId="47239"/>
    <cellStyle name="Input 3 2 2 23" xfId="3217"/>
    <cellStyle name="Input 3 2 2 23 2" xfId="11014"/>
    <cellStyle name="Input 3 2 2 23 3" xfId="18354"/>
    <cellStyle name="Input 3 2 2 23 4" xfId="26581"/>
    <cellStyle name="Input 3 2 2 23 5" xfId="35400"/>
    <cellStyle name="Input 3 2 2 23 6" xfId="40100"/>
    <cellStyle name="Input 3 2 2 23 7" xfId="54236"/>
    <cellStyle name="Input 3 2 2 24" xfId="3687"/>
    <cellStyle name="Input 3 2 2 24 2" xfId="11472"/>
    <cellStyle name="Input 3 2 2 24 3" xfId="18745"/>
    <cellStyle name="Input 3 2 2 24 4" xfId="24956"/>
    <cellStyle name="Input 3 2 2 24 5" xfId="33294"/>
    <cellStyle name="Input 3 2 2 24 6" xfId="37598"/>
    <cellStyle name="Input 3 2 2 24 7" xfId="50686"/>
    <cellStyle name="Input 3 2 2 25" xfId="3817"/>
    <cellStyle name="Input 3 2 2 25 2" xfId="11599"/>
    <cellStyle name="Input 3 2 2 25 3" xfId="18856"/>
    <cellStyle name="Input 3 2 2 25 4" xfId="25950"/>
    <cellStyle name="Input 3 2 2 25 5" xfId="34555"/>
    <cellStyle name="Input 3 2 2 25 6" xfId="40403"/>
    <cellStyle name="Input 3 2 2 25 7" xfId="52885"/>
    <cellStyle name="Input 3 2 2 26" xfId="3935"/>
    <cellStyle name="Input 3 2 2 26 2" xfId="11715"/>
    <cellStyle name="Input 3 2 2 26 3" xfId="18965"/>
    <cellStyle name="Input 3 2 2 26 4" xfId="25115"/>
    <cellStyle name="Input 3 2 2 26 5" xfId="33485"/>
    <cellStyle name="Input 3 2 2 26 6" xfId="38492"/>
    <cellStyle name="Input 3 2 2 26 7" xfId="51045"/>
    <cellStyle name="Input 3 2 2 27" xfId="4032"/>
    <cellStyle name="Input 3 2 2 27 2" xfId="11803"/>
    <cellStyle name="Input 3 2 2 27 3" xfId="20742"/>
    <cellStyle name="Input 3 2 2 27 4" xfId="28929"/>
    <cellStyle name="Input 3 2 2 27 5" xfId="38309"/>
    <cellStyle name="Input 3 2 2 27 6" xfId="42594"/>
    <cellStyle name="Input 3 2 2 27 7" xfId="54255"/>
    <cellStyle name="Input 3 2 2 28" xfId="4132"/>
    <cellStyle name="Input 3 2 2 28 2" xfId="11891"/>
    <cellStyle name="Input 3 2 2 28 3" xfId="20842"/>
    <cellStyle name="Input 3 2 2 28 4" xfId="29029"/>
    <cellStyle name="Input 3 2 2 28 5" xfId="38406"/>
    <cellStyle name="Input 3 2 2 28 6" xfId="42694"/>
    <cellStyle name="Input 3 2 2 28 7" xfId="51156"/>
    <cellStyle name="Input 3 2 2 29" xfId="3056"/>
    <cellStyle name="Input 3 2 2 29 2" xfId="20222"/>
    <cellStyle name="Input 3 2 2 29 3" xfId="28314"/>
    <cellStyle name="Input 3 2 2 29 4" xfId="37694"/>
    <cellStyle name="Input 3 2 2 29 5" xfId="42379"/>
    <cellStyle name="Input 3 2 2 29 6" xfId="48973"/>
    <cellStyle name="Input 3 2 2 3" xfId="789"/>
    <cellStyle name="Input 3 2 2 3 2" xfId="8613"/>
    <cellStyle name="Input 3 2 2 3 3" xfId="16041"/>
    <cellStyle name="Input 3 2 2 3 4" xfId="24968"/>
    <cellStyle name="Input 3 2 2 3 5" xfId="33308"/>
    <cellStyle name="Input 3 2 2 3 6" xfId="36726"/>
    <cellStyle name="Input 3 2 2 3 7" xfId="50715"/>
    <cellStyle name="Input 3 2 2 30" xfId="4329"/>
    <cellStyle name="Input 3 2 2 30 2" xfId="12046"/>
    <cellStyle name="Input 3 2 2 30 3" xfId="21039"/>
    <cellStyle name="Input 3 2 2 30 4" xfId="29226"/>
    <cellStyle name="Input 3 2 2 30 5" xfId="38597"/>
    <cellStyle name="Input 3 2 2 30 6" xfId="42891"/>
    <cellStyle name="Input 3 2 2 30 7" xfId="50215"/>
    <cellStyle name="Input 3 2 2 31" xfId="4452"/>
    <cellStyle name="Input 3 2 2 31 2" xfId="12169"/>
    <cellStyle name="Input 3 2 2 31 3" xfId="21162"/>
    <cellStyle name="Input 3 2 2 31 4" xfId="29349"/>
    <cellStyle name="Input 3 2 2 31 5" xfId="38715"/>
    <cellStyle name="Input 3 2 2 31 6" xfId="43014"/>
    <cellStyle name="Input 3 2 2 31 7" xfId="50155"/>
    <cellStyle name="Input 3 2 2 32" xfId="4566"/>
    <cellStyle name="Input 3 2 2 32 2" xfId="12283"/>
    <cellStyle name="Input 3 2 2 32 3" xfId="21276"/>
    <cellStyle name="Input 3 2 2 32 4" xfId="29463"/>
    <cellStyle name="Input 3 2 2 32 5" xfId="38824"/>
    <cellStyle name="Input 3 2 2 32 6" xfId="43128"/>
    <cellStyle name="Input 3 2 2 32 7" xfId="53104"/>
    <cellStyle name="Input 3 2 2 33" xfId="4679"/>
    <cellStyle name="Input 3 2 2 33 2" xfId="12396"/>
    <cellStyle name="Input 3 2 2 33 3" xfId="21389"/>
    <cellStyle name="Input 3 2 2 33 4" xfId="29576"/>
    <cellStyle name="Input 3 2 2 33 5" xfId="38933"/>
    <cellStyle name="Input 3 2 2 33 6" xfId="43241"/>
    <cellStyle name="Input 3 2 2 33 7" xfId="49105"/>
    <cellStyle name="Input 3 2 2 34" xfId="4790"/>
    <cellStyle name="Input 3 2 2 34 2" xfId="12507"/>
    <cellStyle name="Input 3 2 2 34 3" xfId="21500"/>
    <cellStyle name="Input 3 2 2 34 4" xfId="29687"/>
    <cellStyle name="Input 3 2 2 34 5" xfId="39041"/>
    <cellStyle name="Input 3 2 2 34 6" xfId="43352"/>
    <cellStyle name="Input 3 2 2 34 7" xfId="52816"/>
    <cellStyle name="Input 3 2 2 35" xfId="4899"/>
    <cellStyle name="Input 3 2 2 35 2" xfId="12616"/>
    <cellStyle name="Input 3 2 2 35 3" xfId="21609"/>
    <cellStyle name="Input 3 2 2 35 4" xfId="29796"/>
    <cellStyle name="Input 3 2 2 35 5" xfId="39145"/>
    <cellStyle name="Input 3 2 2 35 6" xfId="43461"/>
    <cellStyle name="Input 3 2 2 35 7" xfId="47961"/>
    <cellStyle name="Input 3 2 2 36" xfId="5010"/>
    <cellStyle name="Input 3 2 2 36 2" xfId="12727"/>
    <cellStyle name="Input 3 2 2 36 3" xfId="21720"/>
    <cellStyle name="Input 3 2 2 36 4" xfId="29907"/>
    <cellStyle name="Input 3 2 2 36 5" xfId="39253"/>
    <cellStyle name="Input 3 2 2 36 6" xfId="43572"/>
    <cellStyle name="Input 3 2 2 36 7" xfId="52994"/>
    <cellStyle name="Input 3 2 2 37" xfId="5389"/>
    <cellStyle name="Input 3 2 2 37 2" xfId="13106"/>
    <cellStyle name="Input 3 2 2 37 3" xfId="22099"/>
    <cellStyle name="Input 3 2 2 37 4" xfId="30286"/>
    <cellStyle name="Input 3 2 2 37 5" xfId="39617"/>
    <cellStyle name="Input 3 2 2 37 6" xfId="43951"/>
    <cellStyle name="Input 3 2 2 37 7" xfId="52042"/>
    <cellStyle name="Input 3 2 2 38" xfId="5509"/>
    <cellStyle name="Input 3 2 2 38 2" xfId="13226"/>
    <cellStyle name="Input 3 2 2 38 3" xfId="22219"/>
    <cellStyle name="Input 3 2 2 38 4" xfId="30406"/>
    <cellStyle name="Input 3 2 2 38 5" xfId="39731"/>
    <cellStyle name="Input 3 2 2 38 6" xfId="44071"/>
    <cellStyle name="Input 3 2 2 38 7" xfId="47777"/>
    <cellStyle name="Input 3 2 2 39" xfId="5633"/>
    <cellStyle name="Input 3 2 2 39 2" xfId="13350"/>
    <cellStyle name="Input 3 2 2 39 3" xfId="22343"/>
    <cellStyle name="Input 3 2 2 39 4" xfId="30530"/>
    <cellStyle name="Input 3 2 2 39 5" xfId="39851"/>
    <cellStyle name="Input 3 2 2 39 6" xfId="44195"/>
    <cellStyle name="Input 3 2 2 39 7" xfId="47117"/>
    <cellStyle name="Input 3 2 2 4" xfId="900"/>
    <cellStyle name="Input 3 2 2 4 2" xfId="8724"/>
    <cellStyle name="Input 3 2 2 4 3" xfId="16152"/>
    <cellStyle name="Input 3 2 2 4 4" xfId="26458"/>
    <cellStyle name="Input 3 2 2 4 5" xfId="35235"/>
    <cellStyle name="Input 3 2 2 4 6" xfId="37228"/>
    <cellStyle name="Input 3 2 2 4 7" xfId="53977"/>
    <cellStyle name="Input 3 2 2 40" xfId="5749"/>
    <cellStyle name="Input 3 2 2 40 2" xfId="13466"/>
    <cellStyle name="Input 3 2 2 40 3" xfId="22459"/>
    <cellStyle name="Input 3 2 2 40 4" xfId="30646"/>
    <cellStyle name="Input 3 2 2 40 5" xfId="39963"/>
    <cellStyle name="Input 3 2 2 40 6" xfId="44311"/>
    <cellStyle name="Input 3 2 2 40 7" xfId="52435"/>
    <cellStyle name="Input 3 2 2 41" xfId="5865"/>
    <cellStyle name="Input 3 2 2 41 2" xfId="13582"/>
    <cellStyle name="Input 3 2 2 41 3" xfId="22575"/>
    <cellStyle name="Input 3 2 2 41 4" xfId="30762"/>
    <cellStyle name="Input 3 2 2 41 5" xfId="40076"/>
    <cellStyle name="Input 3 2 2 41 6" xfId="44427"/>
    <cellStyle name="Input 3 2 2 41 7" xfId="53013"/>
    <cellStyle name="Input 3 2 2 42" xfId="5994"/>
    <cellStyle name="Input 3 2 2 42 2" xfId="13711"/>
    <cellStyle name="Input 3 2 2 42 3" xfId="22704"/>
    <cellStyle name="Input 3 2 2 42 4" xfId="30891"/>
    <cellStyle name="Input 3 2 2 42 5" xfId="40200"/>
    <cellStyle name="Input 3 2 2 42 6" xfId="44556"/>
    <cellStyle name="Input 3 2 2 42 7" xfId="51833"/>
    <cellStyle name="Input 3 2 2 43" xfId="5571"/>
    <cellStyle name="Input 3 2 2 43 2" xfId="13288"/>
    <cellStyle name="Input 3 2 2 43 3" xfId="22281"/>
    <cellStyle name="Input 3 2 2 43 4" xfId="30468"/>
    <cellStyle name="Input 3 2 2 43 5" xfId="39791"/>
    <cellStyle name="Input 3 2 2 43 6" xfId="44133"/>
    <cellStyle name="Input 3 2 2 43 7" xfId="47163"/>
    <cellStyle name="Input 3 2 2 44" xfId="6250"/>
    <cellStyle name="Input 3 2 2 44 2" xfId="13967"/>
    <cellStyle name="Input 3 2 2 44 3" xfId="22960"/>
    <cellStyle name="Input 3 2 2 44 4" xfId="31147"/>
    <cellStyle name="Input 3 2 2 44 5" xfId="40448"/>
    <cellStyle name="Input 3 2 2 44 6" xfId="44812"/>
    <cellStyle name="Input 3 2 2 44 7" xfId="50264"/>
    <cellStyle name="Input 3 2 2 45" xfId="6366"/>
    <cellStyle name="Input 3 2 2 45 2" xfId="14083"/>
    <cellStyle name="Input 3 2 2 45 3" xfId="23076"/>
    <cellStyle name="Input 3 2 2 45 4" xfId="31263"/>
    <cellStyle name="Input 3 2 2 45 5" xfId="40561"/>
    <cellStyle name="Input 3 2 2 45 6" xfId="44928"/>
    <cellStyle name="Input 3 2 2 45 7" xfId="53385"/>
    <cellStyle name="Input 3 2 2 46" xfId="6477"/>
    <cellStyle name="Input 3 2 2 46 2" xfId="14194"/>
    <cellStyle name="Input 3 2 2 46 3" xfId="23187"/>
    <cellStyle name="Input 3 2 2 46 4" xfId="31374"/>
    <cellStyle name="Input 3 2 2 46 5" xfId="40668"/>
    <cellStyle name="Input 3 2 2 46 6" xfId="45039"/>
    <cellStyle name="Input 3 2 2 46 7" xfId="52967"/>
    <cellStyle name="Input 3 2 2 47" xfId="6565"/>
    <cellStyle name="Input 3 2 2 47 2" xfId="14282"/>
    <cellStyle name="Input 3 2 2 47 3" xfId="23275"/>
    <cellStyle name="Input 3 2 2 47 4" xfId="31462"/>
    <cellStyle name="Input 3 2 2 47 5" xfId="40750"/>
    <cellStyle name="Input 3 2 2 47 6" xfId="45127"/>
    <cellStyle name="Input 3 2 2 47 7" xfId="48422"/>
    <cellStyle name="Input 3 2 2 48" xfId="6623"/>
    <cellStyle name="Input 3 2 2 48 2" xfId="14340"/>
    <cellStyle name="Input 3 2 2 48 3" xfId="23333"/>
    <cellStyle name="Input 3 2 2 48 4" xfId="31520"/>
    <cellStyle name="Input 3 2 2 48 5" xfId="40807"/>
    <cellStyle name="Input 3 2 2 48 6" xfId="45185"/>
    <cellStyle name="Input 3 2 2 48 7" xfId="47292"/>
    <cellStyle name="Input 3 2 2 49" xfId="6735"/>
    <cellStyle name="Input 3 2 2 49 2" xfId="14452"/>
    <cellStyle name="Input 3 2 2 49 3" xfId="23445"/>
    <cellStyle name="Input 3 2 2 49 4" xfId="31632"/>
    <cellStyle name="Input 3 2 2 49 5" xfId="40913"/>
    <cellStyle name="Input 3 2 2 49 6" xfId="45297"/>
    <cellStyle name="Input 3 2 2 49 7" xfId="51388"/>
    <cellStyle name="Input 3 2 2 5" xfId="1366"/>
    <cellStyle name="Input 3 2 2 5 2" xfId="9189"/>
    <cellStyle name="Input 3 2 2 5 3" xfId="16617"/>
    <cellStyle name="Input 3 2 2 5 4" xfId="26222"/>
    <cellStyle name="Input 3 2 2 5 5" xfId="34907"/>
    <cellStyle name="Input 3 2 2 5 6" xfId="40164"/>
    <cellStyle name="Input 3 2 2 5 7" xfId="53468"/>
    <cellStyle name="Input 3 2 2 50" xfId="6850"/>
    <cellStyle name="Input 3 2 2 50 2" xfId="14567"/>
    <cellStyle name="Input 3 2 2 50 3" xfId="23560"/>
    <cellStyle name="Input 3 2 2 50 4" xfId="31747"/>
    <cellStyle name="Input 3 2 2 50 5" xfId="41021"/>
    <cellStyle name="Input 3 2 2 50 6" xfId="45412"/>
    <cellStyle name="Input 3 2 2 50 7" xfId="50176"/>
    <cellStyle name="Input 3 2 2 51" xfId="6963"/>
    <cellStyle name="Input 3 2 2 51 2" xfId="14680"/>
    <cellStyle name="Input 3 2 2 51 3" xfId="23673"/>
    <cellStyle name="Input 3 2 2 51 4" xfId="31860"/>
    <cellStyle name="Input 3 2 2 51 5" xfId="41129"/>
    <cellStyle name="Input 3 2 2 51 6" xfId="45525"/>
    <cellStyle name="Input 3 2 2 51 7" xfId="47032"/>
    <cellStyle name="Input 3 2 2 52" xfId="7074"/>
    <cellStyle name="Input 3 2 2 52 2" xfId="14791"/>
    <cellStyle name="Input 3 2 2 52 3" xfId="23784"/>
    <cellStyle name="Input 3 2 2 52 4" xfId="31971"/>
    <cellStyle name="Input 3 2 2 52 5" xfId="41234"/>
    <cellStyle name="Input 3 2 2 52 6" xfId="45636"/>
    <cellStyle name="Input 3 2 2 52 7" xfId="51994"/>
    <cellStyle name="Input 3 2 2 53" xfId="7328"/>
    <cellStyle name="Input 3 2 2 53 2" xfId="15045"/>
    <cellStyle name="Input 3 2 2 53 3" xfId="24038"/>
    <cellStyle name="Input 3 2 2 53 4" xfId="32225"/>
    <cellStyle name="Input 3 2 2 53 5" xfId="41481"/>
    <cellStyle name="Input 3 2 2 53 6" xfId="45890"/>
    <cellStyle name="Input 3 2 2 53 7" xfId="53734"/>
    <cellStyle name="Input 3 2 2 54" xfId="7392"/>
    <cellStyle name="Input 3 2 2 54 2" xfId="15109"/>
    <cellStyle name="Input 3 2 2 54 3" xfId="24102"/>
    <cellStyle name="Input 3 2 2 54 4" xfId="32289"/>
    <cellStyle name="Input 3 2 2 54 5" xfId="41543"/>
    <cellStyle name="Input 3 2 2 54 6" xfId="45954"/>
    <cellStyle name="Input 3 2 2 54 7" xfId="54334"/>
    <cellStyle name="Input 3 2 2 55" xfId="7471"/>
    <cellStyle name="Input 3 2 2 55 2" xfId="15188"/>
    <cellStyle name="Input 3 2 2 55 3" xfId="24181"/>
    <cellStyle name="Input 3 2 2 55 4" xfId="32368"/>
    <cellStyle name="Input 3 2 2 55 5" xfId="41617"/>
    <cellStyle name="Input 3 2 2 55 6" xfId="46033"/>
    <cellStyle name="Input 3 2 2 55 7" xfId="53272"/>
    <cellStyle name="Input 3 2 2 56" xfId="7592"/>
    <cellStyle name="Input 3 2 2 56 2" xfId="15309"/>
    <cellStyle name="Input 3 2 2 56 3" xfId="24302"/>
    <cellStyle name="Input 3 2 2 56 4" xfId="32489"/>
    <cellStyle name="Input 3 2 2 56 5" xfId="41732"/>
    <cellStyle name="Input 3 2 2 56 6" xfId="46154"/>
    <cellStyle name="Input 3 2 2 56 7" xfId="48428"/>
    <cellStyle name="Input 3 2 2 57" xfId="7868"/>
    <cellStyle name="Input 3 2 2 57 2" xfId="15585"/>
    <cellStyle name="Input 3 2 2 57 3" xfId="24572"/>
    <cellStyle name="Input 3 2 2 57 4" xfId="32765"/>
    <cellStyle name="Input 3 2 2 57 5" xfId="41997"/>
    <cellStyle name="Input 3 2 2 57 6" xfId="46430"/>
    <cellStyle name="Input 3 2 2 57 7" xfId="47745"/>
    <cellStyle name="Input 3 2 2 58" xfId="7956"/>
    <cellStyle name="Input 3 2 2 58 2" xfId="15673"/>
    <cellStyle name="Input 3 2 2 58 3" xfId="24659"/>
    <cellStyle name="Input 3 2 2 58 4" xfId="32853"/>
    <cellStyle name="Input 3 2 2 58 5" xfId="42081"/>
    <cellStyle name="Input 3 2 2 58 6" xfId="46518"/>
    <cellStyle name="Input 3 2 2 58 7" xfId="47972"/>
    <cellStyle name="Input 3 2 2 59" xfId="8046"/>
    <cellStyle name="Input 3 2 2 59 2" xfId="15763"/>
    <cellStyle name="Input 3 2 2 59 3" xfId="24748"/>
    <cellStyle name="Input 3 2 2 59 4" xfId="32943"/>
    <cellStyle name="Input 3 2 2 59 5" xfId="42168"/>
    <cellStyle name="Input 3 2 2 59 6" xfId="46608"/>
    <cellStyle name="Input 3 2 2 59 7" xfId="52557"/>
    <cellStyle name="Input 3 2 2 6" xfId="1489"/>
    <cellStyle name="Input 3 2 2 6 2" xfId="9312"/>
    <cellStyle name="Input 3 2 2 6 3" xfId="16740"/>
    <cellStyle name="Input 3 2 2 6 4" xfId="26205"/>
    <cellStyle name="Input 3 2 2 6 5" xfId="34887"/>
    <cellStyle name="Input 3 2 2 6 6" xfId="36665"/>
    <cellStyle name="Input 3 2 2 6 7" xfId="53437"/>
    <cellStyle name="Input 3 2 2 60" xfId="8144"/>
    <cellStyle name="Input 3 2 2 60 2" xfId="15861"/>
    <cellStyle name="Input 3 2 2 60 3" xfId="33041"/>
    <cellStyle name="Input 3 2 2 60 4" xfId="42261"/>
    <cellStyle name="Input 3 2 2 60 5" xfId="46706"/>
    <cellStyle name="Input 3 2 2 60 6" xfId="49372"/>
    <cellStyle name="Input 3 2 2 61" xfId="20035"/>
    <cellStyle name="Input 3 2 2 62" xfId="27901"/>
    <cellStyle name="Input 3 2 2 63" xfId="36657"/>
    <cellStyle name="Input 3 2 2 64" xfId="48833"/>
    <cellStyle name="Input 3 2 2 7" xfId="1632"/>
    <cellStyle name="Input 3 2 2 7 2" xfId="9455"/>
    <cellStyle name="Input 3 2 2 7 3" xfId="16883"/>
    <cellStyle name="Input 3 2 2 7 4" xfId="26595"/>
    <cellStyle name="Input 3 2 2 7 5" xfId="35419"/>
    <cellStyle name="Input 3 2 2 7 6" xfId="37269"/>
    <cellStyle name="Input 3 2 2 7 7" xfId="54268"/>
    <cellStyle name="Input 3 2 2 8" xfId="1726"/>
    <cellStyle name="Input 3 2 2 8 2" xfId="9549"/>
    <cellStyle name="Input 3 2 2 8 3" xfId="16977"/>
    <cellStyle name="Input 3 2 2 8 4" xfId="25353"/>
    <cellStyle name="Input 3 2 2 8 5" xfId="33788"/>
    <cellStyle name="Input 3 2 2 8 6" xfId="42134"/>
    <cellStyle name="Input 3 2 2 8 7" xfId="51540"/>
    <cellStyle name="Input 3 2 2 9" xfId="1860"/>
    <cellStyle name="Input 3 2 2 9 2" xfId="9683"/>
    <cellStyle name="Input 3 2 2 9 3" xfId="17111"/>
    <cellStyle name="Input 3 2 2 9 4" xfId="25704"/>
    <cellStyle name="Input 3 2 2 9 5" xfId="34244"/>
    <cellStyle name="Input 3 2 2 9 6" xfId="41217"/>
    <cellStyle name="Input 3 2 2 9 7" xfId="52321"/>
    <cellStyle name="Input 3 2 20" xfId="1284"/>
    <cellStyle name="Input 3 2 20 2" xfId="9107"/>
    <cellStyle name="Input 3 2 20 3" xfId="16535"/>
    <cellStyle name="Input 3 2 20 4" xfId="20658"/>
    <cellStyle name="Input 3 2 20 5" xfId="27397"/>
    <cellStyle name="Input 3 2 20 6" xfId="39842"/>
    <cellStyle name="Input 3 2 20 7" xfId="46786"/>
    <cellStyle name="Input 3 2 21" xfId="1602"/>
    <cellStyle name="Input 3 2 21 2" xfId="9425"/>
    <cellStyle name="Input 3 2 21 3" xfId="16853"/>
    <cellStyle name="Input 3 2 21 4" xfId="19126"/>
    <cellStyle name="Input 3 2 21 5" xfId="27094"/>
    <cellStyle name="Input 3 2 21 6" xfId="38279"/>
    <cellStyle name="Input 3 2 21 7" xfId="49883"/>
    <cellStyle name="Input 3 2 22" xfId="2558"/>
    <cellStyle name="Input 3 2 22 2" xfId="10381"/>
    <cellStyle name="Input 3 2 22 3" xfId="17809"/>
    <cellStyle name="Input 3 2 22 4" xfId="26448"/>
    <cellStyle name="Input 3 2 22 5" xfId="35223"/>
    <cellStyle name="Input 3 2 22 6" xfId="39280"/>
    <cellStyle name="Input 3 2 22 7" xfId="53955"/>
    <cellStyle name="Input 3 2 23" xfId="1080"/>
    <cellStyle name="Input 3 2 23 2" xfId="8904"/>
    <cellStyle name="Input 3 2 23 3" xfId="16332"/>
    <cellStyle name="Input 3 2 23 4" xfId="19998"/>
    <cellStyle name="Input 3 2 23 5" xfId="28739"/>
    <cellStyle name="Input 3 2 23 6" xfId="36535"/>
    <cellStyle name="Input 3 2 23 7" xfId="47379"/>
    <cellStyle name="Input 3 2 24" xfId="2298"/>
    <cellStyle name="Input 3 2 24 2" xfId="10121"/>
    <cellStyle name="Input 3 2 24 3" xfId="17549"/>
    <cellStyle name="Input 3 2 24 4" xfId="19352"/>
    <cellStyle name="Input 3 2 24 5" xfId="28594"/>
    <cellStyle name="Input 3 2 24 6" xfId="39454"/>
    <cellStyle name="Input 3 2 24 7" xfId="50049"/>
    <cellStyle name="Input 3 2 25" xfId="2342"/>
    <cellStyle name="Input 3 2 25 2" xfId="10165"/>
    <cellStyle name="Input 3 2 25 3" xfId="17593"/>
    <cellStyle name="Input 3 2 25 4" xfId="25413"/>
    <cellStyle name="Input 3 2 25 5" xfId="33869"/>
    <cellStyle name="Input 3 2 25 6" xfId="39104"/>
    <cellStyle name="Input 3 2 25 7" xfId="51676"/>
    <cellStyle name="Input 3 2 26" xfId="3107"/>
    <cellStyle name="Input 3 2 26 2" xfId="10912"/>
    <cellStyle name="Input 3 2 26 3" xfId="18293"/>
    <cellStyle name="Input 3 2 26 4" xfId="19207"/>
    <cellStyle name="Input 3 2 26 5" xfId="28573"/>
    <cellStyle name="Input 3 2 26 6" xfId="41801"/>
    <cellStyle name="Input 3 2 26 7" xfId="49905"/>
    <cellStyle name="Input 3 2 27" xfId="3158"/>
    <cellStyle name="Input 3 2 27 2" xfId="10960"/>
    <cellStyle name="Input 3 2 27 3" xfId="18330"/>
    <cellStyle name="Input 3 2 27 4" xfId="26262"/>
    <cellStyle name="Input 3 2 27 5" xfId="34960"/>
    <cellStyle name="Input 3 2 27 6" xfId="39111"/>
    <cellStyle name="Input 3 2 27 7" xfId="53562"/>
    <cellStyle name="Input 3 2 28" xfId="3034"/>
    <cellStyle name="Input 3 2 28 2" xfId="10849"/>
    <cellStyle name="Input 3 2 28 3" xfId="18260"/>
    <cellStyle name="Input 3 2 28 4" xfId="19129"/>
    <cellStyle name="Input 3 2 28 5" xfId="27675"/>
    <cellStyle name="Input 3 2 28 6" xfId="37187"/>
    <cellStyle name="Input 3 2 28 7" xfId="49869"/>
    <cellStyle name="Input 3 2 29" xfId="3192"/>
    <cellStyle name="Input 3 2 29 2" xfId="10993"/>
    <cellStyle name="Input 3 2 29 3" xfId="18345"/>
    <cellStyle name="Input 3 2 29 4" xfId="19141"/>
    <cellStyle name="Input 3 2 29 5" xfId="33115"/>
    <cellStyle name="Input 3 2 29 6" xfId="40323"/>
    <cellStyle name="Input 3 2 29 7" xfId="49819"/>
    <cellStyle name="Input 3 2 3" xfId="481"/>
    <cellStyle name="Input 3 2 3 10" xfId="1928"/>
    <cellStyle name="Input 3 2 3 10 2" xfId="9751"/>
    <cellStyle name="Input 3 2 3 10 3" xfId="17179"/>
    <cellStyle name="Input 3 2 3 10 4" xfId="26562"/>
    <cellStyle name="Input 3 2 3 10 5" xfId="35371"/>
    <cellStyle name="Input 3 2 3 10 6" xfId="41468"/>
    <cellStyle name="Input 3 2 3 10 7" xfId="54195"/>
    <cellStyle name="Input 3 2 3 11" xfId="2046"/>
    <cellStyle name="Input 3 2 3 11 2" xfId="9869"/>
    <cellStyle name="Input 3 2 3 11 3" xfId="17297"/>
    <cellStyle name="Input 3 2 3 11 4" xfId="26494"/>
    <cellStyle name="Input 3 2 3 11 5" xfId="35286"/>
    <cellStyle name="Input 3 2 3 11 6" xfId="38206"/>
    <cellStyle name="Input 3 2 3 11 7" xfId="54062"/>
    <cellStyle name="Input 3 2 3 12" xfId="2159"/>
    <cellStyle name="Input 3 2 3 12 2" xfId="9982"/>
    <cellStyle name="Input 3 2 3 12 3" xfId="17410"/>
    <cellStyle name="Input 3 2 3 12 4" xfId="20204"/>
    <cellStyle name="Input 3 2 3 12 5" xfId="27750"/>
    <cellStyle name="Input 3 2 3 12 6" xfId="41382"/>
    <cellStyle name="Input 3 2 3 12 7" xfId="48919"/>
    <cellStyle name="Input 3 2 3 13" xfId="2260"/>
    <cellStyle name="Input 3 2 3 13 2" xfId="10083"/>
    <cellStyle name="Input 3 2 3 13 3" xfId="17511"/>
    <cellStyle name="Input 3 2 3 13 4" xfId="26582"/>
    <cellStyle name="Input 3 2 3 13 5" xfId="35402"/>
    <cellStyle name="Input 3 2 3 13 6" xfId="38503"/>
    <cellStyle name="Input 3 2 3 13 7" xfId="54241"/>
    <cellStyle name="Input 3 2 3 14" xfId="1580"/>
    <cellStyle name="Input 3 2 3 14 2" xfId="9403"/>
    <cellStyle name="Input 3 2 3 14 3" xfId="16831"/>
    <cellStyle name="Input 3 2 3 14 4" xfId="25696"/>
    <cellStyle name="Input 3 2 3 14 5" xfId="34235"/>
    <cellStyle name="Input 3 2 3 14 6" xfId="40639"/>
    <cellStyle name="Input 3 2 3 14 7" xfId="52304"/>
    <cellStyle name="Input 3 2 3 15" xfId="2457"/>
    <cellStyle name="Input 3 2 3 15 2" xfId="10280"/>
    <cellStyle name="Input 3 2 3 15 3" xfId="17708"/>
    <cellStyle name="Input 3 2 3 15 4" xfId="19359"/>
    <cellStyle name="Input 3 2 3 15 5" xfId="28480"/>
    <cellStyle name="Input 3 2 3 15 6" xfId="40908"/>
    <cellStyle name="Input 3 2 3 15 7" xfId="49000"/>
    <cellStyle name="Input 3 2 3 16" xfId="2570"/>
    <cellStyle name="Input 3 2 3 16 2" xfId="10393"/>
    <cellStyle name="Input 3 2 3 16 3" xfId="17821"/>
    <cellStyle name="Input 3 2 3 16 4" xfId="25913"/>
    <cellStyle name="Input 3 2 3 16 5" xfId="34513"/>
    <cellStyle name="Input 3 2 3 16 6" xfId="38199"/>
    <cellStyle name="Input 3 2 3 16 7" xfId="52808"/>
    <cellStyle name="Input 3 2 3 17" xfId="2413"/>
    <cellStyle name="Input 3 2 3 17 2" xfId="10236"/>
    <cellStyle name="Input 3 2 3 17 3" xfId="17664"/>
    <cellStyle name="Input 3 2 3 17 4" xfId="25916"/>
    <cellStyle name="Input 3 2 3 17 5" xfId="34517"/>
    <cellStyle name="Input 3 2 3 17 6" xfId="38397"/>
    <cellStyle name="Input 3 2 3 17 7" xfId="52815"/>
    <cellStyle name="Input 3 2 3 18" xfId="2350"/>
    <cellStyle name="Input 3 2 3 18 2" xfId="10173"/>
    <cellStyle name="Input 3 2 3 18 3" xfId="17601"/>
    <cellStyle name="Input 3 2 3 18 4" xfId="25578"/>
    <cellStyle name="Input 3 2 3 18 5" xfId="34081"/>
    <cellStyle name="Input 3 2 3 18 6" xfId="38365"/>
    <cellStyle name="Input 3 2 3 18 7" xfId="52043"/>
    <cellStyle name="Input 3 2 3 19" xfId="2764"/>
    <cellStyle name="Input 3 2 3 19 2" xfId="10587"/>
    <cellStyle name="Input 3 2 3 19 3" xfId="18015"/>
    <cellStyle name="Input 3 2 3 19 4" xfId="26292"/>
    <cellStyle name="Input 3 2 3 19 5" xfId="35003"/>
    <cellStyle name="Input 3 2 3 19 6" xfId="40305"/>
    <cellStyle name="Input 3 2 3 19 7" xfId="53624"/>
    <cellStyle name="Input 3 2 3 2" xfId="632"/>
    <cellStyle name="Input 3 2 3 2 2" xfId="8456"/>
    <cellStyle name="Input 3 2 3 2 3" xfId="8304"/>
    <cellStyle name="Input 3 2 3 2 4" xfId="20429"/>
    <cellStyle name="Input 3 2 3 2 5" xfId="28747"/>
    <cellStyle name="Input 3 2 3 2 6" xfId="36345"/>
    <cellStyle name="Input 3 2 3 2 7" xfId="47689"/>
    <cellStyle name="Input 3 2 3 20" xfId="2871"/>
    <cellStyle name="Input 3 2 3 20 2" xfId="10694"/>
    <cellStyle name="Input 3 2 3 20 3" xfId="18122"/>
    <cellStyle name="Input 3 2 3 20 4" xfId="25326"/>
    <cellStyle name="Input 3 2 3 20 5" xfId="33756"/>
    <cellStyle name="Input 3 2 3 20 6" xfId="36725"/>
    <cellStyle name="Input 3 2 3 20 7" xfId="51488"/>
    <cellStyle name="Input 3 2 3 21" xfId="3247"/>
    <cellStyle name="Input 3 2 3 21 2" xfId="11040"/>
    <cellStyle name="Input 3 2 3 21 3" xfId="18369"/>
    <cellStyle name="Input 3 2 3 21 4" xfId="25054"/>
    <cellStyle name="Input 3 2 3 21 5" xfId="33414"/>
    <cellStyle name="Input 3 2 3 21 6" xfId="37848"/>
    <cellStyle name="Input 3 2 3 21 7" xfId="50907"/>
    <cellStyle name="Input 3 2 3 22" xfId="3367"/>
    <cellStyle name="Input 3 2 3 22 2" xfId="11158"/>
    <cellStyle name="Input 3 2 3 22 3" xfId="18480"/>
    <cellStyle name="Input 3 2 3 22 4" xfId="26197"/>
    <cellStyle name="Input 3 2 3 22 5" xfId="34878"/>
    <cellStyle name="Input 3 2 3 22 6" xfId="40346"/>
    <cellStyle name="Input 3 2 3 22 7" xfId="53420"/>
    <cellStyle name="Input 3 2 3 23" xfId="3576"/>
    <cellStyle name="Input 3 2 3 23 2" xfId="11365"/>
    <cellStyle name="Input 3 2 3 23 3" xfId="18645"/>
    <cellStyle name="Input 3 2 3 23 4" xfId="26672"/>
    <cellStyle name="Input 3 2 3 23 5" xfId="35519"/>
    <cellStyle name="Input 3 2 3 23 6" xfId="41959"/>
    <cellStyle name="Input 3 2 3 23 7" xfId="54438"/>
    <cellStyle name="Input 3 2 3 24" xfId="3637"/>
    <cellStyle name="Input 3 2 3 24 2" xfId="11422"/>
    <cellStyle name="Input 3 2 3 24 3" xfId="18695"/>
    <cellStyle name="Input 3 2 3 24 4" xfId="19366"/>
    <cellStyle name="Input 3 2 3 24 5" xfId="28507"/>
    <cellStyle name="Input 3 2 3 24 6" xfId="37022"/>
    <cellStyle name="Input 3 2 3 24 7" xfId="49592"/>
    <cellStyle name="Input 3 2 3 25" xfId="3768"/>
    <cellStyle name="Input 3 2 3 25 2" xfId="11550"/>
    <cellStyle name="Input 3 2 3 25 3" xfId="18807"/>
    <cellStyle name="Input 3 2 3 25 4" xfId="25221"/>
    <cellStyle name="Input 3 2 3 25 5" xfId="33621"/>
    <cellStyle name="Input 3 2 3 25 6" xfId="37776"/>
    <cellStyle name="Input 3 2 3 25 7" xfId="51266"/>
    <cellStyle name="Input 3 2 3 26" xfId="3885"/>
    <cellStyle name="Input 3 2 3 26 2" xfId="11665"/>
    <cellStyle name="Input 3 2 3 26 3" xfId="18916"/>
    <cellStyle name="Input 3 2 3 26 4" xfId="25994"/>
    <cellStyle name="Input 3 2 3 26 5" xfId="34616"/>
    <cellStyle name="Input 3 2 3 26 6" xfId="40769"/>
    <cellStyle name="Input 3 2 3 26 7" xfId="52981"/>
    <cellStyle name="Input 3 2 3 27" xfId="3882"/>
    <cellStyle name="Input 3 2 3 27 2" xfId="11663"/>
    <cellStyle name="Input 3 2 3 27 3" xfId="20652"/>
    <cellStyle name="Input 3 2 3 27 4" xfId="28823"/>
    <cellStyle name="Input 3 2 3 27 5" xfId="38215"/>
    <cellStyle name="Input 3 2 3 27 6" xfId="42550"/>
    <cellStyle name="Input 3 2 3 27 7" xfId="53133"/>
    <cellStyle name="Input 3 2 3 28" xfId="4082"/>
    <cellStyle name="Input 3 2 3 28 2" xfId="11842"/>
    <cellStyle name="Input 3 2 3 28 3" xfId="20792"/>
    <cellStyle name="Input 3 2 3 28 4" xfId="28979"/>
    <cellStyle name="Input 3 2 3 28 5" xfId="38358"/>
    <cellStyle name="Input 3 2 3 28 6" xfId="42644"/>
    <cellStyle name="Input 3 2 3 28 7" xfId="48258"/>
    <cellStyle name="Input 3 2 3 29" xfId="4223"/>
    <cellStyle name="Input 3 2 3 29 2" xfId="20933"/>
    <cellStyle name="Input 3 2 3 29 3" xfId="29120"/>
    <cellStyle name="Input 3 2 3 29 4" xfId="38495"/>
    <cellStyle name="Input 3 2 3 29 5" xfId="42785"/>
    <cellStyle name="Input 3 2 3 29 6" xfId="49035"/>
    <cellStyle name="Input 3 2 3 3" xfId="739"/>
    <cellStyle name="Input 3 2 3 3 2" xfId="8563"/>
    <cellStyle name="Input 3 2 3 3 3" xfId="15991"/>
    <cellStyle name="Input 3 2 3 3 4" xfId="20401"/>
    <cellStyle name="Input 3 2 3 3 5" xfId="27066"/>
    <cellStyle name="Input 3 2 3 3 6" xfId="36331"/>
    <cellStyle name="Input 3 2 3 3 7" xfId="49389"/>
    <cellStyle name="Input 3 2 3 30" xfId="4279"/>
    <cellStyle name="Input 3 2 3 30 2" xfId="11996"/>
    <cellStyle name="Input 3 2 3 30 3" xfId="20989"/>
    <cellStyle name="Input 3 2 3 30 4" xfId="29176"/>
    <cellStyle name="Input 3 2 3 30 5" xfId="38549"/>
    <cellStyle name="Input 3 2 3 30 6" xfId="42841"/>
    <cellStyle name="Input 3 2 3 30 7" xfId="51107"/>
    <cellStyle name="Input 3 2 3 31" xfId="4402"/>
    <cellStyle name="Input 3 2 3 31 2" xfId="12119"/>
    <cellStyle name="Input 3 2 3 31 3" xfId="21112"/>
    <cellStyle name="Input 3 2 3 31 4" xfId="29299"/>
    <cellStyle name="Input 3 2 3 31 5" xfId="38669"/>
    <cellStyle name="Input 3 2 3 31 6" xfId="42964"/>
    <cellStyle name="Input 3 2 3 31 7" xfId="48765"/>
    <cellStyle name="Input 3 2 3 32" xfId="4516"/>
    <cellStyle name="Input 3 2 3 32 2" xfId="12233"/>
    <cellStyle name="Input 3 2 3 32 3" xfId="21226"/>
    <cellStyle name="Input 3 2 3 32 4" xfId="29413"/>
    <cellStyle name="Input 3 2 3 32 5" xfId="38777"/>
    <cellStyle name="Input 3 2 3 32 6" xfId="43078"/>
    <cellStyle name="Input 3 2 3 32 7" xfId="49993"/>
    <cellStyle name="Input 3 2 3 33" xfId="4629"/>
    <cellStyle name="Input 3 2 3 33 2" xfId="12346"/>
    <cellStyle name="Input 3 2 3 33 3" xfId="21339"/>
    <cellStyle name="Input 3 2 3 33 4" xfId="29526"/>
    <cellStyle name="Input 3 2 3 33 5" xfId="38885"/>
    <cellStyle name="Input 3 2 3 33 6" xfId="43191"/>
    <cellStyle name="Input 3 2 3 33 7" xfId="54019"/>
    <cellStyle name="Input 3 2 3 34" xfId="4741"/>
    <cellStyle name="Input 3 2 3 34 2" xfId="12458"/>
    <cellStyle name="Input 3 2 3 34 3" xfId="21451"/>
    <cellStyle name="Input 3 2 3 34 4" xfId="29638"/>
    <cellStyle name="Input 3 2 3 34 5" xfId="38993"/>
    <cellStyle name="Input 3 2 3 34 6" xfId="43303"/>
    <cellStyle name="Input 3 2 3 34 7" xfId="50286"/>
    <cellStyle name="Input 3 2 3 35" xfId="4849"/>
    <cellStyle name="Input 3 2 3 35 2" xfId="12566"/>
    <cellStyle name="Input 3 2 3 35 3" xfId="21559"/>
    <cellStyle name="Input 3 2 3 35 4" xfId="29746"/>
    <cellStyle name="Input 3 2 3 35 5" xfId="39097"/>
    <cellStyle name="Input 3 2 3 35 6" xfId="43411"/>
    <cellStyle name="Input 3 2 3 35 7" xfId="48179"/>
    <cellStyle name="Input 3 2 3 36" xfId="4961"/>
    <cellStyle name="Input 3 2 3 36 2" xfId="12678"/>
    <cellStyle name="Input 3 2 3 36 3" xfId="21671"/>
    <cellStyle name="Input 3 2 3 36 4" xfId="29858"/>
    <cellStyle name="Input 3 2 3 36 5" xfId="39205"/>
    <cellStyle name="Input 3 2 3 36 6" xfId="43523"/>
    <cellStyle name="Input 3 2 3 36 7" xfId="51914"/>
    <cellStyle name="Input 3 2 3 37" xfId="5150"/>
    <cellStyle name="Input 3 2 3 37 2" xfId="12867"/>
    <cellStyle name="Input 3 2 3 37 3" xfId="21860"/>
    <cellStyle name="Input 3 2 3 37 4" xfId="30047"/>
    <cellStyle name="Input 3 2 3 37 5" xfId="39386"/>
    <cellStyle name="Input 3 2 3 37 6" xfId="43712"/>
    <cellStyle name="Input 3 2 3 37 7" xfId="54429"/>
    <cellStyle name="Input 3 2 3 38" xfId="5459"/>
    <cellStyle name="Input 3 2 3 38 2" xfId="13176"/>
    <cellStyle name="Input 3 2 3 38 3" xfId="22169"/>
    <cellStyle name="Input 3 2 3 38 4" xfId="30356"/>
    <cellStyle name="Input 3 2 3 38 5" xfId="39684"/>
    <cellStyle name="Input 3 2 3 38 6" xfId="44021"/>
    <cellStyle name="Input 3 2 3 38 7" xfId="52902"/>
    <cellStyle name="Input 3 2 3 39" xfId="5584"/>
    <cellStyle name="Input 3 2 3 39 2" xfId="13301"/>
    <cellStyle name="Input 3 2 3 39 3" xfId="22294"/>
    <cellStyle name="Input 3 2 3 39 4" xfId="30481"/>
    <cellStyle name="Input 3 2 3 39 5" xfId="39803"/>
    <cellStyle name="Input 3 2 3 39 6" xfId="44146"/>
    <cellStyle name="Input 3 2 3 39 7" xfId="47153"/>
    <cellStyle name="Input 3 2 3 4" xfId="851"/>
    <cellStyle name="Input 3 2 3 4 2" xfId="8675"/>
    <cellStyle name="Input 3 2 3 4 3" xfId="16103"/>
    <cellStyle name="Input 3 2 3 4 4" xfId="20574"/>
    <cellStyle name="Input 3 2 3 4 5" xfId="27150"/>
    <cellStyle name="Input 3 2 3 4 6" xfId="36389"/>
    <cellStyle name="Input 3 2 3 4 7" xfId="50208"/>
    <cellStyle name="Input 3 2 3 40" xfId="5699"/>
    <cellStyle name="Input 3 2 3 40 2" xfId="13416"/>
    <cellStyle name="Input 3 2 3 40 3" xfId="22409"/>
    <cellStyle name="Input 3 2 3 40 4" xfId="30596"/>
    <cellStyle name="Input 3 2 3 40 5" xfId="39914"/>
    <cellStyle name="Input 3 2 3 40 6" xfId="44261"/>
    <cellStyle name="Input 3 2 3 40 7" xfId="46932"/>
    <cellStyle name="Input 3 2 3 41" xfId="5816"/>
    <cellStyle name="Input 3 2 3 41 2" xfId="13533"/>
    <cellStyle name="Input 3 2 3 41 3" xfId="22526"/>
    <cellStyle name="Input 3 2 3 41 4" xfId="30713"/>
    <cellStyle name="Input 3 2 3 41 5" xfId="40028"/>
    <cellStyle name="Input 3 2 3 41 6" xfId="44378"/>
    <cellStyle name="Input 3 2 3 41 7" xfId="51553"/>
    <cellStyle name="Input 3 2 3 42" xfId="5944"/>
    <cellStyle name="Input 3 2 3 42 2" xfId="13661"/>
    <cellStyle name="Input 3 2 3 42 3" xfId="22654"/>
    <cellStyle name="Input 3 2 3 42 4" xfId="30841"/>
    <cellStyle name="Input 3 2 3 42 5" xfId="40152"/>
    <cellStyle name="Input 3 2 3 42 6" xfId="44506"/>
    <cellStyle name="Input 3 2 3 42 7" xfId="53078"/>
    <cellStyle name="Input 3 2 3 43" xfId="6102"/>
    <cellStyle name="Input 3 2 3 43 2" xfId="13819"/>
    <cellStyle name="Input 3 2 3 43 3" xfId="22812"/>
    <cellStyle name="Input 3 2 3 43 4" xfId="30999"/>
    <cellStyle name="Input 3 2 3 43 5" xfId="40301"/>
    <cellStyle name="Input 3 2 3 43 6" xfId="44664"/>
    <cellStyle name="Input 3 2 3 43 7" xfId="50998"/>
    <cellStyle name="Input 3 2 3 44" xfId="6200"/>
    <cellStyle name="Input 3 2 3 44 2" xfId="13917"/>
    <cellStyle name="Input 3 2 3 44 3" xfId="22910"/>
    <cellStyle name="Input 3 2 3 44 4" xfId="31097"/>
    <cellStyle name="Input 3 2 3 44 5" xfId="40398"/>
    <cellStyle name="Input 3 2 3 44 6" xfId="44762"/>
    <cellStyle name="Input 3 2 3 44 7" xfId="49717"/>
    <cellStyle name="Input 3 2 3 45" xfId="6317"/>
    <cellStyle name="Input 3 2 3 45 2" xfId="14034"/>
    <cellStyle name="Input 3 2 3 45 3" xfId="23027"/>
    <cellStyle name="Input 3 2 3 45 4" xfId="31214"/>
    <cellStyle name="Input 3 2 3 45 5" xfId="40514"/>
    <cellStyle name="Input 3 2 3 45 6" xfId="44879"/>
    <cellStyle name="Input 3 2 3 45 7" xfId="52368"/>
    <cellStyle name="Input 3 2 3 46" xfId="6427"/>
    <cellStyle name="Input 3 2 3 46 2" xfId="14144"/>
    <cellStyle name="Input 3 2 3 46 3" xfId="23137"/>
    <cellStyle name="Input 3 2 3 46 4" xfId="31324"/>
    <cellStyle name="Input 3 2 3 46 5" xfId="40619"/>
    <cellStyle name="Input 3 2 3 46 6" xfId="44989"/>
    <cellStyle name="Input 3 2 3 46 7" xfId="53433"/>
    <cellStyle name="Input 3 2 3 47" xfId="6527"/>
    <cellStyle name="Input 3 2 3 47 2" xfId="14244"/>
    <cellStyle name="Input 3 2 3 47 3" xfId="23237"/>
    <cellStyle name="Input 3 2 3 47 4" xfId="31424"/>
    <cellStyle name="Input 3 2 3 47 5" xfId="40715"/>
    <cellStyle name="Input 3 2 3 47 6" xfId="45089"/>
    <cellStyle name="Input 3 2 3 47 7" xfId="51152"/>
    <cellStyle name="Input 3 2 3 48" xfId="6574"/>
    <cellStyle name="Input 3 2 3 48 2" xfId="14291"/>
    <cellStyle name="Input 3 2 3 48 3" xfId="23284"/>
    <cellStyle name="Input 3 2 3 48 4" xfId="31471"/>
    <cellStyle name="Input 3 2 3 48 5" xfId="40759"/>
    <cellStyle name="Input 3 2 3 48 6" xfId="45136"/>
    <cellStyle name="Input 3 2 3 48 7" xfId="53616"/>
    <cellStyle name="Input 3 2 3 49" xfId="6685"/>
    <cellStyle name="Input 3 2 3 49 2" xfId="14402"/>
    <cellStyle name="Input 3 2 3 49 3" xfId="23395"/>
    <cellStyle name="Input 3 2 3 49 4" xfId="31582"/>
    <cellStyle name="Input 3 2 3 49 5" xfId="40866"/>
    <cellStyle name="Input 3 2 3 49 6" xfId="45247"/>
    <cellStyle name="Input 3 2 3 49 7" xfId="49088"/>
    <cellStyle name="Input 3 2 3 5" xfId="1316"/>
    <cellStyle name="Input 3 2 3 5 2" xfId="9139"/>
    <cellStyle name="Input 3 2 3 5 3" xfId="16567"/>
    <cellStyle name="Input 3 2 3 5 4" xfId="25823"/>
    <cellStyle name="Input 3 2 3 5 5" xfId="34405"/>
    <cellStyle name="Input 3 2 3 5 6" xfId="37152"/>
    <cellStyle name="Input 3 2 3 5 7" xfId="52614"/>
    <cellStyle name="Input 3 2 3 50" xfId="6800"/>
    <cellStyle name="Input 3 2 3 50 2" xfId="14517"/>
    <cellStyle name="Input 3 2 3 50 3" xfId="23510"/>
    <cellStyle name="Input 3 2 3 50 4" xfId="31697"/>
    <cellStyle name="Input 3 2 3 50 5" xfId="40975"/>
    <cellStyle name="Input 3 2 3 50 6" xfId="45362"/>
    <cellStyle name="Input 3 2 3 50 7" xfId="47624"/>
    <cellStyle name="Input 3 2 3 51" xfId="6913"/>
    <cellStyle name="Input 3 2 3 51 2" xfId="14630"/>
    <cellStyle name="Input 3 2 3 51 3" xfId="23623"/>
    <cellStyle name="Input 3 2 3 51 4" xfId="31810"/>
    <cellStyle name="Input 3 2 3 51 5" xfId="41082"/>
    <cellStyle name="Input 3 2 3 51 6" xfId="45475"/>
    <cellStyle name="Input 3 2 3 51 7" xfId="46820"/>
    <cellStyle name="Input 3 2 3 52" xfId="7025"/>
    <cellStyle name="Input 3 2 3 52 2" xfId="14742"/>
    <cellStyle name="Input 3 2 3 52 3" xfId="23735"/>
    <cellStyle name="Input 3 2 3 52 4" xfId="31922"/>
    <cellStyle name="Input 3 2 3 52 5" xfId="41189"/>
    <cellStyle name="Input 3 2 3 52 6" xfId="45587"/>
    <cellStyle name="Input 3 2 3 52 7" xfId="47204"/>
    <cellStyle name="Input 3 2 3 53" xfId="7313"/>
    <cellStyle name="Input 3 2 3 53 2" xfId="15030"/>
    <cellStyle name="Input 3 2 3 53 3" xfId="24023"/>
    <cellStyle name="Input 3 2 3 53 4" xfId="32210"/>
    <cellStyle name="Input 3 2 3 53 5" xfId="41466"/>
    <cellStyle name="Input 3 2 3 53 6" xfId="45875"/>
    <cellStyle name="Input 3 2 3 53 7" xfId="51587"/>
    <cellStyle name="Input 3 2 3 54" xfId="7363"/>
    <cellStyle name="Input 3 2 3 54 2" xfId="15080"/>
    <cellStyle name="Input 3 2 3 54 3" xfId="24073"/>
    <cellStyle name="Input 3 2 3 54 4" xfId="32260"/>
    <cellStyle name="Input 3 2 3 54 5" xfId="41516"/>
    <cellStyle name="Input 3 2 3 54 6" xfId="45925"/>
    <cellStyle name="Input 3 2 3 54 7" xfId="49950"/>
    <cellStyle name="Input 3 2 3 55" xfId="7422"/>
    <cellStyle name="Input 3 2 3 55 2" xfId="15139"/>
    <cellStyle name="Input 3 2 3 55 3" xfId="24132"/>
    <cellStyle name="Input 3 2 3 55 4" xfId="32319"/>
    <cellStyle name="Input 3 2 3 55 5" xfId="41571"/>
    <cellStyle name="Input 3 2 3 55 6" xfId="45984"/>
    <cellStyle name="Input 3 2 3 55 7" xfId="50997"/>
    <cellStyle name="Input 3 2 3 56" xfId="7543"/>
    <cellStyle name="Input 3 2 3 56 2" xfId="15260"/>
    <cellStyle name="Input 3 2 3 56 3" xfId="24253"/>
    <cellStyle name="Input 3 2 3 56 4" xfId="32440"/>
    <cellStyle name="Input 3 2 3 56 5" xfId="41686"/>
    <cellStyle name="Input 3 2 3 56 6" xfId="46105"/>
    <cellStyle name="Input 3 2 3 56 7" xfId="53136"/>
    <cellStyle name="Input 3 2 3 57" xfId="7819"/>
    <cellStyle name="Input 3 2 3 57 2" xfId="15536"/>
    <cellStyle name="Input 3 2 3 57 3" xfId="24523"/>
    <cellStyle name="Input 3 2 3 57 4" xfId="32716"/>
    <cellStyle name="Input 3 2 3 57 5" xfId="41951"/>
    <cellStyle name="Input 3 2 3 57 6" xfId="46381"/>
    <cellStyle name="Input 3 2 3 57 7" xfId="53998"/>
    <cellStyle name="Input 3 2 3 58" xfId="7781"/>
    <cellStyle name="Input 3 2 3 58 2" xfId="15498"/>
    <cellStyle name="Input 3 2 3 58 3" xfId="24487"/>
    <cellStyle name="Input 3 2 3 58 4" xfId="32678"/>
    <cellStyle name="Input 3 2 3 58 5" xfId="41913"/>
    <cellStyle name="Input 3 2 3 58 6" xfId="46343"/>
    <cellStyle name="Input 3 2 3 58 7" xfId="49867"/>
    <cellStyle name="Input 3 2 3 59" xfId="7679"/>
    <cellStyle name="Input 3 2 3 59 2" xfId="15396"/>
    <cellStyle name="Input 3 2 3 59 3" xfId="24387"/>
    <cellStyle name="Input 3 2 3 59 4" xfId="32576"/>
    <cellStyle name="Input 3 2 3 59 5" xfId="41814"/>
    <cellStyle name="Input 3 2 3 59 6" xfId="46241"/>
    <cellStyle name="Input 3 2 3 59 7" xfId="54359"/>
    <cellStyle name="Input 3 2 3 6" xfId="1439"/>
    <cellStyle name="Input 3 2 3 6 2" xfId="9262"/>
    <cellStyle name="Input 3 2 3 6 3" xfId="16690"/>
    <cellStyle name="Input 3 2 3 6 4" xfId="25671"/>
    <cellStyle name="Input 3 2 3 6 5" xfId="34203"/>
    <cellStyle name="Input 3 2 3 6 6" xfId="40171"/>
    <cellStyle name="Input 3 2 3 6 7" xfId="52241"/>
    <cellStyle name="Input 3 2 3 60" xfId="8095"/>
    <cellStyle name="Input 3 2 3 60 2" xfId="15812"/>
    <cellStyle name="Input 3 2 3 60 3" xfId="32992"/>
    <cellStyle name="Input 3 2 3 60 4" xfId="42214"/>
    <cellStyle name="Input 3 2 3 60 5" xfId="46657"/>
    <cellStyle name="Input 3 2 3 60 6" xfId="48402"/>
    <cellStyle name="Input 3 2 3 61" xfId="26618"/>
    <cellStyle name="Input 3 2 3 62" xfId="35450"/>
    <cellStyle name="Input 3 2 3 63" xfId="36909"/>
    <cellStyle name="Input 3 2 3 64" xfId="54323"/>
    <cellStyle name="Input 3 2 3 7" xfId="1229"/>
    <cellStyle name="Input 3 2 3 7 2" xfId="9052"/>
    <cellStyle name="Input 3 2 3 7 3" xfId="16480"/>
    <cellStyle name="Input 3 2 3 7 4" xfId="20688"/>
    <cellStyle name="Input 3 2 3 7 5" xfId="27139"/>
    <cellStyle name="Input 3 2 3 7 6" xfId="37891"/>
    <cellStyle name="Input 3 2 3 7 7" xfId="48758"/>
    <cellStyle name="Input 3 2 3 8" xfId="1676"/>
    <cellStyle name="Input 3 2 3 8 2" xfId="9499"/>
    <cellStyle name="Input 3 2 3 8 3" xfId="16927"/>
    <cellStyle name="Input 3 2 3 8 4" xfId="20551"/>
    <cellStyle name="Input 3 2 3 8 5" xfId="27064"/>
    <cellStyle name="Input 3 2 3 8 6" xfId="38249"/>
    <cellStyle name="Input 3 2 3 8 7" xfId="47741"/>
    <cellStyle name="Input 3 2 3 9" xfId="1810"/>
    <cellStyle name="Input 3 2 3 9 2" xfId="9633"/>
    <cellStyle name="Input 3 2 3 9 3" xfId="17061"/>
    <cellStyle name="Input 3 2 3 9 4" xfId="20073"/>
    <cellStyle name="Input 3 2 3 9 5" xfId="27796"/>
    <cellStyle name="Input 3 2 3 9 6" xfId="40111"/>
    <cellStyle name="Input 3 2 3 9 7" xfId="49603"/>
    <cellStyle name="Input 3 2 30" xfId="3142"/>
    <cellStyle name="Input 3 2 30 2" xfId="10947"/>
    <cellStyle name="Input 3 2 30 3" xfId="18320"/>
    <cellStyle name="Input 3 2 30 4" xfId="19732"/>
    <cellStyle name="Input 3 2 30 5" xfId="27446"/>
    <cellStyle name="Input 3 2 30 6" xfId="40774"/>
    <cellStyle name="Input 3 2 30 7" xfId="46918"/>
    <cellStyle name="Input 3 2 31" xfId="3246"/>
    <cellStyle name="Input 3 2 31 2" xfId="11039"/>
    <cellStyle name="Input 3 2 31 3" xfId="18368"/>
    <cellStyle name="Input 3 2 31 4" xfId="25107"/>
    <cellStyle name="Input 3 2 31 5" xfId="33472"/>
    <cellStyle name="Input 3 2 31 6" xfId="37914"/>
    <cellStyle name="Input 3 2 31 7" xfId="51022"/>
    <cellStyle name="Input 3 2 32" xfId="3859"/>
    <cellStyle name="Input 3 2 32 2" xfId="11641"/>
    <cellStyle name="Input 3 2 32 3" xfId="20642"/>
    <cellStyle name="Input 3 2 32 4" xfId="28812"/>
    <cellStyle name="Input 3 2 32 5" xfId="38205"/>
    <cellStyle name="Input 3 2 32 6" xfId="42546"/>
    <cellStyle name="Input 3 2 32 7" xfId="47264"/>
    <cellStyle name="Input 3 2 33" xfId="3494"/>
    <cellStyle name="Input 3 2 33 2" xfId="11285"/>
    <cellStyle name="Input 3 2 33 3" xfId="20479"/>
    <cellStyle name="Input 3 2 33 4" xfId="28601"/>
    <cellStyle name="Input 3 2 33 5" xfId="37977"/>
    <cellStyle name="Input 3 2 33 6" xfId="42487"/>
    <cellStyle name="Input 3 2 33 7" xfId="51818"/>
    <cellStyle name="Input 3 2 34" xfId="4196"/>
    <cellStyle name="Input 3 2 34 2" xfId="20906"/>
    <cellStyle name="Input 3 2 34 3" xfId="29093"/>
    <cellStyle name="Input 3 2 34 4" xfId="38469"/>
    <cellStyle name="Input 3 2 34 5" xfId="42758"/>
    <cellStyle name="Input 3 2 34 6" xfId="52343"/>
    <cellStyle name="Input 3 2 35" xfId="3563"/>
    <cellStyle name="Input 3 2 35 2" xfId="11352"/>
    <cellStyle name="Input 3 2 35 3" xfId="20522"/>
    <cellStyle name="Input 3 2 35 4" xfId="28651"/>
    <cellStyle name="Input 3 2 35 5" xfId="38030"/>
    <cellStyle name="Input 3 2 35 6" xfId="42510"/>
    <cellStyle name="Input 3 2 35 7" xfId="50932"/>
    <cellStyle name="Input 3 2 36" xfId="4277"/>
    <cellStyle name="Input 3 2 36 2" xfId="11994"/>
    <cellStyle name="Input 3 2 36 3" xfId="20987"/>
    <cellStyle name="Input 3 2 36 4" xfId="29174"/>
    <cellStyle name="Input 3 2 36 5" xfId="38547"/>
    <cellStyle name="Input 3 2 36 6" xfId="42839"/>
    <cellStyle name="Input 3 2 36 7" xfId="51321"/>
    <cellStyle name="Input 3 2 37" xfId="3222"/>
    <cellStyle name="Input 3 2 37 2" xfId="11018"/>
    <cellStyle name="Input 3 2 37 3" xfId="20345"/>
    <cellStyle name="Input 3 2 37 4" xfId="28433"/>
    <cellStyle name="Input 3 2 37 5" xfId="37824"/>
    <cellStyle name="Input 3 2 37 6" xfId="42451"/>
    <cellStyle name="Input 3 2 37 7" xfId="53486"/>
    <cellStyle name="Input 3 2 38" xfId="3049"/>
    <cellStyle name="Input 3 2 38 2" xfId="10861"/>
    <cellStyle name="Input 3 2 38 3" xfId="20215"/>
    <cellStyle name="Input 3 2 38 4" xfId="28307"/>
    <cellStyle name="Input 3 2 38 5" xfId="37687"/>
    <cellStyle name="Input 3 2 38 6" xfId="42372"/>
    <cellStyle name="Input 3 2 38 7" xfId="49754"/>
    <cellStyle name="Input 3 2 39" xfId="4050"/>
    <cellStyle name="Input 3 2 39 2" xfId="11819"/>
    <cellStyle name="Input 3 2 39 3" xfId="20760"/>
    <cellStyle name="Input 3 2 39 4" xfId="28947"/>
    <cellStyle name="Input 3 2 39 5" xfId="38326"/>
    <cellStyle name="Input 3 2 39 6" xfId="42612"/>
    <cellStyle name="Input 3 2 39 7" xfId="52374"/>
    <cellStyle name="Input 3 2 4" xfId="542"/>
    <cellStyle name="Input 3 2 4 10" xfId="1989"/>
    <cellStyle name="Input 3 2 4 10 2" xfId="9812"/>
    <cellStyle name="Input 3 2 4 10 3" xfId="17240"/>
    <cellStyle name="Input 3 2 4 10 4" xfId="26447"/>
    <cellStyle name="Input 3 2 4 10 5" xfId="35222"/>
    <cellStyle name="Input 3 2 4 10 6" xfId="37138"/>
    <cellStyle name="Input 3 2 4 10 7" xfId="53954"/>
    <cellStyle name="Input 3 2 4 11" xfId="2107"/>
    <cellStyle name="Input 3 2 4 11 2" xfId="9930"/>
    <cellStyle name="Input 3 2 4 11 3" xfId="17358"/>
    <cellStyle name="Input 3 2 4 11 4" xfId="26676"/>
    <cellStyle name="Input 3 2 4 11 5" xfId="35523"/>
    <cellStyle name="Input 3 2 4 11 6" xfId="39296"/>
    <cellStyle name="Input 3 2 4 11 7" xfId="54445"/>
    <cellStyle name="Input 3 2 4 12" xfId="2220"/>
    <cellStyle name="Input 3 2 4 12 2" xfId="10043"/>
    <cellStyle name="Input 3 2 4 12 3" xfId="17471"/>
    <cellStyle name="Input 3 2 4 12 4" xfId="19293"/>
    <cellStyle name="Input 3 2 4 12 5" xfId="28436"/>
    <cellStyle name="Input 3 2 4 12 6" xfId="37340"/>
    <cellStyle name="Input 3 2 4 12 7" xfId="47569"/>
    <cellStyle name="Input 3 2 4 13" xfId="2311"/>
    <cellStyle name="Input 3 2 4 13 2" xfId="10134"/>
    <cellStyle name="Input 3 2 4 13 3" xfId="17562"/>
    <cellStyle name="Input 3 2 4 13 4" xfId="20499"/>
    <cellStyle name="Input 3 2 4 13 5" xfId="28143"/>
    <cellStyle name="Input 3 2 4 13 6" xfId="36587"/>
    <cellStyle name="Input 3 2 4 13 7" xfId="48681"/>
    <cellStyle name="Input 3 2 4 14" xfId="2405"/>
    <cellStyle name="Input 3 2 4 14 2" xfId="10228"/>
    <cellStyle name="Input 3 2 4 14 3" xfId="17656"/>
    <cellStyle name="Input 3 2 4 14 4" xfId="26227"/>
    <cellStyle name="Input 3 2 4 14 5" xfId="34914"/>
    <cellStyle name="Input 3 2 4 14 6" xfId="39136"/>
    <cellStyle name="Input 3 2 4 14 7" xfId="53477"/>
    <cellStyle name="Input 3 2 4 15" xfId="2518"/>
    <cellStyle name="Input 3 2 4 15 2" xfId="10341"/>
    <cellStyle name="Input 3 2 4 15 3" xfId="17769"/>
    <cellStyle name="Input 3 2 4 15 4" xfId="20133"/>
    <cellStyle name="Input 3 2 4 15 5" xfId="27568"/>
    <cellStyle name="Input 3 2 4 15 6" xfId="41822"/>
    <cellStyle name="Input 3 2 4 15 7" xfId="48981"/>
    <cellStyle name="Input 3 2 4 16" xfId="2631"/>
    <cellStyle name="Input 3 2 4 16 2" xfId="10454"/>
    <cellStyle name="Input 3 2 4 16 3" xfId="17882"/>
    <cellStyle name="Input 3 2 4 16 4" xfId="25682"/>
    <cellStyle name="Input 3 2 4 16 5" xfId="34215"/>
    <cellStyle name="Input 3 2 4 16 6" xfId="39304"/>
    <cellStyle name="Input 3 2 4 16 7" xfId="52268"/>
    <cellStyle name="Input 3 2 4 17" xfId="2711"/>
    <cellStyle name="Input 3 2 4 17 2" xfId="10534"/>
    <cellStyle name="Input 3 2 4 17 3" xfId="17962"/>
    <cellStyle name="Input 3 2 4 17 4" xfId="25547"/>
    <cellStyle name="Input 3 2 4 17 5" xfId="34039"/>
    <cellStyle name="Input 3 2 4 17 6" xfId="38292"/>
    <cellStyle name="Input 3 2 4 17 7" xfId="51973"/>
    <cellStyle name="Input 3 2 4 18" xfId="2748"/>
    <cellStyle name="Input 3 2 4 18 2" xfId="10571"/>
    <cellStyle name="Input 3 2 4 18 3" xfId="17999"/>
    <cellStyle name="Input 3 2 4 18 4" xfId="25492"/>
    <cellStyle name="Input 3 2 4 18 5" xfId="33967"/>
    <cellStyle name="Input 3 2 4 18 6" xfId="42284"/>
    <cellStyle name="Input 3 2 4 18 7" xfId="51853"/>
    <cellStyle name="Input 3 2 4 19" xfId="2824"/>
    <cellStyle name="Input 3 2 4 19 2" xfId="10647"/>
    <cellStyle name="Input 3 2 4 19 3" xfId="18075"/>
    <cellStyle name="Input 3 2 4 19 4" xfId="19585"/>
    <cellStyle name="Input 3 2 4 19 5" xfId="28882"/>
    <cellStyle name="Input 3 2 4 19 6" xfId="41906"/>
    <cellStyle name="Input 3 2 4 19 7" xfId="47712"/>
    <cellStyle name="Input 3 2 4 2" xfId="692"/>
    <cellStyle name="Input 3 2 4 2 2" xfId="8516"/>
    <cellStyle name="Input 3 2 4 2 3" xfId="15944"/>
    <cellStyle name="Input 3 2 4 2 4" xfId="20104"/>
    <cellStyle name="Input 3 2 4 2 5" xfId="27696"/>
    <cellStyle name="Input 3 2 4 2 6" xfId="36765"/>
    <cellStyle name="Input 3 2 4 2 7" xfId="47934"/>
    <cellStyle name="Input 3 2 4 20" xfId="2931"/>
    <cellStyle name="Input 3 2 4 20 2" xfId="10754"/>
    <cellStyle name="Input 3 2 4 20 3" xfId="18182"/>
    <cellStyle name="Input 3 2 4 20 4" xfId="25478"/>
    <cellStyle name="Input 3 2 4 20 5" xfId="33951"/>
    <cellStyle name="Input 3 2 4 20 6" xfId="41142"/>
    <cellStyle name="Input 3 2 4 20 7" xfId="51826"/>
    <cellStyle name="Input 3 2 4 21" xfId="3307"/>
    <cellStyle name="Input 3 2 4 21 2" xfId="11100"/>
    <cellStyle name="Input 3 2 4 21 3" xfId="18429"/>
    <cellStyle name="Input 3 2 4 21 4" xfId="25183"/>
    <cellStyle name="Input 3 2 4 21 5" xfId="33566"/>
    <cellStyle name="Input 3 2 4 21 6" xfId="38845"/>
    <cellStyle name="Input 3 2 4 21 7" xfId="51183"/>
    <cellStyle name="Input 3 2 4 22" xfId="3427"/>
    <cellStyle name="Input 3 2 4 22 2" xfId="11218"/>
    <cellStyle name="Input 3 2 4 22 3" xfId="18540"/>
    <cellStyle name="Input 3 2 4 22 4" xfId="20385"/>
    <cellStyle name="Input 3 2 4 22 5" xfId="28558"/>
    <cellStyle name="Input 3 2 4 22 6" xfId="41620"/>
    <cellStyle name="Input 3 2 4 22 7" xfId="48572"/>
    <cellStyle name="Input 3 2 4 23" xfId="3075"/>
    <cellStyle name="Input 3 2 4 23 2" xfId="10883"/>
    <cellStyle name="Input 3 2 4 23 3" xfId="18276"/>
    <cellStyle name="Input 3 2 4 23 4" xfId="26024"/>
    <cellStyle name="Input 3 2 4 23 5" xfId="34653"/>
    <cellStyle name="Input 3 2 4 23 6" xfId="39236"/>
    <cellStyle name="Input 3 2 4 23 7" xfId="53042"/>
    <cellStyle name="Input 3 2 4 24" xfId="3698"/>
    <cellStyle name="Input 3 2 4 24 2" xfId="11483"/>
    <cellStyle name="Input 3 2 4 24 3" xfId="18756"/>
    <cellStyle name="Input 3 2 4 24 4" xfId="19334"/>
    <cellStyle name="Input 3 2 4 24 5" xfId="27272"/>
    <cellStyle name="Input 3 2 4 24 6" xfId="37091"/>
    <cellStyle name="Input 3 2 4 24 7" xfId="49434"/>
    <cellStyle name="Input 3 2 4 25" xfId="3828"/>
    <cellStyle name="Input 3 2 4 25 2" xfId="11610"/>
    <cellStyle name="Input 3 2 4 25 3" xfId="18867"/>
    <cellStyle name="Input 3 2 4 25 4" xfId="25383"/>
    <cellStyle name="Input 3 2 4 25 5" xfId="33831"/>
    <cellStyle name="Input 3 2 4 25 6" xfId="39102"/>
    <cellStyle name="Input 3 2 4 25 7" xfId="51612"/>
    <cellStyle name="Input 3 2 4 26" xfId="3946"/>
    <cellStyle name="Input 3 2 4 26 2" xfId="11726"/>
    <cellStyle name="Input 3 2 4 26 3" xfId="18976"/>
    <cellStyle name="Input 3 2 4 26 4" xfId="26503"/>
    <cellStyle name="Input 3 2 4 26 5" xfId="35297"/>
    <cellStyle name="Input 3 2 4 26 6" xfId="42085"/>
    <cellStyle name="Input 3 2 4 26 7" xfId="54081"/>
    <cellStyle name="Input 3 2 4 27" xfId="4020"/>
    <cellStyle name="Input 3 2 4 27 2" xfId="11795"/>
    <cellStyle name="Input 3 2 4 27 3" xfId="20730"/>
    <cellStyle name="Input 3 2 4 27 4" xfId="28917"/>
    <cellStyle name="Input 3 2 4 27 5" xfId="38300"/>
    <cellStyle name="Input 3 2 4 27 6" xfId="42582"/>
    <cellStyle name="Input 3 2 4 27 7" xfId="52463"/>
    <cellStyle name="Input 3 2 4 28" xfId="4143"/>
    <cellStyle name="Input 3 2 4 28 2" xfId="11902"/>
    <cellStyle name="Input 3 2 4 28 3" xfId="20853"/>
    <cellStyle name="Input 3 2 4 28 4" xfId="29040"/>
    <cellStyle name="Input 3 2 4 28 5" xfId="38416"/>
    <cellStyle name="Input 3 2 4 28 6" xfId="42705"/>
    <cellStyle name="Input 3 2 4 28 7" xfId="50177"/>
    <cellStyle name="Input 3 2 4 29" xfId="3210"/>
    <cellStyle name="Input 3 2 4 29 2" xfId="20336"/>
    <cellStyle name="Input 3 2 4 29 3" xfId="28427"/>
    <cellStyle name="Input 3 2 4 29 4" xfId="37815"/>
    <cellStyle name="Input 3 2 4 29 5" xfId="42447"/>
    <cellStyle name="Input 3 2 4 29 6" xfId="48439"/>
    <cellStyle name="Input 3 2 4 3" xfId="800"/>
    <cellStyle name="Input 3 2 4 3 2" xfId="8624"/>
    <cellStyle name="Input 3 2 4 3 3" xfId="16052"/>
    <cellStyle name="Input 3 2 4 3 4" xfId="19449"/>
    <cellStyle name="Input 3 2 4 3 5" xfId="27109"/>
    <cellStyle name="Input 3 2 4 3 6" xfId="36748"/>
    <cellStyle name="Input 3 2 4 3 7" xfId="49335"/>
    <cellStyle name="Input 3 2 4 30" xfId="4340"/>
    <cellStyle name="Input 3 2 4 30 2" xfId="12057"/>
    <cellStyle name="Input 3 2 4 30 3" xfId="21050"/>
    <cellStyle name="Input 3 2 4 30 4" xfId="29237"/>
    <cellStyle name="Input 3 2 4 30 5" xfId="38607"/>
    <cellStyle name="Input 3 2 4 30 6" xfId="42902"/>
    <cellStyle name="Input 3 2 4 30 7" xfId="47349"/>
    <cellStyle name="Input 3 2 4 31" xfId="4463"/>
    <cellStyle name="Input 3 2 4 31 2" xfId="12180"/>
    <cellStyle name="Input 3 2 4 31 3" xfId="21173"/>
    <cellStyle name="Input 3 2 4 31 4" xfId="29360"/>
    <cellStyle name="Input 3 2 4 31 5" xfId="38725"/>
    <cellStyle name="Input 3 2 4 31 6" xfId="43025"/>
    <cellStyle name="Input 3 2 4 31 7" xfId="48295"/>
    <cellStyle name="Input 3 2 4 32" xfId="4577"/>
    <cellStyle name="Input 3 2 4 32 2" xfId="12294"/>
    <cellStyle name="Input 3 2 4 32 3" xfId="21287"/>
    <cellStyle name="Input 3 2 4 32 4" xfId="29474"/>
    <cellStyle name="Input 3 2 4 32 5" xfId="38834"/>
    <cellStyle name="Input 3 2 4 32 6" xfId="43139"/>
    <cellStyle name="Input 3 2 4 32 7" xfId="52174"/>
    <cellStyle name="Input 3 2 4 33" xfId="4690"/>
    <cellStyle name="Input 3 2 4 33 2" xfId="12407"/>
    <cellStyle name="Input 3 2 4 33 3" xfId="21400"/>
    <cellStyle name="Input 3 2 4 33 4" xfId="29587"/>
    <cellStyle name="Input 3 2 4 33 5" xfId="38943"/>
    <cellStyle name="Input 3 2 4 33 6" xfId="43252"/>
    <cellStyle name="Input 3 2 4 33 7" xfId="52035"/>
    <cellStyle name="Input 3 2 4 34" xfId="4801"/>
    <cellStyle name="Input 3 2 4 34 2" xfId="12518"/>
    <cellStyle name="Input 3 2 4 34 3" xfId="21511"/>
    <cellStyle name="Input 3 2 4 34 4" xfId="29698"/>
    <cellStyle name="Input 3 2 4 34 5" xfId="39051"/>
    <cellStyle name="Input 3 2 4 34 6" xfId="43363"/>
    <cellStyle name="Input 3 2 4 34 7" xfId="51543"/>
    <cellStyle name="Input 3 2 4 35" xfId="4910"/>
    <cellStyle name="Input 3 2 4 35 2" xfId="12627"/>
    <cellStyle name="Input 3 2 4 35 3" xfId="21620"/>
    <cellStyle name="Input 3 2 4 35 4" xfId="29807"/>
    <cellStyle name="Input 3 2 4 35 5" xfId="39155"/>
    <cellStyle name="Input 3 2 4 35 6" xfId="43472"/>
    <cellStyle name="Input 3 2 4 35 7" xfId="48354"/>
    <cellStyle name="Input 3 2 4 36" xfId="5021"/>
    <cellStyle name="Input 3 2 4 36 2" xfId="12738"/>
    <cellStyle name="Input 3 2 4 36 3" xfId="21731"/>
    <cellStyle name="Input 3 2 4 36 4" xfId="29918"/>
    <cellStyle name="Input 3 2 4 36 5" xfId="39263"/>
    <cellStyle name="Input 3 2 4 36 6" xfId="43583"/>
    <cellStyle name="Input 3 2 4 36 7" xfId="52059"/>
    <cellStyle name="Input 3 2 4 37" xfId="5400"/>
    <cellStyle name="Input 3 2 4 37 2" xfId="13117"/>
    <cellStyle name="Input 3 2 4 37 3" xfId="22110"/>
    <cellStyle name="Input 3 2 4 37 4" xfId="30297"/>
    <cellStyle name="Input 3 2 4 37 5" xfId="39627"/>
    <cellStyle name="Input 3 2 4 37 6" xfId="43962"/>
    <cellStyle name="Input 3 2 4 37 7" xfId="51282"/>
    <cellStyle name="Input 3 2 4 38" xfId="5520"/>
    <cellStyle name="Input 3 2 4 38 2" xfId="13237"/>
    <cellStyle name="Input 3 2 4 38 3" xfId="22230"/>
    <cellStyle name="Input 3 2 4 38 4" xfId="30417"/>
    <cellStyle name="Input 3 2 4 38 5" xfId="39741"/>
    <cellStyle name="Input 3 2 4 38 6" xfId="44082"/>
    <cellStyle name="Input 3 2 4 38 7" xfId="48928"/>
    <cellStyle name="Input 3 2 4 39" xfId="5644"/>
    <cellStyle name="Input 3 2 4 39 2" xfId="13361"/>
    <cellStyle name="Input 3 2 4 39 3" xfId="22354"/>
    <cellStyle name="Input 3 2 4 39 4" xfId="30541"/>
    <cellStyle name="Input 3 2 4 39 5" xfId="39861"/>
    <cellStyle name="Input 3 2 4 39 6" xfId="44206"/>
    <cellStyle name="Input 3 2 4 39 7" xfId="47225"/>
    <cellStyle name="Input 3 2 4 4" xfId="911"/>
    <cellStyle name="Input 3 2 4 4 2" xfId="8735"/>
    <cellStyle name="Input 3 2 4 4 3" xfId="16163"/>
    <cellStyle name="Input 3 2 4 4 4" xfId="25973"/>
    <cellStyle name="Input 3 2 4 4 5" xfId="34585"/>
    <cellStyle name="Input 3 2 4 4 6" xfId="38266"/>
    <cellStyle name="Input 3 2 4 4 7" xfId="52935"/>
    <cellStyle name="Input 3 2 4 40" xfId="5760"/>
    <cellStyle name="Input 3 2 4 40 2" xfId="13477"/>
    <cellStyle name="Input 3 2 4 40 3" xfId="22470"/>
    <cellStyle name="Input 3 2 4 40 4" xfId="30657"/>
    <cellStyle name="Input 3 2 4 40 5" xfId="39973"/>
    <cellStyle name="Input 3 2 4 40 6" xfId="44322"/>
    <cellStyle name="Input 3 2 4 40 7" xfId="51090"/>
    <cellStyle name="Input 3 2 4 41" xfId="5876"/>
    <cellStyle name="Input 3 2 4 41 2" xfId="13593"/>
    <cellStyle name="Input 3 2 4 41 3" xfId="22586"/>
    <cellStyle name="Input 3 2 4 41 4" xfId="30773"/>
    <cellStyle name="Input 3 2 4 41 5" xfId="40086"/>
    <cellStyle name="Input 3 2 4 41 6" xfId="44438"/>
    <cellStyle name="Input 3 2 4 41 7" xfId="51961"/>
    <cellStyle name="Input 3 2 4 42" xfId="6005"/>
    <cellStyle name="Input 3 2 4 42 2" xfId="13722"/>
    <cellStyle name="Input 3 2 4 42 3" xfId="22715"/>
    <cellStyle name="Input 3 2 4 42 4" xfId="30902"/>
    <cellStyle name="Input 3 2 4 42 5" xfId="40210"/>
    <cellStyle name="Input 3 2 4 42 6" xfId="44567"/>
    <cellStyle name="Input 3 2 4 42 7" xfId="53985"/>
    <cellStyle name="Input 3 2 4 43" xfId="5074"/>
    <cellStyle name="Input 3 2 4 43 2" xfId="12791"/>
    <cellStyle name="Input 3 2 4 43 3" xfId="21784"/>
    <cellStyle name="Input 3 2 4 43 4" xfId="29971"/>
    <cellStyle name="Input 3 2 4 43 5" xfId="39314"/>
    <cellStyle name="Input 3 2 4 43 6" xfId="43636"/>
    <cellStyle name="Input 3 2 4 43 7" xfId="53712"/>
    <cellStyle name="Input 3 2 4 44" xfId="6261"/>
    <cellStyle name="Input 3 2 4 44 2" xfId="13978"/>
    <cellStyle name="Input 3 2 4 44 3" xfId="22971"/>
    <cellStyle name="Input 3 2 4 44 4" xfId="31158"/>
    <cellStyle name="Input 3 2 4 44 5" xfId="40458"/>
    <cellStyle name="Input 3 2 4 44 6" xfId="44823"/>
    <cellStyle name="Input 3 2 4 44 7" xfId="49059"/>
    <cellStyle name="Input 3 2 4 45" xfId="6377"/>
    <cellStyle name="Input 3 2 4 45 2" xfId="14094"/>
    <cellStyle name="Input 3 2 4 45 3" xfId="23087"/>
    <cellStyle name="Input 3 2 4 45 4" xfId="31274"/>
    <cellStyle name="Input 3 2 4 45 5" xfId="40571"/>
    <cellStyle name="Input 3 2 4 45 6" xfId="44939"/>
    <cellStyle name="Input 3 2 4 45 7" xfId="52354"/>
    <cellStyle name="Input 3 2 4 46" xfId="6488"/>
    <cellStyle name="Input 3 2 4 46 2" xfId="14205"/>
    <cellStyle name="Input 3 2 4 46 3" xfId="23198"/>
    <cellStyle name="Input 3 2 4 46 4" xfId="31385"/>
    <cellStyle name="Input 3 2 4 46 5" xfId="40678"/>
    <cellStyle name="Input 3 2 4 46 6" xfId="45050"/>
    <cellStyle name="Input 3 2 4 46 7" xfId="54400"/>
    <cellStyle name="Input 3 2 4 47" xfId="6557"/>
    <cellStyle name="Input 3 2 4 47 2" xfId="14274"/>
    <cellStyle name="Input 3 2 4 47 3" xfId="23267"/>
    <cellStyle name="Input 3 2 4 47 4" xfId="31454"/>
    <cellStyle name="Input 3 2 4 47 5" xfId="40743"/>
    <cellStyle name="Input 3 2 4 47 6" xfId="45119"/>
    <cellStyle name="Input 3 2 4 47 7" xfId="51841"/>
    <cellStyle name="Input 3 2 4 48" xfId="6634"/>
    <cellStyle name="Input 3 2 4 48 2" xfId="14351"/>
    <cellStyle name="Input 3 2 4 48 3" xfId="23344"/>
    <cellStyle name="Input 3 2 4 48 4" xfId="31531"/>
    <cellStyle name="Input 3 2 4 48 5" xfId="40817"/>
    <cellStyle name="Input 3 2 4 48 6" xfId="45196"/>
    <cellStyle name="Input 3 2 4 48 7" xfId="48577"/>
    <cellStyle name="Input 3 2 4 49" xfId="6746"/>
    <cellStyle name="Input 3 2 4 49 2" xfId="14463"/>
    <cellStyle name="Input 3 2 4 49 3" xfId="23456"/>
    <cellStyle name="Input 3 2 4 49 4" xfId="31643"/>
    <cellStyle name="Input 3 2 4 49 5" xfId="40923"/>
    <cellStyle name="Input 3 2 4 49 6" xfId="45308"/>
    <cellStyle name="Input 3 2 4 49 7" xfId="50365"/>
    <cellStyle name="Input 3 2 4 5" xfId="1377"/>
    <cellStyle name="Input 3 2 4 5 2" xfId="9200"/>
    <cellStyle name="Input 3 2 4 5 3" xfId="16628"/>
    <cellStyle name="Input 3 2 4 5 4" xfId="25760"/>
    <cellStyle name="Input 3 2 4 5 5" xfId="34314"/>
    <cellStyle name="Input 3 2 4 5 6" xfId="38789"/>
    <cellStyle name="Input 3 2 4 5 7" xfId="52455"/>
    <cellStyle name="Input 3 2 4 50" xfId="6861"/>
    <cellStyle name="Input 3 2 4 50 2" xfId="14578"/>
    <cellStyle name="Input 3 2 4 50 3" xfId="23571"/>
    <cellStyle name="Input 3 2 4 50 4" xfId="31758"/>
    <cellStyle name="Input 3 2 4 50 5" xfId="41031"/>
    <cellStyle name="Input 3 2 4 50 6" xfId="45423"/>
    <cellStyle name="Input 3 2 4 50 7" xfId="54521"/>
    <cellStyle name="Input 3 2 4 51" xfId="6974"/>
    <cellStyle name="Input 3 2 4 51 2" xfId="14691"/>
    <cellStyle name="Input 3 2 4 51 3" xfId="23684"/>
    <cellStyle name="Input 3 2 4 51 4" xfId="31871"/>
    <cellStyle name="Input 3 2 4 51 5" xfId="41139"/>
    <cellStyle name="Input 3 2 4 51 6" xfId="45536"/>
    <cellStyle name="Input 3 2 4 51 7" xfId="54515"/>
    <cellStyle name="Input 3 2 4 52" xfId="7085"/>
    <cellStyle name="Input 3 2 4 52 2" xfId="14802"/>
    <cellStyle name="Input 3 2 4 52 3" xfId="23795"/>
    <cellStyle name="Input 3 2 4 52 4" xfId="31982"/>
    <cellStyle name="Input 3 2 4 52 5" xfId="41244"/>
    <cellStyle name="Input 3 2 4 52 6" xfId="45647"/>
    <cellStyle name="Input 3 2 4 52 7" xfId="50696"/>
    <cellStyle name="Input 3 2 4 53" xfId="7194"/>
    <cellStyle name="Input 3 2 4 53 2" xfId="14911"/>
    <cellStyle name="Input 3 2 4 53 3" xfId="23904"/>
    <cellStyle name="Input 3 2 4 53 4" xfId="32091"/>
    <cellStyle name="Input 3 2 4 53 5" xfId="41352"/>
    <cellStyle name="Input 3 2 4 53 6" xfId="45756"/>
    <cellStyle name="Input 3 2 4 53 7" xfId="47592"/>
    <cellStyle name="Input 3 2 4 54" xfId="7388"/>
    <cellStyle name="Input 3 2 4 54 2" xfId="15105"/>
    <cellStyle name="Input 3 2 4 54 3" xfId="24098"/>
    <cellStyle name="Input 3 2 4 54 4" xfId="32285"/>
    <cellStyle name="Input 3 2 4 54 5" xfId="41541"/>
    <cellStyle name="Input 3 2 4 54 6" xfId="45950"/>
    <cellStyle name="Input 3 2 4 54 7" xfId="48413"/>
    <cellStyle name="Input 3 2 4 55" xfId="7482"/>
    <cellStyle name="Input 3 2 4 55 2" xfId="15199"/>
    <cellStyle name="Input 3 2 4 55 3" xfId="24192"/>
    <cellStyle name="Input 3 2 4 55 4" xfId="32379"/>
    <cellStyle name="Input 3 2 4 55 5" xfId="41627"/>
    <cellStyle name="Input 3 2 4 55 6" xfId="46044"/>
    <cellStyle name="Input 3 2 4 55 7" xfId="52236"/>
    <cellStyle name="Input 3 2 4 56" xfId="7603"/>
    <cellStyle name="Input 3 2 4 56 2" xfId="15320"/>
    <cellStyle name="Input 3 2 4 56 3" xfId="24313"/>
    <cellStyle name="Input 3 2 4 56 4" xfId="32500"/>
    <cellStyle name="Input 3 2 4 56 5" xfId="41742"/>
    <cellStyle name="Input 3 2 4 56 6" xfId="46165"/>
    <cellStyle name="Input 3 2 4 56 7" xfId="49701"/>
    <cellStyle name="Input 3 2 4 57" xfId="7879"/>
    <cellStyle name="Input 3 2 4 57 2" xfId="15596"/>
    <cellStyle name="Input 3 2 4 57 3" xfId="24583"/>
    <cellStyle name="Input 3 2 4 57 4" xfId="32776"/>
    <cellStyle name="Input 3 2 4 57 5" xfId="42007"/>
    <cellStyle name="Input 3 2 4 57 6" xfId="46441"/>
    <cellStyle name="Input 3 2 4 57 7" xfId="52560"/>
    <cellStyle name="Input 3 2 4 58" xfId="7946"/>
    <cellStyle name="Input 3 2 4 58 2" xfId="15663"/>
    <cellStyle name="Input 3 2 4 58 3" xfId="24649"/>
    <cellStyle name="Input 3 2 4 58 4" xfId="32843"/>
    <cellStyle name="Input 3 2 4 58 5" xfId="42072"/>
    <cellStyle name="Input 3 2 4 58 6" xfId="46508"/>
    <cellStyle name="Input 3 2 4 58 7" xfId="51847"/>
    <cellStyle name="Input 3 2 4 59" xfId="7695"/>
    <cellStyle name="Input 3 2 4 59 2" xfId="15412"/>
    <cellStyle name="Input 3 2 4 59 3" xfId="24403"/>
    <cellStyle name="Input 3 2 4 59 4" xfId="32592"/>
    <cellStyle name="Input 3 2 4 59 5" xfId="41830"/>
    <cellStyle name="Input 3 2 4 59 6" xfId="46257"/>
    <cellStyle name="Input 3 2 4 59 7" xfId="52597"/>
    <cellStyle name="Input 3 2 4 6" xfId="1500"/>
    <cellStyle name="Input 3 2 4 6 2" xfId="9323"/>
    <cellStyle name="Input 3 2 4 6 3" xfId="16751"/>
    <cellStyle name="Input 3 2 4 6 4" xfId="25745"/>
    <cellStyle name="Input 3 2 4 6 5" xfId="34296"/>
    <cellStyle name="Input 3 2 4 6 6" xfId="41254"/>
    <cellStyle name="Input 3 2 4 6 7" xfId="52423"/>
    <cellStyle name="Input 3 2 4 60" xfId="8155"/>
    <cellStyle name="Input 3 2 4 60 2" xfId="15872"/>
    <cellStyle name="Input 3 2 4 60 3" xfId="33052"/>
    <cellStyle name="Input 3 2 4 60 4" xfId="42271"/>
    <cellStyle name="Input 3 2 4 60 5" xfId="46717"/>
    <cellStyle name="Input 3 2 4 60 6" xfId="47766"/>
    <cellStyle name="Input 3 2 4 61" xfId="20082"/>
    <cellStyle name="Input 3 2 4 62" xfId="27127"/>
    <cellStyle name="Input 3 2 4 63" xfId="36264"/>
    <cellStyle name="Input 3 2 4 64" xfId="48956"/>
    <cellStyle name="Input 3 2 4 7" xfId="1609"/>
    <cellStyle name="Input 3 2 4 7 2" xfId="9432"/>
    <cellStyle name="Input 3 2 4 7 3" xfId="16860"/>
    <cellStyle name="Input 3 2 4 7 4" xfId="19197"/>
    <cellStyle name="Input 3 2 4 7 5" xfId="26927"/>
    <cellStyle name="Input 3 2 4 7 6" xfId="37854"/>
    <cellStyle name="Input 3 2 4 7 7" xfId="49128"/>
    <cellStyle name="Input 3 2 4 8" xfId="1737"/>
    <cellStyle name="Input 3 2 4 8 2" xfId="9560"/>
    <cellStyle name="Input 3 2 4 8 3" xfId="16988"/>
    <cellStyle name="Input 3 2 4 8 4" xfId="24882"/>
    <cellStyle name="Input 3 2 4 8 5" xfId="33196"/>
    <cellStyle name="Input 3 2 4 8 6" xfId="40927"/>
    <cellStyle name="Input 3 2 4 8 7" xfId="50523"/>
    <cellStyle name="Input 3 2 4 9" xfId="1871"/>
    <cellStyle name="Input 3 2 4 9 2" xfId="9694"/>
    <cellStyle name="Input 3 2 4 9 3" xfId="17122"/>
    <cellStyle name="Input 3 2 4 9 4" xfId="25092"/>
    <cellStyle name="Input 3 2 4 9 5" xfId="33454"/>
    <cellStyle name="Input 3 2 4 9 6" xfId="40282"/>
    <cellStyle name="Input 3 2 4 9 7" xfId="50991"/>
    <cellStyle name="Input 3 2 40" xfId="4255"/>
    <cellStyle name="Input 3 2 40 2" xfId="11979"/>
    <cellStyle name="Input 3 2 40 3" xfId="20965"/>
    <cellStyle name="Input 3 2 40 4" xfId="29152"/>
    <cellStyle name="Input 3 2 40 5" xfId="38525"/>
    <cellStyle name="Input 3 2 40 6" xfId="42817"/>
    <cellStyle name="Input 3 2 40 7" xfId="53564"/>
    <cellStyle name="Input 3 2 41" xfId="4048"/>
    <cellStyle name="Input 3 2 41 2" xfId="11817"/>
    <cellStyle name="Input 3 2 41 3" xfId="20758"/>
    <cellStyle name="Input 3 2 41 4" xfId="28945"/>
    <cellStyle name="Input 3 2 41 5" xfId="38324"/>
    <cellStyle name="Input 3 2 41 6" xfId="42610"/>
    <cellStyle name="Input 3 2 41 7" xfId="52572"/>
    <cellStyle name="Input 3 2 42" xfId="5241"/>
    <cellStyle name="Input 3 2 42 2" xfId="12958"/>
    <cellStyle name="Input 3 2 42 3" xfId="21951"/>
    <cellStyle name="Input 3 2 42 4" xfId="30138"/>
    <cellStyle name="Input 3 2 42 5" xfId="39473"/>
    <cellStyle name="Input 3 2 42 6" xfId="43803"/>
    <cellStyle name="Input 3 2 42 7" xfId="52749"/>
    <cellStyle name="Input 3 2 43" xfId="5162"/>
    <cellStyle name="Input 3 2 43 2" xfId="12879"/>
    <cellStyle name="Input 3 2 43 3" xfId="21872"/>
    <cellStyle name="Input 3 2 43 4" xfId="30059"/>
    <cellStyle name="Input 3 2 43 5" xfId="39398"/>
    <cellStyle name="Input 3 2 43 6" xfId="43724"/>
    <cellStyle name="Input 3 2 43 7" xfId="53213"/>
    <cellStyle name="Input 3 2 44" xfId="5169"/>
    <cellStyle name="Input 3 2 44 2" xfId="12886"/>
    <cellStyle name="Input 3 2 44 3" xfId="21879"/>
    <cellStyle name="Input 3 2 44 4" xfId="30066"/>
    <cellStyle name="Input 3 2 44 5" xfId="39405"/>
    <cellStyle name="Input 3 2 44 6" xfId="43731"/>
    <cellStyle name="Input 3 2 44 7" xfId="52650"/>
    <cellStyle name="Input 3 2 45" xfId="5186"/>
    <cellStyle name="Input 3 2 45 2" xfId="12903"/>
    <cellStyle name="Input 3 2 45 3" xfId="21896"/>
    <cellStyle name="Input 3 2 45 4" xfId="30083"/>
    <cellStyle name="Input 3 2 45 5" xfId="39422"/>
    <cellStyle name="Input 3 2 45 6" xfId="43748"/>
    <cellStyle name="Input 3 2 45 7" xfId="49604"/>
    <cellStyle name="Input 3 2 46" xfId="5257"/>
    <cellStyle name="Input 3 2 46 2" xfId="12974"/>
    <cellStyle name="Input 3 2 46 3" xfId="21967"/>
    <cellStyle name="Input 3 2 46 4" xfId="30154"/>
    <cellStyle name="Input 3 2 46 5" xfId="39489"/>
    <cellStyle name="Input 3 2 46 6" xfId="43819"/>
    <cellStyle name="Input 3 2 46 7" xfId="50944"/>
    <cellStyle name="Input 3 2 47" xfId="5213"/>
    <cellStyle name="Input 3 2 47 2" xfId="12930"/>
    <cellStyle name="Input 3 2 47 3" xfId="21923"/>
    <cellStyle name="Input 3 2 47 4" xfId="30110"/>
    <cellStyle name="Input 3 2 47 5" xfId="39445"/>
    <cellStyle name="Input 3 2 47 6" xfId="43775"/>
    <cellStyle name="Input 3 2 47 7" xfId="51666"/>
    <cellStyle name="Input 3 2 48" xfId="5304"/>
    <cellStyle name="Input 3 2 48 2" xfId="13021"/>
    <cellStyle name="Input 3 2 48 3" xfId="22014"/>
    <cellStyle name="Input 3 2 48 4" xfId="30201"/>
    <cellStyle name="Input 3 2 48 5" xfId="39535"/>
    <cellStyle name="Input 3 2 48 6" xfId="43866"/>
    <cellStyle name="Input 3 2 48 7" xfId="53763"/>
    <cellStyle name="Input 3 2 49" xfId="5908"/>
    <cellStyle name="Input 3 2 49 2" xfId="13625"/>
    <cellStyle name="Input 3 2 49 3" xfId="22618"/>
    <cellStyle name="Input 3 2 49 4" xfId="30805"/>
    <cellStyle name="Input 3 2 49 5" xfId="40118"/>
    <cellStyle name="Input 3 2 49 6" xfId="44470"/>
    <cellStyle name="Input 3 2 49 7" xfId="53607"/>
    <cellStyle name="Input 3 2 5" xfId="587"/>
    <cellStyle name="Input 3 2 5 10" xfId="2033"/>
    <cellStyle name="Input 3 2 5 10 2" xfId="9856"/>
    <cellStyle name="Input 3 2 5 10 3" xfId="17284"/>
    <cellStyle name="Input 3 2 5 10 4" xfId="19153"/>
    <cellStyle name="Input 3 2 5 10 5" xfId="28011"/>
    <cellStyle name="Input 3 2 5 10 6" xfId="39658"/>
    <cellStyle name="Input 3 2 5 10 7" xfId="49264"/>
    <cellStyle name="Input 3 2 5 11" xfId="2149"/>
    <cellStyle name="Input 3 2 5 11 2" xfId="9972"/>
    <cellStyle name="Input 3 2 5 11 3" xfId="17400"/>
    <cellStyle name="Input 3 2 5 11 4" xfId="20550"/>
    <cellStyle name="Input 3 2 5 11 5" xfId="27673"/>
    <cellStyle name="Input 3 2 5 11 6" xfId="36945"/>
    <cellStyle name="Input 3 2 5 11 7" xfId="49995"/>
    <cellStyle name="Input 3 2 5 12" xfId="2264"/>
    <cellStyle name="Input 3 2 5 12 2" xfId="10087"/>
    <cellStyle name="Input 3 2 5 12 3" xfId="17515"/>
    <cellStyle name="Input 3 2 5 12 4" xfId="26250"/>
    <cellStyle name="Input 3 2 5 12 5" xfId="34944"/>
    <cellStyle name="Input 3 2 5 12 6" xfId="38243"/>
    <cellStyle name="Input 3 2 5 12 7" xfId="53537"/>
    <cellStyle name="Input 3 2 5 13" xfId="2041"/>
    <cellStyle name="Input 3 2 5 13 2" xfId="9864"/>
    <cellStyle name="Input 3 2 5 13 3" xfId="17292"/>
    <cellStyle name="Input 3 2 5 13 4" xfId="19403"/>
    <cellStyle name="Input 3 2 5 13 5" xfId="27677"/>
    <cellStyle name="Input 3 2 5 13 6" xfId="38474"/>
    <cellStyle name="Input 3 2 5 13 7" xfId="48561"/>
    <cellStyle name="Input 3 2 5 14" xfId="2315"/>
    <cellStyle name="Input 3 2 5 14 2" xfId="10138"/>
    <cellStyle name="Input 3 2 5 14 3" xfId="17566"/>
    <cellStyle name="Input 3 2 5 14 4" xfId="25527"/>
    <cellStyle name="Input 3 2 5 14 5" xfId="34009"/>
    <cellStyle name="Input 3 2 5 14 6" xfId="41840"/>
    <cellStyle name="Input 3 2 5 14 7" xfId="51932"/>
    <cellStyle name="Input 3 2 5 15" xfId="2562"/>
    <cellStyle name="Input 3 2 5 15 2" xfId="10385"/>
    <cellStyle name="Input 3 2 5 15 3" xfId="17813"/>
    <cellStyle name="Input 3 2 5 15 4" xfId="26224"/>
    <cellStyle name="Input 3 2 5 15 5" xfId="34909"/>
    <cellStyle name="Input 3 2 5 15 6" xfId="38852"/>
    <cellStyle name="Input 3 2 5 15 7" xfId="53470"/>
    <cellStyle name="Input 3 2 5 16" xfId="2675"/>
    <cellStyle name="Input 3 2 5 16 2" xfId="10498"/>
    <cellStyle name="Input 3 2 5 16 3" xfId="17926"/>
    <cellStyle name="Input 3 2 5 16 4" xfId="26514"/>
    <cellStyle name="Input 3 2 5 16 5" xfId="35310"/>
    <cellStyle name="Input 3 2 5 16 6" xfId="42216"/>
    <cellStyle name="Input 3 2 5 16 7" xfId="54101"/>
    <cellStyle name="Input 3 2 5 17" xfId="1271"/>
    <cellStyle name="Input 3 2 5 17 2" xfId="9094"/>
    <cellStyle name="Input 3 2 5 17 3" xfId="16522"/>
    <cellStyle name="Input 3 2 5 17 4" xfId="20426"/>
    <cellStyle name="Input 3 2 5 17 5" xfId="27924"/>
    <cellStyle name="Input 3 2 5 17 6" xfId="41011"/>
    <cellStyle name="Input 3 2 5 17 7" xfId="46955"/>
    <cellStyle name="Input 3 2 5 18" xfId="1547"/>
    <cellStyle name="Input 3 2 5 18 2" xfId="9370"/>
    <cellStyle name="Input 3 2 5 18 3" xfId="16798"/>
    <cellStyle name="Input 3 2 5 18 4" xfId="20085"/>
    <cellStyle name="Input 3 2 5 18 5" xfId="27869"/>
    <cellStyle name="Input 3 2 5 18 6" xfId="37170"/>
    <cellStyle name="Input 3 2 5 18 7" xfId="47571"/>
    <cellStyle name="Input 3 2 5 19" xfId="2865"/>
    <cellStyle name="Input 3 2 5 19 2" xfId="10688"/>
    <cellStyle name="Input 3 2 5 19 3" xfId="18116"/>
    <cellStyle name="Input 3 2 5 19 4" xfId="25688"/>
    <cellStyle name="Input 3 2 5 19 5" xfId="34226"/>
    <cellStyle name="Input 3 2 5 19 6" xfId="38020"/>
    <cellStyle name="Input 3 2 5 19 7" xfId="52289"/>
    <cellStyle name="Input 3 2 5 2" xfId="732"/>
    <cellStyle name="Input 3 2 5 2 2" xfId="8556"/>
    <cellStyle name="Input 3 2 5 2 3" xfId="15984"/>
    <cellStyle name="Input 3 2 5 2 4" xfId="20105"/>
    <cellStyle name="Input 3 2 5 2 5" xfId="26790"/>
    <cellStyle name="Input 3 2 5 2 6" xfId="37439"/>
    <cellStyle name="Input 3 2 5 2 7" xfId="50344"/>
    <cellStyle name="Input 3 2 5 20" xfId="2971"/>
    <cellStyle name="Input 3 2 5 20 2" xfId="10794"/>
    <cellStyle name="Input 3 2 5 20 3" xfId="18222"/>
    <cellStyle name="Input 3 2 5 20 4" xfId="19679"/>
    <cellStyle name="Input 3 2 5 20 5" xfId="28835"/>
    <cellStyle name="Input 3 2 5 20 6" xfId="36906"/>
    <cellStyle name="Input 3 2 5 20 7" xfId="48878"/>
    <cellStyle name="Input 3 2 5 21" xfId="3351"/>
    <cellStyle name="Input 3 2 5 21 2" xfId="11144"/>
    <cellStyle name="Input 3 2 5 21 3" xfId="18470"/>
    <cellStyle name="Input 3 2 5 21 4" xfId="26275"/>
    <cellStyle name="Input 3 2 5 21 5" xfId="34976"/>
    <cellStyle name="Input 3 2 5 21 6" xfId="36852"/>
    <cellStyle name="Input 3 2 5 21 7" xfId="53587"/>
    <cellStyle name="Input 3 2 5 22" xfId="3470"/>
    <cellStyle name="Input 3 2 5 22 2" xfId="11261"/>
    <cellStyle name="Input 3 2 5 22 3" xfId="18580"/>
    <cellStyle name="Input 3 2 5 22 4" xfId="24892"/>
    <cellStyle name="Input 3 2 5 22 5" xfId="33208"/>
    <cellStyle name="Input 3 2 5 22 6" xfId="37496"/>
    <cellStyle name="Input 3 2 5 22 7" xfId="50543"/>
    <cellStyle name="Input 3 2 5 23" xfId="3628"/>
    <cellStyle name="Input 3 2 5 23 2" xfId="11413"/>
    <cellStyle name="Input 3 2 5 23 3" xfId="18687"/>
    <cellStyle name="Input 3 2 5 23 4" xfId="19088"/>
    <cellStyle name="Input 3 2 5 23 5" xfId="27193"/>
    <cellStyle name="Input 3 2 5 23 6" xfId="37134"/>
    <cellStyle name="Input 3 2 5 23 7" xfId="49225"/>
    <cellStyle name="Input 3 2 5 24" xfId="3743"/>
    <cellStyle name="Input 3 2 5 24 2" xfId="11528"/>
    <cellStyle name="Input 3 2 5 24 3" xfId="18798"/>
    <cellStyle name="Input 3 2 5 24 4" xfId="26420"/>
    <cellStyle name="Input 3 2 5 24 5" xfId="35182"/>
    <cellStyle name="Input 3 2 5 24 6" xfId="40529"/>
    <cellStyle name="Input 3 2 5 24 7" xfId="53897"/>
    <cellStyle name="Input 3 2 5 25" xfId="3871"/>
    <cellStyle name="Input 3 2 5 25 2" xfId="11653"/>
    <cellStyle name="Input 3 2 5 25 3" xfId="18908"/>
    <cellStyle name="Input 3 2 5 25 4" xfId="26596"/>
    <cellStyle name="Input 3 2 5 25 5" xfId="35422"/>
    <cellStyle name="Input 3 2 5 25 6" xfId="42224"/>
    <cellStyle name="Input 3 2 5 25 7" xfId="54271"/>
    <cellStyle name="Input 3 2 5 26" xfId="3990"/>
    <cellStyle name="Input 3 2 5 26 2" xfId="11769"/>
    <cellStyle name="Input 3 2 5 26 3" xfId="19016"/>
    <cellStyle name="Input 3 2 5 26 4" xfId="24988"/>
    <cellStyle name="Input 3 2 5 26 5" xfId="33333"/>
    <cellStyle name="Input 3 2 5 26 6" xfId="37855"/>
    <cellStyle name="Input 3 2 5 26 7" xfId="50766"/>
    <cellStyle name="Input 3 2 5 27" xfId="3234"/>
    <cellStyle name="Input 3 2 5 27 2" xfId="11028"/>
    <cellStyle name="Input 3 2 5 27 3" xfId="20354"/>
    <cellStyle name="Input 3 2 5 27 4" xfId="28443"/>
    <cellStyle name="Input 3 2 5 27 5" xfId="37834"/>
    <cellStyle name="Input 3 2 5 27 6" xfId="42458"/>
    <cellStyle name="Input 3 2 5 27 7" xfId="52474"/>
    <cellStyle name="Input 3 2 5 28" xfId="4186"/>
    <cellStyle name="Input 3 2 5 28 2" xfId="11945"/>
    <cellStyle name="Input 3 2 5 28 3" xfId="20896"/>
    <cellStyle name="Input 3 2 5 28 4" xfId="29083"/>
    <cellStyle name="Input 3 2 5 28 5" xfId="38459"/>
    <cellStyle name="Input 3 2 5 28 6" xfId="42748"/>
    <cellStyle name="Input 3 2 5 28 7" xfId="53163"/>
    <cellStyle name="Input 3 2 5 29" xfId="4211"/>
    <cellStyle name="Input 3 2 5 29 2" xfId="20921"/>
    <cellStyle name="Input 3 2 5 29 3" xfId="29108"/>
    <cellStyle name="Input 3 2 5 29 4" xfId="38484"/>
    <cellStyle name="Input 3 2 5 29 5" xfId="42773"/>
    <cellStyle name="Input 3 2 5 29 6" xfId="50709"/>
    <cellStyle name="Input 3 2 5 3" xfId="842"/>
    <cellStyle name="Input 3 2 5 3 2" xfId="8666"/>
    <cellStyle name="Input 3 2 5 3 3" xfId="16094"/>
    <cellStyle name="Input 3 2 5 3 4" xfId="25386"/>
    <cellStyle name="Input 3 2 5 3 5" xfId="33834"/>
    <cellStyle name="Input 3 2 5 3 6" xfId="37826"/>
    <cellStyle name="Input 3 2 5 3 7" xfId="51616"/>
    <cellStyle name="Input 3 2 5 30" xfId="4385"/>
    <cellStyle name="Input 3 2 5 30 2" xfId="12102"/>
    <cellStyle name="Input 3 2 5 30 3" xfId="21095"/>
    <cellStyle name="Input 3 2 5 30 4" xfId="29282"/>
    <cellStyle name="Input 3 2 5 30 5" xfId="38652"/>
    <cellStyle name="Input 3 2 5 30 6" xfId="42947"/>
    <cellStyle name="Input 3 2 5 30 7" xfId="50514"/>
    <cellStyle name="Input 3 2 5 31" xfId="4505"/>
    <cellStyle name="Input 3 2 5 31 2" xfId="12222"/>
    <cellStyle name="Input 3 2 5 31 3" xfId="21215"/>
    <cellStyle name="Input 3 2 5 31 4" xfId="29402"/>
    <cellStyle name="Input 3 2 5 31 5" xfId="38766"/>
    <cellStyle name="Input 3 2 5 31 6" xfId="43067"/>
    <cellStyle name="Input 3 2 5 31 7" xfId="50969"/>
    <cellStyle name="Input 3 2 5 32" xfId="4619"/>
    <cellStyle name="Input 3 2 5 32 2" xfId="12336"/>
    <cellStyle name="Input 3 2 5 32 3" xfId="21329"/>
    <cellStyle name="Input 3 2 5 32 4" xfId="29516"/>
    <cellStyle name="Input 3 2 5 32 5" xfId="38875"/>
    <cellStyle name="Input 3 2 5 32 6" xfId="43181"/>
    <cellStyle name="Input 3 2 5 32 7" xfId="52140"/>
    <cellStyle name="Input 3 2 5 33" xfId="4732"/>
    <cellStyle name="Input 3 2 5 33 2" xfId="12449"/>
    <cellStyle name="Input 3 2 5 33 3" xfId="21442"/>
    <cellStyle name="Input 3 2 5 33 4" xfId="29629"/>
    <cellStyle name="Input 3 2 5 33 5" xfId="38984"/>
    <cellStyle name="Input 3 2 5 33 6" xfId="43294"/>
    <cellStyle name="Input 3 2 5 33 7" xfId="51116"/>
    <cellStyle name="Input 3 2 5 34" xfId="4842"/>
    <cellStyle name="Input 3 2 5 34 2" xfId="12559"/>
    <cellStyle name="Input 3 2 5 34 3" xfId="21552"/>
    <cellStyle name="Input 3 2 5 34 4" xfId="29739"/>
    <cellStyle name="Input 3 2 5 34 5" xfId="39090"/>
    <cellStyle name="Input 3 2 5 34 6" xfId="43404"/>
    <cellStyle name="Input 3 2 5 34 7" xfId="48532"/>
    <cellStyle name="Input 3 2 5 35" xfId="4952"/>
    <cellStyle name="Input 3 2 5 35 2" xfId="12669"/>
    <cellStyle name="Input 3 2 5 35 3" xfId="21662"/>
    <cellStyle name="Input 3 2 5 35 4" xfId="29849"/>
    <cellStyle name="Input 3 2 5 35 5" xfId="39196"/>
    <cellStyle name="Input 3 2 5 35 6" xfId="43514"/>
    <cellStyle name="Input 3 2 5 35 7" xfId="52725"/>
    <cellStyle name="Input 3 2 5 36" xfId="5061"/>
    <cellStyle name="Input 3 2 5 36 2" xfId="12778"/>
    <cellStyle name="Input 3 2 5 36 3" xfId="21771"/>
    <cellStyle name="Input 3 2 5 36 4" xfId="29958"/>
    <cellStyle name="Input 3 2 5 36 5" xfId="39301"/>
    <cellStyle name="Input 3 2 5 36 6" xfId="43623"/>
    <cellStyle name="Input 3 2 5 36 7" xfId="51574"/>
    <cellStyle name="Input 3 2 5 37" xfId="5443"/>
    <cellStyle name="Input 3 2 5 37 2" xfId="13160"/>
    <cellStyle name="Input 3 2 5 37 3" xfId="22153"/>
    <cellStyle name="Input 3 2 5 37 4" xfId="30340"/>
    <cellStyle name="Input 3 2 5 37 5" xfId="39669"/>
    <cellStyle name="Input 3 2 5 37 6" xfId="44005"/>
    <cellStyle name="Input 3 2 5 37 7" xfId="54392"/>
    <cellStyle name="Input 3 2 5 38" xfId="5562"/>
    <cellStyle name="Input 3 2 5 38 2" xfId="13279"/>
    <cellStyle name="Input 3 2 5 38 3" xfId="22272"/>
    <cellStyle name="Input 3 2 5 38 4" xfId="30459"/>
    <cellStyle name="Input 3 2 5 38 5" xfId="39782"/>
    <cellStyle name="Input 3 2 5 38 6" xfId="44124"/>
    <cellStyle name="Input 3 2 5 38 7" xfId="47170"/>
    <cellStyle name="Input 3 2 5 39" xfId="5688"/>
    <cellStyle name="Input 3 2 5 39 2" xfId="13405"/>
    <cellStyle name="Input 3 2 5 39 3" xfId="22398"/>
    <cellStyle name="Input 3 2 5 39 4" xfId="30585"/>
    <cellStyle name="Input 3 2 5 39 5" xfId="39903"/>
    <cellStyle name="Input 3 2 5 39 6" xfId="44250"/>
    <cellStyle name="Input 3 2 5 39 7" xfId="47088"/>
    <cellStyle name="Input 3 2 5 4" xfId="951"/>
    <cellStyle name="Input 3 2 5 4 2" xfId="8775"/>
    <cellStyle name="Input 3 2 5 4 3" xfId="16203"/>
    <cellStyle name="Input 3 2 5 4 4" xfId="19024"/>
    <cellStyle name="Input 3 2 5 4 5" xfId="26965"/>
    <cellStyle name="Input 3 2 5 4 6" xfId="37254"/>
    <cellStyle name="Input 3 2 5 4 7" xfId="47316"/>
    <cellStyle name="Input 3 2 5 40" xfId="5802"/>
    <cellStyle name="Input 3 2 5 40 2" xfId="13519"/>
    <cellStyle name="Input 3 2 5 40 3" xfId="22512"/>
    <cellStyle name="Input 3 2 5 40 4" xfId="30699"/>
    <cellStyle name="Input 3 2 5 40 5" xfId="40014"/>
    <cellStyle name="Input 3 2 5 40 6" xfId="44364"/>
    <cellStyle name="Input 3 2 5 40 7" xfId="53175"/>
    <cellStyle name="Input 3 2 5 41" xfId="5921"/>
    <cellStyle name="Input 3 2 5 41 2" xfId="13638"/>
    <cellStyle name="Input 3 2 5 41 3" xfId="22631"/>
    <cellStyle name="Input 3 2 5 41 4" xfId="30818"/>
    <cellStyle name="Input 3 2 5 41 5" xfId="40130"/>
    <cellStyle name="Input 3 2 5 41 6" xfId="44483"/>
    <cellStyle name="Input 3 2 5 41 7" xfId="54098"/>
    <cellStyle name="Input 3 2 5 42" xfId="6047"/>
    <cellStyle name="Input 3 2 5 42 2" xfId="13764"/>
    <cellStyle name="Input 3 2 5 42 3" xfId="22757"/>
    <cellStyle name="Input 3 2 5 42 4" xfId="30944"/>
    <cellStyle name="Input 3 2 5 42 5" xfId="40251"/>
    <cellStyle name="Input 3 2 5 42 6" xfId="44609"/>
    <cellStyle name="Input 3 2 5 42 7" xfId="48231"/>
    <cellStyle name="Input 3 2 5 43" xfId="6174"/>
    <cellStyle name="Input 3 2 5 43 2" xfId="13891"/>
    <cellStyle name="Input 3 2 5 43 3" xfId="22884"/>
    <cellStyle name="Input 3 2 5 43 4" xfId="31071"/>
    <cellStyle name="Input 3 2 5 43 5" xfId="40372"/>
    <cellStyle name="Input 3 2 5 43 6" xfId="44736"/>
    <cellStyle name="Input 3 2 5 43 7" xfId="47470"/>
    <cellStyle name="Input 3 2 5 44" xfId="6303"/>
    <cellStyle name="Input 3 2 5 44 2" xfId="14020"/>
    <cellStyle name="Input 3 2 5 44 3" xfId="23013"/>
    <cellStyle name="Input 3 2 5 44 4" xfId="31200"/>
    <cellStyle name="Input 3 2 5 44 5" xfId="40500"/>
    <cellStyle name="Input 3 2 5 44 6" xfId="44865"/>
    <cellStyle name="Input 3 2 5 44 7" xfId="53644"/>
    <cellStyle name="Input 3 2 5 45" xfId="6418"/>
    <cellStyle name="Input 3 2 5 45 2" xfId="14135"/>
    <cellStyle name="Input 3 2 5 45 3" xfId="23128"/>
    <cellStyle name="Input 3 2 5 45 4" xfId="31315"/>
    <cellStyle name="Input 3 2 5 45 5" xfId="40610"/>
    <cellStyle name="Input 3 2 5 45 6" xfId="44980"/>
    <cellStyle name="Input 3 2 5 45 7" xfId="54440"/>
    <cellStyle name="Input 3 2 5 46" xfId="6530"/>
    <cellStyle name="Input 3 2 5 46 2" xfId="14247"/>
    <cellStyle name="Input 3 2 5 46 3" xfId="23240"/>
    <cellStyle name="Input 3 2 5 46 4" xfId="31427"/>
    <cellStyle name="Input 3 2 5 46 5" xfId="40718"/>
    <cellStyle name="Input 3 2 5 46 6" xfId="45092"/>
    <cellStyle name="Input 3 2 5 46 7" xfId="50820"/>
    <cellStyle name="Input 3 2 5 47" xfId="5075"/>
    <cellStyle name="Input 3 2 5 47 2" xfId="12792"/>
    <cellStyle name="Input 3 2 5 47 3" xfId="21785"/>
    <cellStyle name="Input 3 2 5 47 4" xfId="29972"/>
    <cellStyle name="Input 3 2 5 47 5" xfId="39315"/>
    <cellStyle name="Input 3 2 5 47 6" xfId="43637"/>
    <cellStyle name="Input 3 2 5 47 7" xfId="53442"/>
    <cellStyle name="Input 3 2 5 48" xfId="6677"/>
    <cellStyle name="Input 3 2 5 48 2" xfId="14394"/>
    <cellStyle name="Input 3 2 5 48 3" xfId="23387"/>
    <cellStyle name="Input 3 2 5 48 4" xfId="31574"/>
    <cellStyle name="Input 3 2 5 48 5" xfId="40858"/>
    <cellStyle name="Input 3 2 5 48 6" xfId="45239"/>
    <cellStyle name="Input 3 2 5 48 7" xfId="50313"/>
    <cellStyle name="Input 3 2 5 49" xfId="6789"/>
    <cellStyle name="Input 3 2 5 49 2" xfId="14506"/>
    <cellStyle name="Input 3 2 5 49 3" xfId="23499"/>
    <cellStyle name="Input 3 2 5 49 4" xfId="31686"/>
    <cellStyle name="Input 3 2 5 49 5" xfId="40965"/>
    <cellStyle name="Input 3 2 5 49 6" xfId="45351"/>
    <cellStyle name="Input 3 2 5 49 7" xfId="48062"/>
    <cellStyle name="Input 3 2 5 5" xfId="1421"/>
    <cellStyle name="Input 3 2 5 5 2" xfId="9244"/>
    <cellStyle name="Input 3 2 5 5 3" xfId="16672"/>
    <cellStyle name="Input 3 2 5 5 4" xfId="26580"/>
    <cellStyle name="Input 3 2 5 5 5" xfId="35399"/>
    <cellStyle name="Input 3 2 5 5 6" xfId="36817"/>
    <cellStyle name="Input 3 2 5 5 7" xfId="54234"/>
    <cellStyle name="Input 3 2 5 50" xfId="6903"/>
    <cellStyle name="Input 3 2 5 50 2" xfId="14620"/>
    <cellStyle name="Input 3 2 5 50 3" xfId="23613"/>
    <cellStyle name="Input 3 2 5 50 4" xfId="31800"/>
    <cellStyle name="Input 3 2 5 50 5" xfId="41072"/>
    <cellStyle name="Input 3 2 5 50 6" xfId="45465"/>
    <cellStyle name="Input 3 2 5 50 7" xfId="46797"/>
    <cellStyle name="Input 3 2 5 51" xfId="7016"/>
    <cellStyle name="Input 3 2 5 51 2" xfId="14733"/>
    <cellStyle name="Input 3 2 5 51 3" xfId="23726"/>
    <cellStyle name="Input 3 2 5 51 4" xfId="31913"/>
    <cellStyle name="Input 3 2 5 51 5" xfId="41180"/>
    <cellStyle name="Input 3 2 5 51 6" xfId="45578"/>
    <cellStyle name="Input 3 2 5 51 7" xfId="54551"/>
    <cellStyle name="Input 3 2 5 52" xfId="7125"/>
    <cellStyle name="Input 3 2 5 52 2" xfId="14842"/>
    <cellStyle name="Input 3 2 5 52 3" xfId="23835"/>
    <cellStyle name="Input 3 2 5 52 4" xfId="32022"/>
    <cellStyle name="Input 3 2 5 52 5" xfId="41284"/>
    <cellStyle name="Input 3 2 5 52 6" xfId="45687"/>
    <cellStyle name="Input 3 2 5 52 7" xfId="52933"/>
    <cellStyle name="Input 3 2 5 53" xfId="7375"/>
    <cellStyle name="Input 3 2 5 53 2" xfId="15092"/>
    <cellStyle name="Input 3 2 5 53 3" xfId="24085"/>
    <cellStyle name="Input 3 2 5 53 4" xfId="32272"/>
    <cellStyle name="Input 3 2 5 53 5" xfId="41528"/>
    <cellStyle name="Input 3 2 5 53 6" xfId="45937"/>
    <cellStyle name="Input 3 2 5 53 7" xfId="48695"/>
    <cellStyle name="Input 3 2 5 54" xfId="7353"/>
    <cellStyle name="Input 3 2 5 54 2" xfId="15070"/>
    <cellStyle name="Input 3 2 5 54 3" xfId="24063"/>
    <cellStyle name="Input 3 2 5 54 4" xfId="32250"/>
    <cellStyle name="Input 3 2 5 54 5" xfId="41506"/>
    <cellStyle name="Input 3 2 5 54 6" xfId="45915"/>
    <cellStyle name="Input 3 2 5 54 7" xfId="50926"/>
    <cellStyle name="Input 3 2 5 55" xfId="7522"/>
    <cellStyle name="Input 3 2 5 55 2" xfId="15239"/>
    <cellStyle name="Input 3 2 5 55 3" xfId="24232"/>
    <cellStyle name="Input 3 2 5 55 4" xfId="32419"/>
    <cellStyle name="Input 3 2 5 55 5" xfId="41665"/>
    <cellStyle name="Input 3 2 5 55 6" xfId="46084"/>
    <cellStyle name="Input 3 2 5 55 7" xfId="49355"/>
    <cellStyle name="Input 3 2 5 56" xfId="7643"/>
    <cellStyle name="Input 3 2 5 56 2" xfId="15360"/>
    <cellStyle name="Input 3 2 5 56 3" xfId="24353"/>
    <cellStyle name="Input 3 2 5 56 4" xfId="32540"/>
    <cellStyle name="Input 3 2 5 56 5" xfId="41782"/>
    <cellStyle name="Input 3 2 5 56 6" xfId="46205"/>
    <cellStyle name="Input 3 2 5 56 7" xfId="51514"/>
    <cellStyle name="Input 3 2 5 57" xfId="7921"/>
    <cellStyle name="Input 3 2 5 57 2" xfId="15638"/>
    <cellStyle name="Input 3 2 5 57 3" xfId="24625"/>
    <cellStyle name="Input 3 2 5 57 4" xfId="32818"/>
    <cellStyle name="Input 3 2 5 57 5" xfId="42049"/>
    <cellStyle name="Input 3 2 5 57 6" xfId="46483"/>
    <cellStyle name="Input 3 2 5 57 7" xfId="47538"/>
    <cellStyle name="Input 3 2 5 58" xfId="8049"/>
    <cellStyle name="Input 3 2 5 58 2" xfId="15766"/>
    <cellStyle name="Input 3 2 5 58 3" xfId="24751"/>
    <cellStyle name="Input 3 2 5 58 4" xfId="32946"/>
    <cellStyle name="Input 3 2 5 58 5" xfId="42171"/>
    <cellStyle name="Input 3 2 5 58 6" xfId="46611"/>
    <cellStyle name="Input 3 2 5 58 7" xfId="52163"/>
    <cellStyle name="Input 3 2 5 59" xfId="7950"/>
    <cellStyle name="Input 3 2 5 59 2" xfId="15667"/>
    <cellStyle name="Input 3 2 5 59 3" xfId="24653"/>
    <cellStyle name="Input 3 2 5 59 4" xfId="32847"/>
    <cellStyle name="Input 3 2 5 59 5" xfId="42076"/>
    <cellStyle name="Input 3 2 5 59 6" xfId="46512"/>
    <cellStyle name="Input 3 2 5 59 7" xfId="51728"/>
    <cellStyle name="Input 3 2 5 6" xfId="1544"/>
    <cellStyle name="Input 3 2 5 6 2" xfId="9367"/>
    <cellStyle name="Input 3 2 5 6 3" xfId="16795"/>
    <cellStyle name="Input 3 2 5 6 4" xfId="19882"/>
    <cellStyle name="Input 3 2 5 6 5" xfId="27587"/>
    <cellStyle name="Input 3 2 5 6 6" xfId="37260"/>
    <cellStyle name="Input 3 2 5 6 7" xfId="49609"/>
    <cellStyle name="Input 3 2 5 60" xfId="8195"/>
    <cellStyle name="Input 3 2 5 60 2" xfId="15912"/>
    <cellStyle name="Input 3 2 5 60 3" xfId="33092"/>
    <cellStyle name="Input 3 2 5 60 4" xfId="42311"/>
    <cellStyle name="Input 3 2 5 60 5" xfId="46757"/>
    <cellStyle name="Input 3 2 5 60 6" xfId="46861"/>
    <cellStyle name="Input 3 2 5 61" xfId="19668"/>
    <cellStyle name="Input 3 2 5 62" xfId="33133"/>
    <cellStyle name="Input 3 2 5 63" xfId="36505"/>
    <cellStyle name="Input 3 2 5 64" xfId="50394"/>
    <cellStyle name="Input 3 2 5 7" xfId="1098"/>
    <cellStyle name="Input 3 2 5 7 2" xfId="8922"/>
    <cellStyle name="Input 3 2 5 7 3" xfId="16350"/>
    <cellStyle name="Input 3 2 5 7 4" xfId="19636"/>
    <cellStyle name="Input 3 2 5 7 5" xfId="27088"/>
    <cellStyle name="Input 3 2 5 7 6" xfId="37160"/>
    <cellStyle name="Input 3 2 5 7 7" xfId="50070"/>
    <cellStyle name="Input 3 2 5 8" xfId="1782"/>
    <cellStyle name="Input 3 2 5 8 2" xfId="9605"/>
    <cellStyle name="Input 3 2 5 8 3" xfId="17033"/>
    <cellStyle name="Input 3 2 5 8 4" xfId="26054"/>
    <cellStyle name="Input 3 2 5 8 5" xfId="34696"/>
    <cellStyle name="Input 3 2 5 8 6" xfId="37102"/>
    <cellStyle name="Input 3 2 5 8 7" xfId="53113"/>
    <cellStyle name="Input 3 2 5 9" xfId="1914"/>
    <cellStyle name="Input 3 2 5 9 2" xfId="9737"/>
    <cellStyle name="Input 3 2 5 9 3" xfId="17165"/>
    <cellStyle name="Input 3 2 5 9 4" xfId="19299"/>
    <cellStyle name="Input 3 2 5 9 5" xfId="27904"/>
    <cellStyle name="Input 3 2 5 9 6" xfId="41310"/>
    <cellStyle name="Input 3 2 5 9 7" xfId="47879"/>
    <cellStyle name="Input 3 2 50" xfId="6135"/>
    <cellStyle name="Input 3 2 50 2" xfId="13852"/>
    <cellStyle name="Input 3 2 50 3" xfId="22845"/>
    <cellStyle name="Input 3 2 50 4" xfId="31032"/>
    <cellStyle name="Input 3 2 50 5" xfId="40333"/>
    <cellStyle name="Input 3 2 50 6" xfId="44697"/>
    <cellStyle name="Input 3 2 50 7" xfId="49850"/>
    <cellStyle name="Input 3 2 51" xfId="5242"/>
    <cellStyle name="Input 3 2 51 2" xfId="12959"/>
    <cellStyle name="Input 3 2 51 3" xfId="21952"/>
    <cellStyle name="Input 3 2 51 4" xfId="30139"/>
    <cellStyle name="Input 3 2 51 5" xfId="39474"/>
    <cellStyle name="Input 3 2 51 6" xfId="43804"/>
    <cellStyle name="Input 3 2 51 7" xfId="52639"/>
    <cellStyle name="Input 3 2 52" xfId="5347"/>
    <cellStyle name="Input 3 2 52 2" xfId="13064"/>
    <cellStyle name="Input 3 2 52 3" xfId="22057"/>
    <cellStyle name="Input 3 2 52 4" xfId="30244"/>
    <cellStyle name="Input 3 2 52 5" xfId="39576"/>
    <cellStyle name="Input 3 2 52 6" xfId="43909"/>
    <cellStyle name="Input 3 2 52 7" xfId="49023"/>
    <cellStyle name="Input 3 2 53" xfId="5079"/>
    <cellStyle name="Input 3 2 53 2" xfId="12796"/>
    <cellStyle name="Input 3 2 53 3" xfId="21789"/>
    <cellStyle name="Input 3 2 53 4" xfId="29976"/>
    <cellStyle name="Input 3 2 53 5" xfId="39319"/>
    <cellStyle name="Input 3 2 53 6" xfId="43641"/>
    <cellStyle name="Input 3 2 53 7" xfId="53023"/>
    <cellStyle name="Input 3 2 54" xfId="5380"/>
    <cellStyle name="Input 3 2 54 2" xfId="13097"/>
    <cellStyle name="Input 3 2 54 3" xfId="22090"/>
    <cellStyle name="Input 3 2 54 4" xfId="30277"/>
    <cellStyle name="Input 3 2 54 5" xfId="39608"/>
    <cellStyle name="Input 3 2 54 6" xfId="43942"/>
    <cellStyle name="Input 3 2 54 7" xfId="53323"/>
    <cellStyle name="Input 3 2 55" xfId="6549"/>
    <cellStyle name="Input 3 2 55 2" xfId="14266"/>
    <cellStyle name="Input 3 2 55 3" xfId="23259"/>
    <cellStyle name="Input 3 2 55 4" xfId="31446"/>
    <cellStyle name="Input 3 2 55 5" xfId="40736"/>
    <cellStyle name="Input 3 2 55 6" xfId="45111"/>
    <cellStyle name="Input 3 2 55 7" xfId="47940"/>
    <cellStyle name="Input 3 2 56" xfId="6189"/>
    <cellStyle name="Input 3 2 56 2" xfId="13906"/>
    <cellStyle name="Input 3 2 56 3" xfId="22899"/>
    <cellStyle name="Input 3 2 56 4" xfId="31086"/>
    <cellStyle name="Input 3 2 56 5" xfId="40387"/>
    <cellStyle name="Input 3 2 56 6" xfId="44751"/>
    <cellStyle name="Input 3 2 56 7" xfId="49201"/>
    <cellStyle name="Input 3 2 57" xfId="5934"/>
    <cellStyle name="Input 3 2 57 2" xfId="13651"/>
    <cellStyle name="Input 3 2 57 3" xfId="22644"/>
    <cellStyle name="Input 3 2 57 4" xfId="30831"/>
    <cellStyle name="Input 3 2 57 5" xfId="40142"/>
    <cellStyle name="Input 3 2 57 6" xfId="44496"/>
    <cellStyle name="Input 3 2 57 7" xfId="54245"/>
    <cellStyle name="Input 3 2 58" xfId="7147"/>
    <cellStyle name="Input 3 2 58 2" xfId="14864"/>
    <cellStyle name="Input 3 2 58 3" xfId="23857"/>
    <cellStyle name="Input 3 2 58 4" xfId="32044"/>
    <cellStyle name="Input 3 2 58 5" xfId="41306"/>
    <cellStyle name="Input 3 2 58 6" xfId="45709"/>
    <cellStyle name="Input 3 2 58 7" xfId="50540"/>
    <cellStyle name="Input 3 2 59" xfId="7144"/>
    <cellStyle name="Input 3 2 59 2" xfId="14861"/>
    <cellStyle name="Input 3 2 59 3" xfId="23854"/>
    <cellStyle name="Input 3 2 59 4" xfId="32041"/>
    <cellStyle name="Input 3 2 59 5" xfId="41303"/>
    <cellStyle name="Input 3 2 59 6" xfId="45706"/>
    <cellStyle name="Input 3 2 59 7" xfId="50797"/>
    <cellStyle name="Input 3 2 6" xfId="579"/>
    <cellStyle name="Input 3 2 6 10" xfId="2026"/>
    <cellStyle name="Input 3 2 6 10 2" xfId="9849"/>
    <cellStyle name="Input 3 2 6 10 3" xfId="17277"/>
    <cellStyle name="Input 3 2 6 10 4" xfId="20099"/>
    <cellStyle name="Input 3 2 6 10 5" xfId="27434"/>
    <cellStyle name="Input 3 2 6 10 6" xfId="40324"/>
    <cellStyle name="Input 3 2 6 10 7" xfId="50027"/>
    <cellStyle name="Input 3 2 6 11" xfId="2142"/>
    <cellStyle name="Input 3 2 6 11 2" xfId="9965"/>
    <cellStyle name="Input 3 2 6 11 3" xfId="17393"/>
    <cellStyle name="Input 3 2 6 11 4" xfId="19043"/>
    <cellStyle name="Input 3 2 6 11 5" xfId="26858"/>
    <cellStyle name="Input 3 2 6 11 6" xfId="38522"/>
    <cellStyle name="Input 3 2 6 11 7" xfId="49817"/>
    <cellStyle name="Input 3 2 6 12" xfId="2256"/>
    <cellStyle name="Input 3 2 6 12 2" xfId="10079"/>
    <cellStyle name="Input 3 2 6 12 3" xfId="17507"/>
    <cellStyle name="Input 3 2 6 12 4" xfId="26701"/>
    <cellStyle name="Input 3 2 6 12 5" xfId="35554"/>
    <cellStyle name="Input 3 2 6 12 6" xfId="38935"/>
    <cellStyle name="Input 3 2 6 12 7" xfId="54498"/>
    <cellStyle name="Input 3 2 6 13" xfId="1264"/>
    <cellStyle name="Input 3 2 6 13 2" xfId="9087"/>
    <cellStyle name="Input 3 2 6 13 3" xfId="16515"/>
    <cellStyle name="Input 3 2 6 13 4" xfId="19284"/>
    <cellStyle name="Input 3 2 6 13 5" xfId="27972"/>
    <cellStyle name="Input 3 2 6 13 6" xfId="41988"/>
    <cellStyle name="Input 3 2 6 13 7" xfId="46958"/>
    <cellStyle name="Input 3 2 6 14" xfId="1575"/>
    <cellStyle name="Input 3 2 6 14 2" xfId="9398"/>
    <cellStyle name="Input 3 2 6 14 3" xfId="16826"/>
    <cellStyle name="Input 3 2 6 14 4" xfId="25946"/>
    <cellStyle name="Input 3 2 6 14 5" xfId="34551"/>
    <cellStyle name="Input 3 2 6 14 6" xfId="40993"/>
    <cellStyle name="Input 3 2 6 14 7" xfId="52880"/>
    <cellStyle name="Input 3 2 6 15" xfId="2554"/>
    <cellStyle name="Input 3 2 6 15 2" xfId="10377"/>
    <cellStyle name="Input 3 2 6 15 3" xfId="17805"/>
    <cellStyle name="Input 3 2 6 15 4" xfId="26627"/>
    <cellStyle name="Input 3 2 6 15 5" xfId="35460"/>
    <cellStyle name="Input 3 2 6 15 6" xfId="39879"/>
    <cellStyle name="Input 3 2 6 15 7" xfId="54339"/>
    <cellStyle name="Input 3 2 6 16" xfId="2668"/>
    <cellStyle name="Input 3 2 6 16 2" xfId="10491"/>
    <cellStyle name="Input 3 2 6 16 3" xfId="17919"/>
    <cellStyle name="Input 3 2 6 16 4" xfId="19181"/>
    <cellStyle name="Input 3 2 6 16 5" xfId="26755"/>
    <cellStyle name="Input 3 2 6 16 6" xfId="39572"/>
    <cellStyle name="Input 3 2 6 16 7" xfId="49172"/>
    <cellStyle name="Input 3 2 6 17" xfId="2312"/>
    <cellStyle name="Input 3 2 6 17 2" xfId="10135"/>
    <cellStyle name="Input 3 2 6 17 3" xfId="17563"/>
    <cellStyle name="Input 3 2 6 17 4" xfId="19085"/>
    <cellStyle name="Input 3 2 6 17 5" xfId="26731"/>
    <cellStyle name="Input 3 2 6 17 6" xfId="42221"/>
    <cellStyle name="Input 3 2 6 17 7" xfId="47314"/>
    <cellStyle name="Input 3 2 6 18" xfId="2373"/>
    <cellStyle name="Input 3 2 6 18 2" xfId="10196"/>
    <cellStyle name="Input 3 2 6 18 3" xfId="17624"/>
    <cellStyle name="Input 3 2 6 18 4" xfId="19949"/>
    <cellStyle name="Input 3 2 6 18 5" xfId="27400"/>
    <cellStyle name="Input 3 2 6 18 6" xfId="36955"/>
    <cellStyle name="Input 3 2 6 18 7" xfId="48925"/>
    <cellStyle name="Input 3 2 6 19" xfId="2858"/>
    <cellStyle name="Input 3 2 6 19 2" xfId="10681"/>
    <cellStyle name="Input 3 2 6 19 3" xfId="18109"/>
    <cellStyle name="Input 3 2 6 19 4" xfId="25830"/>
    <cellStyle name="Input 3 2 6 19 5" xfId="34413"/>
    <cellStyle name="Input 3 2 6 19 6" xfId="36480"/>
    <cellStyle name="Input 3 2 6 19 7" xfId="52629"/>
    <cellStyle name="Input 3 2 6 2" xfId="726"/>
    <cellStyle name="Input 3 2 6 2 2" xfId="8550"/>
    <cellStyle name="Input 3 2 6 2 3" xfId="15978"/>
    <cellStyle name="Input 3 2 6 2 4" xfId="25013"/>
    <cellStyle name="Input 3 2 6 2 5" xfId="33366"/>
    <cellStyle name="Input 3 2 6 2 6" xfId="37862"/>
    <cellStyle name="Input 3 2 6 2 7" xfId="50828"/>
    <cellStyle name="Input 3 2 6 20" xfId="2965"/>
    <cellStyle name="Input 3 2 6 20 2" xfId="10788"/>
    <cellStyle name="Input 3 2 6 20 3" xfId="18216"/>
    <cellStyle name="Input 3 2 6 20 4" xfId="19970"/>
    <cellStyle name="Input 3 2 6 20 5" xfId="27368"/>
    <cellStyle name="Input 3 2 6 20 6" xfId="37941"/>
    <cellStyle name="Input 3 2 6 20 7" xfId="49015"/>
    <cellStyle name="Input 3 2 6 21" xfId="3343"/>
    <cellStyle name="Input 3 2 6 21 2" xfId="11136"/>
    <cellStyle name="Input 3 2 6 21 3" xfId="18463"/>
    <cellStyle name="Input 3 2 6 21 4" xfId="20440"/>
    <cellStyle name="Input 3 2 6 21 5" xfId="28102"/>
    <cellStyle name="Input 3 2 6 21 6" xfId="37718"/>
    <cellStyle name="Input 3 2 6 21 7" xfId="46990"/>
    <cellStyle name="Input 3 2 6 22" xfId="3462"/>
    <cellStyle name="Input 3 2 6 22 2" xfId="11253"/>
    <cellStyle name="Input 3 2 6 22 3" xfId="18574"/>
    <cellStyle name="Input 3 2 6 22 4" xfId="25213"/>
    <cellStyle name="Input 3 2 6 22 5" xfId="33609"/>
    <cellStyle name="Input 3 2 6 22 6" xfId="38102"/>
    <cellStyle name="Input 3 2 6 22 7" xfId="51244"/>
    <cellStyle name="Input 3 2 6 23" xfId="3621"/>
    <cellStyle name="Input 3 2 6 23 2" xfId="11407"/>
    <cellStyle name="Input 3 2 6 23 3" xfId="18681"/>
    <cellStyle name="Input 3 2 6 23 4" xfId="19628"/>
    <cellStyle name="Input 3 2 6 23 5" xfId="28022"/>
    <cellStyle name="Input 3 2 6 23 6" xfId="37288"/>
    <cellStyle name="Input 3 2 6 23 7" xfId="49988"/>
    <cellStyle name="Input 3 2 6 24" xfId="3735"/>
    <cellStyle name="Input 3 2 6 24 2" xfId="11520"/>
    <cellStyle name="Input 3 2 6 24 3" xfId="18791"/>
    <cellStyle name="Input 3 2 6 24 4" xfId="19357"/>
    <cellStyle name="Input 3 2 6 24 5" xfId="27560"/>
    <cellStyle name="Input 3 2 6 24 6" xfId="41203"/>
    <cellStyle name="Input 3 2 6 24 7" xfId="48363"/>
    <cellStyle name="Input 3 2 6 25" xfId="3864"/>
    <cellStyle name="Input 3 2 6 25 2" xfId="11646"/>
    <cellStyle name="Input 3 2 6 25 3" xfId="18901"/>
    <cellStyle name="Input 3 2 6 25 4" xfId="26326"/>
    <cellStyle name="Input 3 2 6 25 5" xfId="35050"/>
    <cellStyle name="Input 3 2 6 25 6" xfId="39347"/>
    <cellStyle name="Input 3 2 6 25 7" xfId="53692"/>
    <cellStyle name="Input 3 2 6 26" xfId="3982"/>
    <cellStyle name="Input 3 2 6 26 2" xfId="11761"/>
    <cellStyle name="Input 3 2 6 26 3" xfId="19010"/>
    <cellStyle name="Input 3 2 6 26 4" xfId="25513"/>
    <cellStyle name="Input 3 2 6 26 5" xfId="33991"/>
    <cellStyle name="Input 3 2 6 26 6" xfId="38380"/>
    <cellStyle name="Input 3 2 6 26 7" xfId="51900"/>
    <cellStyle name="Input 3 2 6 27" xfId="3489"/>
    <cellStyle name="Input 3 2 6 27 2" xfId="11280"/>
    <cellStyle name="Input 3 2 6 27 3" xfId="20475"/>
    <cellStyle name="Input 3 2 6 27 4" xfId="28597"/>
    <cellStyle name="Input 3 2 6 27 5" xfId="37973"/>
    <cellStyle name="Input 3 2 6 27 6" xfId="42484"/>
    <cellStyle name="Input 3 2 6 27 7" xfId="47317"/>
    <cellStyle name="Input 3 2 6 28" xfId="4178"/>
    <cellStyle name="Input 3 2 6 28 2" xfId="11937"/>
    <cellStyle name="Input 3 2 6 28 3" xfId="20888"/>
    <cellStyle name="Input 3 2 6 28 4" xfId="29075"/>
    <cellStyle name="Input 3 2 6 28 5" xfId="38451"/>
    <cellStyle name="Input 3 2 6 28 6" xfId="42740"/>
    <cellStyle name="Input 3 2 6 28 7" xfId="54226"/>
    <cellStyle name="Input 3 2 6 29" xfId="4256"/>
    <cellStyle name="Input 3 2 6 29 2" xfId="20966"/>
    <cellStyle name="Input 3 2 6 29 3" xfId="29153"/>
    <cellStyle name="Input 3 2 6 29 4" xfId="38526"/>
    <cellStyle name="Input 3 2 6 29 5" xfId="42818"/>
    <cellStyle name="Input 3 2 6 29 6" xfId="53465"/>
    <cellStyle name="Input 3 2 6 3" xfId="835"/>
    <cellStyle name="Input 3 2 6 3 2" xfId="8659"/>
    <cellStyle name="Input 3 2 6 3 3" xfId="16087"/>
    <cellStyle name="Input 3 2 6 3 4" xfId="25437"/>
    <cellStyle name="Input 3 2 6 3 5" xfId="33897"/>
    <cellStyle name="Input 3 2 6 3 6" xfId="36986"/>
    <cellStyle name="Input 3 2 6 3 7" xfId="51721"/>
    <cellStyle name="Input 3 2 6 30" xfId="4377"/>
    <cellStyle name="Input 3 2 6 30 2" xfId="12094"/>
    <cellStyle name="Input 3 2 6 30 3" xfId="21087"/>
    <cellStyle name="Input 3 2 6 30 4" xfId="29274"/>
    <cellStyle name="Input 3 2 6 30 5" xfId="38644"/>
    <cellStyle name="Input 3 2 6 30 6" xfId="42939"/>
    <cellStyle name="Input 3 2 6 30 7" xfId="51216"/>
    <cellStyle name="Input 3 2 6 31" xfId="4498"/>
    <cellStyle name="Input 3 2 6 31 2" xfId="12215"/>
    <cellStyle name="Input 3 2 6 31 3" xfId="21208"/>
    <cellStyle name="Input 3 2 6 31 4" xfId="29395"/>
    <cellStyle name="Input 3 2 6 31 5" xfId="38759"/>
    <cellStyle name="Input 3 2 6 31 6" xfId="43060"/>
    <cellStyle name="Input 3 2 6 31 7" xfId="51965"/>
    <cellStyle name="Input 3 2 6 32" xfId="4612"/>
    <cellStyle name="Input 3 2 6 32 2" xfId="12329"/>
    <cellStyle name="Input 3 2 6 32 3" xfId="21322"/>
    <cellStyle name="Input 3 2 6 32 4" xfId="29509"/>
    <cellStyle name="Input 3 2 6 32 5" xfId="38868"/>
    <cellStyle name="Input 3 2 6 32 6" xfId="43174"/>
    <cellStyle name="Input 3 2 6 32 7" xfId="47238"/>
    <cellStyle name="Input 3 2 6 33" xfId="4725"/>
    <cellStyle name="Input 3 2 6 33 2" xfId="12442"/>
    <cellStyle name="Input 3 2 6 33 3" xfId="21435"/>
    <cellStyle name="Input 3 2 6 33 4" xfId="29622"/>
    <cellStyle name="Input 3 2 6 33 5" xfId="38977"/>
    <cellStyle name="Input 3 2 6 33 6" xfId="43287"/>
    <cellStyle name="Input 3 2 6 33 7" xfId="47645"/>
    <cellStyle name="Input 3 2 6 34" xfId="4835"/>
    <cellStyle name="Input 3 2 6 34 2" xfId="12552"/>
    <cellStyle name="Input 3 2 6 34 3" xfId="21545"/>
    <cellStyle name="Input 3 2 6 34 4" xfId="29732"/>
    <cellStyle name="Input 3 2 6 34 5" xfId="39083"/>
    <cellStyle name="Input 3 2 6 34 6" xfId="43397"/>
    <cellStyle name="Input 3 2 6 34 7" xfId="49720"/>
    <cellStyle name="Input 3 2 6 35" xfId="4945"/>
    <cellStyle name="Input 3 2 6 35 2" xfId="12662"/>
    <cellStyle name="Input 3 2 6 35 3" xfId="21655"/>
    <cellStyle name="Input 3 2 6 35 4" xfId="29842"/>
    <cellStyle name="Input 3 2 6 35 5" xfId="39189"/>
    <cellStyle name="Input 3 2 6 35 6" xfId="43507"/>
    <cellStyle name="Input 3 2 6 35 7" xfId="53287"/>
    <cellStyle name="Input 3 2 6 36" xfId="5055"/>
    <cellStyle name="Input 3 2 6 36 2" xfId="12772"/>
    <cellStyle name="Input 3 2 6 36 3" xfId="21765"/>
    <cellStyle name="Input 3 2 6 36 4" xfId="29952"/>
    <cellStyle name="Input 3 2 6 36 5" xfId="39295"/>
    <cellStyle name="Input 3 2 6 36 6" xfId="43617"/>
    <cellStyle name="Input 3 2 6 36 7" xfId="47232"/>
    <cellStyle name="Input 3 2 6 37" xfId="5435"/>
    <cellStyle name="Input 3 2 6 37 2" xfId="13152"/>
    <cellStyle name="Input 3 2 6 37 3" xfId="22145"/>
    <cellStyle name="Input 3 2 6 37 4" xfId="30332"/>
    <cellStyle name="Input 3 2 6 37 5" xfId="39661"/>
    <cellStyle name="Input 3 2 6 37 6" xfId="43997"/>
    <cellStyle name="Input 3 2 6 37 7" xfId="48168"/>
    <cellStyle name="Input 3 2 6 38" xfId="5555"/>
    <cellStyle name="Input 3 2 6 38 2" xfId="13272"/>
    <cellStyle name="Input 3 2 6 38 3" xfId="22265"/>
    <cellStyle name="Input 3 2 6 38 4" xfId="30452"/>
    <cellStyle name="Input 3 2 6 38 5" xfId="39775"/>
    <cellStyle name="Input 3 2 6 38 6" xfId="44117"/>
    <cellStyle name="Input 3 2 6 38 7" xfId="47173"/>
    <cellStyle name="Input 3 2 6 39" xfId="5680"/>
    <cellStyle name="Input 3 2 6 39 2" xfId="13397"/>
    <cellStyle name="Input 3 2 6 39 3" xfId="22390"/>
    <cellStyle name="Input 3 2 6 39 4" xfId="30577"/>
    <cellStyle name="Input 3 2 6 39 5" xfId="39895"/>
    <cellStyle name="Input 3 2 6 39 6" xfId="44242"/>
    <cellStyle name="Input 3 2 6 39 7" xfId="46777"/>
    <cellStyle name="Input 3 2 6 4" xfId="945"/>
    <cellStyle name="Input 3 2 6 4 2" xfId="8769"/>
    <cellStyle name="Input 3 2 6 4 3" xfId="16197"/>
    <cellStyle name="Input 3 2 6 4 4" xfId="19176"/>
    <cellStyle name="Input 3 2 6 4 5" xfId="26909"/>
    <cellStyle name="Input 3 2 6 4 6" xfId="37539"/>
    <cellStyle name="Input 3 2 6 4 7" xfId="49184"/>
    <cellStyle name="Input 3 2 6 40" xfId="5795"/>
    <cellStyle name="Input 3 2 6 40 2" xfId="13512"/>
    <cellStyle name="Input 3 2 6 40 3" xfId="22505"/>
    <cellStyle name="Input 3 2 6 40 4" xfId="30692"/>
    <cellStyle name="Input 3 2 6 40 5" xfId="40007"/>
    <cellStyle name="Input 3 2 6 40 6" xfId="44357"/>
    <cellStyle name="Input 3 2 6 40 7" xfId="53859"/>
    <cellStyle name="Input 3 2 6 41" xfId="5913"/>
    <cellStyle name="Input 3 2 6 41 2" xfId="13630"/>
    <cellStyle name="Input 3 2 6 41 3" xfId="22623"/>
    <cellStyle name="Input 3 2 6 41 4" xfId="30810"/>
    <cellStyle name="Input 3 2 6 41 5" xfId="40122"/>
    <cellStyle name="Input 3 2 6 41 6" xfId="44475"/>
    <cellStyle name="Input 3 2 6 41 7" xfId="51789"/>
    <cellStyle name="Input 3 2 6 42" xfId="6040"/>
    <cellStyle name="Input 3 2 6 42 2" xfId="13757"/>
    <cellStyle name="Input 3 2 6 42 3" xfId="22750"/>
    <cellStyle name="Input 3 2 6 42 4" xfId="30937"/>
    <cellStyle name="Input 3 2 6 42 5" xfId="40244"/>
    <cellStyle name="Input 3 2 6 42 6" xfId="44602"/>
    <cellStyle name="Input 3 2 6 42 7" xfId="50317"/>
    <cellStyle name="Input 3 2 6 43" xfId="6168"/>
    <cellStyle name="Input 3 2 6 43 2" xfId="13885"/>
    <cellStyle name="Input 3 2 6 43 3" xfId="22878"/>
    <cellStyle name="Input 3 2 6 43 4" xfId="31065"/>
    <cellStyle name="Input 3 2 6 43 5" xfId="40366"/>
    <cellStyle name="Input 3 2 6 43 6" xfId="44730"/>
    <cellStyle name="Input 3 2 6 43 7" xfId="51364"/>
    <cellStyle name="Input 3 2 6 44" xfId="6296"/>
    <cellStyle name="Input 3 2 6 44 2" xfId="14013"/>
    <cellStyle name="Input 3 2 6 44 3" xfId="23006"/>
    <cellStyle name="Input 3 2 6 44 4" xfId="31193"/>
    <cellStyle name="Input 3 2 6 44 5" xfId="40493"/>
    <cellStyle name="Input 3 2 6 44 6" xfId="44858"/>
    <cellStyle name="Input 3 2 6 44 7" xfId="54506"/>
    <cellStyle name="Input 3 2 6 45" xfId="6411"/>
    <cellStyle name="Input 3 2 6 45 2" xfId="14128"/>
    <cellStyle name="Input 3 2 6 45 3" xfId="23121"/>
    <cellStyle name="Input 3 2 6 45 4" xfId="31308"/>
    <cellStyle name="Input 3 2 6 45 5" xfId="40603"/>
    <cellStyle name="Input 3 2 6 45 6" xfId="44973"/>
    <cellStyle name="Input 3 2 6 45 7" xfId="48677"/>
    <cellStyle name="Input 3 2 6 46" xfId="6523"/>
    <cellStyle name="Input 3 2 6 46 2" xfId="14240"/>
    <cellStyle name="Input 3 2 6 46 3" xfId="23233"/>
    <cellStyle name="Input 3 2 6 46 4" xfId="31420"/>
    <cellStyle name="Input 3 2 6 46 5" xfId="40711"/>
    <cellStyle name="Input 3 2 6 46 6" xfId="45085"/>
    <cellStyle name="Input 3 2 6 46 7" xfId="51856"/>
    <cellStyle name="Input 3 2 6 47" xfId="5293"/>
    <cellStyle name="Input 3 2 6 47 2" xfId="13010"/>
    <cellStyle name="Input 3 2 6 47 3" xfId="22003"/>
    <cellStyle name="Input 3 2 6 47 4" xfId="30190"/>
    <cellStyle name="Input 3 2 6 47 5" xfId="39524"/>
    <cellStyle name="Input 3 2 6 47 6" xfId="43855"/>
    <cellStyle name="Input 3 2 6 47 7" xfId="48491"/>
    <cellStyle name="Input 3 2 6 48" xfId="6670"/>
    <cellStyle name="Input 3 2 6 48 2" xfId="14387"/>
    <cellStyle name="Input 3 2 6 48 3" xfId="23380"/>
    <cellStyle name="Input 3 2 6 48 4" xfId="31567"/>
    <cellStyle name="Input 3 2 6 48 5" xfId="40851"/>
    <cellStyle name="Input 3 2 6 48 6" xfId="45232"/>
    <cellStyle name="Input 3 2 6 48 7" xfId="50920"/>
    <cellStyle name="Input 3 2 6 49" xfId="6781"/>
    <cellStyle name="Input 3 2 6 49 2" xfId="14498"/>
    <cellStyle name="Input 3 2 6 49 3" xfId="23491"/>
    <cellStyle name="Input 3 2 6 49 4" xfId="31678"/>
    <cellStyle name="Input 3 2 6 49 5" xfId="40957"/>
    <cellStyle name="Input 3 2 6 49 6" xfId="45343"/>
    <cellStyle name="Input 3 2 6 49 7" xfId="54202"/>
    <cellStyle name="Input 3 2 6 5" xfId="1413"/>
    <cellStyle name="Input 3 2 6 5 2" xfId="9236"/>
    <cellStyle name="Input 3 2 6 5 3" xfId="16664"/>
    <cellStyle name="Input 3 2 6 5 4" xfId="19468"/>
    <cellStyle name="Input 3 2 6 5 5" xfId="26969"/>
    <cellStyle name="Input 3 2 6 5 6" xfId="39322"/>
    <cellStyle name="Input 3 2 6 5 7" xfId="47289"/>
    <cellStyle name="Input 3 2 6 50" xfId="6896"/>
    <cellStyle name="Input 3 2 6 50 2" xfId="14613"/>
    <cellStyle name="Input 3 2 6 50 3" xfId="23606"/>
    <cellStyle name="Input 3 2 6 50 4" xfId="31793"/>
    <cellStyle name="Input 3 2 6 50 5" xfId="41065"/>
    <cellStyle name="Input 3 2 6 50 6" xfId="45458"/>
    <cellStyle name="Input 3 2 6 50 7" xfId="46780"/>
    <cellStyle name="Input 3 2 6 51" xfId="7009"/>
    <cellStyle name="Input 3 2 6 51 2" xfId="14726"/>
    <cellStyle name="Input 3 2 6 51 3" xfId="23719"/>
    <cellStyle name="Input 3 2 6 51 4" xfId="31906"/>
    <cellStyle name="Input 3 2 6 51 5" xfId="41173"/>
    <cellStyle name="Input 3 2 6 51 6" xfId="45571"/>
    <cellStyle name="Input 3 2 6 51 7" xfId="47220"/>
    <cellStyle name="Input 3 2 6 52" xfId="7119"/>
    <cellStyle name="Input 3 2 6 52 2" xfId="14836"/>
    <cellStyle name="Input 3 2 6 52 3" xfId="23829"/>
    <cellStyle name="Input 3 2 6 52 4" xfId="32016"/>
    <cellStyle name="Input 3 2 6 52 5" xfId="41278"/>
    <cellStyle name="Input 3 2 6 52 6" xfId="45681"/>
    <cellStyle name="Input 3 2 6 52 7" xfId="53388"/>
    <cellStyle name="Input 3 2 6 53" xfId="7157"/>
    <cellStyle name="Input 3 2 6 53 2" xfId="14874"/>
    <cellStyle name="Input 3 2 6 53 3" xfId="23867"/>
    <cellStyle name="Input 3 2 6 53 4" xfId="32054"/>
    <cellStyle name="Input 3 2 6 53 5" xfId="41316"/>
    <cellStyle name="Input 3 2 6 53 6" xfId="45719"/>
    <cellStyle name="Input 3 2 6 53 7" xfId="49060"/>
    <cellStyle name="Input 3 2 6 54" xfId="7243"/>
    <cellStyle name="Input 3 2 6 54 2" xfId="14960"/>
    <cellStyle name="Input 3 2 6 54 3" xfId="23953"/>
    <cellStyle name="Input 3 2 6 54 4" xfId="32140"/>
    <cellStyle name="Input 3 2 6 54 5" xfId="41396"/>
    <cellStyle name="Input 3 2 6 54 6" xfId="45805"/>
    <cellStyle name="Input 3 2 6 54 7" xfId="54270"/>
    <cellStyle name="Input 3 2 6 55" xfId="7516"/>
    <cellStyle name="Input 3 2 6 55 2" xfId="15233"/>
    <cellStyle name="Input 3 2 6 55 3" xfId="24226"/>
    <cellStyle name="Input 3 2 6 55 4" xfId="32413"/>
    <cellStyle name="Input 3 2 6 55 5" xfId="41659"/>
    <cellStyle name="Input 3 2 6 55 6" xfId="46078"/>
    <cellStyle name="Input 3 2 6 55 7" xfId="47302"/>
    <cellStyle name="Input 3 2 6 56" xfId="7637"/>
    <cellStyle name="Input 3 2 6 56 2" xfId="15354"/>
    <cellStyle name="Input 3 2 6 56 3" xfId="24347"/>
    <cellStyle name="Input 3 2 6 56 4" xfId="32534"/>
    <cellStyle name="Input 3 2 6 56 5" xfId="41776"/>
    <cellStyle name="Input 3 2 6 56 6" xfId="46199"/>
    <cellStyle name="Input 3 2 6 56 7" xfId="52314"/>
    <cellStyle name="Input 3 2 6 57" xfId="7914"/>
    <cellStyle name="Input 3 2 6 57 2" xfId="15631"/>
    <cellStyle name="Input 3 2 6 57 3" xfId="24618"/>
    <cellStyle name="Input 3 2 6 57 4" xfId="32811"/>
    <cellStyle name="Input 3 2 6 57 5" xfId="42042"/>
    <cellStyle name="Input 3 2 6 57 6" xfId="46476"/>
    <cellStyle name="Input 3 2 6 57 7" xfId="51537"/>
    <cellStyle name="Input 3 2 6 58" xfId="8042"/>
    <cellStyle name="Input 3 2 6 58 2" xfId="15759"/>
    <cellStyle name="Input 3 2 6 58 3" xfId="24744"/>
    <cellStyle name="Input 3 2 6 58 4" xfId="32939"/>
    <cellStyle name="Input 3 2 6 58 5" xfId="42164"/>
    <cellStyle name="Input 3 2 6 58 6" xfId="46604"/>
    <cellStyle name="Input 3 2 6 58 7" xfId="51753"/>
    <cellStyle name="Input 3 2 6 59" xfId="7796"/>
    <cellStyle name="Input 3 2 6 59 2" xfId="15513"/>
    <cellStyle name="Input 3 2 6 59 3" xfId="24501"/>
    <cellStyle name="Input 3 2 6 59 4" xfId="32693"/>
    <cellStyle name="Input 3 2 6 59 5" xfId="41928"/>
    <cellStyle name="Input 3 2 6 59 6" xfId="46358"/>
    <cellStyle name="Input 3 2 6 59 7" xfId="53584"/>
    <cellStyle name="Input 3 2 6 6" xfId="1536"/>
    <cellStyle name="Input 3 2 6 6 2" xfId="9359"/>
    <cellStyle name="Input 3 2 6 6 3" xfId="16787"/>
    <cellStyle name="Input 3 2 6 6 4" xfId="24819"/>
    <cellStyle name="Input 3 2 6 6 5" xfId="28118"/>
    <cellStyle name="Input 3 2 6 6 6" xfId="37879"/>
    <cellStyle name="Input 3 2 6 6 7" xfId="47256"/>
    <cellStyle name="Input 3 2 6 60" xfId="8189"/>
    <cellStyle name="Input 3 2 6 60 2" xfId="15906"/>
    <cellStyle name="Input 3 2 6 60 3" xfId="33086"/>
    <cellStyle name="Input 3 2 6 60 4" xfId="42305"/>
    <cellStyle name="Input 3 2 6 60 5" xfId="46751"/>
    <cellStyle name="Input 3 2 6 60 6" xfId="46867"/>
    <cellStyle name="Input 3 2 6 61" xfId="25145"/>
    <cellStyle name="Input 3 2 6 62" xfId="33520"/>
    <cellStyle name="Input 3 2 6 63" xfId="36279"/>
    <cellStyle name="Input 3 2 6 64" xfId="51100"/>
    <cellStyle name="Input 3 2 6 7" xfId="1120"/>
    <cellStyle name="Input 3 2 6 7 2" xfId="8943"/>
    <cellStyle name="Input 3 2 6 7 3" xfId="16371"/>
    <cellStyle name="Input 3 2 6 7 4" xfId="25581"/>
    <cellStyle name="Input 3 2 6 7 5" xfId="34086"/>
    <cellStyle name="Input 3 2 6 7 6" xfId="36705"/>
    <cellStyle name="Input 3 2 6 7 7" xfId="52052"/>
    <cellStyle name="Input 3 2 6 8" xfId="1774"/>
    <cellStyle name="Input 3 2 6 8 2" xfId="9597"/>
    <cellStyle name="Input 3 2 6 8 3" xfId="17025"/>
    <cellStyle name="Input 3 2 6 8 4" xfId="26426"/>
    <cellStyle name="Input 3 2 6 8 5" xfId="35191"/>
    <cellStyle name="Input 3 2 6 8 6" xfId="37508"/>
    <cellStyle name="Input 3 2 6 8 7" xfId="53913"/>
    <cellStyle name="Input 3 2 6 9" xfId="1907"/>
    <cellStyle name="Input 3 2 6 9 2" xfId="9730"/>
    <cellStyle name="Input 3 2 6 9 3" xfId="17158"/>
    <cellStyle name="Input 3 2 6 9 4" xfId="24922"/>
    <cellStyle name="Input 3 2 6 9 5" xfId="33251"/>
    <cellStyle name="Input 3 2 6 9 6" xfId="37146"/>
    <cellStyle name="Input 3 2 6 9 7" xfId="50619"/>
    <cellStyle name="Input 3 2 60" xfId="7255"/>
    <cellStyle name="Input 3 2 60 2" xfId="14972"/>
    <cellStyle name="Input 3 2 60 3" xfId="23965"/>
    <cellStyle name="Input 3 2 60 4" xfId="32152"/>
    <cellStyle name="Input 3 2 60 5" xfId="41408"/>
    <cellStyle name="Input 3 2 60 6" xfId="45817"/>
    <cellStyle name="Input 3 2 60 7" xfId="53990"/>
    <cellStyle name="Input 3 2 61" xfId="7530"/>
    <cellStyle name="Input 3 2 61 2" xfId="15247"/>
    <cellStyle name="Input 3 2 61 3" xfId="24240"/>
    <cellStyle name="Input 3 2 61 4" xfId="32427"/>
    <cellStyle name="Input 3 2 61 5" xfId="41673"/>
    <cellStyle name="Input 3 2 61 6" xfId="46092"/>
    <cellStyle name="Input 3 2 61 7" xfId="54457"/>
    <cellStyle name="Input 3 2 62" xfId="7731"/>
    <cellStyle name="Input 3 2 62 2" xfId="15448"/>
    <cellStyle name="Input 3 2 62 3" xfId="24439"/>
    <cellStyle name="Input 3 2 62 4" xfId="32628"/>
    <cellStyle name="Input 3 2 62 5" xfId="41865"/>
    <cellStyle name="Input 3 2 62 6" xfId="46293"/>
    <cellStyle name="Input 3 2 62 7" xfId="48679"/>
    <cellStyle name="Input 3 2 63" xfId="7998"/>
    <cellStyle name="Input 3 2 63 2" xfId="15715"/>
    <cellStyle name="Input 3 2 63 3" xfId="24700"/>
    <cellStyle name="Input 3 2 63 4" xfId="32895"/>
    <cellStyle name="Input 3 2 63 5" xfId="42121"/>
    <cellStyle name="Input 3 2 63 6" xfId="46560"/>
    <cellStyle name="Input 3 2 63 7" xfId="49636"/>
    <cellStyle name="Input 3 2 64" xfId="7758"/>
    <cellStyle name="Input 3 2 64 2" xfId="15475"/>
    <cellStyle name="Input 3 2 64 3" xfId="24466"/>
    <cellStyle name="Input 3 2 64 4" xfId="32655"/>
    <cellStyle name="Input 3 2 64 5" xfId="41891"/>
    <cellStyle name="Input 3 2 64 6" xfId="46320"/>
    <cellStyle name="Input 3 2 64 7" xfId="52409"/>
    <cellStyle name="Input 3 2 65" xfId="7761"/>
    <cellStyle name="Input 3 2 65 2" xfId="15478"/>
    <cellStyle name="Input 3 2 65 3" xfId="32658"/>
    <cellStyle name="Input 3 2 65 4" xfId="41894"/>
    <cellStyle name="Input 3 2 65 5" xfId="46323"/>
    <cellStyle name="Input 3 2 65 6" xfId="47593"/>
    <cellStyle name="Input 3 2 66" xfId="20055"/>
    <cellStyle name="Input 3 2 67" xfId="28864"/>
    <cellStyle name="Input 3 2 68" xfId="36745"/>
    <cellStyle name="Input 3 2 69" xfId="47354"/>
    <cellStyle name="Input 3 2 7" xfId="598"/>
    <cellStyle name="Input 3 2 7 2" xfId="8422"/>
    <cellStyle name="Input 3 2 7 3" xfId="8418"/>
    <cellStyle name="Input 3 2 7 4" xfId="19189"/>
    <cellStyle name="Input 3 2 7 5" xfId="26970"/>
    <cellStyle name="Input 3 2 7 6" xfId="36996"/>
    <cellStyle name="Input 3 2 7 7" xfId="49148"/>
    <cellStyle name="Input 3 2 8" xfId="227"/>
    <cellStyle name="Input 3 2 8 2" xfId="8331"/>
    <cellStyle name="Input 3 2 8 3" xfId="8371"/>
    <cellStyle name="Input 3 2 8 4" xfId="24864"/>
    <cellStyle name="Input 3 2 8 5" xfId="33177"/>
    <cellStyle name="Input 3 2 8 6" xfId="36883"/>
    <cellStyle name="Input 3 2 8 7" xfId="50486"/>
    <cellStyle name="Input 3 2 9" xfId="626"/>
    <cellStyle name="Input 3 2 9 2" xfId="8450"/>
    <cellStyle name="Input 3 2 9 3" xfId="10942"/>
    <cellStyle name="Input 3 2 9 4" xfId="19676"/>
    <cellStyle name="Input 3 2 9 5" xfId="27738"/>
    <cellStyle name="Input 3 2 9 6" xfId="37394"/>
    <cellStyle name="Input 3 2 9 7" xfId="46914"/>
    <cellStyle name="Input 3 20" xfId="3202"/>
    <cellStyle name="Input 3 20 2" xfId="11002"/>
    <cellStyle name="Input 3 20 3" xfId="20328"/>
    <cellStyle name="Input 3 20 4" xfId="28420"/>
    <cellStyle name="Input 3 20 5" xfId="37807"/>
    <cellStyle name="Input 3 20 6" xfId="42440"/>
    <cellStyle name="Input 3 20 7" xfId="49157"/>
    <cellStyle name="Input 3 21" xfId="3221"/>
    <cellStyle name="Input 3 21 2" xfId="11017"/>
    <cellStyle name="Input 3 21 3" xfId="20344"/>
    <cellStyle name="Input 3 21 4" xfId="28432"/>
    <cellStyle name="Input 3 21 5" xfId="37823"/>
    <cellStyle name="Input 3 21 6" xfId="42450"/>
    <cellStyle name="Input 3 21 7" xfId="53540"/>
    <cellStyle name="Input 3 22" xfId="5268"/>
    <cellStyle name="Input 3 22 2" xfId="12985"/>
    <cellStyle name="Input 3 22 3" xfId="21978"/>
    <cellStyle name="Input 3 22 4" xfId="30165"/>
    <cellStyle name="Input 3 22 5" xfId="39500"/>
    <cellStyle name="Input 3 22 6" xfId="43830"/>
    <cellStyle name="Input 3 22 7" xfId="49968"/>
    <cellStyle name="Input 3 23" xfId="5365"/>
    <cellStyle name="Input 3 23 2" xfId="13082"/>
    <cellStyle name="Input 3 23 3" xfId="22075"/>
    <cellStyle name="Input 3 23 4" xfId="30262"/>
    <cellStyle name="Input 3 23 5" xfId="39594"/>
    <cellStyle name="Input 3 23 6" xfId="43927"/>
    <cellStyle name="Input 3 23 7" xfId="49595"/>
    <cellStyle name="Input 3 24" xfId="5298"/>
    <cellStyle name="Input 3 24 2" xfId="13015"/>
    <cellStyle name="Input 3 24 3" xfId="22008"/>
    <cellStyle name="Input 3 24 4" xfId="30195"/>
    <cellStyle name="Input 3 24 5" xfId="39529"/>
    <cellStyle name="Input 3 24 6" xfId="43860"/>
    <cellStyle name="Input 3 24 7" xfId="54038"/>
    <cellStyle name="Input 3 25" xfId="5236"/>
    <cellStyle name="Input 3 25 2" xfId="12953"/>
    <cellStyle name="Input 3 25 3" xfId="21946"/>
    <cellStyle name="Input 3 25 4" xfId="30133"/>
    <cellStyle name="Input 3 25 5" xfId="39468"/>
    <cellStyle name="Input 3 25 6" xfId="43798"/>
    <cellStyle name="Input 3 25 7" xfId="53096"/>
    <cellStyle name="Input 3 26" xfId="6090"/>
    <cellStyle name="Input 3 26 2" xfId="13807"/>
    <cellStyle name="Input 3 26 3" xfId="22800"/>
    <cellStyle name="Input 3 26 4" xfId="30987"/>
    <cellStyle name="Input 3 26 5" xfId="40291"/>
    <cellStyle name="Input 3 26 6" xfId="44652"/>
    <cellStyle name="Input 3 26 7" xfId="52450"/>
    <cellStyle name="Input 3 27" xfId="5069"/>
    <cellStyle name="Input 3 27 2" xfId="12786"/>
    <cellStyle name="Input 3 27 3" xfId="21779"/>
    <cellStyle name="Input 3 27 4" xfId="29966"/>
    <cellStyle name="Input 3 27 5" xfId="39309"/>
    <cellStyle name="Input 3 27 6" xfId="43631"/>
    <cellStyle name="Input 3 27 7" xfId="48165"/>
    <cellStyle name="Input 3 28" xfId="7300"/>
    <cellStyle name="Input 3 28 2" xfId="15017"/>
    <cellStyle name="Input 3 28 3" xfId="24010"/>
    <cellStyle name="Input 3 28 4" xfId="32197"/>
    <cellStyle name="Input 3 28 5" xfId="41453"/>
    <cellStyle name="Input 3 28 6" xfId="45862"/>
    <cellStyle name="Input 3 28 7" xfId="49199"/>
    <cellStyle name="Input 3 29" xfId="7240"/>
    <cellStyle name="Input 3 29 2" xfId="14957"/>
    <cellStyle name="Input 3 29 3" xfId="23950"/>
    <cellStyle name="Input 3 29 4" xfId="32137"/>
    <cellStyle name="Input 3 29 5" xfId="41394"/>
    <cellStyle name="Input 3 29 6" xfId="45802"/>
    <cellStyle name="Input 3 29 7" xfId="47335"/>
    <cellStyle name="Input 3 3" xfId="509"/>
    <cellStyle name="Input 3 3 10" xfId="1956"/>
    <cellStyle name="Input 3 3 10 2" xfId="9779"/>
    <cellStyle name="Input 3 3 10 3" xfId="17207"/>
    <cellStyle name="Input 3 3 10 4" xfId="25089"/>
    <cellStyle name="Input 3 3 10 5" xfId="33451"/>
    <cellStyle name="Input 3 3 10 6" xfId="39929"/>
    <cellStyle name="Input 3 3 10 7" xfId="50981"/>
    <cellStyle name="Input 3 3 11" xfId="2074"/>
    <cellStyle name="Input 3 3 11 2" xfId="9897"/>
    <cellStyle name="Input 3 3 11 3" xfId="17325"/>
    <cellStyle name="Input 3 3 11 4" xfId="25209"/>
    <cellStyle name="Input 3 3 11 5" xfId="33601"/>
    <cellStyle name="Input 3 3 11 6" xfId="38529"/>
    <cellStyle name="Input 3 3 11 7" xfId="51234"/>
    <cellStyle name="Input 3 3 12" xfId="2187"/>
    <cellStyle name="Input 3 3 12 2" xfId="10010"/>
    <cellStyle name="Input 3 3 12 3" xfId="17438"/>
    <cellStyle name="Input 3 3 12 4" xfId="20695"/>
    <cellStyle name="Input 3 3 12 5" xfId="28383"/>
    <cellStyle name="Input 3 3 12 6" xfId="37692"/>
    <cellStyle name="Input 3 3 12 7" xfId="48229"/>
    <cellStyle name="Input 3 3 13" xfId="1653"/>
    <cellStyle name="Input 3 3 13 2" xfId="9476"/>
    <cellStyle name="Input 3 3 13 3" xfId="16904"/>
    <cellStyle name="Input 3 3 13 4" xfId="25599"/>
    <cellStyle name="Input 3 3 13 5" xfId="34109"/>
    <cellStyle name="Input 3 3 13 6" xfId="40676"/>
    <cellStyle name="Input 3 3 13 7" xfId="52088"/>
    <cellStyle name="Input 3 3 14" xfId="2363"/>
    <cellStyle name="Input 3 3 14 2" xfId="10186"/>
    <cellStyle name="Input 3 3 14 3" xfId="17614"/>
    <cellStyle name="Input 3 3 14 4" xfId="20575"/>
    <cellStyle name="Input 3 3 14 5" xfId="28200"/>
    <cellStyle name="Input 3 3 14 6" xfId="37417"/>
    <cellStyle name="Input 3 3 14 7" xfId="50162"/>
    <cellStyle name="Input 3 3 15" xfId="2485"/>
    <cellStyle name="Input 3 3 15 2" xfId="10308"/>
    <cellStyle name="Input 3 3 15 3" xfId="17736"/>
    <cellStyle name="Input 3 3 15 4" xfId="25576"/>
    <cellStyle name="Input 3 3 15 5" xfId="34079"/>
    <cellStyle name="Input 3 3 15 6" xfId="38178"/>
    <cellStyle name="Input 3 3 15 7" xfId="52039"/>
    <cellStyle name="Input 3 3 16" xfId="2598"/>
    <cellStyle name="Input 3 3 16 2" xfId="10421"/>
    <cellStyle name="Input 3 3 16 3" xfId="17849"/>
    <cellStyle name="Input 3 3 16 4" xfId="19210"/>
    <cellStyle name="Input 3 3 16 5" xfId="27328"/>
    <cellStyle name="Input 3 3 16 6" xfId="39341"/>
    <cellStyle name="Input 3 3 16 7" xfId="49914"/>
    <cellStyle name="Input 3 3 17" xfId="2684"/>
    <cellStyle name="Input 3 3 17 2" xfId="10507"/>
    <cellStyle name="Input 3 3 17 3" xfId="17935"/>
    <cellStyle name="Input 3 3 17 4" xfId="26680"/>
    <cellStyle name="Input 3 3 17 5" xfId="35527"/>
    <cellStyle name="Input 3 3 17 6" xfId="41389"/>
    <cellStyle name="Input 3 3 17 7" xfId="54450"/>
    <cellStyle name="Input 3 3 18" xfId="2725"/>
    <cellStyle name="Input 3 3 18 2" xfId="10548"/>
    <cellStyle name="Input 3 3 18 3" xfId="17976"/>
    <cellStyle name="Input 3 3 18 4" xfId="19828"/>
    <cellStyle name="Input 3 3 18 5" xfId="33125"/>
    <cellStyle name="Input 3 3 18 6" xfId="36608"/>
    <cellStyle name="Input 3 3 18 7" xfId="50379"/>
    <cellStyle name="Input 3 3 19" xfId="2792"/>
    <cellStyle name="Input 3 3 19 2" xfId="10615"/>
    <cellStyle name="Input 3 3 19 3" xfId="18043"/>
    <cellStyle name="Input 3 3 19 4" xfId="25685"/>
    <cellStyle name="Input 3 3 19 5" xfId="34222"/>
    <cellStyle name="Input 3 3 19 6" xfId="38031"/>
    <cellStyle name="Input 3 3 19 7" xfId="52282"/>
    <cellStyle name="Input 3 3 2" xfId="660"/>
    <cellStyle name="Input 3 3 2 2" xfId="8484"/>
    <cellStyle name="Input 3 3 2 3" xfId="8276"/>
    <cellStyle name="Input 3 3 2 4" xfId="25331"/>
    <cellStyle name="Input 3 3 2 5" xfId="33761"/>
    <cellStyle name="Input 3 3 2 6" xfId="36949"/>
    <cellStyle name="Input 3 3 2 7" xfId="51498"/>
    <cellStyle name="Input 3 3 20" xfId="2899"/>
    <cellStyle name="Input 3 3 20 2" xfId="10722"/>
    <cellStyle name="Input 3 3 20 3" xfId="18150"/>
    <cellStyle name="Input 3 3 20 4" xfId="19216"/>
    <cellStyle name="Input 3 3 20 5" xfId="27154"/>
    <cellStyle name="Input 3 3 20 6" xfId="36888"/>
    <cellStyle name="Input 3 3 20 7" xfId="48721"/>
    <cellStyle name="Input 3 3 21" xfId="3275"/>
    <cellStyle name="Input 3 3 21 2" xfId="11068"/>
    <cellStyle name="Input 3 3 21 3" xfId="18397"/>
    <cellStyle name="Input 3 3 21 4" xfId="26674"/>
    <cellStyle name="Input 3 3 21 5" xfId="35521"/>
    <cellStyle name="Input 3 3 21 6" xfId="41883"/>
    <cellStyle name="Input 3 3 21 7" xfId="54442"/>
    <cellStyle name="Input 3 3 22" xfId="3395"/>
    <cellStyle name="Input 3 3 22 2" xfId="11186"/>
    <cellStyle name="Input 3 3 22 3" xfId="18508"/>
    <cellStyle name="Input 3 3 22 4" xfId="24936"/>
    <cellStyle name="Input 3 3 22 5" xfId="33270"/>
    <cellStyle name="Input 3 3 22 6" xfId="36437"/>
    <cellStyle name="Input 3 3 22 7" xfId="50650"/>
    <cellStyle name="Input 3 3 23" xfId="3134"/>
    <cellStyle name="Input 3 3 23 2" xfId="10939"/>
    <cellStyle name="Input 3 3 23 3" xfId="18317"/>
    <cellStyle name="Input 3 3 23 4" xfId="19069"/>
    <cellStyle name="Input 3 3 23 5" xfId="33157"/>
    <cellStyle name="Input 3 3 23 6" xfId="41699"/>
    <cellStyle name="Input 3 3 23 7" xfId="50448"/>
    <cellStyle name="Input 3 3 24" xfId="3665"/>
    <cellStyle name="Input 3 3 24 2" xfId="11450"/>
    <cellStyle name="Input 3 3 24 3" xfId="18723"/>
    <cellStyle name="Input 3 3 24 4" xfId="25826"/>
    <cellStyle name="Input 3 3 24 5" xfId="34409"/>
    <cellStyle name="Input 3 3 24 6" xfId="39841"/>
    <cellStyle name="Input 3 3 24 7" xfId="52621"/>
    <cellStyle name="Input 3 3 25" xfId="3796"/>
    <cellStyle name="Input 3 3 25 2" xfId="11578"/>
    <cellStyle name="Input 3 3 25 3" xfId="18835"/>
    <cellStyle name="Input 3 3 25 4" xfId="20139"/>
    <cellStyle name="Input 3 3 25 5" xfId="28295"/>
    <cellStyle name="Input 3 3 25 6" xfId="36934"/>
    <cellStyle name="Input 3 3 25 7" xfId="47231"/>
    <cellStyle name="Input 3 3 26" xfId="3913"/>
    <cellStyle name="Input 3 3 26 2" xfId="11693"/>
    <cellStyle name="Input 3 3 26 3" xfId="18944"/>
    <cellStyle name="Input 3 3 26 4" xfId="20639"/>
    <cellStyle name="Input 3 3 26 5" xfId="27618"/>
    <cellStyle name="Input 3 3 26 6" xfId="38082"/>
    <cellStyle name="Input 3 3 26 7" xfId="50128"/>
    <cellStyle name="Input 3 3 27" xfId="3080"/>
    <cellStyle name="Input 3 3 27 2" xfId="10888"/>
    <cellStyle name="Input 3 3 27 3" xfId="20241"/>
    <cellStyle name="Input 3 3 27 4" xfId="28331"/>
    <cellStyle name="Input 3 3 27 5" xfId="37711"/>
    <cellStyle name="Input 3 3 27 6" xfId="42388"/>
    <cellStyle name="Input 3 3 27 7" xfId="52691"/>
    <cellStyle name="Input 3 3 28" xfId="4110"/>
    <cellStyle name="Input 3 3 28 2" xfId="11870"/>
    <cellStyle name="Input 3 3 28 3" xfId="20820"/>
    <cellStyle name="Input 3 3 28 4" xfId="29007"/>
    <cellStyle name="Input 3 3 28 5" xfId="38385"/>
    <cellStyle name="Input 3 3 28 6" xfId="42672"/>
    <cellStyle name="Input 3 3 28 7" xfId="53409"/>
    <cellStyle name="Input 3 3 29" xfId="4073"/>
    <cellStyle name="Input 3 3 29 2" xfId="20783"/>
    <cellStyle name="Input 3 3 29 3" xfId="28970"/>
    <cellStyle name="Input 3 3 29 4" xfId="38349"/>
    <cellStyle name="Input 3 3 29 5" xfId="42635"/>
    <cellStyle name="Input 3 3 29 6" xfId="49952"/>
    <cellStyle name="Input 3 3 3" xfId="767"/>
    <cellStyle name="Input 3 3 3 2" xfId="8591"/>
    <cellStyle name="Input 3 3 3 3" xfId="16019"/>
    <cellStyle name="Input 3 3 3 4" xfId="26035"/>
    <cellStyle name="Input 3 3 3 5" xfId="34667"/>
    <cellStyle name="Input 3 3 3 6" xfId="38136"/>
    <cellStyle name="Input 3 3 3 7" xfId="53065"/>
    <cellStyle name="Input 3 3 30" xfId="4307"/>
    <cellStyle name="Input 3 3 30 2" xfId="12024"/>
    <cellStyle name="Input 3 3 30 3" xfId="21017"/>
    <cellStyle name="Input 3 3 30 4" xfId="29204"/>
    <cellStyle name="Input 3 3 30 5" xfId="38576"/>
    <cellStyle name="Input 3 3 30 6" xfId="42869"/>
    <cellStyle name="Input 3 3 30 7" xfId="48589"/>
    <cellStyle name="Input 3 3 31" xfId="4430"/>
    <cellStyle name="Input 3 3 31 2" xfId="12147"/>
    <cellStyle name="Input 3 3 31 3" xfId="21140"/>
    <cellStyle name="Input 3 3 31 4" xfId="29327"/>
    <cellStyle name="Input 3 3 31 5" xfId="38694"/>
    <cellStyle name="Input 3 3 31 6" xfId="42992"/>
    <cellStyle name="Input 3 3 31 7" xfId="52473"/>
    <cellStyle name="Input 3 3 32" xfId="4544"/>
    <cellStyle name="Input 3 3 32 2" xfId="12261"/>
    <cellStyle name="Input 3 3 32 3" xfId="21254"/>
    <cellStyle name="Input 3 3 32 4" xfId="29441"/>
    <cellStyle name="Input 3 3 32 5" xfId="38803"/>
    <cellStyle name="Input 3 3 32 6" xfId="43106"/>
    <cellStyle name="Input 3 3 32 7" xfId="54013"/>
    <cellStyle name="Input 3 3 33" xfId="4657"/>
    <cellStyle name="Input 3 3 33 2" xfId="12374"/>
    <cellStyle name="Input 3 3 33 3" xfId="21367"/>
    <cellStyle name="Input 3 3 33 4" xfId="29554"/>
    <cellStyle name="Input 3 3 33 5" xfId="38911"/>
    <cellStyle name="Input 3 3 33 6" xfId="43219"/>
    <cellStyle name="Input 3 3 33 7" xfId="51271"/>
    <cellStyle name="Input 3 3 34" xfId="4769"/>
    <cellStyle name="Input 3 3 34 2" xfId="12486"/>
    <cellStyle name="Input 3 3 34 3" xfId="21479"/>
    <cellStyle name="Input 3 3 34 4" xfId="29666"/>
    <cellStyle name="Input 3 3 34 5" xfId="39020"/>
    <cellStyle name="Input 3 3 34 6" xfId="43331"/>
    <cellStyle name="Input 3 3 34 7" xfId="48556"/>
    <cellStyle name="Input 3 3 35" xfId="4877"/>
    <cellStyle name="Input 3 3 35 2" xfId="12594"/>
    <cellStyle name="Input 3 3 35 3" xfId="21587"/>
    <cellStyle name="Input 3 3 35 4" xfId="29774"/>
    <cellStyle name="Input 3 3 35 5" xfId="39123"/>
    <cellStyle name="Input 3 3 35 6" xfId="43439"/>
    <cellStyle name="Input 3 3 35 7" xfId="51205"/>
    <cellStyle name="Input 3 3 36" xfId="4989"/>
    <cellStyle name="Input 3 3 36 2" xfId="12706"/>
    <cellStyle name="Input 3 3 36 3" xfId="21699"/>
    <cellStyle name="Input 3 3 36 4" xfId="29886"/>
    <cellStyle name="Input 3 3 36 5" xfId="39232"/>
    <cellStyle name="Input 3 3 36 6" xfId="43551"/>
    <cellStyle name="Input 3 3 36 7" xfId="48901"/>
    <cellStyle name="Input 3 3 37" xfId="5122"/>
    <cellStyle name="Input 3 3 37 2" xfId="12839"/>
    <cellStyle name="Input 3 3 37 3" xfId="21832"/>
    <cellStyle name="Input 3 3 37 4" xfId="30019"/>
    <cellStyle name="Input 3 3 37 5" xfId="39360"/>
    <cellStyle name="Input 3 3 37 6" xfId="43684"/>
    <cellStyle name="Input 3 3 37 7" xfId="48740"/>
    <cellStyle name="Input 3 3 38" xfId="5487"/>
    <cellStyle name="Input 3 3 38 2" xfId="13204"/>
    <cellStyle name="Input 3 3 38 3" xfId="22197"/>
    <cellStyle name="Input 3 3 38 4" xfId="30384"/>
    <cellStyle name="Input 3 3 38 5" xfId="39710"/>
    <cellStyle name="Input 3 3 38 6" xfId="44049"/>
    <cellStyle name="Input 3 3 38 7" xfId="50018"/>
    <cellStyle name="Input 3 3 39" xfId="5612"/>
    <cellStyle name="Input 3 3 39 2" xfId="13329"/>
    <cellStyle name="Input 3 3 39 3" xfId="22322"/>
    <cellStyle name="Input 3 3 39 4" xfId="30509"/>
    <cellStyle name="Input 3 3 39 5" xfId="39830"/>
    <cellStyle name="Input 3 3 39 6" xfId="44174"/>
    <cellStyle name="Input 3 3 39 7" xfId="47130"/>
    <cellStyle name="Input 3 3 4" xfId="879"/>
    <cellStyle name="Input 3 3 4 2" xfId="8703"/>
    <cellStyle name="Input 3 3 4 3" xfId="16131"/>
    <cellStyle name="Input 3 3 4 4" xfId="25366"/>
    <cellStyle name="Input 3 3 4 5" xfId="33806"/>
    <cellStyle name="Input 3 3 4 6" xfId="36970"/>
    <cellStyle name="Input 3 3 4 7" xfId="51572"/>
    <cellStyle name="Input 3 3 40" xfId="5727"/>
    <cellStyle name="Input 3 3 40 2" xfId="13444"/>
    <cellStyle name="Input 3 3 40 3" xfId="22437"/>
    <cellStyle name="Input 3 3 40 4" xfId="30624"/>
    <cellStyle name="Input 3 3 40 5" xfId="39941"/>
    <cellStyle name="Input 3 3 40 6" xfId="44289"/>
    <cellStyle name="Input 3 3 40 7" xfId="48399"/>
    <cellStyle name="Input 3 3 41" xfId="5844"/>
    <cellStyle name="Input 3 3 41 2" xfId="13561"/>
    <cellStyle name="Input 3 3 41 3" xfId="22554"/>
    <cellStyle name="Input 3 3 41 4" xfId="30741"/>
    <cellStyle name="Input 3 3 41 5" xfId="40055"/>
    <cellStyle name="Input 3 3 41 6" xfId="44406"/>
    <cellStyle name="Input 3 3 41 7" xfId="48678"/>
    <cellStyle name="Input 3 3 42" xfId="5972"/>
    <cellStyle name="Input 3 3 42 2" xfId="13689"/>
    <cellStyle name="Input 3 3 42 3" xfId="22682"/>
    <cellStyle name="Input 3 3 42 4" xfId="30869"/>
    <cellStyle name="Input 3 3 42 5" xfId="40179"/>
    <cellStyle name="Input 3 3 42 6" xfId="44534"/>
    <cellStyle name="Input 3 3 42 7" xfId="50054"/>
    <cellStyle name="Input 3 3 43" xfId="5262"/>
    <cellStyle name="Input 3 3 43 2" xfId="12979"/>
    <cellStyle name="Input 3 3 43 3" xfId="21972"/>
    <cellStyle name="Input 3 3 43 4" xfId="30159"/>
    <cellStyle name="Input 3 3 43 5" xfId="39494"/>
    <cellStyle name="Input 3 3 43 6" xfId="43824"/>
    <cellStyle name="Input 3 3 43 7" xfId="50525"/>
    <cellStyle name="Input 3 3 44" xfId="6228"/>
    <cellStyle name="Input 3 3 44 2" xfId="13945"/>
    <cellStyle name="Input 3 3 44 3" xfId="22938"/>
    <cellStyle name="Input 3 3 44 4" xfId="31125"/>
    <cellStyle name="Input 3 3 44 5" xfId="40426"/>
    <cellStyle name="Input 3 3 44 6" xfId="44790"/>
    <cellStyle name="Input 3 3 44 7" xfId="52682"/>
    <cellStyle name="Input 3 3 45" xfId="6345"/>
    <cellStyle name="Input 3 3 45 2" xfId="14062"/>
    <cellStyle name="Input 3 3 45 3" xfId="23055"/>
    <cellStyle name="Input 3 3 45 4" xfId="31242"/>
    <cellStyle name="Input 3 3 45 5" xfId="40540"/>
    <cellStyle name="Input 3 3 45 6" xfId="44907"/>
    <cellStyle name="Input 3 3 45 7" xfId="49296"/>
    <cellStyle name="Input 3 3 46" xfId="6455"/>
    <cellStyle name="Input 3 3 46 2" xfId="14172"/>
    <cellStyle name="Input 3 3 46 3" xfId="23165"/>
    <cellStyle name="Input 3 3 46 4" xfId="31352"/>
    <cellStyle name="Input 3 3 46 5" xfId="40646"/>
    <cellStyle name="Input 3 3 46 6" xfId="45017"/>
    <cellStyle name="Input 3 3 46 7" xfId="49780"/>
    <cellStyle name="Input 3 3 47" xfId="5080"/>
    <cellStyle name="Input 3 3 47 2" xfId="12797"/>
    <cellStyle name="Input 3 3 47 3" xfId="21790"/>
    <cellStyle name="Input 3 3 47 4" xfId="29977"/>
    <cellStyle name="Input 3 3 47 5" xfId="39320"/>
    <cellStyle name="Input 3 3 47 6" xfId="43642"/>
    <cellStyle name="Input 3 3 47 7" xfId="48050"/>
    <cellStyle name="Input 3 3 48" xfId="6602"/>
    <cellStyle name="Input 3 3 48 2" xfId="14319"/>
    <cellStyle name="Input 3 3 48 3" xfId="23312"/>
    <cellStyle name="Input 3 3 48 4" xfId="31499"/>
    <cellStyle name="Input 3 3 48 5" xfId="40786"/>
    <cellStyle name="Input 3 3 48 6" xfId="45164"/>
    <cellStyle name="Input 3 3 48 7" xfId="50762"/>
    <cellStyle name="Input 3 3 49" xfId="6713"/>
    <cellStyle name="Input 3 3 49 2" xfId="14430"/>
    <cellStyle name="Input 3 3 49 3" xfId="23423"/>
    <cellStyle name="Input 3 3 49 4" xfId="31610"/>
    <cellStyle name="Input 3 3 49 5" xfId="40892"/>
    <cellStyle name="Input 3 3 49 6" xfId="45275"/>
    <cellStyle name="Input 3 3 49 7" xfId="53801"/>
    <cellStyle name="Input 3 3 5" xfId="1344"/>
    <cellStyle name="Input 3 3 5 2" xfId="9167"/>
    <cellStyle name="Input 3 3 5 3" xfId="16595"/>
    <cellStyle name="Input 3 3 5 4" xfId="19319"/>
    <cellStyle name="Input 3 3 5 5" xfId="27238"/>
    <cellStyle name="Input 3 3 5 6" xfId="42226"/>
    <cellStyle name="Input 3 3 5 7" xfId="49031"/>
    <cellStyle name="Input 3 3 50" xfId="6828"/>
    <cellStyle name="Input 3 3 50 2" xfId="14545"/>
    <cellStyle name="Input 3 3 50 3" xfId="23538"/>
    <cellStyle name="Input 3 3 50 4" xfId="31725"/>
    <cellStyle name="Input 3 3 50 5" xfId="41000"/>
    <cellStyle name="Input 3 3 50 6" xfId="45390"/>
    <cellStyle name="Input 3 3 50 7" xfId="49046"/>
    <cellStyle name="Input 3 3 51" xfId="6941"/>
    <cellStyle name="Input 3 3 51 2" xfId="14658"/>
    <cellStyle name="Input 3 3 51 3" xfId="23651"/>
    <cellStyle name="Input 3 3 51 4" xfId="31838"/>
    <cellStyle name="Input 3 3 51 5" xfId="41108"/>
    <cellStyle name="Input 3 3 51 6" xfId="45503"/>
    <cellStyle name="Input 3 3 51 7" xfId="46984"/>
    <cellStyle name="Input 3 3 52" xfId="7053"/>
    <cellStyle name="Input 3 3 52 2" xfId="14770"/>
    <cellStyle name="Input 3 3 52 3" xfId="23763"/>
    <cellStyle name="Input 3 3 52 4" xfId="31950"/>
    <cellStyle name="Input 3 3 52 5" xfId="41214"/>
    <cellStyle name="Input 3 3 52 6" xfId="45615"/>
    <cellStyle name="Input 3 3 52 7" xfId="54213"/>
    <cellStyle name="Input 3 3 53" xfId="7321"/>
    <cellStyle name="Input 3 3 53 2" xfId="15038"/>
    <cellStyle name="Input 3 3 53 3" xfId="24031"/>
    <cellStyle name="Input 3 3 53 4" xfId="32218"/>
    <cellStyle name="Input 3 3 53 5" xfId="41474"/>
    <cellStyle name="Input 3 3 53 6" xfId="45883"/>
    <cellStyle name="Input 3 3 53 7" xfId="48230"/>
    <cellStyle name="Input 3 3 54" xfId="7351"/>
    <cellStyle name="Input 3 3 54 2" xfId="15068"/>
    <cellStyle name="Input 3 3 54 3" xfId="24061"/>
    <cellStyle name="Input 3 3 54 4" xfId="32248"/>
    <cellStyle name="Input 3 3 54 5" xfId="41504"/>
    <cellStyle name="Input 3 3 54 6" xfId="45913"/>
    <cellStyle name="Input 3 3 54 7" xfId="51146"/>
    <cellStyle name="Input 3 3 55" xfId="7450"/>
    <cellStyle name="Input 3 3 55 2" xfId="15167"/>
    <cellStyle name="Input 3 3 55 3" xfId="24160"/>
    <cellStyle name="Input 3 3 55 4" xfId="32347"/>
    <cellStyle name="Input 3 3 55 5" xfId="41597"/>
    <cellStyle name="Input 3 3 55 6" xfId="46012"/>
    <cellStyle name="Input 3 3 55 7" xfId="50927"/>
    <cellStyle name="Input 3 3 56" xfId="7571"/>
    <cellStyle name="Input 3 3 56 2" xfId="15288"/>
    <cellStyle name="Input 3 3 56 3" xfId="24281"/>
    <cellStyle name="Input 3 3 56 4" xfId="32468"/>
    <cellStyle name="Input 3 3 56 5" xfId="41712"/>
    <cellStyle name="Input 3 3 56 6" xfId="46133"/>
    <cellStyle name="Input 3 3 56 7" xfId="49613"/>
    <cellStyle name="Input 3 3 57" xfId="7847"/>
    <cellStyle name="Input 3 3 57 2" xfId="15564"/>
    <cellStyle name="Input 3 3 57 3" xfId="24551"/>
    <cellStyle name="Input 3 3 57 4" xfId="32744"/>
    <cellStyle name="Input 3 3 57 5" xfId="41977"/>
    <cellStyle name="Input 3 3 57 6" xfId="46409"/>
    <cellStyle name="Input 3 3 57 7" xfId="51248"/>
    <cellStyle name="Input 3 3 58" xfId="7945"/>
    <cellStyle name="Input 3 3 58 2" xfId="15662"/>
    <cellStyle name="Input 3 3 58 3" xfId="24648"/>
    <cellStyle name="Input 3 3 58 4" xfId="32842"/>
    <cellStyle name="Input 3 3 58 5" xfId="42071"/>
    <cellStyle name="Input 3 3 58 6" xfId="46507"/>
    <cellStyle name="Input 3 3 58 7" xfId="51851"/>
    <cellStyle name="Input 3 3 59" xfId="7771"/>
    <cellStyle name="Input 3 3 59 2" xfId="15488"/>
    <cellStyle name="Input 3 3 59 3" xfId="24477"/>
    <cellStyle name="Input 3 3 59 4" xfId="32668"/>
    <cellStyle name="Input 3 3 59 5" xfId="41904"/>
    <cellStyle name="Input 3 3 59 6" xfId="46333"/>
    <cellStyle name="Input 3 3 59 7" xfId="50841"/>
    <cellStyle name="Input 3 3 6" xfId="1467"/>
    <cellStyle name="Input 3 3 6 2" xfId="9290"/>
    <cellStyle name="Input 3 3 6 3" xfId="16718"/>
    <cellStyle name="Input 3 3 6 4" xfId="19050"/>
    <cellStyle name="Input 3 3 6 5" xfId="26913"/>
    <cellStyle name="Input 3 3 6 6" xfId="37493"/>
    <cellStyle name="Input 3 3 6 7" xfId="49175"/>
    <cellStyle name="Input 3 3 60" xfId="8123"/>
    <cellStyle name="Input 3 3 60 2" xfId="15840"/>
    <cellStyle name="Input 3 3 60 3" xfId="33020"/>
    <cellStyle name="Input 3 3 60 4" xfId="42241"/>
    <cellStyle name="Input 3 3 60 5" xfId="46685"/>
    <cellStyle name="Input 3 3 60 6" xfId="51871"/>
    <cellStyle name="Input 3 3 61" xfId="25127"/>
    <cellStyle name="Input 3 3 62" xfId="33500"/>
    <cellStyle name="Input 3 3 63" xfId="37607"/>
    <cellStyle name="Input 3 3 64" xfId="51069"/>
    <cellStyle name="Input 3 3 7" xfId="1563"/>
    <cellStyle name="Input 3 3 7 2" xfId="9386"/>
    <cellStyle name="Input 3 3 7 3" xfId="16814"/>
    <cellStyle name="Input 3 3 7 4" xfId="26557"/>
    <cellStyle name="Input 3 3 7 5" xfId="35366"/>
    <cellStyle name="Input 3 3 7 6" xfId="42234"/>
    <cellStyle name="Input 3 3 7 7" xfId="54188"/>
    <cellStyle name="Input 3 3 8" xfId="1704"/>
    <cellStyle name="Input 3 3 8 2" xfId="9527"/>
    <cellStyle name="Input 3 3 8 3" xfId="16955"/>
    <cellStyle name="Input 3 3 8 4" xfId="26450"/>
    <cellStyle name="Input 3 3 8 5" xfId="35225"/>
    <cellStyle name="Input 3 3 8 6" xfId="36801"/>
    <cellStyle name="Input 3 3 8 7" xfId="53960"/>
    <cellStyle name="Input 3 3 9" xfId="1838"/>
    <cellStyle name="Input 3 3 9 2" xfId="9661"/>
    <cellStyle name="Input 3 3 9 3" xfId="17089"/>
    <cellStyle name="Input 3 3 9 4" xfId="20173"/>
    <cellStyle name="Input 3 3 9 5" xfId="27237"/>
    <cellStyle name="Input 3 3 9 6" xfId="37356"/>
    <cellStyle name="Input 3 3 9 7" xfId="48290"/>
    <cellStyle name="Input 3 30" xfId="7410"/>
    <cellStyle name="Input 3 30 2" xfId="15127"/>
    <cellStyle name="Input 3 30 3" xfId="24120"/>
    <cellStyle name="Input 3 30 4" xfId="32307"/>
    <cellStyle name="Input 3 30 5" xfId="41559"/>
    <cellStyle name="Input 3 30 6" xfId="45972"/>
    <cellStyle name="Input 3 30 7" xfId="52449"/>
    <cellStyle name="Input 3 31" xfId="7753"/>
    <cellStyle name="Input 3 31 2" xfId="15470"/>
    <cellStyle name="Input 3 31 3" xfId="24461"/>
    <cellStyle name="Input 3 31 4" xfId="32650"/>
    <cellStyle name="Input 3 31 5" xfId="41886"/>
    <cellStyle name="Input 3 31 6" xfId="46315"/>
    <cellStyle name="Input 3 31 7" xfId="52271"/>
    <cellStyle name="Input 3 32" xfId="25834"/>
    <cellStyle name="Input 3 33" xfId="34419"/>
    <cellStyle name="Input 3 34" xfId="38128"/>
    <cellStyle name="Input 3 35" xfId="52642"/>
    <cellStyle name="Input 3 4" xfId="569"/>
    <cellStyle name="Input 3 4 10" xfId="2016"/>
    <cellStyle name="Input 3 4 10 2" xfId="9839"/>
    <cellStyle name="Input 3 4 10 3" xfId="17267"/>
    <cellStyle name="Input 3 4 10 4" xfId="25097"/>
    <cellStyle name="Input 3 4 10 5" xfId="33461"/>
    <cellStyle name="Input 3 4 10 6" xfId="41170"/>
    <cellStyle name="Input 3 4 10 7" xfId="51004"/>
    <cellStyle name="Input 3 4 11" xfId="2133"/>
    <cellStyle name="Input 3 4 11 2" xfId="9956"/>
    <cellStyle name="Input 3 4 11 3" xfId="17384"/>
    <cellStyle name="Input 3 4 11 4" xfId="25387"/>
    <cellStyle name="Input 3 4 11 5" xfId="33835"/>
    <cellStyle name="Input 3 4 11 6" xfId="36926"/>
    <cellStyle name="Input 3 4 11 7" xfId="51617"/>
    <cellStyle name="Input 3 4 12" xfId="2247"/>
    <cellStyle name="Input 3 4 12 2" xfId="10070"/>
    <cellStyle name="Input 3 4 12 3" xfId="17498"/>
    <cellStyle name="Input 3 4 12 4" xfId="26092"/>
    <cellStyle name="Input 3 4 12 5" xfId="34742"/>
    <cellStyle name="Input 3 4 12 6" xfId="40078"/>
    <cellStyle name="Input 3 4 12 7" xfId="53191"/>
    <cellStyle name="Input 3 4 13" xfId="1587"/>
    <cellStyle name="Input 3 4 13 2" xfId="9410"/>
    <cellStyle name="Input 3 4 13 3" xfId="16838"/>
    <cellStyle name="Input 3 4 13 4" xfId="25285"/>
    <cellStyle name="Input 3 4 13 5" xfId="33697"/>
    <cellStyle name="Input 3 4 13 6" xfId="39934"/>
    <cellStyle name="Input 3 4 13 7" xfId="51397"/>
    <cellStyle name="Input 3 4 14" xfId="1626"/>
    <cellStyle name="Input 3 4 14 2" xfId="9449"/>
    <cellStyle name="Input 3 4 14 3" xfId="16877"/>
    <cellStyle name="Input 3 4 14 4" xfId="19214"/>
    <cellStyle name="Input 3 4 14 5" xfId="28175"/>
    <cellStyle name="Input 3 4 14 6" xfId="37737"/>
    <cellStyle name="Input 3 4 14 7" xfId="48517"/>
    <cellStyle name="Input 3 4 15" xfId="2544"/>
    <cellStyle name="Input 3 4 15 2" xfId="10367"/>
    <cellStyle name="Input 3 4 15 3" xfId="17795"/>
    <cellStyle name="Input 3 4 15 4" xfId="19787"/>
    <cellStyle name="Input 3 4 15 5" xfId="27257"/>
    <cellStyle name="Input 3 4 15 6" xfId="36790"/>
    <cellStyle name="Input 3 4 15 7" xfId="46910"/>
    <cellStyle name="Input 3 4 16" xfId="2658"/>
    <cellStyle name="Input 3 4 16 2" xfId="10481"/>
    <cellStyle name="Input 3 4 16 3" xfId="17909"/>
    <cellStyle name="Input 3 4 16 4" xfId="19113"/>
    <cellStyle name="Input 3 4 16 5" xfId="28578"/>
    <cellStyle name="Input 3 4 16 6" xfId="37251"/>
    <cellStyle name="Input 3 4 16 7" xfId="50189"/>
    <cellStyle name="Input 3 4 17" xfId="2279"/>
    <cellStyle name="Input 3 4 17 2" xfId="10102"/>
    <cellStyle name="Input 3 4 17 3" xfId="17530"/>
    <cellStyle name="Input 3 4 17 4" xfId="20640"/>
    <cellStyle name="Input 3 4 17 5" xfId="28786"/>
    <cellStyle name="Input 3 4 17 6" xfId="36582"/>
    <cellStyle name="Input 3 4 17 7" xfId="47662"/>
    <cellStyle name="Input 3 4 18" xfId="1094"/>
    <cellStyle name="Input 3 4 18 2" xfId="8918"/>
    <cellStyle name="Input 3 4 18 3" xfId="16346"/>
    <cellStyle name="Input 3 4 18 4" xfId="25065"/>
    <cellStyle name="Input 3 4 18 5" xfId="33426"/>
    <cellStyle name="Input 3 4 18 6" xfId="37387"/>
    <cellStyle name="Input 3 4 18 7" xfId="50938"/>
    <cellStyle name="Input 3 4 19" xfId="2849"/>
    <cellStyle name="Input 3 4 19 2" xfId="10672"/>
    <cellStyle name="Input 3 4 19 3" xfId="18100"/>
    <cellStyle name="Input 3 4 19 4" xfId="26373"/>
    <cellStyle name="Input 3 4 19 5" xfId="35115"/>
    <cellStyle name="Input 3 4 19 6" xfId="39629"/>
    <cellStyle name="Input 3 4 19 7" xfId="53795"/>
    <cellStyle name="Input 3 4 2" xfId="717"/>
    <cellStyle name="Input 3 4 2 2" xfId="8541"/>
    <cellStyle name="Input 3 4 2 3" xfId="15969"/>
    <cellStyle name="Input 3 4 2 4" xfId="25582"/>
    <cellStyle name="Input 3 4 2 5" xfId="34087"/>
    <cellStyle name="Input 3 4 2 6" xfId="36826"/>
    <cellStyle name="Input 3 4 2 7" xfId="52056"/>
    <cellStyle name="Input 3 4 20" xfId="2956"/>
    <cellStyle name="Input 3 4 20 2" xfId="10779"/>
    <cellStyle name="Input 3 4 20 3" xfId="18207"/>
    <cellStyle name="Input 3 4 20 4" xfId="20088"/>
    <cellStyle name="Input 3 4 20 5" xfId="33140"/>
    <cellStyle name="Input 3 4 20 6" xfId="37677"/>
    <cellStyle name="Input 3 4 20 7" xfId="50409"/>
    <cellStyle name="Input 3 4 21" xfId="3333"/>
    <cellStyle name="Input 3 4 21 2" xfId="11126"/>
    <cellStyle name="Input 3 4 21 3" xfId="18454"/>
    <cellStyle name="Input 3 4 21 4" xfId="20685"/>
    <cellStyle name="Input 3 4 21 5" xfId="28468"/>
    <cellStyle name="Input 3 4 21 6" xfId="36349"/>
    <cellStyle name="Input 3 4 21 7" xfId="48621"/>
    <cellStyle name="Input 3 4 22" xfId="3452"/>
    <cellStyle name="Input 3 4 22 2" xfId="11243"/>
    <cellStyle name="Input 3 4 22 3" xfId="18565"/>
    <cellStyle name="Input 3 4 22 4" xfId="25773"/>
    <cellStyle name="Input 3 4 22 5" xfId="34331"/>
    <cellStyle name="Input 3 4 22 6" xfId="38936"/>
    <cellStyle name="Input 3 4 22 7" xfId="52481"/>
    <cellStyle name="Input 3 4 23" xfId="3612"/>
    <cellStyle name="Input 3 4 23 2" xfId="11398"/>
    <cellStyle name="Input 3 4 23 3" xfId="18672"/>
    <cellStyle name="Input 3 4 23 4" xfId="20000"/>
    <cellStyle name="Input 3 4 23 5" xfId="27929"/>
    <cellStyle name="Input 3 4 23 6" xfId="38159"/>
    <cellStyle name="Input 3 4 23 7" xfId="49664"/>
    <cellStyle name="Input 3 4 24" xfId="3725"/>
    <cellStyle name="Input 3 4 24 2" xfId="11510"/>
    <cellStyle name="Input 3 4 24 3" xfId="18782"/>
    <cellStyle name="Input 3 4 24 4" xfId="24923"/>
    <cellStyle name="Input 3 4 24 5" xfId="33253"/>
    <cellStyle name="Input 3 4 24 6" xfId="42230"/>
    <cellStyle name="Input 3 4 24 7" xfId="50622"/>
    <cellStyle name="Input 3 4 25" xfId="3854"/>
    <cellStyle name="Input 3 4 25 2" xfId="11636"/>
    <cellStyle name="Input 3 4 25 3" xfId="18892"/>
    <cellStyle name="Input 3 4 25 4" xfId="20155"/>
    <cellStyle name="Input 3 4 25 5" xfId="27512"/>
    <cellStyle name="Input 3 4 25 6" xfId="37194"/>
    <cellStyle name="Input 3 4 25 7" xfId="48127"/>
    <cellStyle name="Input 3 4 26" xfId="3973"/>
    <cellStyle name="Input 3 4 26 2" xfId="11752"/>
    <cellStyle name="Input 3 4 26 3" xfId="19001"/>
    <cellStyle name="Input 3 4 26 4" xfId="25868"/>
    <cellStyle name="Input 3 4 26 5" xfId="34457"/>
    <cellStyle name="Input 3 4 26 6" xfId="39227"/>
    <cellStyle name="Input 3 4 26 7" xfId="52711"/>
    <cellStyle name="Input 3 4 27" xfId="3020"/>
    <cellStyle name="Input 3 4 27 2" xfId="10836"/>
    <cellStyle name="Input 3 4 27 3" xfId="20193"/>
    <cellStyle name="Input 3 4 27 4" xfId="28284"/>
    <cellStyle name="Input 3 4 27 5" xfId="37665"/>
    <cellStyle name="Input 3 4 27 6" xfId="42358"/>
    <cellStyle name="Input 3 4 27 7" xfId="51173"/>
    <cellStyle name="Input 3 4 28" xfId="4169"/>
    <cellStyle name="Input 3 4 28 2" xfId="11928"/>
    <cellStyle name="Input 3 4 28 3" xfId="20879"/>
    <cellStyle name="Input 3 4 28 4" xfId="29066"/>
    <cellStyle name="Input 3 4 28 5" xfId="38442"/>
    <cellStyle name="Input 3 4 28 6" xfId="42731"/>
    <cellStyle name="Input 3 4 28 7" xfId="49637"/>
    <cellStyle name="Input 3 4 29" xfId="4197"/>
    <cellStyle name="Input 3 4 29 2" xfId="20907"/>
    <cellStyle name="Input 3 4 29 3" xfId="29094"/>
    <cellStyle name="Input 3 4 29 4" xfId="38470"/>
    <cellStyle name="Input 3 4 29 5" xfId="42759"/>
    <cellStyle name="Input 3 4 29 6" xfId="52233"/>
    <cellStyle name="Input 3 4 3" xfId="826"/>
    <cellStyle name="Input 3 4 3 2" xfId="8650"/>
    <cellStyle name="Input 3 4 3 3" xfId="16078"/>
    <cellStyle name="Input 3 4 3 4" xfId="26159"/>
    <cellStyle name="Input 3 4 3 5" xfId="34828"/>
    <cellStyle name="Input 3 4 3 6" xfId="37220"/>
    <cellStyle name="Input 3 4 3 7" xfId="53336"/>
    <cellStyle name="Input 3 4 30" xfId="4367"/>
    <cellStyle name="Input 3 4 30 2" xfId="12084"/>
    <cellStyle name="Input 3 4 30 3" xfId="21077"/>
    <cellStyle name="Input 3 4 30 4" xfId="29264"/>
    <cellStyle name="Input 3 4 30 5" xfId="38634"/>
    <cellStyle name="Input 3 4 30 6" xfId="42929"/>
    <cellStyle name="Input 3 4 30 7" xfId="52453"/>
    <cellStyle name="Input 3 4 31" xfId="4489"/>
    <cellStyle name="Input 3 4 31 2" xfId="12206"/>
    <cellStyle name="Input 3 4 31 3" xfId="21199"/>
    <cellStyle name="Input 3 4 31 4" xfId="29386"/>
    <cellStyle name="Input 3 4 31 5" xfId="38750"/>
    <cellStyle name="Input 3 4 31 6" xfId="43051"/>
    <cellStyle name="Input 3 4 31 7" xfId="52774"/>
    <cellStyle name="Input 3 4 32" xfId="4603"/>
    <cellStyle name="Input 3 4 32 2" xfId="12320"/>
    <cellStyle name="Input 3 4 32 3" xfId="21313"/>
    <cellStyle name="Input 3 4 32 4" xfId="29500"/>
    <cellStyle name="Input 3 4 32 5" xfId="38859"/>
    <cellStyle name="Input 3 4 32 6" xfId="43165"/>
    <cellStyle name="Input 3 4 32 7" xfId="49327"/>
    <cellStyle name="Input 3 4 33" xfId="4716"/>
    <cellStyle name="Input 3 4 33 2" xfId="12433"/>
    <cellStyle name="Input 3 4 33 3" xfId="21426"/>
    <cellStyle name="Input 3 4 33 4" xfId="29613"/>
    <cellStyle name="Input 3 4 33 5" xfId="38968"/>
    <cellStyle name="Input 3 4 33 6" xfId="43278"/>
    <cellStyle name="Input 3 4 33 7" xfId="52916"/>
    <cellStyle name="Input 3 4 34" xfId="4826"/>
    <cellStyle name="Input 3 4 34 2" xfId="12543"/>
    <cellStyle name="Input 3 4 34 3" xfId="21536"/>
    <cellStyle name="Input 3 4 34 4" xfId="29723"/>
    <cellStyle name="Input 3 4 34 5" xfId="39075"/>
    <cellStyle name="Input 3 4 34 6" xfId="43388"/>
    <cellStyle name="Input 3 4 34 7" xfId="47904"/>
    <cellStyle name="Input 3 4 35" xfId="4936"/>
    <cellStyle name="Input 3 4 35 2" xfId="12653"/>
    <cellStyle name="Input 3 4 35 3" xfId="21646"/>
    <cellStyle name="Input 3 4 35 4" xfId="29833"/>
    <cellStyle name="Input 3 4 35 5" xfId="39180"/>
    <cellStyle name="Input 3 4 35 6" xfId="43498"/>
    <cellStyle name="Input 3 4 35 7" xfId="54124"/>
    <cellStyle name="Input 3 4 36" xfId="5046"/>
    <cellStyle name="Input 3 4 36 2" xfId="12763"/>
    <cellStyle name="Input 3 4 36 3" xfId="21756"/>
    <cellStyle name="Input 3 4 36 4" xfId="29943"/>
    <cellStyle name="Input 3 4 36 5" xfId="39287"/>
    <cellStyle name="Input 3 4 36 6" xfId="43608"/>
    <cellStyle name="Input 3 4 36 7" xfId="48978"/>
    <cellStyle name="Input 3 4 37" xfId="5426"/>
    <cellStyle name="Input 3 4 37 2" xfId="13143"/>
    <cellStyle name="Input 3 4 37 3" xfId="22136"/>
    <cellStyle name="Input 3 4 37 4" xfId="30323"/>
    <cellStyle name="Input 3 4 37 5" xfId="39652"/>
    <cellStyle name="Input 3 4 37 6" xfId="43988"/>
    <cellStyle name="Input 3 4 37 7" xfId="48724"/>
    <cellStyle name="Input 3 4 38" xfId="5546"/>
    <cellStyle name="Input 3 4 38 2" xfId="13263"/>
    <cellStyle name="Input 3 4 38 3" xfId="22256"/>
    <cellStyle name="Input 3 4 38 4" xfId="30443"/>
    <cellStyle name="Input 3 4 38 5" xfId="39766"/>
    <cellStyle name="Input 3 4 38 6" xfId="44108"/>
    <cellStyle name="Input 3 4 38 7" xfId="47180"/>
    <cellStyle name="Input 3 4 39" xfId="5670"/>
    <cellStyle name="Input 3 4 39 2" xfId="13387"/>
    <cellStyle name="Input 3 4 39 3" xfId="22380"/>
    <cellStyle name="Input 3 4 39 4" xfId="30567"/>
    <cellStyle name="Input 3 4 39 5" xfId="39887"/>
    <cellStyle name="Input 3 4 39 6" xfId="44232"/>
    <cellStyle name="Input 3 4 39 7" xfId="46831"/>
    <cellStyle name="Input 3 4 4" xfId="936"/>
    <cellStyle name="Input 3 4 4 2" xfId="8760"/>
    <cellStyle name="Input 3 4 4 3" xfId="16188"/>
    <cellStyle name="Input 3 4 4 4" xfId="19705"/>
    <cellStyle name="Input 3 4 4 5" xfId="27795"/>
    <cellStyle name="Input 3 4 4 6" xfId="36466"/>
    <cellStyle name="Input 3 4 4 7" xfId="50200"/>
    <cellStyle name="Input 3 4 40" xfId="5786"/>
    <cellStyle name="Input 3 4 40 2" xfId="13503"/>
    <cellStyle name="Input 3 4 40 3" xfId="22496"/>
    <cellStyle name="Input 3 4 40 4" xfId="30683"/>
    <cellStyle name="Input 3 4 40 5" xfId="39999"/>
    <cellStyle name="Input 3 4 40 6" xfId="44348"/>
    <cellStyle name="Input 3 4 40 7" xfId="48566"/>
    <cellStyle name="Input 3 4 41" xfId="5903"/>
    <cellStyle name="Input 3 4 41 2" xfId="13620"/>
    <cellStyle name="Input 3 4 41 3" xfId="22613"/>
    <cellStyle name="Input 3 4 41 4" xfId="30800"/>
    <cellStyle name="Input 3 4 41 5" xfId="40113"/>
    <cellStyle name="Input 3 4 41 6" xfId="44465"/>
    <cellStyle name="Input 3 4 41 7" xfId="48334"/>
    <cellStyle name="Input 3 4 42" xfId="6031"/>
    <cellStyle name="Input 3 4 42 2" xfId="13748"/>
    <cellStyle name="Input 3 4 42 3" xfId="22741"/>
    <cellStyle name="Input 3 4 42 4" xfId="30928"/>
    <cellStyle name="Input 3 4 42 5" xfId="40236"/>
    <cellStyle name="Input 3 4 42 6" xfId="44593"/>
    <cellStyle name="Input 3 4 42 7" xfId="51144"/>
    <cellStyle name="Input 3 4 43" xfId="6158"/>
    <cellStyle name="Input 3 4 43 2" xfId="13875"/>
    <cellStyle name="Input 3 4 43 3" xfId="22868"/>
    <cellStyle name="Input 3 4 43 4" xfId="31055"/>
    <cellStyle name="Input 3 4 43 5" xfId="40356"/>
    <cellStyle name="Input 3 4 43 6" xfId="44720"/>
    <cellStyle name="Input 3 4 43 7" xfId="52635"/>
    <cellStyle name="Input 3 4 44" xfId="6287"/>
    <cellStyle name="Input 3 4 44 2" xfId="14004"/>
    <cellStyle name="Input 3 4 44 3" xfId="22997"/>
    <cellStyle name="Input 3 4 44 4" xfId="31184"/>
    <cellStyle name="Input 3 4 44 5" xfId="40484"/>
    <cellStyle name="Input 3 4 44 6" xfId="44849"/>
    <cellStyle name="Input 3 4 44 7" xfId="47878"/>
    <cellStyle name="Input 3 4 45" xfId="6402"/>
    <cellStyle name="Input 3 4 45 2" xfId="14119"/>
    <cellStyle name="Input 3 4 45 3" xfId="23112"/>
    <cellStyle name="Input 3 4 45 4" xfId="31299"/>
    <cellStyle name="Input 3 4 45 5" xfId="40595"/>
    <cellStyle name="Input 3 4 45 6" xfId="44964"/>
    <cellStyle name="Input 3 4 45 7" xfId="49467"/>
    <cellStyle name="Input 3 4 46" xfId="6514"/>
    <cellStyle name="Input 3 4 46 2" xfId="14231"/>
    <cellStyle name="Input 3 4 46 3" xfId="23224"/>
    <cellStyle name="Input 3 4 46 4" xfId="31411"/>
    <cellStyle name="Input 3 4 46 5" xfId="40703"/>
    <cellStyle name="Input 3 4 46 6" xfId="45076"/>
    <cellStyle name="Input 3 4 46 7" xfId="51934"/>
    <cellStyle name="Input 3 4 47" xfId="5800"/>
    <cellStyle name="Input 3 4 47 2" xfId="13517"/>
    <cellStyle name="Input 3 4 47 3" xfId="22510"/>
    <cellStyle name="Input 3 4 47 4" xfId="30697"/>
    <cellStyle name="Input 3 4 47 5" xfId="40012"/>
    <cellStyle name="Input 3 4 47 6" xfId="44362"/>
    <cellStyle name="Input 3 4 47 7" xfId="53281"/>
    <cellStyle name="Input 3 4 48" xfId="6661"/>
    <cellStyle name="Input 3 4 48 2" xfId="14378"/>
    <cellStyle name="Input 3 4 48 3" xfId="23371"/>
    <cellStyle name="Input 3 4 48 4" xfId="31558"/>
    <cellStyle name="Input 3 4 48 5" xfId="40842"/>
    <cellStyle name="Input 3 4 48 6" xfId="45223"/>
    <cellStyle name="Input 3 4 48 7" xfId="52147"/>
    <cellStyle name="Input 3 4 49" xfId="6772"/>
    <cellStyle name="Input 3 4 49 2" xfId="14489"/>
    <cellStyle name="Input 3 4 49 3" xfId="23482"/>
    <cellStyle name="Input 3 4 49 4" xfId="31669"/>
    <cellStyle name="Input 3 4 49 5" xfId="40948"/>
    <cellStyle name="Input 3 4 49 6" xfId="45334"/>
    <cellStyle name="Input 3 4 49 7" xfId="47864"/>
    <cellStyle name="Input 3 4 5" xfId="1404"/>
    <cellStyle name="Input 3 4 5 2" xfId="9227"/>
    <cellStyle name="Input 3 4 5 3" xfId="16655"/>
    <cellStyle name="Input 3 4 5 4" xfId="19365"/>
    <cellStyle name="Input 3 4 5 5" xfId="27427"/>
    <cellStyle name="Input 3 4 5 6" xfId="41152"/>
    <cellStyle name="Input 3 4 5 7" xfId="49351"/>
    <cellStyle name="Input 3 4 50" xfId="6887"/>
    <cellStyle name="Input 3 4 50 2" xfId="14604"/>
    <cellStyle name="Input 3 4 50 3" xfId="23597"/>
    <cellStyle name="Input 3 4 50 4" xfId="31784"/>
    <cellStyle name="Input 3 4 50 5" xfId="41056"/>
    <cellStyle name="Input 3 4 50 6" xfId="45449"/>
    <cellStyle name="Input 3 4 50 7" xfId="46947"/>
    <cellStyle name="Input 3 4 51" xfId="7000"/>
    <cellStyle name="Input 3 4 51 2" xfId="14717"/>
    <cellStyle name="Input 3 4 51 3" xfId="23710"/>
    <cellStyle name="Input 3 4 51 4" xfId="31897"/>
    <cellStyle name="Input 3 4 51 5" xfId="41164"/>
    <cellStyle name="Input 3 4 51 6" xfId="45562"/>
    <cellStyle name="Input 3 4 51 7" xfId="47022"/>
    <cellStyle name="Input 3 4 52" xfId="7110"/>
    <cellStyle name="Input 3 4 52 2" xfId="14827"/>
    <cellStyle name="Input 3 4 52 3" xfId="23820"/>
    <cellStyle name="Input 3 4 52 4" xfId="32007"/>
    <cellStyle name="Input 3 4 52 5" xfId="41269"/>
    <cellStyle name="Input 3 4 52 6" xfId="45672"/>
    <cellStyle name="Input 3 4 52 7" xfId="48216"/>
    <cellStyle name="Input 3 4 53" xfId="7166"/>
    <cellStyle name="Input 3 4 53 2" xfId="14883"/>
    <cellStyle name="Input 3 4 53 3" xfId="23876"/>
    <cellStyle name="Input 3 4 53 4" xfId="32063"/>
    <cellStyle name="Input 3 4 53 5" xfId="41325"/>
    <cellStyle name="Input 3 4 53 6" xfId="45728"/>
    <cellStyle name="Input 3 4 53 7" xfId="54316"/>
    <cellStyle name="Input 3 4 54" xfId="7224"/>
    <cellStyle name="Input 3 4 54 2" xfId="14941"/>
    <cellStyle name="Input 3 4 54 3" xfId="23934"/>
    <cellStyle name="Input 3 4 54 4" xfId="32121"/>
    <cellStyle name="Input 3 4 54 5" xfId="41379"/>
    <cellStyle name="Input 3 4 54 6" xfId="45786"/>
    <cellStyle name="Input 3 4 54 7" xfId="48826"/>
    <cellStyle name="Input 3 4 55" xfId="7507"/>
    <cellStyle name="Input 3 4 55 2" xfId="15224"/>
    <cellStyle name="Input 3 4 55 3" xfId="24217"/>
    <cellStyle name="Input 3 4 55 4" xfId="32404"/>
    <cellStyle name="Input 3 4 55 5" xfId="41651"/>
    <cellStyle name="Input 3 4 55 6" xfId="46069"/>
    <cellStyle name="Input 3 4 55 7" xfId="49344"/>
    <cellStyle name="Input 3 4 56" xfId="7628"/>
    <cellStyle name="Input 3 4 56 2" xfId="15345"/>
    <cellStyle name="Input 3 4 56 3" xfId="24338"/>
    <cellStyle name="Input 3 4 56 4" xfId="32525"/>
    <cellStyle name="Input 3 4 56 5" xfId="41767"/>
    <cellStyle name="Input 3 4 56 6" xfId="46190"/>
    <cellStyle name="Input 3 4 56 7" xfId="48058"/>
    <cellStyle name="Input 3 4 57" xfId="7905"/>
    <cellStyle name="Input 3 4 57 2" xfId="15622"/>
    <cellStyle name="Input 3 4 57 3" xfId="24609"/>
    <cellStyle name="Input 3 4 57 4" xfId="32802"/>
    <cellStyle name="Input 3 4 57 5" xfId="42033"/>
    <cellStyle name="Input 3 4 57 6" xfId="46467"/>
    <cellStyle name="Input 3 4 57 7" xfId="52702"/>
    <cellStyle name="Input 3 4 58" xfId="8033"/>
    <cellStyle name="Input 3 4 58 2" xfId="15750"/>
    <cellStyle name="Input 3 4 58 3" xfId="24735"/>
    <cellStyle name="Input 3 4 58 4" xfId="32930"/>
    <cellStyle name="Input 3 4 58 5" xfId="42155"/>
    <cellStyle name="Input 3 4 58 6" xfId="46595"/>
    <cellStyle name="Input 3 4 58 7" xfId="53778"/>
    <cellStyle name="Input 3 4 59" xfId="7680"/>
    <cellStyle name="Input 3 4 59 2" xfId="15397"/>
    <cellStyle name="Input 3 4 59 3" xfId="24388"/>
    <cellStyle name="Input 3 4 59 4" xfId="32577"/>
    <cellStyle name="Input 3 4 59 5" xfId="41815"/>
    <cellStyle name="Input 3 4 59 6" xfId="46242"/>
    <cellStyle name="Input 3 4 59 7" xfId="54239"/>
    <cellStyle name="Input 3 4 6" xfId="1527"/>
    <cellStyle name="Input 3 4 6 2" xfId="9350"/>
    <cellStyle name="Input 3 4 6 3" xfId="16778"/>
    <cellStyle name="Input 3 4 6 4" xfId="20383"/>
    <cellStyle name="Input 3 4 6 5" xfId="26953"/>
    <cellStyle name="Input 3 4 6 6" xfId="36486"/>
    <cellStyle name="Input 3 4 6 7" xfId="49073"/>
    <cellStyle name="Input 3 4 60" xfId="8180"/>
    <cellStyle name="Input 3 4 60 2" xfId="15897"/>
    <cellStyle name="Input 3 4 60 3" xfId="33077"/>
    <cellStyle name="Input 3 4 60 4" xfId="42296"/>
    <cellStyle name="Input 3 4 60 5" xfId="46742"/>
    <cellStyle name="Input 3 4 60 6" xfId="46874"/>
    <cellStyle name="Input 3 4 61" xfId="25706"/>
    <cellStyle name="Input 3 4 62" xfId="34246"/>
    <cellStyle name="Input 3 4 63" xfId="36298"/>
    <cellStyle name="Input 3 4 64" xfId="52323"/>
    <cellStyle name="Input 3 4 7" xfId="1122"/>
    <cellStyle name="Input 3 4 7 2" xfId="8945"/>
    <cellStyle name="Input 3 4 7 3" xfId="16373"/>
    <cellStyle name="Input 3 4 7 4" xfId="25890"/>
    <cellStyle name="Input 3 4 7 5" xfId="34485"/>
    <cellStyle name="Input 3 4 7 6" xfId="36281"/>
    <cellStyle name="Input 3 4 7 7" xfId="52764"/>
    <cellStyle name="Input 3 4 8" xfId="1764"/>
    <cellStyle name="Input 3 4 8 2" xfId="9587"/>
    <cellStyle name="Input 3 4 8 3" xfId="17015"/>
    <cellStyle name="Input 3 4 8 4" xfId="20091"/>
    <cellStyle name="Input 3 4 8 5" xfId="26737"/>
    <cellStyle name="Input 3 4 8 6" xfId="38252"/>
    <cellStyle name="Input 3 4 8 7" xfId="49731"/>
    <cellStyle name="Input 3 4 9" xfId="1897"/>
    <cellStyle name="Input 3 4 9 2" xfId="9720"/>
    <cellStyle name="Input 3 4 9 3" xfId="17148"/>
    <cellStyle name="Input 3 4 9 4" xfId="19702"/>
    <cellStyle name="Input 3 4 9 5" xfId="27179"/>
    <cellStyle name="Input 3 4 9 6" xfId="37593"/>
    <cellStyle name="Input 3 4 9 7" xfId="47919"/>
    <cellStyle name="Input 3 5" xfId="527"/>
    <cellStyle name="Input 3 5 10" xfId="1974"/>
    <cellStyle name="Input 3 5 10 2" xfId="9797"/>
    <cellStyle name="Input 3 5 10 3" xfId="17225"/>
    <cellStyle name="Input 3 5 10 4" xfId="19103"/>
    <cellStyle name="Input 3 5 10 5" xfId="26758"/>
    <cellStyle name="Input 3 5 10 6" xfId="38085"/>
    <cellStyle name="Input 3 5 10 7" xfId="49136"/>
    <cellStyle name="Input 3 5 11" xfId="2092"/>
    <cellStyle name="Input 3 5 11 2" xfId="9915"/>
    <cellStyle name="Input 3 5 11 3" xfId="17343"/>
    <cellStyle name="Input 3 5 11 4" xfId="19992"/>
    <cellStyle name="Input 3 5 11 5" xfId="26949"/>
    <cellStyle name="Input 3 5 11 6" xfId="40852"/>
    <cellStyle name="Input 3 5 11 7" xfId="49080"/>
    <cellStyle name="Input 3 5 12" xfId="2205"/>
    <cellStyle name="Input 3 5 12 2" xfId="10028"/>
    <cellStyle name="Input 3 5 12 3" xfId="17456"/>
    <cellStyle name="Input 3 5 12 4" xfId="25821"/>
    <cellStyle name="Input 3 5 12 5" xfId="34403"/>
    <cellStyle name="Input 3 5 12 6" xfId="36697"/>
    <cellStyle name="Input 3 5 12 7" xfId="52610"/>
    <cellStyle name="Input 3 5 13" xfId="2291"/>
    <cellStyle name="Input 3 5 13 2" xfId="10114"/>
    <cellStyle name="Input 3 5 13 3" xfId="17542"/>
    <cellStyle name="Input 3 5 13 4" xfId="25006"/>
    <cellStyle name="Input 3 5 13 5" xfId="33358"/>
    <cellStyle name="Input 3 5 13 6" xfId="36681"/>
    <cellStyle name="Input 3 5 13 7" xfId="50810"/>
    <cellStyle name="Input 3 5 14" xfId="2382"/>
    <cellStyle name="Input 3 5 14 2" xfId="10205"/>
    <cellStyle name="Input 3 5 14 3" xfId="17633"/>
    <cellStyle name="Input 3 5 14 4" xfId="19971"/>
    <cellStyle name="Input 3 5 14 5" xfId="27408"/>
    <cellStyle name="Input 3 5 14 6" xfId="41609"/>
    <cellStyle name="Input 3 5 14 7" xfId="47210"/>
    <cellStyle name="Input 3 5 15" xfId="2503"/>
    <cellStyle name="Input 3 5 15 2" xfId="10326"/>
    <cellStyle name="Input 3 5 15 3" xfId="17754"/>
    <cellStyle name="Input 3 5 15 4" xfId="24911"/>
    <cellStyle name="Input 3 5 15 5" xfId="33234"/>
    <cellStyle name="Input 3 5 15 6" xfId="36337"/>
    <cellStyle name="Input 3 5 15 7" xfId="50592"/>
    <cellStyle name="Input 3 5 16" xfId="2616"/>
    <cellStyle name="Input 3 5 16 2" xfId="10439"/>
    <cellStyle name="Input 3 5 16 3" xfId="17867"/>
    <cellStyle name="Input 3 5 16 4" xfId="26471"/>
    <cellStyle name="Input 3 5 16 5" xfId="35250"/>
    <cellStyle name="Input 3 5 16 6" xfId="40861"/>
    <cellStyle name="Input 3 5 16 7" xfId="54007"/>
    <cellStyle name="Input 3 5 17" xfId="2697"/>
    <cellStyle name="Input 3 5 17 2" xfId="10520"/>
    <cellStyle name="Input 3 5 17 3" xfId="17948"/>
    <cellStyle name="Input 3 5 17 4" xfId="26063"/>
    <cellStyle name="Input 3 5 17 5" xfId="34707"/>
    <cellStyle name="Input 3 5 17 6" xfId="40154"/>
    <cellStyle name="Input 3 5 17 7" xfId="53128"/>
    <cellStyle name="Input 3 5 18" xfId="2743"/>
    <cellStyle name="Input 3 5 18 2" xfId="10566"/>
    <cellStyle name="Input 3 5 18 3" xfId="17994"/>
    <cellStyle name="Input 3 5 18 4" xfId="20578"/>
    <cellStyle name="Input 3 5 18 5" xfId="27721"/>
    <cellStyle name="Input 3 5 18 6" xfId="38036"/>
    <cellStyle name="Input 3 5 18 7" xfId="47263"/>
    <cellStyle name="Input 3 5 19" xfId="2809"/>
    <cellStyle name="Input 3 5 19 2" xfId="10632"/>
    <cellStyle name="Input 3 5 19 3" xfId="18060"/>
    <cellStyle name="Input 3 5 19 4" xfId="19063"/>
    <cellStyle name="Input 3 5 19 5" xfId="33164"/>
    <cellStyle name="Input 3 5 19 6" xfId="37763"/>
    <cellStyle name="Input 3 5 19 7" xfId="50463"/>
    <cellStyle name="Input 3 5 2" xfId="677"/>
    <cellStyle name="Input 3 5 2 2" xfId="8501"/>
    <cellStyle name="Input 3 5 2 3" xfId="8257"/>
    <cellStyle name="Input 3 5 2 4" xfId="19440"/>
    <cellStyle name="Input 3 5 2 5" xfId="28466"/>
    <cellStyle name="Input 3 5 2 6" xfId="37436"/>
    <cellStyle name="Input 3 5 2 7" xfId="49514"/>
    <cellStyle name="Input 3 5 20" xfId="2916"/>
    <cellStyle name="Input 3 5 20 2" xfId="10739"/>
    <cellStyle name="Input 3 5 20 3" xfId="18167"/>
    <cellStyle name="Input 3 5 20 4" xfId="26482"/>
    <cellStyle name="Input 3 5 20 5" xfId="35269"/>
    <cellStyle name="Input 3 5 20 6" xfId="36391"/>
    <cellStyle name="Input 3 5 20 7" xfId="54040"/>
    <cellStyle name="Input 3 5 21" xfId="3292"/>
    <cellStyle name="Input 3 5 21 2" xfId="11085"/>
    <cellStyle name="Input 3 5 21 3" xfId="18414"/>
    <cellStyle name="Input 3 5 21 4" xfId="25943"/>
    <cellStyle name="Input 3 5 21 5" xfId="34548"/>
    <cellStyle name="Input 3 5 21 6" xfId="40582"/>
    <cellStyle name="Input 3 5 21 7" xfId="52876"/>
    <cellStyle name="Input 3 5 22" xfId="3412"/>
    <cellStyle name="Input 3 5 22 2" xfId="11203"/>
    <cellStyle name="Input 3 5 22 3" xfId="18525"/>
    <cellStyle name="Input 3 5 22 4" xfId="19817"/>
    <cellStyle name="Input 3 5 22 5" xfId="26989"/>
    <cellStyle name="Input 3 5 22 6" xfId="37336"/>
    <cellStyle name="Input 3 5 22 7" xfId="48465"/>
    <cellStyle name="Input 3 5 23" xfId="3130"/>
    <cellStyle name="Input 3 5 23 2" xfId="10935"/>
    <cellStyle name="Input 3 5 23 3" xfId="18313"/>
    <cellStyle name="Input 3 5 23 4" xfId="19231"/>
    <cellStyle name="Input 3 5 23 5" xfId="28729"/>
    <cellStyle name="Input 3 5 23 6" xfId="41838"/>
    <cellStyle name="Input 3 5 23 7" xfId="47847"/>
    <cellStyle name="Input 3 5 24" xfId="3683"/>
    <cellStyle name="Input 3 5 24 2" xfId="11468"/>
    <cellStyle name="Input 3 5 24 3" xfId="18741"/>
    <cellStyle name="Input 3 5 24 4" xfId="25091"/>
    <cellStyle name="Input 3 5 24 5" xfId="33453"/>
    <cellStyle name="Input 3 5 24 6" xfId="37674"/>
    <cellStyle name="Input 3 5 24 7" xfId="50989"/>
    <cellStyle name="Input 3 5 25" xfId="3813"/>
    <cellStyle name="Input 3 5 25 2" xfId="11595"/>
    <cellStyle name="Input 3 5 25 3" xfId="18852"/>
    <cellStyle name="Input 3 5 25 4" xfId="26064"/>
    <cellStyle name="Input 3 5 25 5" xfId="34708"/>
    <cellStyle name="Input 3 5 25 6" xfId="36750"/>
    <cellStyle name="Input 3 5 25 7" xfId="53129"/>
    <cellStyle name="Input 3 5 26" xfId="3931"/>
    <cellStyle name="Input 3 5 26 2" xfId="11711"/>
    <cellStyle name="Input 3 5 26 3" xfId="18961"/>
    <cellStyle name="Input 3 5 26 4" xfId="25495"/>
    <cellStyle name="Input 3 5 26 5" xfId="33971"/>
    <cellStyle name="Input 3 5 26 6" xfId="37806"/>
    <cellStyle name="Input 3 5 26 7" xfId="51860"/>
    <cellStyle name="Input 3 5 27" xfId="4008"/>
    <cellStyle name="Input 3 5 27 2" xfId="11787"/>
    <cellStyle name="Input 3 5 27 3" xfId="20718"/>
    <cellStyle name="Input 3 5 27 4" xfId="28905"/>
    <cellStyle name="Input 3 5 27 5" xfId="38288"/>
    <cellStyle name="Input 3 5 27 6" xfId="42570"/>
    <cellStyle name="Input 3 5 27 7" xfId="48682"/>
    <cellStyle name="Input 3 5 28" xfId="4128"/>
    <cellStyle name="Input 3 5 28 2" xfId="11887"/>
    <cellStyle name="Input 3 5 28 3" xfId="20838"/>
    <cellStyle name="Input 3 5 28 4" xfId="29025"/>
    <cellStyle name="Input 3 5 28 5" xfId="38402"/>
    <cellStyle name="Input 3 5 28 6" xfId="42690"/>
    <cellStyle name="Input 3 5 28 7" xfId="51646"/>
    <cellStyle name="Input 3 5 29" xfId="4056"/>
    <cellStyle name="Input 3 5 29 2" xfId="20766"/>
    <cellStyle name="Input 3 5 29 3" xfId="28953"/>
    <cellStyle name="Input 3 5 29 4" xfId="38332"/>
    <cellStyle name="Input 3 5 29 5" xfId="42618"/>
    <cellStyle name="Input 3 5 29 6" xfId="51568"/>
    <cellStyle name="Input 3 5 3" xfId="785"/>
    <cellStyle name="Input 3 5 3 2" xfId="8609"/>
    <cellStyle name="Input 3 5 3 3" xfId="16037"/>
    <cellStyle name="Input 3 5 3 4" xfId="25104"/>
    <cellStyle name="Input 3 5 3 5" xfId="33469"/>
    <cellStyle name="Input 3 5 3 6" xfId="37463"/>
    <cellStyle name="Input 3 5 3 7" xfId="51018"/>
    <cellStyle name="Input 3 5 30" xfId="4325"/>
    <cellStyle name="Input 3 5 30 2" xfId="12042"/>
    <cellStyle name="Input 3 5 30 3" xfId="21035"/>
    <cellStyle name="Input 3 5 30 4" xfId="29222"/>
    <cellStyle name="Input 3 5 30 5" xfId="38593"/>
    <cellStyle name="Input 3 5 30 6" xfId="42887"/>
    <cellStyle name="Input 3 5 30 7" xfId="47935"/>
    <cellStyle name="Input 3 5 31" xfId="4448"/>
    <cellStyle name="Input 3 5 31 2" xfId="12165"/>
    <cellStyle name="Input 3 5 31 3" xfId="21158"/>
    <cellStyle name="Input 3 5 31 4" xfId="29345"/>
    <cellStyle name="Input 3 5 31 5" xfId="38711"/>
    <cellStyle name="Input 3 5 31 6" xfId="43010"/>
    <cellStyle name="Input 3 5 31 7" xfId="50535"/>
    <cellStyle name="Input 3 5 32" xfId="4562"/>
    <cellStyle name="Input 3 5 32 2" xfId="12279"/>
    <cellStyle name="Input 3 5 32 3" xfId="21272"/>
    <cellStyle name="Input 3 5 32 4" xfId="29459"/>
    <cellStyle name="Input 3 5 32 5" xfId="38820"/>
    <cellStyle name="Input 3 5 32 6" xfId="43124"/>
    <cellStyle name="Input 3 5 32 7" xfId="53590"/>
    <cellStyle name="Input 3 5 33" xfId="4675"/>
    <cellStyle name="Input 3 5 33 2" xfId="12392"/>
    <cellStyle name="Input 3 5 33 3" xfId="21385"/>
    <cellStyle name="Input 3 5 33 4" xfId="29572"/>
    <cellStyle name="Input 3 5 33 5" xfId="38929"/>
    <cellStyle name="Input 3 5 33 6" xfId="43237"/>
    <cellStyle name="Input 3 5 33 7" xfId="49395"/>
    <cellStyle name="Input 3 5 34" xfId="4786"/>
    <cellStyle name="Input 3 5 34 2" xfId="12503"/>
    <cellStyle name="Input 3 5 34 3" xfId="21496"/>
    <cellStyle name="Input 3 5 34 4" xfId="29683"/>
    <cellStyle name="Input 3 5 34 5" xfId="39037"/>
    <cellStyle name="Input 3 5 34 6" xfId="43348"/>
    <cellStyle name="Input 3 5 34 7" xfId="53061"/>
    <cellStyle name="Input 3 5 35" xfId="4895"/>
    <cellStyle name="Input 3 5 35 2" xfId="12612"/>
    <cellStyle name="Input 3 5 35 3" xfId="21605"/>
    <cellStyle name="Input 3 5 35 4" xfId="29792"/>
    <cellStyle name="Input 3 5 35 5" xfId="39141"/>
    <cellStyle name="Input 3 5 35 6" xfId="43457"/>
    <cellStyle name="Input 3 5 35 7" xfId="49325"/>
    <cellStyle name="Input 3 5 36" xfId="5006"/>
    <cellStyle name="Input 3 5 36 2" xfId="12723"/>
    <cellStyle name="Input 3 5 36 3" xfId="21716"/>
    <cellStyle name="Input 3 5 36 4" xfId="29903"/>
    <cellStyle name="Input 3 5 36 5" xfId="39249"/>
    <cellStyle name="Input 3 5 36 6" xfId="43568"/>
    <cellStyle name="Input 3 5 36 7" xfId="53413"/>
    <cellStyle name="Input 3 5 37" xfId="5385"/>
    <cellStyle name="Input 3 5 37 2" xfId="13102"/>
    <cellStyle name="Input 3 5 37 3" xfId="22095"/>
    <cellStyle name="Input 3 5 37 4" xfId="30282"/>
    <cellStyle name="Input 3 5 37 5" xfId="39613"/>
    <cellStyle name="Input 3 5 37 6" xfId="43947"/>
    <cellStyle name="Input 3 5 37 7" xfId="52953"/>
    <cellStyle name="Input 3 5 38" xfId="5505"/>
    <cellStyle name="Input 3 5 38 2" xfId="13222"/>
    <cellStyle name="Input 3 5 38 3" xfId="22215"/>
    <cellStyle name="Input 3 5 38 4" xfId="30402"/>
    <cellStyle name="Input 3 5 38 5" xfId="39727"/>
    <cellStyle name="Input 3 5 38 6" xfId="44067"/>
    <cellStyle name="Input 3 5 38 7" xfId="48266"/>
    <cellStyle name="Input 3 5 39" xfId="5629"/>
    <cellStyle name="Input 3 5 39 2" xfId="13346"/>
    <cellStyle name="Input 3 5 39 3" xfId="22339"/>
    <cellStyle name="Input 3 5 39 4" xfId="30526"/>
    <cellStyle name="Input 3 5 39 5" xfId="39847"/>
    <cellStyle name="Input 3 5 39 6" xfId="44191"/>
    <cellStyle name="Input 3 5 39 7" xfId="46833"/>
    <cellStyle name="Input 3 5 4" xfId="896"/>
    <cellStyle name="Input 3 5 4 2" xfId="8720"/>
    <cellStyle name="Input 3 5 4 3" xfId="16148"/>
    <cellStyle name="Input 3 5 4 4" xfId="19737"/>
    <cellStyle name="Input 3 5 4 5" xfId="28242"/>
    <cellStyle name="Input 3 5 4 6" xfId="37457"/>
    <cellStyle name="Input 3 5 4 7" xfId="48218"/>
    <cellStyle name="Input 3 5 40" xfId="5745"/>
    <cellStyle name="Input 3 5 40 2" xfId="13462"/>
    <cellStyle name="Input 3 5 40 3" xfId="22455"/>
    <cellStyle name="Input 3 5 40 4" xfId="30642"/>
    <cellStyle name="Input 3 5 40 5" xfId="39959"/>
    <cellStyle name="Input 3 5 40 6" xfId="44307"/>
    <cellStyle name="Input 3 5 40 7" xfId="52890"/>
    <cellStyle name="Input 3 5 41" xfId="5861"/>
    <cellStyle name="Input 3 5 41 2" xfId="13578"/>
    <cellStyle name="Input 3 5 41 3" xfId="22571"/>
    <cellStyle name="Input 3 5 41 4" xfId="30758"/>
    <cellStyle name="Input 3 5 41 5" xfId="40072"/>
    <cellStyle name="Input 3 5 41 6" xfId="44423"/>
    <cellStyle name="Input 3 5 41 7" xfId="53328"/>
    <cellStyle name="Input 3 5 42" xfId="5990"/>
    <cellStyle name="Input 3 5 42 2" xfId="13707"/>
    <cellStyle name="Input 3 5 42 3" xfId="22700"/>
    <cellStyle name="Input 3 5 42 4" xfId="30887"/>
    <cellStyle name="Input 3 5 42 5" xfId="40196"/>
    <cellStyle name="Input 3 5 42 6" xfId="44552"/>
    <cellStyle name="Input 3 5 42 7" xfId="52624"/>
    <cellStyle name="Input 3 5 43" xfId="5255"/>
    <cellStyle name="Input 3 5 43 2" xfId="12972"/>
    <cellStyle name="Input 3 5 43 3" xfId="21965"/>
    <cellStyle name="Input 3 5 43 4" xfId="30152"/>
    <cellStyle name="Input 3 5 43 5" xfId="39487"/>
    <cellStyle name="Input 3 5 43 6" xfId="43817"/>
    <cellStyle name="Input 3 5 43 7" xfId="51158"/>
    <cellStyle name="Input 3 5 44" xfId="6246"/>
    <cellStyle name="Input 3 5 44 2" xfId="13963"/>
    <cellStyle name="Input 3 5 44 3" xfId="22956"/>
    <cellStyle name="Input 3 5 44 4" xfId="31143"/>
    <cellStyle name="Input 3 5 44 5" xfId="40444"/>
    <cellStyle name="Input 3 5 44 6" xfId="44808"/>
    <cellStyle name="Input 3 5 44 7" xfId="50684"/>
    <cellStyle name="Input 3 5 45" xfId="6362"/>
    <cellStyle name="Input 3 5 45 2" xfId="14079"/>
    <cellStyle name="Input 3 5 45 3" xfId="23072"/>
    <cellStyle name="Input 3 5 45 4" xfId="31259"/>
    <cellStyle name="Input 3 5 45 5" xfId="40557"/>
    <cellStyle name="Input 3 5 45 6" xfId="44924"/>
    <cellStyle name="Input 3 5 45 7" xfId="53858"/>
    <cellStyle name="Input 3 5 46" xfId="6473"/>
    <cellStyle name="Input 3 5 46 2" xfId="14190"/>
    <cellStyle name="Input 3 5 46 3" xfId="23183"/>
    <cellStyle name="Input 3 5 46 4" xfId="31370"/>
    <cellStyle name="Input 3 5 46 5" xfId="40664"/>
    <cellStyle name="Input 3 5 46 6" xfId="45035"/>
    <cellStyle name="Input 3 5 46 7" xfId="48619"/>
    <cellStyle name="Input 3 5 47" xfId="6545"/>
    <cellStyle name="Input 3 5 47 2" xfId="14262"/>
    <cellStyle name="Input 3 5 47 3" xfId="23255"/>
    <cellStyle name="Input 3 5 47 4" xfId="31442"/>
    <cellStyle name="Input 3 5 47 5" xfId="40732"/>
    <cellStyle name="Input 3 5 47 6" xfId="45107"/>
    <cellStyle name="Input 3 5 47 7" xfId="48470"/>
    <cellStyle name="Input 3 5 48" xfId="6619"/>
    <cellStyle name="Input 3 5 48 2" xfId="14336"/>
    <cellStyle name="Input 3 5 48 3" xfId="23329"/>
    <cellStyle name="Input 3 5 48 4" xfId="31516"/>
    <cellStyle name="Input 3 5 48 5" xfId="40803"/>
    <cellStyle name="Input 3 5 48 6" xfId="45181"/>
    <cellStyle name="Input 3 5 48 7" xfId="47758"/>
    <cellStyle name="Input 3 5 49" xfId="6731"/>
    <cellStyle name="Input 3 5 49 2" xfId="14448"/>
    <cellStyle name="Input 3 5 49 3" xfId="23441"/>
    <cellStyle name="Input 3 5 49 4" xfId="31628"/>
    <cellStyle name="Input 3 5 49 5" xfId="40909"/>
    <cellStyle name="Input 3 5 49 6" xfId="45293"/>
    <cellStyle name="Input 3 5 49 7" xfId="52076"/>
    <cellStyle name="Input 3 5 5" xfId="1362"/>
    <cellStyle name="Input 3 5 5 2" xfId="9185"/>
    <cellStyle name="Input 3 5 5 3" xfId="16613"/>
    <cellStyle name="Input 3 5 5 4" xfId="26446"/>
    <cellStyle name="Input 3 5 5 5" xfId="35221"/>
    <cellStyle name="Input 3 5 5 6" xfId="40525"/>
    <cellStyle name="Input 3 5 5 7" xfId="53953"/>
    <cellStyle name="Input 3 5 50" xfId="6846"/>
    <cellStyle name="Input 3 5 50 2" xfId="14563"/>
    <cellStyle name="Input 3 5 50 3" xfId="23556"/>
    <cellStyle name="Input 3 5 50 4" xfId="31743"/>
    <cellStyle name="Input 3 5 50 5" xfId="41017"/>
    <cellStyle name="Input 3 5 50 6" xfId="45408"/>
    <cellStyle name="Input 3 5 50 7" xfId="50621"/>
    <cellStyle name="Input 3 5 51" xfId="6959"/>
    <cellStyle name="Input 3 5 51 2" xfId="14676"/>
    <cellStyle name="Input 3 5 51 3" xfId="23669"/>
    <cellStyle name="Input 3 5 51 4" xfId="31856"/>
    <cellStyle name="Input 3 5 51 5" xfId="41125"/>
    <cellStyle name="Input 3 5 51 6" xfId="45521"/>
    <cellStyle name="Input 3 5 51 7" xfId="47033"/>
    <cellStyle name="Input 3 5 52" xfId="7070"/>
    <cellStyle name="Input 3 5 52 2" xfId="14787"/>
    <cellStyle name="Input 3 5 52 3" xfId="23780"/>
    <cellStyle name="Input 3 5 52 4" xfId="31967"/>
    <cellStyle name="Input 3 5 52 5" xfId="41230"/>
    <cellStyle name="Input 3 5 52 6" xfId="45632"/>
    <cellStyle name="Input 3 5 52 7" xfId="52329"/>
    <cellStyle name="Input 3 5 53" xfId="7338"/>
    <cellStyle name="Input 3 5 53 2" xfId="15055"/>
    <cellStyle name="Input 3 5 53 3" xfId="24048"/>
    <cellStyle name="Input 3 5 53 4" xfId="32235"/>
    <cellStyle name="Input 3 5 53 5" xfId="41491"/>
    <cellStyle name="Input 3 5 53 6" xfId="45900"/>
    <cellStyle name="Input 3 5 53 7" xfId="52735"/>
    <cellStyle name="Input 3 5 54" xfId="7270"/>
    <cellStyle name="Input 3 5 54 2" xfId="14987"/>
    <cellStyle name="Input 3 5 54 3" xfId="23980"/>
    <cellStyle name="Input 3 5 54 4" xfId="32167"/>
    <cellStyle name="Input 3 5 54 5" xfId="41423"/>
    <cellStyle name="Input 3 5 54 6" xfId="45832"/>
    <cellStyle name="Input 3 5 54 7" xfId="52494"/>
    <cellStyle name="Input 3 5 55" xfId="7467"/>
    <cellStyle name="Input 3 5 55 2" xfId="15184"/>
    <cellStyle name="Input 3 5 55 3" xfId="24177"/>
    <cellStyle name="Input 3 5 55 4" xfId="32364"/>
    <cellStyle name="Input 3 5 55 5" xfId="41613"/>
    <cellStyle name="Input 3 5 55 6" xfId="46029"/>
    <cellStyle name="Input 3 5 55 7" xfId="53738"/>
    <cellStyle name="Input 3 5 56" xfId="7588"/>
    <cellStyle name="Input 3 5 56 2" xfId="15305"/>
    <cellStyle name="Input 3 5 56 3" xfId="24298"/>
    <cellStyle name="Input 3 5 56 4" xfId="32485"/>
    <cellStyle name="Input 3 5 56 5" xfId="41728"/>
    <cellStyle name="Input 3 5 56 6" xfId="46150"/>
    <cellStyle name="Input 3 5 56 7" xfId="48317"/>
    <cellStyle name="Input 3 5 57" xfId="7864"/>
    <cellStyle name="Input 3 5 57 2" xfId="15581"/>
    <cellStyle name="Input 3 5 57 3" xfId="24568"/>
    <cellStyle name="Input 3 5 57 4" xfId="32761"/>
    <cellStyle name="Input 3 5 57 5" xfId="41993"/>
    <cellStyle name="Input 3 5 57 6" xfId="46426"/>
    <cellStyle name="Input 3 5 57 7" xfId="49069"/>
    <cellStyle name="Input 3 5 58" xfId="7954"/>
    <cellStyle name="Input 3 5 58 2" xfId="15671"/>
    <cellStyle name="Input 3 5 58 3" xfId="24657"/>
    <cellStyle name="Input 3 5 58 4" xfId="32851"/>
    <cellStyle name="Input 3 5 58 5" xfId="42079"/>
    <cellStyle name="Input 3 5 58 6" xfId="46516"/>
    <cellStyle name="Input 3 5 58 7" xfId="48522"/>
    <cellStyle name="Input 3 5 59" xfId="8089"/>
    <cellStyle name="Input 3 5 59 2" xfId="15806"/>
    <cellStyle name="Input 3 5 59 3" xfId="24790"/>
    <cellStyle name="Input 3 5 59 4" xfId="32986"/>
    <cellStyle name="Input 3 5 59 5" xfId="42208"/>
    <cellStyle name="Input 3 5 59 6" xfId="46651"/>
    <cellStyle name="Input 3 5 59 7" xfId="49002"/>
    <cellStyle name="Input 3 5 6" xfId="1485"/>
    <cellStyle name="Input 3 5 6 2" xfId="9308"/>
    <cellStyle name="Input 3 5 6 3" xfId="16736"/>
    <cellStyle name="Input 3 5 6 4" xfId="26431"/>
    <cellStyle name="Input 3 5 6 5" xfId="35199"/>
    <cellStyle name="Input 3 5 6 6" xfId="37713"/>
    <cellStyle name="Input 3 5 6 7" xfId="53922"/>
    <cellStyle name="Input 3 5 60" xfId="8140"/>
    <cellStyle name="Input 3 5 60 2" xfId="15857"/>
    <cellStyle name="Input 3 5 60 3" xfId="33037"/>
    <cellStyle name="Input 3 5 60 4" xfId="42257"/>
    <cellStyle name="Input 3 5 60 5" xfId="46702"/>
    <cellStyle name="Input 3 5 60 6" xfId="49896"/>
    <cellStyle name="Input 3 5 61" xfId="19170"/>
    <cellStyle name="Input 3 5 62" xfId="27474"/>
    <cellStyle name="Input 3 5 63" xfId="36609"/>
    <cellStyle name="Input 3 5 64" xfId="49223"/>
    <cellStyle name="Input 3 5 7" xfId="1585"/>
    <cellStyle name="Input 3 5 7 2" xfId="9408"/>
    <cellStyle name="Input 3 5 7 3" xfId="16836"/>
    <cellStyle name="Input 3 5 7 4" xfId="25388"/>
    <cellStyle name="Input 3 5 7 5" xfId="33836"/>
    <cellStyle name="Input 3 5 7 6" xfId="40172"/>
    <cellStyle name="Input 3 5 7 7" xfId="51618"/>
    <cellStyle name="Input 3 5 8" xfId="1722"/>
    <cellStyle name="Input 3 5 8 2" xfId="9545"/>
    <cellStyle name="Input 3 5 8 3" xfId="16973"/>
    <cellStyle name="Input 3 5 8 4" xfId="19999"/>
    <cellStyle name="Input 3 5 8 5" xfId="28075"/>
    <cellStyle name="Input 3 5 8 6" xfId="36968"/>
    <cellStyle name="Input 3 5 8 7" xfId="47646"/>
    <cellStyle name="Input 3 5 9" xfId="1856"/>
    <cellStyle name="Input 3 5 9 2" xfId="9679"/>
    <cellStyle name="Input 3 5 9 3" xfId="17107"/>
    <cellStyle name="Input 3 5 9 4" xfId="25906"/>
    <cellStyle name="Input 3 5 9 5" xfId="34502"/>
    <cellStyle name="Input 3 5 9 6" xfId="41715"/>
    <cellStyle name="Input 3 5 9 7" xfId="52794"/>
    <cellStyle name="Input 3 6" xfId="624"/>
    <cellStyle name="Input 3 6 2" xfId="8448"/>
    <cellStyle name="Input 3 6 3" xfId="10831"/>
    <cellStyle name="Input 3 6 4" xfId="20202"/>
    <cellStyle name="Input 3 6 5" xfId="27100"/>
    <cellStyle name="Input 3 6 6" xfId="37318"/>
    <cellStyle name="Input 3 6 7" xfId="47769"/>
    <cellStyle name="Input 3 7" xfId="216"/>
    <cellStyle name="Input 3 7 2" xfId="8321"/>
    <cellStyle name="Input 3 7 3" xfId="8403"/>
    <cellStyle name="Input 3 7 4" xfId="25336"/>
    <cellStyle name="Input 3 7 5" xfId="33767"/>
    <cellStyle name="Input 3 7 6" xfId="37901"/>
    <cellStyle name="Input 3 7 7" xfId="51504"/>
    <cellStyle name="Input 3 8" xfId="1315"/>
    <cellStyle name="Input 3 8 2" xfId="9138"/>
    <cellStyle name="Input 3 8 3" xfId="16566"/>
    <cellStyle name="Input 3 8 4" xfId="25878"/>
    <cellStyle name="Input 3 8 5" xfId="34468"/>
    <cellStyle name="Input 3 8 6" xfId="37213"/>
    <cellStyle name="Input 3 8 7" xfId="52737"/>
    <cellStyle name="Input 3 9" xfId="1139"/>
    <cellStyle name="Input 3 9 2" xfId="8962"/>
    <cellStyle name="Input 3 9 3" xfId="16390"/>
    <cellStyle name="Input 3 9 4" xfId="19221"/>
    <cellStyle name="Input 3 9 5" xfId="27879"/>
    <cellStyle name="Input 3 9 6" xfId="41038"/>
    <cellStyle name="Input 3 9 7" xfId="47490"/>
    <cellStyle name="Linked Cell 2" xfId="151"/>
    <cellStyle name="Linked Cell 3" xfId="150"/>
    <cellStyle name="Neutral 2" xfId="153"/>
    <cellStyle name="Neutral 3" xfId="152"/>
    <cellStyle name="Normal" xfId="0" builtinId="0"/>
    <cellStyle name="Normal 10" xfId="28"/>
    <cellStyle name="Normal 10 2" xfId="327"/>
    <cellStyle name="Normal 10 2 2" xfId="54587"/>
    <cellStyle name="Normal 10 3" xfId="326"/>
    <cellStyle name="Normal 11" xfId="79"/>
    <cellStyle name="Normal 11 2" xfId="200"/>
    <cellStyle name="Normal 12" xfId="175"/>
    <cellStyle name="Normal 13" xfId="176"/>
    <cellStyle name="Normal 13 2" xfId="201"/>
    <cellStyle name="Normal 13 2 2" xfId="328"/>
    <cellStyle name="Normal 13_CE_Workbook_7_18_2012_MultiTab" xfId="329"/>
    <cellStyle name="Normal 14" xfId="177"/>
    <cellStyle name="Normal 14 10" xfId="330"/>
    <cellStyle name="Normal 14 2" xfId="50"/>
    <cellStyle name="Normal 14 2 2" xfId="51"/>
    <cellStyle name="Normal 14 2 2 2" xfId="331"/>
    <cellStyle name="Normal 14 2 3" xfId="332"/>
    <cellStyle name="Normal 14 2_CE_Workbook_7_18_2012_MultiTab" xfId="333"/>
    <cellStyle name="Normal 14 3" xfId="183"/>
    <cellStyle name="Normal 14 4" xfId="334"/>
    <cellStyle name="Normal 14 5" xfId="335"/>
    <cellStyle name="Normal 14 6" xfId="336"/>
    <cellStyle name="Normal 14 7" xfId="337"/>
    <cellStyle name="Normal 14 8" xfId="338"/>
    <cellStyle name="Normal 14 9" xfId="339"/>
    <cellStyle name="Normal 14_CE_Workbook_7_18_2012_MultiTab" xfId="340"/>
    <cellStyle name="Normal 15" xfId="184"/>
    <cellStyle name="Normal 15 2" xfId="267"/>
    <cellStyle name="Normal 15 2 2" xfId="342"/>
    <cellStyle name="Normal 15 3" xfId="341"/>
    <cellStyle name="Normal 15 4" xfId="236"/>
    <cellStyle name="Normal 16" xfId="343"/>
    <cellStyle name="Normal 16 2" xfId="344"/>
    <cellStyle name="Normal 16 3" xfId="54560"/>
    <cellStyle name="Normal 17" xfId="345"/>
    <cellStyle name="Normal 17 2" xfId="346"/>
    <cellStyle name="Normal 17 3" xfId="54561"/>
    <cellStyle name="Normal 18" xfId="347"/>
    <cellStyle name="Normal 18 2" xfId="54590"/>
    <cellStyle name="Normal 18 2 2" xfId="54688"/>
    <cellStyle name="Normal 18 3" xfId="54644"/>
    <cellStyle name="Normal 19" xfId="348"/>
    <cellStyle name="Normal 19 2" xfId="54562"/>
    <cellStyle name="Normal 2" xfId="2"/>
    <cellStyle name="Normal 2 10" xfId="54645"/>
    <cellStyle name="Normal 2 2" xfId="53"/>
    <cellStyle name="Normal 2 2 2" xfId="54"/>
    <cellStyle name="Normal 2 2 2 2" xfId="349"/>
    <cellStyle name="Normal 2 2 3" xfId="350"/>
    <cellStyle name="Normal 2 2 3 2" xfId="351"/>
    <cellStyle name="Normal 2 2 3 2 2" xfId="54593"/>
    <cellStyle name="Normal 2 2 3 2 2 2" xfId="54689"/>
    <cellStyle name="Normal 2 2 3 2 3" xfId="54647"/>
    <cellStyle name="Normal 2 2 3 3" xfId="352"/>
    <cellStyle name="Normal 2 2 3 3 2" xfId="54594"/>
    <cellStyle name="Normal 2 2 3 3 2 2" xfId="54690"/>
    <cellStyle name="Normal 2 2 3 3 3" xfId="54648"/>
    <cellStyle name="Normal 2 2 4" xfId="353"/>
    <cellStyle name="Normal 2 2 5" xfId="54592"/>
    <cellStyle name="Normal 2 2 5 2" xfId="54691"/>
    <cellStyle name="Normal 2 2 6" xfId="54646"/>
    <cellStyle name="Normal 2 2_18230684" xfId="354"/>
    <cellStyle name="Normal 2 3" xfId="55"/>
    <cellStyle name="Normal 2 3 2" xfId="56"/>
    <cellStyle name="Normal 2 3 2 2" xfId="355"/>
    <cellStyle name="Normal 2 3 3" xfId="356"/>
    <cellStyle name="Normal 2 3_CE_Workbook_7_18_2012_MultiTab" xfId="357"/>
    <cellStyle name="Normal 2 4" xfId="57"/>
    <cellStyle name="Normal 2 4 2" xfId="358"/>
    <cellStyle name="Normal 2 5" xfId="52"/>
    <cellStyle name="Normal 2 5 2" xfId="360"/>
    <cellStyle name="Normal 2 5 2 2" xfId="361"/>
    <cellStyle name="Normal 2 5 2 2 2" xfId="54595"/>
    <cellStyle name="Normal 2 5 2 2 2 2" xfId="54692"/>
    <cellStyle name="Normal 2 5 2 2 3" xfId="54649"/>
    <cellStyle name="Normal 2 5 2 3" xfId="362"/>
    <cellStyle name="Normal 2 5 2 3 2" xfId="54596"/>
    <cellStyle name="Normal 2 5 2 3 2 2" xfId="54693"/>
    <cellStyle name="Normal 2 5 2 3 3" xfId="54650"/>
    <cellStyle name="Normal 2 5 3" xfId="363"/>
    <cellStyle name="Normal 2 5 3 2" xfId="54597"/>
    <cellStyle name="Normal 2 5 3 2 2" xfId="54694"/>
    <cellStyle name="Normal 2 5 3 3" xfId="54651"/>
    <cellStyle name="Normal 2 5 4" xfId="364"/>
    <cellStyle name="Normal 2 5 4 2" xfId="54598"/>
    <cellStyle name="Normal 2 5 4 2 2" xfId="54695"/>
    <cellStyle name="Normal 2 5 4 3" xfId="54652"/>
    <cellStyle name="Normal 2 5 5" xfId="359"/>
    <cellStyle name="Normal 2 5_CE_Workbook_7_18_2012_MultiTab" xfId="365"/>
    <cellStyle name="Normal 2 6" xfId="154"/>
    <cellStyle name="Normal 2 6 2" xfId="202"/>
    <cellStyle name="Normal 2 7" xfId="172"/>
    <cellStyle name="Normal 2 8" xfId="366"/>
    <cellStyle name="Normal 2 9" xfId="54591"/>
    <cellStyle name="Normal 2 9 2" xfId="54696"/>
    <cellStyle name="Normal 2_18230684" xfId="367"/>
    <cellStyle name="Normal 20" xfId="368"/>
    <cellStyle name="Normal 20 2" xfId="54599"/>
    <cellStyle name="Normal 20 2 2" xfId="54697"/>
    <cellStyle name="Normal 20 3" xfId="54653"/>
    <cellStyle name="Normal 21" xfId="369"/>
    <cellStyle name="Normal 21 2" xfId="54600"/>
    <cellStyle name="Normal 21 2 2" xfId="54698"/>
    <cellStyle name="Normal 21 3" xfId="54654"/>
    <cellStyle name="Normal 22" xfId="453"/>
    <cellStyle name="Normal 22 2" xfId="8205"/>
    <cellStyle name="Normal 23" xfId="454"/>
    <cellStyle name="Normal 23 2" xfId="8215"/>
    <cellStyle name="Normal 24" xfId="455"/>
    <cellStyle name="Normal 24 2" xfId="480"/>
    <cellStyle name="Normal 24 2 2" xfId="54586"/>
    <cellStyle name="Normal 24 3" xfId="8216"/>
    <cellStyle name="Normal 25" xfId="463"/>
    <cellStyle name="Normal 25 2" xfId="8217"/>
    <cellStyle name="Normal 26" xfId="464"/>
    <cellStyle name="Normal 26 2" xfId="54589"/>
    <cellStyle name="Normal 27" xfId="8201"/>
    <cellStyle name="Normal 28" xfId="8211"/>
    <cellStyle name="Normal 28 2" xfId="54588"/>
    <cellStyle name="Normal 29" xfId="8206"/>
    <cellStyle name="Normal 29 2" xfId="54731"/>
    <cellStyle name="Normal 3" xfId="3"/>
    <cellStyle name="Normal 3 2" xfId="59"/>
    <cellStyle name="Normal 3 2 2" xfId="60"/>
    <cellStyle name="Normal 3 2 2 2" xfId="370"/>
    <cellStyle name="Normal 3 3" xfId="61"/>
    <cellStyle name="Normal 3 3 2" xfId="371"/>
    <cellStyle name="Normal 3 4" xfId="62"/>
    <cellStyle name="Normal 3 5" xfId="58"/>
    <cellStyle name="Normal 3 5 2" xfId="373"/>
    <cellStyle name="Normal 3 5 2 2" xfId="374"/>
    <cellStyle name="Normal 3 5 2 2 2" xfId="54602"/>
    <cellStyle name="Normal 3 5 2 2 2 2" xfId="54699"/>
    <cellStyle name="Normal 3 5 2 2 3" xfId="54656"/>
    <cellStyle name="Normal 3 5 2 3" xfId="375"/>
    <cellStyle name="Normal 3 5 2 3 2" xfId="54603"/>
    <cellStyle name="Normal 3 5 2 3 2 2" xfId="54700"/>
    <cellStyle name="Normal 3 5 2 3 3" xfId="54657"/>
    <cellStyle name="Normal 3 5 3" xfId="376"/>
    <cellStyle name="Normal 3 5 3 2" xfId="54604"/>
    <cellStyle name="Normal 3 5 3 2 2" xfId="54701"/>
    <cellStyle name="Normal 3 5 3 3" xfId="54658"/>
    <cellStyle name="Normal 3 5 4" xfId="377"/>
    <cellStyle name="Normal 3 5 4 2" xfId="54605"/>
    <cellStyle name="Normal 3 5 4 2 2" xfId="54702"/>
    <cellStyle name="Normal 3 5 4 3" xfId="54659"/>
    <cellStyle name="Normal 3 5 5" xfId="372"/>
    <cellStyle name="Normal 3 5_CE_Workbook_7_18_2012_MultiTab" xfId="378"/>
    <cellStyle name="Normal 3 6" xfId="155"/>
    <cellStyle name="Normal 3 6 2" xfId="380"/>
    <cellStyle name="Normal 3 6 3" xfId="379"/>
    <cellStyle name="Normal 3 7" xfId="381"/>
    <cellStyle name="Normal 3 8" xfId="54601"/>
    <cellStyle name="Normal 3 8 2" xfId="54703"/>
    <cellStyle name="Normal 3 9" xfId="54655"/>
    <cellStyle name="Normal 3_18230684" xfId="382"/>
    <cellStyle name="Normal 30" xfId="8220"/>
    <cellStyle name="Normal 30 2" xfId="54732"/>
    <cellStyle name="Normal 31" xfId="54565"/>
    <cellStyle name="Normal 32" xfId="54572"/>
    <cellStyle name="Normal 33" xfId="54582"/>
    <cellStyle name="Normal 34" xfId="54573"/>
    <cellStyle name="Normal 35" xfId="54634"/>
    <cellStyle name="Normal 36" xfId="54579"/>
    <cellStyle name="Normal 37" xfId="54583"/>
    <cellStyle name="Normal 38" xfId="54576"/>
    <cellStyle name="Normal 39" xfId="54635"/>
    <cellStyle name="Normal 4" xfId="6"/>
    <cellStyle name="Normal 4 2" xfId="26"/>
    <cellStyle name="Normal 4 2 2" xfId="65"/>
    <cellStyle name="Normal 4 2 2 2" xfId="383"/>
    <cellStyle name="Normal 4 2 3" xfId="64"/>
    <cellStyle name="Normal 4 2 3 2" xfId="385"/>
    <cellStyle name="Normal 4 2 3 2 2" xfId="386"/>
    <cellStyle name="Normal 4 2 3 2 2 2" xfId="54608"/>
    <cellStyle name="Normal 4 2 3 2 2 2 2" xfId="54704"/>
    <cellStyle name="Normal 4 2 3 2 2 3" xfId="54662"/>
    <cellStyle name="Normal 4 2 3 2 3" xfId="387"/>
    <cellStyle name="Normal 4 2 3 2 3 2" xfId="54609"/>
    <cellStyle name="Normal 4 2 3 2 3 2 2" xfId="54705"/>
    <cellStyle name="Normal 4 2 3 2 3 3" xfId="54663"/>
    <cellStyle name="Normal 4 2 3 3" xfId="388"/>
    <cellStyle name="Normal 4 2 3 3 2" xfId="54610"/>
    <cellStyle name="Normal 4 2 3 3 2 2" xfId="54706"/>
    <cellStyle name="Normal 4 2 3 3 3" xfId="54664"/>
    <cellStyle name="Normal 4 2 3 4" xfId="389"/>
    <cellStyle name="Normal 4 2 3 4 2" xfId="54611"/>
    <cellStyle name="Normal 4 2 3 4 2 2" xfId="54707"/>
    <cellStyle name="Normal 4 2 3 4 3" xfId="54665"/>
    <cellStyle name="Normal 4 2 3 5" xfId="384"/>
    <cellStyle name="Normal 4 2 3_CE_Workbook_7_18_2012_MultiTab" xfId="390"/>
    <cellStyle name="Normal 4 2 4" xfId="391"/>
    <cellStyle name="Normal 4 2 4 2" xfId="392"/>
    <cellStyle name="Normal 4 2 4 2 2" xfId="54612"/>
    <cellStyle name="Normal 4 2 4 2 2 2" xfId="54708"/>
    <cellStyle name="Normal 4 2 4 2 3" xfId="54666"/>
    <cellStyle name="Normal 4 2 4 3" xfId="393"/>
    <cellStyle name="Normal 4 2 4 3 2" xfId="54613"/>
    <cellStyle name="Normal 4 2 4 3 2 2" xfId="54709"/>
    <cellStyle name="Normal 4 2 4 3 3" xfId="54667"/>
    <cellStyle name="Normal 4 2 5" xfId="394"/>
    <cellStyle name="Normal 4 2 5 2" xfId="54614"/>
    <cellStyle name="Normal 4 2 5 2 2" xfId="54710"/>
    <cellStyle name="Normal 4 2 5 3" xfId="54668"/>
    <cellStyle name="Normal 4 2 6" xfId="54607"/>
    <cellStyle name="Normal 4 2 6 2" xfId="54711"/>
    <cellStyle name="Normal 4 2 7" xfId="54661"/>
    <cellStyle name="Normal 4 2_CE_Workbook_7_18_2012_MultiTab" xfId="395"/>
    <cellStyle name="Normal 4 3" xfId="66"/>
    <cellStyle name="Normal 4 3 2" xfId="67"/>
    <cellStyle name="Normal 4 3 2 2" xfId="396"/>
    <cellStyle name="Normal 4 3 3" xfId="397"/>
    <cellStyle name="Normal 4 3_CE_Workbook_7_18_2012_MultiTab" xfId="398"/>
    <cellStyle name="Normal 4 4" xfId="68"/>
    <cellStyle name="Normal 4 4 2" xfId="399"/>
    <cellStyle name="Normal 4 5" xfId="63"/>
    <cellStyle name="Normal 4 5 2" xfId="401"/>
    <cellStyle name="Normal 4 5 2 2" xfId="402"/>
    <cellStyle name="Normal 4 5 2 2 2" xfId="54615"/>
    <cellStyle name="Normal 4 5 2 2 2 2" xfId="54712"/>
    <cellStyle name="Normal 4 5 2 2 3" xfId="54669"/>
    <cellStyle name="Normal 4 5 2 3" xfId="403"/>
    <cellStyle name="Normal 4 5 2 3 2" xfId="54616"/>
    <cellStyle name="Normal 4 5 2 3 2 2" xfId="54713"/>
    <cellStyle name="Normal 4 5 2 3 3" xfId="54670"/>
    <cellStyle name="Normal 4 5 3" xfId="404"/>
    <cellStyle name="Normal 4 5 3 2" xfId="54617"/>
    <cellStyle name="Normal 4 5 3 2 2" xfId="54714"/>
    <cellStyle name="Normal 4 5 3 3" xfId="54671"/>
    <cellStyle name="Normal 4 5 4" xfId="405"/>
    <cellStyle name="Normal 4 5 4 2" xfId="54618"/>
    <cellStyle name="Normal 4 5 4 2 2" xfId="54715"/>
    <cellStyle name="Normal 4 5 4 3" xfId="54672"/>
    <cellStyle name="Normal 4 5 5" xfId="400"/>
    <cellStyle name="Normal 4 5_CE_Workbook_7_18_2012_MultiTab" xfId="406"/>
    <cellStyle name="Normal 4 6" xfId="407"/>
    <cellStyle name="Normal 4 6 2" xfId="408"/>
    <cellStyle name="Normal 4 6 2 2" xfId="54619"/>
    <cellStyle name="Normal 4 6 2 2 2" xfId="54716"/>
    <cellStyle name="Normal 4 6 2 3" xfId="54673"/>
    <cellStyle name="Normal 4 6 3" xfId="409"/>
    <cellStyle name="Normal 4 6 3 2" xfId="54620"/>
    <cellStyle name="Normal 4 6 3 2 2" xfId="54717"/>
    <cellStyle name="Normal 4 6 3 3" xfId="54674"/>
    <cellStyle name="Normal 4 7" xfId="410"/>
    <cellStyle name="Normal 4 7 2" xfId="54621"/>
    <cellStyle name="Normal 4 7 2 2" xfId="54718"/>
    <cellStyle name="Normal 4 7 3" xfId="54675"/>
    <cellStyle name="Normal 4 8" xfId="54606"/>
    <cellStyle name="Normal 4 8 2" xfId="54719"/>
    <cellStyle name="Normal 4 9" xfId="54660"/>
    <cellStyle name="Normal 4_CE_Workbook_7_18_2012_MultiTab" xfId="411"/>
    <cellStyle name="Normal 40" xfId="54580"/>
    <cellStyle name="Normal 41" xfId="54575"/>
    <cellStyle name="Normal 42" xfId="54577"/>
    <cellStyle name="Normal 43" xfId="54636"/>
    <cellStyle name="Normal 44" xfId="54581"/>
    <cellStyle name="Normal 45" xfId="54574"/>
    <cellStyle name="Normal 46" xfId="54578"/>
    <cellStyle name="Normal 47" xfId="54637"/>
    <cellStyle name="Normal 48" xfId="54642"/>
    <cellStyle name="Normal 49" xfId="54638"/>
    <cellStyle name="Normal 5" xfId="12"/>
    <cellStyle name="Normal 5 10" xfId="222"/>
    <cellStyle name="Normal 5 2" xfId="27"/>
    <cellStyle name="Normal 5 2 2" xfId="413"/>
    <cellStyle name="Normal 5 2 3" xfId="412"/>
    <cellStyle name="Normal 5 3" xfId="69"/>
    <cellStyle name="Normal 5 3 2" xfId="415"/>
    <cellStyle name="Normal 5 3 2 2" xfId="416"/>
    <cellStyle name="Normal 5 3 2 2 2" xfId="54623"/>
    <cellStyle name="Normal 5 3 2 2 2 2" xfId="54720"/>
    <cellStyle name="Normal 5 3 2 2 3" xfId="54677"/>
    <cellStyle name="Normal 5 3 2 3" xfId="417"/>
    <cellStyle name="Normal 5 3 2 3 2" xfId="54624"/>
    <cellStyle name="Normal 5 3 2 3 2 2" xfId="54721"/>
    <cellStyle name="Normal 5 3 2 3 3" xfId="54678"/>
    <cellStyle name="Normal 5 3 3" xfId="418"/>
    <cellStyle name="Normal 5 3 3 2" xfId="54625"/>
    <cellStyle name="Normal 5 3 3 2 2" xfId="54722"/>
    <cellStyle name="Normal 5 3 3 3" xfId="54679"/>
    <cellStyle name="Normal 5 3 4" xfId="419"/>
    <cellStyle name="Normal 5 3 4 2" xfId="54626"/>
    <cellStyle name="Normal 5 3 4 2 2" xfId="54723"/>
    <cellStyle name="Normal 5 3 4 3" xfId="54680"/>
    <cellStyle name="Normal 5 3 5" xfId="414"/>
    <cellStyle name="Normal 5 3_CE_Workbook_7_18_2012_MultiTab" xfId="420"/>
    <cellStyle name="Normal 5 4" xfId="203"/>
    <cellStyle name="Normal 5 5" xfId="421"/>
    <cellStyle name="Normal 5 5 2" xfId="422"/>
    <cellStyle name="Normal 5 5 2 2" xfId="54627"/>
    <cellStyle name="Normal 5 5 2 2 2" xfId="54724"/>
    <cellStyle name="Normal 5 5 2 3" xfId="54681"/>
    <cellStyle name="Normal 5 5 3" xfId="423"/>
    <cellStyle name="Normal 5 5 3 2" xfId="54628"/>
    <cellStyle name="Normal 5 5 3 2 2" xfId="54725"/>
    <cellStyle name="Normal 5 5 3 3" xfId="54682"/>
    <cellStyle name="Normal 5 6" xfId="424"/>
    <cellStyle name="Normal 5 6 2" xfId="54629"/>
    <cellStyle name="Normal 5 6 2 2" xfId="54726"/>
    <cellStyle name="Normal 5 6 3" xfId="54683"/>
    <cellStyle name="Normal 5 7" xfId="456"/>
    <cellStyle name="Normal 5 7 2" xfId="54622"/>
    <cellStyle name="Normal 5 8" xfId="467"/>
    <cellStyle name="Normal 5 8 2" xfId="54676"/>
    <cellStyle name="Normal 5 9" xfId="234"/>
    <cellStyle name="Normal 5_CE_Workbook_7_18_2012_MultiTab" xfId="425"/>
    <cellStyle name="Normal 50" xfId="54641"/>
    <cellStyle name="Normal 51" xfId="54643"/>
    <cellStyle name="Normal 52" xfId="54640"/>
    <cellStyle name="Normal 53" xfId="54639"/>
    <cellStyle name="Normal 54" xfId="54733"/>
    <cellStyle name="Normal 55" xfId="54742"/>
    <cellStyle name="Normal 56" xfId="54737"/>
    <cellStyle name="Normal 57" xfId="54745"/>
    <cellStyle name="Normal 58" xfId="54741"/>
    <cellStyle name="Normal 59" xfId="54738"/>
    <cellStyle name="Normal 6" xfId="70"/>
    <cellStyle name="Normal 6 2" xfId="426"/>
    <cellStyle name="Normal 6 2 2" xfId="427"/>
    <cellStyle name="Normal 6 2 2 2" xfId="54631"/>
    <cellStyle name="Normal 6 2 2 2 2" xfId="54727"/>
    <cellStyle name="Normal 6 2 2 3" xfId="54685"/>
    <cellStyle name="Normal 6 2 3" xfId="428"/>
    <cellStyle name="Normal 6 2 3 2" xfId="54632"/>
    <cellStyle name="Normal 6 2 3 2 2" xfId="54728"/>
    <cellStyle name="Normal 6 2 3 3" xfId="54686"/>
    <cellStyle name="Normal 6 3" xfId="429"/>
    <cellStyle name="Normal 6 3 2" xfId="54633"/>
    <cellStyle name="Normal 6 3 2 2" xfId="54729"/>
    <cellStyle name="Normal 6 3 3" xfId="54687"/>
    <cellStyle name="Normal 6 4" xfId="54630"/>
    <cellStyle name="Normal 6 4 2" xfId="54730"/>
    <cellStyle name="Normal 6 5" xfId="54684"/>
    <cellStyle name="Normal 6_CE_Workbook_7_18_2012_MultiTab" xfId="430"/>
    <cellStyle name="Normal 60" xfId="54743"/>
    <cellStyle name="Normal 61" xfId="54739"/>
    <cellStyle name="Normal 62" xfId="54736"/>
    <cellStyle name="Normal 63" xfId="54744"/>
    <cellStyle name="Normal 64" xfId="54735"/>
    <cellStyle name="Normal 65" xfId="54746"/>
    <cellStyle name="Normal 66" xfId="54734"/>
    <cellStyle name="Normal 67" xfId="54740"/>
    <cellStyle name="Normal 68" xfId="54747"/>
    <cellStyle name="Normal 69" xfId="54757"/>
    <cellStyle name="Normal 7" xfId="71"/>
    <cellStyle name="Normal 7 2" xfId="431"/>
    <cellStyle name="Normal 70" xfId="54758"/>
    <cellStyle name="Normal 71" xfId="54751"/>
    <cellStyle name="Normal 72" xfId="54756"/>
    <cellStyle name="Normal 73" xfId="54754"/>
    <cellStyle name="Normal 74" xfId="54755"/>
    <cellStyle name="Normal 75" xfId="54749"/>
    <cellStyle name="Normal 76" xfId="54750"/>
    <cellStyle name="Normal 77" xfId="54752"/>
    <cellStyle name="Normal 78" xfId="54760"/>
    <cellStyle name="Normal 79" xfId="54753"/>
    <cellStyle name="Normal 8" xfId="72"/>
    <cellStyle name="Normal 8 2" xfId="432"/>
    <cellStyle name="Normal 8 3" xfId="433"/>
    <cellStyle name="Normal 8_Duplicate Delete" xfId="434"/>
    <cellStyle name="Normal 80" xfId="54759"/>
    <cellStyle name="Normal 81" xfId="54748"/>
    <cellStyle name="Normal 82" xfId="54761"/>
    <cellStyle name="Normal 83" xfId="54762"/>
    <cellStyle name="Normal 84" xfId="54769"/>
    <cellStyle name="Normal 85" xfId="54764"/>
    <cellStyle name="Normal 86" xfId="54771"/>
    <cellStyle name="Normal 87" xfId="54766"/>
    <cellStyle name="Normal 88" xfId="54765"/>
    <cellStyle name="Normal 89" xfId="54768"/>
    <cellStyle name="Normal 9" xfId="73"/>
    <cellStyle name="Normal 9 2" xfId="77"/>
    <cellStyle name="Normal 9 2 2" xfId="435"/>
    <cellStyle name="Normal 9 3" xfId="436"/>
    <cellStyle name="Normal 9_18230684" xfId="437"/>
    <cellStyle name="Normal 90" xfId="54763"/>
    <cellStyle name="Normal 91" xfId="54770"/>
    <cellStyle name="Normal 92" xfId="54767"/>
    <cellStyle name="Normal 93" xfId="54772"/>
    <cellStyle name="Normal_2_2011 EES sector view 2" xfId="171"/>
    <cellStyle name="Normal_2_2011 EES sector view_Revised 11-18-2010" xfId="156"/>
    <cellStyle name="Normal_P90010" xfId="17"/>
    <cellStyle name="Normal_P90010 2" xfId="23"/>
    <cellStyle name="Note 2" xfId="158"/>
    <cellStyle name="Note 2 10" xfId="1242"/>
    <cellStyle name="Note 2 10 2" xfId="9065"/>
    <cellStyle name="Note 2 10 3" xfId="16493"/>
    <cellStyle name="Note 2 10 4" xfId="19534"/>
    <cellStyle name="Note 2 10 5" xfId="28351"/>
    <cellStyle name="Note 2 10 6" xfId="37468"/>
    <cellStyle name="Note 2 10 7" xfId="47011"/>
    <cellStyle name="Note 2 11" xfId="1558"/>
    <cellStyle name="Note 2 11 2" xfId="9381"/>
    <cellStyle name="Note 2 11 3" xfId="16809"/>
    <cellStyle name="Note 2 11 4" xfId="20432"/>
    <cellStyle name="Note 2 11 5" xfId="27897"/>
    <cellStyle name="Note 2 11 6" xfId="37796"/>
    <cellStyle name="Note 2 11 7" xfId="47930"/>
    <cellStyle name="Note 2 12" xfId="1089"/>
    <cellStyle name="Note 2 12 2" xfId="8913"/>
    <cellStyle name="Note 2 12 3" xfId="16341"/>
    <cellStyle name="Note 2 12 4" xfId="20068"/>
    <cellStyle name="Note 2 12 5" xfId="28613"/>
    <cellStyle name="Note 2 12 6" xfId="36423"/>
    <cellStyle name="Note 2 12 7" xfId="48712"/>
    <cellStyle name="Note 2 13" xfId="2326"/>
    <cellStyle name="Note 2 13 2" xfId="10149"/>
    <cellStyle name="Note 2 13 3" xfId="17577"/>
    <cellStyle name="Note 2 13 4" xfId="26660"/>
    <cellStyle name="Note 2 13 5" xfId="35505"/>
    <cellStyle name="Note 2 13 6" xfId="40766"/>
    <cellStyle name="Note 2 13 7" xfId="54412"/>
    <cellStyle name="Note 2 14" xfId="1273"/>
    <cellStyle name="Note 2 14 2" xfId="9096"/>
    <cellStyle name="Note 2 14 3" xfId="16524"/>
    <cellStyle name="Note 2 14 4" xfId="19691"/>
    <cellStyle name="Note 2 14 5" xfId="27347"/>
    <cellStyle name="Note 2 14 6" xfId="40798"/>
    <cellStyle name="Note 2 14 7" xfId="46779"/>
    <cellStyle name="Note 2 15" xfId="2716"/>
    <cellStyle name="Note 2 15 2" xfId="10539"/>
    <cellStyle name="Note 2 15 3" xfId="17967"/>
    <cellStyle name="Note 2 15 4" xfId="25190"/>
    <cellStyle name="Note 2 15 5" xfId="33573"/>
    <cellStyle name="Note 2 15 6" xfId="38156"/>
    <cellStyle name="Note 2 15 7" xfId="51192"/>
    <cellStyle name="Note 2 16" xfId="3071"/>
    <cellStyle name="Note 2 16 2" xfId="10879"/>
    <cellStyle name="Note 2 16 3" xfId="18274"/>
    <cellStyle name="Note 2 16 4" xfId="26219"/>
    <cellStyle name="Note 2 16 5" xfId="34904"/>
    <cellStyle name="Note 2 16 6" xfId="39834"/>
    <cellStyle name="Note 2 16 7" xfId="53461"/>
    <cellStyle name="Note 2 17" xfId="3040"/>
    <cellStyle name="Note 2 17 2" xfId="10853"/>
    <cellStyle name="Note 2 17 3" xfId="18264"/>
    <cellStyle name="Note 2 17 4" xfId="24842"/>
    <cellStyle name="Note 2 17 5" xfId="27061"/>
    <cellStyle name="Note 2 17 6" xfId="37181"/>
    <cellStyle name="Note 2 17 7" xfId="49219"/>
    <cellStyle name="Note 2 18" xfId="3488"/>
    <cellStyle name="Note 2 18 2" xfId="11279"/>
    <cellStyle name="Note 2 18 3" xfId="18589"/>
    <cellStyle name="Note 2 18 4" xfId="19287"/>
    <cellStyle name="Note 2 18 5" xfId="27965"/>
    <cellStyle name="Note 2 18 6" xfId="36683"/>
    <cellStyle name="Note 2 18 7" xfId="48684"/>
    <cellStyle name="Note 2 19" xfId="4220"/>
    <cellStyle name="Note 2 19 2" xfId="11963"/>
    <cellStyle name="Note 2 19 3" xfId="20930"/>
    <cellStyle name="Note 2 19 4" xfId="29117"/>
    <cellStyle name="Note 2 19 5" xfId="35273"/>
    <cellStyle name="Note 2 19 6" xfId="42782"/>
    <cellStyle name="Note 2 19 7" xfId="49557"/>
    <cellStyle name="Note 2 2" xfId="169"/>
    <cellStyle name="Note 2 2 10" xfId="982"/>
    <cellStyle name="Note 2 2 10 2" xfId="8806"/>
    <cellStyle name="Note 2 2 10 3" xfId="16234"/>
    <cellStyle name="Note 2 2 10 4" xfId="25886"/>
    <cellStyle name="Note 2 2 10 5" xfId="34481"/>
    <cellStyle name="Note 2 2 10 6" xfId="37188"/>
    <cellStyle name="Note 2 2 10 7" xfId="52756"/>
    <cellStyle name="Note 2 2 11" xfId="1803"/>
    <cellStyle name="Note 2 2 11 2" xfId="9626"/>
    <cellStyle name="Note 2 2 11 3" xfId="17054"/>
    <cellStyle name="Note 2 2 11 4" xfId="19718"/>
    <cellStyle name="Note 2 2 11 5" xfId="27840"/>
    <cellStyle name="Note 2 2 11 6" xfId="39571"/>
    <cellStyle name="Note 2 2 11 7" xfId="47492"/>
    <cellStyle name="Note 2 2 12" xfId="2284"/>
    <cellStyle name="Note 2 2 12 2" xfId="10107"/>
    <cellStyle name="Note 2 2 12 3" xfId="17535"/>
    <cellStyle name="Note 2 2 12 4" xfId="25313"/>
    <cellStyle name="Note 2 2 12 5" xfId="33733"/>
    <cellStyle name="Note 2 2 12 6" xfId="36571"/>
    <cellStyle name="Note 2 2 12 7" xfId="51452"/>
    <cellStyle name="Note 2 2 13" xfId="2290"/>
    <cellStyle name="Note 2 2 13 2" xfId="10113"/>
    <cellStyle name="Note 2 2 13 3" xfId="17541"/>
    <cellStyle name="Note 2 2 13 4" xfId="19708"/>
    <cellStyle name="Note 2 2 13 5" xfId="27720"/>
    <cellStyle name="Note 2 2 13 6" xfId="36914"/>
    <cellStyle name="Note 2 2 13 7" xfId="47558"/>
    <cellStyle name="Note 2 2 14" xfId="2396"/>
    <cellStyle name="Note 2 2 14 2" xfId="10219"/>
    <cellStyle name="Note 2 2 14 3" xfId="17647"/>
    <cellStyle name="Note 2 2 14 4" xfId="26695"/>
    <cellStyle name="Note 2 2 14 5" xfId="35547"/>
    <cellStyle name="Note 2 2 14 6" xfId="40288"/>
    <cellStyle name="Note 2 2 14 7" xfId="54484"/>
    <cellStyle name="Note 2 2 15" xfId="3178"/>
    <cellStyle name="Note 2 2 15 2" xfId="10979"/>
    <cellStyle name="Note 2 2 15 3" xfId="18340"/>
    <cellStyle name="Note 2 2 15 4" xfId="25348"/>
    <cellStyle name="Note 2 2 15 5" xfId="33783"/>
    <cellStyle name="Note 2 2 15 6" xfId="37497"/>
    <cellStyle name="Note 2 2 15 7" xfId="51532"/>
    <cellStyle name="Note 2 2 16" xfId="3086"/>
    <cellStyle name="Note 2 2 16 2" xfId="10893"/>
    <cellStyle name="Note 2 2 16 3" xfId="18280"/>
    <cellStyle name="Note 2 2 16 4" xfId="25609"/>
    <cellStyle name="Note 2 2 16 5" xfId="34120"/>
    <cellStyle name="Note 2 2 16 6" xfId="38232"/>
    <cellStyle name="Note 2 2 16 7" xfId="52108"/>
    <cellStyle name="Note 2 2 17" xfId="3879"/>
    <cellStyle name="Note 2 2 17 2" xfId="11660"/>
    <cellStyle name="Note 2 2 17 3" xfId="18914"/>
    <cellStyle name="Note 2 2 17 4" xfId="26213"/>
    <cellStyle name="Note 2 2 17 5" xfId="34896"/>
    <cellStyle name="Note 2 2 17 6" xfId="41557"/>
    <cellStyle name="Note 2 2 17 7" xfId="53447"/>
    <cellStyle name="Note 2 2 18" xfId="4036"/>
    <cellStyle name="Note 2 2 18 2" xfId="11807"/>
    <cellStyle name="Note 2 2 18 3" xfId="20746"/>
    <cellStyle name="Note 2 2 18 4" xfId="28933"/>
    <cellStyle name="Note 2 2 18 5" xfId="36062"/>
    <cellStyle name="Note 2 2 18 6" xfId="42598"/>
    <cellStyle name="Note 2 2 18 7" xfId="53735"/>
    <cellStyle name="Note 2 2 19" xfId="3480"/>
    <cellStyle name="Note 2 2 19 2" xfId="11271"/>
    <cellStyle name="Note 2 2 19 3" xfId="20467"/>
    <cellStyle name="Note 2 2 19 4" xfId="28589"/>
    <cellStyle name="Note 2 2 19 5" xfId="33997"/>
    <cellStyle name="Note 2 2 19 6" xfId="42478"/>
    <cellStyle name="Note 2 2 19 7" xfId="49032"/>
    <cellStyle name="Note 2 2 2" xfId="265"/>
    <cellStyle name="Note 2 2 2 10" xfId="1133"/>
    <cellStyle name="Note 2 2 2 10 2" xfId="8956"/>
    <cellStyle name="Note 2 2 2 10 3" xfId="16384"/>
    <cellStyle name="Note 2 2 2 10 4" xfId="25277"/>
    <cellStyle name="Note 2 2 2 10 5" xfId="33689"/>
    <cellStyle name="Note 2 2 2 10 6" xfId="41749"/>
    <cellStyle name="Note 2 2 2 10 7" xfId="51384"/>
    <cellStyle name="Note 2 2 2 11" xfId="1425"/>
    <cellStyle name="Note 2 2 2 11 2" xfId="9248"/>
    <cellStyle name="Note 2 2 2 11 3" xfId="16676"/>
    <cellStyle name="Note 2 2 2 11 4" xfId="26251"/>
    <cellStyle name="Note 2 2 2 11 5" xfId="34947"/>
    <cellStyle name="Note 2 2 2 11 6" xfId="41377"/>
    <cellStyle name="Note 2 2 2 11 7" xfId="53542"/>
    <cellStyle name="Note 2 2 2 12" xfId="1062"/>
    <cellStyle name="Note 2 2 2 12 2" xfId="8886"/>
    <cellStyle name="Note 2 2 2 12 3" xfId="16314"/>
    <cellStyle name="Note 2 2 2 12 4" xfId="25322"/>
    <cellStyle name="Note 2 2 2 12 5" xfId="33750"/>
    <cellStyle name="Note 2 2 2 12 6" xfId="37175"/>
    <cellStyle name="Note 2 2 2 12 7" xfId="51479"/>
    <cellStyle name="Note 2 2 2 13" xfId="1137"/>
    <cellStyle name="Note 2 2 2 13 2" xfId="8960"/>
    <cellStyle name="Note 2 2 2 13 3" xfId="16388"/>
    <cellStyle name="Note 2 2 2 13 4" xfId="25075"/>
    <cellStyle name="Note 2 2 2 13 5" xfId="33435"/>
    <cellStyle name="Note 2 2 2 13 6" xfId="41251"/>
    <cellStyle name="Note 2 2 2 13 7" xfId="50959"/>
    <cellStyle name="Note 2 2 2 14" xfId="1033"/>
    <cellStyle name="Note 2 2 2 14 2" xfId="8857"/>
    <cellStyle name="Note 2 2 2 14 3" xfId="16285"/>
    <cellStyle name="Note 2 2 2 14 4" xfId="20561"/>
    <cellStyle name="Note 2 2 2 14 5" xfId="27136"/>
    <cellStyle name="Note 2 2 2 14 6" xfId="36999"/>
    <cellStyle name="Note 2 2 2 14 7" xfId="48366"/>
    <cellStyle name="Note 2 2 2 15" xfId="1044"/>
    <cellStyle name="Note 2 2 2 15 2" xfId="8868"/>
    <cellStyle name="Note 2 2 2 15 3" xfId="16296"/>
    <cellStyle name="Note 2 2 2 15 4" xfId="26194"/>
    <cellStyle name="Note 2 2 2 15 5" xfId="34875"/>
    <cellStyle name="Note 2 2 2 15 6" xfId="36549"/>
    <cellStyle name="Note 2 2 2 15 7" xfId="53415"/>
    <cellStyle name="Note 2 2 2 16" xfId="1582"/>
    <cellStyle name="Note 2 2 2 16 2" xfId="9405"/>
    <cellStyle name="Note 2 2 2 16 3" xfId="16833"/>
    <cellStyle name="Note 2 2 2 16 4" xfId="20572"/>
    <cellStyle name="Note 2 2 2 16 5" xfId="28865"/>
    <cellStyle name="Note 2 2 2 16 6" xfId="40419"/>
    <cellStyle name="Note 2 2 2 16 7" xfId="47609"/>
    <cellStyle name="Note 2 2 2 17" xfId="1204"/>
    <cellStyle name="Note 2 2 2 17 2" xfId="9027"/>
    <cellStyle name="Note 2 2 2 17 3" xfId="16455"/>
    <cellStyle name="Note 2 2 2 17 4" xfId="25248"/>
    <cellStyle name="Note 2 2 2 17 5" xfId="33652"/>
    <cellStyle name="Note 2 2 2 17 6" xfId="40836"/>
    <cellStyle name="Note 2 2 2 17 7" xfId="51315"/>
    <cellStyle name="Note 2 2 2 18" xfId="1267"/>
    <cellStyle name="Note 2 2 2 18 2" xfId="9090"/>
    <cellStyle name="Note 2 2 2 18 3" xfId="16518"/>
    <cellStyle name="Note 2 2 2 18 4" xfId="20406"/>
    <cellStyle name="Note 2 2 2 18 5" xfId="27868"/>
    <cellStyle name="Note 2 2 2 18 6" xfId="41483"/>
    <cellStyle name="Note 2 2 2 18 7" xfId="46929"/>
    <cellStyle name="Note 2 2 2 19" xfId="1079"/>
    <cellStyle name="Note 2 2 2 19 2" xfId="8903"/>
    <cellStyle name="Note 2 2 2 19 3" xfId="16331"/>
    <cellStyle name="Note 2 2 2 19 4" xfId="20678"/>
    <cellStyle name="Note 2 2 2 19 5" xfId="28010"/>
    <cellStyle name="Note 2 2 2 19 6" xfId="36775"/>
    <cellStyle name="Note 2 2 2 19 7" xfId="49495"/>
    <cellStyle name="Note 2 2 2 2" xfId="539"/>
    <cellStyle name="Note 2 2 2 2 10" xfId="1986"/>
    <cellStyle name="Note 2 2 2 2 10 2" xfId="9809"/>
    <cellStyle name="Note 2 2 2 2 10 3" xfId="17237"/>
    <cellStyle name="Note 2 2 2 2 10 4" xfId="26621"/>
    <cellStyle name="Note 2 2 2 2 10 5" xfId="35453"/>
    <cellStyle name="Note 2 2 2 2 10 6" xfId="37044"/>
    <cellStyle name="Note 2 2 2 2 10 7" xfId="54328"/>
    <cellStyle name="Note 2 2 2 2 11" xfId="2104"/>
    <cellStyle name="Note 2 2 2 2 11 2" xfId="9927"/>
    <cellStyle name="Note 2 2 2 2 11 3" xfId="17355"/>
    <cellStyle name="Note 2 2 2 2 11 4" xfId="19448"/>
    <cellStyle name="Note 2 2 2 2 11 5" xfId="28557"/>
    <cellStyle name="Note 2 2 2 2 11 6" xfId="36559"/>
    <cellStyle name="Note 2 2 2 2 11 7" xfId="48514"/>
    <cellStyle name="Note 2 2 2 2 12" xfId="2217"/>
    <cellStyle name="Note 2 2 2 2 12 2" xfId="10040"/>
    <cellStyle name="Note 2 2 2 2 12 3" xfId="17468"/>
    <cellStyle name="Note 2 2 2 2 12 4" xfId="25166"/>
    <cellStyle name="Note 2 2 2 2 12 5" xfId="33546"/>
    <cellStyle name="Note 2 2 2 2 12 6" xfId="37280"/>
    <cellStyle name="Note 2 2 2 2 12 7" xfId="51145"/>
    <cellStyle name="Note 2 2 2 2 13" xfId="2324"/>
    <cellStyle name="Note 2 2 2 2 13 2" xfId="10147"/>
    <cellStyle name="Note 2 2 2 2 13 3" xfId="17575"/>
    <cellStyle name="Note 2 2 2 2 13 4" xfId="19399"/>
    <cellStyle name="Note 2 2 2 2 13 5" xfId="28788"/>
    <cellStyle name="Note 2 2 2 2 13 6" xfId="40982"/>
    <cellStyle name="Note 2 2 2 2 13 7" xfId="48343"/>
    <cellStyle name="Note 2 2 2 2 14" xfId="2415"/>
    <cellStyle name="Note 2 2 2 2 14 2" xfId="10238"/>
    <cellStyle name="Note 2 2 2 2 14 3" xfId="17666"/>
    <cellStyle name="Note 2 2 2 2 14 4" xfId="25809"/>
    <cellStyle name="Note 2 2 2 2 14 5" xfId="34388"/>
    <cellStyle name="Note 2 2 2 2 14 6" xfId="38239"/>
    <cellStyle name="Note 2 2 2 2 14 7" xfId="52585"/>
    <cellStyle name="Note 2 2 2 2 15" xfId="2515"/>
    <cellStyle name="Note 2 2 2 2 15 2" xfId="10338"/>
    <cellStyle name="Note 2 2 2 2 15 3" xfId="17766"/>
    <cellStyle name="Note 2 2 2 2 15 4" xfId="19158"/>
    <cellStyle name="Note 2 2 2 2 15 5" xfId="28879"/>
    <cellStyle name="Note 2 2 2 2 15 6" xfId="36395"/>
    <cellStyle name="Note 2 2 2 2 15 7" xfId="49252"/>
    <cellStyle name="Note 2 2 2 2 16" xfId="2628"/>
    <cellStyle name="Note 2 2 2 2 16 2" xfId="10451"/>
    <cellStyle name="Note 2 2 2 2 16 3" xfId="17879"/>
    <cellStyle name="Note 2 2 2 2 16 4" xfId="26080"/>
    <cellStyle name="Note 2 2 2 2 16 5" xfId="34727"/>
    <cellStyle name="Note 2 2 2 2 16 6" xfId="36562"/>
    <cellStyle name="Note 2 2 2 2 16 7" xfId="53168"/>
    <cellStyle name="Note 2 2 2 2 17" xfId="2721"/>
    <cellStyle name="Note 2 2 2 2 17 2" xfId="10544"/>
    <cellStyle name="Note 2 2 2 2 17 3" xfId="17972"/>
    <cellStyle name="Note 2 2 2 2 17 4" xfId="19522"/>
    <cellStyle name="Note 2 2 2 2 17 5" xfId="28262"/>
    <cellStyle name="Note 2 2 2 2 17 6" xfId="37843"/>
    <cellStyle name="Note 2 2 2 2 17 7" xfId="47508"/>
    <cellStyle name="Note 2 2 2 2 18" xfId="2752"/>
    <cellStyle name="Note 2 2 2 2 18 2" xfId="10575"/>
    <cellStyle name="Note 2 2 2 2 18 3" xfId="18003"/>
    <cellStyle name="Note 2 2 2 2 18 4" xfId="19529"/>
    <cellStyle name="Note 2 2 2 2 18 5" xfId="27454"/>
    <cellStyle name="Note 2 2 2 2 18 6" xfId="36850"/>
    <cellStyle name="Note 2 2 2 2 18 7" xfId="49638"/>
    <cellStyle name="Note 2 2 2 2 19" xfId="2821"/>
    <cellStyle name="Note 2 2 2 2 19 2" xfId="10644"/>
    <cellStyle name="Note 2 2 2 2 19 3" xfId="18072"/>
    <cellStyle name="Note 2 2 2 2 19 4" xfId="19208"/>
    <cellStyle name="Note 2 2 2 2 19 5" xfId="26725"/>
    <cellStyle name="Note 2 2 2 2 19 6" xfId="42273"/>
    <cellStyle name="Note 2 2 2 2 19 7" xfId="49211"/>
    <cellStyle name="Note 2 2 2 2 2" xfId="689"/>
    <cellStyle name="Note 2 2 2 2 2 2" xfId="8513"/>
    <cellStyle name="Note 2 2 2 2 2 3" xfId="15941"/>
    <cellStyle name="Note 2 2 2 2 2 4" xfId="19764"/>
    <cellStyle name="Note 2 2 2 2 2 5" xfId="27092"/>
    <cellStyle name="Note 2 2 2 2 2 6" xfId="36951"/>
    <cellStyle name="Note 2 2 2 2 2 7" xfId="47253"/>
    <cellStyle name="Note 2 2 2 2 20" xfId="2928"/>
    <cellStyle name="Note 2 2 2 2 20 2" xfId="10751"/>
    <cellStyle name="Note 2 2 2 2 20 3" xfId="18179"/>
    <cellStyle name="Note 2 2 2 2 20 4" xfId="26075"/>
    <cellStyle name="Note 2 2 2 2 20 5" xfId="34721"/>
    <cellStyle name="Note 2 2 2 2 20 6" xfId="41555"/>
    <cellStyle name="Note 2 2 2 2 20 7" xfId="53159"/>
    <cellStyle name="Note 2 2 2 2 21" xfId="3304"/>
    <cellStyle name="Note 2 2 2 2 21 2" xfId="11097"/>
    <cellStyle name="Note 2 2 2 2 21 3" xfId="18426"/>
    <cellStyle name="Note 2 2 2 2 21 4" xfId="25332"/>
    <cellStyle name="Note 2 2 2 2 21 5" xfId="33762"/>
    <cellStyle name="Note 2 2 2 2 21 6" xfId="39166"/>
    <cellStyle name="Note 2 2 2 2 21 7" xfId="51499"/>
    <cellStyle name="Note 2 2 2 2 22" xfId="3424"/>
    <cellStyle name="Note 2 2 2 2 22 2" xfId="11215"/>
    <cellStyle name="Note 2 2 2 2 22 3" xfId="18537"/>
    <cellStyle name="Note 2 2 2 2 22 4" xfId="25822"/>
    <cellStyle name="Note 2 2 2 2 22 5" xfId="34404"/>
    <cellStyle name="Note 2 2 2 2 22 6" xfId="36833"/>
    <cellStyle name="Note 2 2 2 2 22 7" xfId="52611"/>
    <cellStyle name="Note 2 2 2 2 23" xfId="3550"/>
    <cellStyle name="Note 2 2 2 2 23 2" xfId="11339"/>
    <cellStyle name="Note 2 2 2 2 23 3" xfId="18625"/>
    <cellStyle name="Note 2 2 2 2 23 4" xfId="19913"/>
    <cellStyle name="Note 2 2 2 2 23 5" xfId="27837"/>
    <cellStyle name="Note 2 2 2 2 23 6" xfId="38131"/>
    <cellStyle name="Note 2 2 2 2 23 7" xfId="49577"/>
    <cellStyle name="Note 2 2 2 2 24" xfId="3179"/>
    <cellStyle name="Note 2 2 2 2 24 2" xfId="10980"/>
    <cellStyle name="Note 2 2 2 2 24 3" xfId="18341"/>
    <cellStyle name="Note 2 2 2 2 24 4" xfId="25299"/>
    <cellStyle name="Note 2 2 2 2 24 5" xfId="33715"/>
    <cellStyle name="Note 2 2 2 2 24 6" xfId="37059"/>
    <cellStyle name="Note 2 2 2 2 24 7" xfId="51427"/>
    <cellStyle name="Note 2 2 2 2 25" xfId="3695"/>
    <cellStyle name="Note 2 2 2 2 25 2" xfId="11480"/>
    <cellStyle name="Note 2 2 2 2 25 3" xfId="18753"/>
    <cellStyle name="Note 2 2 2 2 25 4" xfId="19123"/>
    <cellStyle name="Note 2 2 2 2 25 5" xfId="27439"/>
    <cellStyle name="Note 2 2 2 2 25 6" xfId="36678"/>
    <cellStyle name="Note 2 2 2 2 25 7" xfId="49899"/>
    <cellStyle name="Note 2 2 2 2 26" xfId="3825"/>
    <cellStyle name="Note 2 2 2 2 26 2" xfId="11607"/>
    <cellStyle name="Note 2 2 2 2 26 3" xfId="18864"/>
    <cellStyle name="Note 2 2 2 2 26 4" xfId="25601"/>
    <cellStyle name="Note 2 2 2 2 26 5" xfId="34111"/>
    <cellStyle name="Note 2 2 2 2 26 6" xfId="39689"/>
    <cellStyle name="Note 2 2 2 2 26 7" xfId="52091"/>
    <cellStyle name="Note 2 2 2 2 27" xfId="3943"/>
    <cellStyle name="Note 2 2 2 2 27 2" xfId="11723"/>
    <cellStyle name="Note 2 2 2 2 27 3" xfId="18973"/>
    <cellStyle name="Note 2 2 2 2 27 4" xfId="26478"/>
    <cellStyle name="Note 2 2 2 2 27 5" xfId="35262"/>
    <cellStyle name="Note 2 2 2 2 27 6" xfId="36875"/>
    <cellStyle name="Note 2 2 2 2 27 7" xfId="54029"/>
    <cellStyle name="Note 2 2 2 2 28" xfId="4027"/>
    <cellStyle name="Note 2 2 2 2 28 2" xfId="11800"/>
    <cellStyle name="Note 2 2 2 2 28 3" xfId="20737"/>
    <cellStyle name="Note 2 2 2 2 28 4" xfId="28924"/>
    <cellStyle name="Note 2 2 2 2 28 5" xfId="36225"/>
    <cellStyle name="Note 2 2 2 2 28 6" xfId="42589"/>
    <cellStyle name="Note 2 2 2 2 28 7" xfId="54510"/>
    <cellStyle name="Note 2 2 2 2 29" xfId="4140"/>
    <cellStyle name="Note 2 2 2 2 29 2" xfId="11899"/>
    <cellStyle name="Note 2 2 2 2 29 3" xfId="20850"/>
    <cellStyle name="Note 2 2 2 2 29 4" xfId="29037"/>
    <cellStyle name="Note 2 2 2 2 29 5" xfId="35117"/>
    <cellStyle name="Note 2 2 2 2 29 6" xfId="42702"/>
    <cellStyle name="Note 2 2 2 2 29 7" xfId="50455"/>
    <cellStyle name="Note 2 2 2 2 3" xfId="797"/>
    <cellStyle name="Note 2 2 2 2 3 2" xfId="8621"/>
    <cellStyle name="Note 2 2 2 2 3 3" xfId="16049"/>
    <cellStyle name="Note 2 2 2 2 3 4" xfId="19725"/>
    <cellStyle name="Note 2 2 2 2 3 5" xfId="27149"/>
    <cellStyle name="Note 2 2 2 2 3 6" xfId="37733"/>
    <cellStyle name="Note 2 2 2 2 3 7" xfId="49563"/>
    <cellStyle name="Note 2 2 2 2 30" xfId="4022"/>
    <cellStyle name="Note 2 2 2 2 30 2" xfId="20732"/>
    <cellStyle name="Note 2 2 2 2 30 3" xfId="28919"/>
    <cellStyle name="Note 2 2 2 2 30 4" xfId="35828"/>
    <cellStyle name="Note 2 2 2 2 30 5" xfId="42584"/>
    <cellStyle name="Note 2 2 2 2 30 6" xfId="52549"/>
    <cellStyle name="Note 2 2 2 2 31" xfId="4337"/>
    <cellStyle name="Note 2 2 2 2 31 2" xfId="12054"/>
    <cellStyle name="Note 2 2 2 2 31 3" xfId="21047"/>
    <cellStyle name="Note 2 2 2 2 31 4" xfId="29234"/>
    <cellStyle name="Note 2 2 2 2 31 5" xfId="35553"/>
    <cellStyle name="Note 2 2 2 2 31 6" xfId="42899"/>
    <cellStyle name="Note 2 2 2 2 31 7" xfId="47945"/>
    <cellStyle name="Note 2 2 2 2 32" xfId="4460"/>
    <cellStyle name="Note 2 2 2 2 32 2" xfId="12177"/>
    <cellStyle name="Note 2 2 2 2 32 3" xfId="21170"/>
    <cellStyle name="Note 2 2 2 2 32 4" xfId="29357"/>
    <cellStyle name="Note 2 2 2 2 32 5" xfId="27055"/>
    <cellStyle name="Note 2 2 2 2 32 6" xfId="43022"/>
    <cellStyle name="Note 2 2 2 2 32 7" xfId="49281"/>
    <cellStyle name="Note 2 2 2 2 33" xfId="4574"/>
    <cellStyle name="Note 2 2 2 2 33 2" xfId="12291"/>
    <cellStyle name="Note 2 2 2 2 33 3" xfId="21284"/>
    <cellStyle name="Note 2 2 2 2 33 4" xfId="29471"/>
    <cellStyle name="Note 2 2 2 2 33 5" xfId="35814"/>
    <cellStyle name="Note 2 2 2 2 33 6" xfId="43136"/>
    <cellStyle name="Note 2 2 2 2 33 7" xfId="52513"/>
    <cellStyle name="Note 2 2 2 2 34" xfId="4687"/>
    <cellStyle name="Note 2 2 2 2 34 2" xfId="12404"/>
    <cellStyle name="Note 2 2 2 2 34 3" xfId="21397"/>
    <cellStyle name="Note 2 2 2 2 34 4" xfId="29584"/>
    <cellStyle name="Note 2 2 2 2 34 5" xfId="35652"/>
    <cellStyle name="Note 2 2 2 2 34 6" xfId="43249"/>
    <cellStyle name="Note 2 2 2 2 34 7" xfId="51715"/>
    <cellStyle name="Note 2 2 2 2 35" xfId="4798"/>
    <cellStyle name="Note 2 2 2 2 35 2" xfId="12515"/>
    <cellStyle name="Note 2 2 2 2 35 3" xfId="21508"/>
    <cellStyle name="Note 2 2 2 2 35 4" xfId="29695"/>
    <cellStyle name="Note 2 2 2 2 35 5" xfId="28679"/>
    <cellStyle name="Note 2 2 2 2 35 6" xfId="43360"/>
    <cellStyle name="Note 2 2 2 2 35 7" xfId="47649"/>
    <cellStyle name="Note 2 2 2 2 36" xfId="4907"/>
    <cellStyle name="Note 2 2 2 2 36 2" xfId="12624"/>
    <cellStyle name="Note 2 2 2 2 36 3" xfId="21617"/>
    <cellStyle name="Note 2 2 2 2 36 4" xfId="29804"/>
    <cellStyle name="Note 2 2 2 2 36 5" xfId="35086"/>
    <cellStyle name="Note 2 2 2 2 36 6" xfId="43469"/>
    <cellStyle name="Note 2 2 2 2 36 7" xfId="48338"/>
    <cellStyle name="Note 2 2 2 2 37" xfId="5018"/>
    <cellStyle name="Note 2 2 2 2 37 2" xfId="12735"/>
    <cellStyle name="Note 2 2 2 2 37 3" xfId="21728"/>
    <cellStyle name="Note 2 2 2 2 37 4" xfId="29915"/>
    <cellStyle name="Note 2 2 2 2 37 5" xfId="35786"/>
    <cellStyle name="Note 2 2 2 2 37 6" xfId="43580"/>
    <cellStyle name="Note 2 2 2 2 37 7" xfId="52399"/>
    <cellStyle name="Note 2 2 2 2 38" xfId="5397"/>
    <cellStyle name="Note 2 2 2 2 38 2" xfId="13114"/>
    <cellStyle name="Note 2 2 2 2 38 3" xfId="22107"/>
    <cellStyle name="Note 2 2 2 2 38 4" xfId="30294"/>
    <cellStyle name="Note 2 2 2 2 38 5" xfId="35630"/>
    <cellStyle name="Note 2 2 2 2 38 6" xfId="43959"/>
    <cellStyle name="Note 2 2 2 2 38 7" xfId="51630"/>
    <cellStyle name="Note 2 2 2 2 39" xfId="5517"/>
    <cellStyle name="Note 2 2 2 2 39 2" xfId="13234"/>
    <cellStyle name="Note 2 2 2 2 39 3" xfId="22227"/>
    <cellStyle name="Note 2 2 2 2 39 4" xfId="30414"/>
    <cellStyle name="Note 2 2 2 2 39 5" xfId="27629"/>
    <cellStyle name="Note 2 2 2 2 39 6" xfId="44079"/>
    <cellStyle name="Note 2 2 2 2 39 7" xfId="49783"/>
    <cellStyle name="Note 2 2 2 2 4" xfId="908"/>
    <cellStyle name="Note 2 2 2 2 4 2" xfId="8732"/>
    <cellStyle name="Note 2 2 2 2 4 3" xfId="16160"/>
    <cellStyle name="Note 2 2 2 2 4 4" xfId="26086"/>
    <cellStyle name="Note 2 2 2 2 4 5" xfId="34734"/>
    <cellStyle name="Note 2 2 2 2 4 6" xfId="36792"/>
    <cellStyle name="Note 2 2 2 2 4 7" xfId="53179"/>
    <cellStyle name="Note 2 2 2 2 40" xfId="5641"/>
    <cellStyle name="Note 2 2 2 2 40 2" xfId="13358"/>
    <cellStyle name="Note 2 2 2 2 40 3" xfId="22351"/>
    <cellStyle name="Note 2 2 2 2 40 4" xfId="30538"/>
    <cellStyle name="Note 2 2 2 2 40 5" xfId="36232"/>
    <cellStyle name="Note 2 2 2 2 40 6" xfId="44203"/>
    <cellStyle name="Note 2 2 2 2 40 7" xfId="54529"/>
    <cellStyle name="Note 2 2 2 2 41" xfId="5757"/>
    <cellStyle name="Note 2 2 2 2 41 2" xfId="13474"/>
    <cellStyle name="Note 2 2 2 2 41 3" xfId="22467"/>
    <cellStyle name="Note 2 2 2 2 41 4" xfId="30654"/>
    <cellStyle name="Note 2 2 2 2 41 5" xfId="35699"/>
    <cellStyle name="Note 2 2 2 2 41 6" xfId="44319"/>
    <cellStyle name="Note 2 2 2 2 41 7" xfId="51408"/>
    <cellStyle name="Note 2 2 2 2 42" xfId="5873"/>
    <cellStyle name="Note 2 2 2 2 42 2" xfId="13590"/>
    <cellStyle name="Note 2 2 2 2 42 3" xfId="22583"/>
    <cellStyle name="Note 2 2 2 2 42 4" xfId="30770"/>
    <cellStyle name="Note 2 2 2 2 42 5" xfId="35665"/>
    <cellStyle name="Note 2 2 2 2 42 6" xfId="44435"/>
    <cellStyle name="Note 2 2 2 2 42 7" xfId="52187"/>
    <cellStyle name="Note 2 2 2 2 43" xfId="6002"/>
    <cellStyle name="Note 2 2 2 2 43 2" xfId="13719"/>
    <cellStyle name="Note 2 2 2 2 43 3" xfId="22712"/>
    <cellStyle name="Note 2 2 2 2 43 4" xfId="30899"/>
    <cellStyle name="Note 2 2 2 2 43 5" xfId="26765"/>
    <cellStyle name="Note 2 2 2 2 43 6" xfId="44564"/>
    <cellStyle name="Note 2 2 2 2 43 7" xfId="54279"/>
    <cellStyle name="Note 2 2 2 2 44" xfId="6100"/>
    <cellStyle name="Note 2 2 2 2 44 2" xfId="13817"/>
    <cellStyle name="Note 2 2 2 2 44 3" xfId="22810"/>
    <cellStyle name="Note 2 2 2 2 44 4" xfId="30997"/>
    <cellStyle name="Note 2 2 2 2 44 5" xfId="35605"/>
    <cellStyle name="Note 2 2 2 2 44 6" xfId="44662"/>
    <cellStyle name="Note 2 2 2 2 44 7" xfId="51213"/>
    <cellStyle name="Note 2 2 2 2 45" xfId="5575"/>
    <cellStyle name="Note 2 2 2 2 45 2" xfId="13292"/>
    <cellStyle name="Note 2 2 2 2 45 3" xfId="22285"/>
    <cellStyle name="Note 2 2 2 2 45 4" xfId="30472"/>
    <cellStyle name="Note 2 2 2 2 45 5" xfId="35136"/>
    <cellStyle name="Note 2 2 2 2 45 6" xfId="44137"/>
    <cellStyle name="Note 2 2 2 2 45 7" xfId="47160"/>
    <cellStyle name="Note 2 2 2 2 46" xfId="6258"/>
    <cellStyle name="Note 2 2 2 2 46 2" xfId="13975"/>
    <cellStyle name="Note 2 2 2 2 46 3" xfId="22968"/>
    <cellStyle name="Note 2 2 2 2 46 4" xfId="31155"/>
    <cellStyle name="Note 2 2 2 2 46 5" xfId="34905"/>
    <cellStyle name="Note 2 2 2 2 46 6" xfId="44820"/>
    <cellStyle name="Note 2 2 2 2 46 7" xfId="49346"/>
    <cellStyle name="Note 2 2 2 2 47" xfId="6374"/>
    <cellStyle name="Note 2 2 2 2 47 2" xfId="14091"/>
    <cellStyle name="Note 2 2 2 2 47 3" xfId="23084"/>
    <cellStyle name="Note 2 2 2 2 47 4" xfId="31271"/>
    <cellStyle name="Note 2 2 2 2 47 5" xfId="35849"/>
    <cellStyle name="Note 2 2 2 2 47 6" xfId="44936"/>
    <cellStyle name="Note 2 2 2 2 47 7" xfId="52718"/>
    <cellStyle name="Note 2 2 2 2 48" xfId="6485"/>
    <cellStyle name="Note 2 2 2 2 48 2" xfId="14202"/>
    <cellStyle name="Note 2 2 2 2 48 3" xfId="23195"/>
    <cellStyle name="Note 2 2 2 2 48 4" xfId="31382"/>
    <cellStyle name="Note 2 2 2 2 48 5" xfId="35667"/>
    <cellStyle name="Note 2 2 2 2 48 6" xfId="45047"/>
    <cellStyle name="Note 2 2 2 2 48 7" xfId="47366"/>
    <cellStyle name="Note 2 2 2 2 49" xfId="6562"/>
    <cellStyle name="Note 2 2 2 2 49 2" xfId="14279"/>
    <cellStyle name="Note 2 2 2 2 49 3" xfId="23272"/>
    <cellStyle name="Note 2 2 2 2 49 4" xfId="31459"/>
    <cellStyle name="Note 2 2 2 2 49 5" xfId="35677"/>
    <cellStyle name="Note 2 2 2 2 49 6" xfId="45124"/>
    <cellStyle name="Note 2 2 2 2 49 7" xfId="52626"/>
    <cellStyle name="Note 2 2 2 2 5" xfId="1374"/>
    <cellStyle name="Note 2 2 2 2 5 2" xfId="9197"/>
    <cellStyle name="Note 2 2 2 2 5 3" xfId="16625"/>
    <cellStyle name="Note 2 2 2 2 5 4" xfId="25911"/>
    <cellStyle name="Note 2 2 2 2 5 5" xfId="34511"/>
    <cellStyle name="Note 2 2 2 2 5 6" xfId="39109"/>
    <cellStyle name="Note 2 2 2 2 5 7" xfId="52806"/>
    <cellStyle name="Note 2 2 2 2 50" xfId="6631"/>
    <cellStyle name="Note 2 2 2 2 50 2" xfId="14348"/>
    <cellStyle name="Note 2 2 2 2 50 3" xfId="23341"/>
    <cellStyle name="Note 2 2 2 2 50 4" xfId="31528"/>
    <cellStyle name="Note 2 2 2 2 50 5" xfId="35654"/>
    <cellStyle name="Note 2 2 2 2 50 6" xfId="45193"/>
    <cellStyle name="Note 2 2 2 2 50 7" xfId="51674"/>
    <cellStyle name="Note 2 2 2 2 51" xfId="6743"/>
    <cellStyle name="Note 2 2 2 2 51 2" xfId="14460"/>
    <cellStyle name="Note 2 2 2 2 51 3" xfId="23453"/>
    <cellStyle name="Note 2 2 2 2 51 4" xfId="31640"/>
    <cellStyle name="Note 2 2 2 2 51 5" xfId="26955"/>
    <cellStyle name="Note 2 2 2 2 51 6" xfId="45305"/>
    <cellStyle name="Note 2 2 2 2 51 7" xfId="50660"/>
    <cellStyle name="Note 2 2 2 2 52" xfId="6858"/>
    <cellStyle name="Note 2 2 2 2 52 2" xfId="14575"/>
    <cellStyle name="Note 2 2 2 2 52 3" xfId="23568"/>
    <cellStyle name="Note 2 2 2 2 52 4" xfId="31755"/>
    <cellStyle name="Note 2 2 2 2 52 5" xfId="33386"/>
    <cellStyle name="Note 2 2 2 2 52 6" xfId="45420"/>
    <cellStyle name="Note 2 2 2 2 52 7" xfId="54531"/>
    <cellStyle name="Note 2 2 2 2 53" xfId="6971"/>
    <cellStyle name="Note 2 2 2 2 53 2" xfId="14688"/>
    <cellStyle name="Note 2 2 2 2 53 3" xfId="23681"/>
    <cellStyle name="Note 2 2 2 2 53 4" xfId="31868"/>
    <cellStyle name="Note 2 2 2 2 53 5" xfId="26883"/>
    <cellStyle name="Note 2 2 2 2 53 6" xfId="45533"/>
    <cellStyle name="Note 2 2 2 2 53 7" xfId="47028"/>
    <cellStyle name="Note 2 2 2 2 54" xfId="7082"/>
    <cellStyle name="Note 2 2 2 2 54 2" xfId="14799"/>
    <cellStyle name="Note 2 2 2 2 54 3" xfId="23792"/>
    <cellStyle name="Note 2 2 2 2 54 4" xfId="31979"/>
    <cellStyle name="Note 2 2 2 2 54 5" xfId="35583"/>
    <cellStyle name="Note 2 2 2 2 54 6" xfId="45644"/>
    <cellStyle name="Note 2 2 2 2 54 7" xfId="50883"/>
    <cellStyle name="Note 2 2 2 2 55" xfId="7195"/>
    <cellStyle name="Note 2 2 2 2 55 2" xfId="14912"/>
    <cellStyle name="Note 2 2 2 2 55 3" xfId="23905"/>
    <cellStyle name="Note 2 2 2 2 55 4" xfId="32092"/>
    <cellStyle name="Note 2 2 2 2 55 5" xfId="35670"/>
    <cellStyle name="Note 2 2 2 2 55 6" xfId="45757"/>
    <cellStyle name="Note 2 2 2 2 55 7" xfId="52068"/>
    <cellStyle name="Note 2 2 2 2 56" xfId="7389"/>
    <cellStyle name="Note 2 2 2 2 56 2" xfId="15106"/>
    <cellStyle name="Note 2 2 2 2 56 3" xfId="24099"/>
    <cellStyle name="Note 2 2 2 2 56 4" xfId="32286"/>
    <cellStyle name="Note 2 2 2 2 56 5" xfId="35623"/>
    <cellStyle name="Note 2 2 2 2 56 6" xfId="45951"/>
    <cellStyle name="Note 2 2 2 2 56 7" xfId="48256"/>
    <cellStyle name="Note 2 2 2 2 57" xfId="7479"/>
    <cellStyle name="Note 2 2 2 2 57 2" xfId="15196"/>
    <cellStyle name="Note 2 2 2 2 57 3" xfId="24189"/>
    <cellStyle name="Note 2 2 2 2 57 4" xfId="32376"/>
    <cellStyle name="Note 2 2 2 2 57 5" xfId="35924"/>
    <cellStyle name="Note 2 2 2 2 57 6" xfId="46041"/>
    <cellStyle name="Note 2 2 2 2 57 7" xfId="52587"/>
    <cellStyle name="Note 2 2 2 2 58" xfId="7600"/>
    <cellStyle name="Note 2 2 2 2 58 2" xfId="15317"/>
    <cellStyle name="Note 2 2 2 2 58 3" xfId="24310"/>
    <cellStyle name="Note 2 2 2 2 58 4" xfId="32497"/>
    <cellStyle name="Note 2 2 2 2 58 5" xfId="27771"/>
    <cellStyle name="Note 2 2 2 2 58 6" xfId="46162"/>
    <cellStyle name="Note 2 2 2 2 58 7" xfId="49748"/>
    <cellStyle name="Note 2 2 2 2 59" xfId="7876"/>
    <cellStyle name="Note 2 2 2 2 59 2" xfId="15593"/>
    <cellStyle name="Note 2 2 2 2 59 3" xfId="24580"/>
    <cellStyle name="Note 2 2 2 2 59 4" xfId="32773"/>
    <cellStyle name="Note 2 2 2 2 59 5" xfId="35532"/>
    <cellStyle name="Note 2 2 2 2 59 6" xfId="46438"/>
    <cellStyle name="Note 2 2 2 2 59 7" xfId="52569"/>
    <cellStyle name="Note 2 2 2 2 6" xfId="1497"/>
    <cellStyle name="Note 2 2 2 2 6 2" xfId="9320"/>
    <cellStyle name="Note 2 2 2 2 6 3" xfId="16748"/>
    <cellStyle name="Note 2 2 2 2 6 4" xfId="25896"/>
    <cellStyle name="Note 2 2 2 2 6 5" xfId="34491"/>
    <cellStyle name="Note 2 2 2 2 6 6" xfId="41637"/>
    <cellStyle name="Note 2 2 2 2 6 7" xfId="52775"/>
    <cellStyle name="Note 2 2 2 2 60" xfId="7938"/>
    <cellStyle name="Note 2 2 2 2 60 2" xfId="15655"/>
    <cellStyle name="Note 2 2 2 2 60 3" xfId="24641"/>
    <cellStyle name="Note 2 2 2 2 60 4" xfId="32835"/>
    <cellStyle name="Note 2 2 2 2 60 5" xfId="34621"/>
    <cellStyle name="Note 2 2 2 2 60 6" xfId="46500"/>
    <cellStyle name="Note 2 2 2 2 60 7" xfId="47989"/>
    <cellStyle name="Note 2 2 2 2 61" xfId="7951"/>
    <cellStyle name="Note 2 2 2 2 61 2" xfId="15668"/>
    <cellStyle name="Note 2 2 2 2 61 3" xfId="24654"/>
    <cellStyle name="Note 2 2 2 2 61 4" xfId="32848"/>
    <cellStyle name="Note 2 2 2 2 61 5" xfId="35684"/>
    <cellStyle name="Note 2 2 2 2 61 6" xfId="46513"/>
    <cellStyle name="Note 2 2 2 2 61 7" xfId="51599"/>
    <cellStyle name="Note 2 2 2 2 62" xfId="8073"/>
    <cellStyle name="Note 2 2 2 2 62 2" xfId="15790"/>
    <cellStyle name="Note 2 2 2 2 62 3" xfId="24775"/>
    <cellStyle name="Note 2 2 2 2 62 4" xfId="32970"/>
    <cellStyle name="Note 2 2 2 2 62 5" xfId="26964"/>
    <cellStyle name="Note 2 2 2 2 62 6" xfId="46635"/>
    <cellStyle name="Note 2 2 2 2 62 7" xfId="49387"/>
    <cellStyle name="Note 2 2 2 2 63" xfId="8152"/>
    <cellStyle name="Note 2 2 2 2 63 2" xfId="15869"/>
    <cellStyle name="Note 2 2 2 2 63 3" xfId="33049"/>
    <cellStyle name="Note 2 2 2 2 63 4" xfId="33523"/>
    <cellStyle name="Note 2 2 2 2 63 5" xfId="46714"/>
    <cellStyle name="Note 2 2 2 2 63 6" xfId="48639"/>
    <cellStyle name="Note 2 2 2 2 64" xfId="20370"/>
    <cellStyle name="Note 2 2 2 2 65" xfId="28556"/>
    <cellStyle name="Note 2 2 2 2 66" xfId="36708"/>
    <cellStyle name="Note 2 2 2 2 67" xfId="49358"/>
    <cellStyle name="Note 2 2 2 2 7" xfId="1624"/>
    <cellStyle name="Note 2 2 2 2 7 2" xfId="9447"/>
    <cellStyle name="Note 2 2 2 2 7 3" xfId="16875"/>
    <cellStyle name="Note 2 2 2 2 7 4" xfId="25458"/>
    <cellStyle name="Note 2 2 2 2 7 5" xfId="33923"/>
    <cellStyle name="Note 2 2 2 2 7 6" xfId="37762"/>
    <cellStyle name="Note 2 2 2 2 7 7" xfId="51776"/>
    <cellStyle name="Note 2 2 2 2 8" xfId="1734"/>
    <cellStyle name="Note 2 2 2 2 8 2" xfId="9557"/>
    <cellStyle name="Note 2 2 2 2 8 3" xfId="16985"/>
    <cellStyle name="Note 2 2 2 2 8 4" xfId="24991"/>
    <cellStyle name="Note 2 2 2 2 8 5" xfId="33337"/>
    <cellStyle name="Note 2 2 2 2 8 6" xfId="41248"/>
    <cellStyle name="Note 2 2 2 2 8 7" xfId="50773"/>
    <cellStyle name="Note 2 2 2 2 9" xfId="1868"/>
    <cellStyle name="Note 2 2 2 2 9 2" xfId="9691"/>
    <cellStyle name="Note 2 2 2 2 9 3" xfId="17119"/>
    <cellStyle name="Note 2 2 2 2 9 4" xfId="25245"/>
    <cellStyle name="Note 2 2 2 2 9 5" xfId="33649"/>
    <cellStyle name="Note 2 2 2 2 9 6" xfId="40543"/>
    <cellStyle name="Note 2 2 2 2 9 7" xfId="51312"/>
    <cellStyle name="Note 2 2 2 20" xfId="1638"/>
    <cellStyle name="Note 2 2 2 20 2" xfId="9461"/>
    <cellStyle name="Note 2 2 2 20 3" xfId="16889"/>
    <cellStyle name="Note 2 2 2 20 4" xfId="26209"/>
    <cellStyle name="Note 2 2 2 20 5" xfId="34891"/>
    <cellStyle name="Note 2 2 2 20 6" xfId="42103"/>
    <cellStyle name="Note 2 2 2 20 7" xfId="53441"/>
    <cellStyle name="Note 2 2 2 21" xfId="1310"/>
    <cellStyle name="Note 2 2 2 21 2" xfId="9133"/>
    <cellStyle name="Note 2 2 2 21 3" xfId="16561"/>
    <cellStyle name="Note 2 2 2 21 4" xfId="26093"/>
    <cellStyle name="Note 2 2 2 21 5" xfId="34743"/>
    <cellStyle name="Note 2 2 2 21 6" xfId="37484"/>
    <cellStyle name="Note 2 2 2 21 7" xfId="53193"/>
    <cellStyle name="Note 2 2 2 22" xfId="2531"/>
    <cellStyle name="Note 2 2 2 22 2" xfId="10354"/>
    <cellStyle name="Note 2 2 2 22 3" xfId="17782"/>
    <cellStyle name="Note 2 2 2 22 4" xfId="19555"/>
    <cellStyle name="Note 2 2 2 22 5" xfId="27311"/>
    <cellStyle name="Note 2 2 2 22 6" xfId="42147"/>
    <cellStyle name="Note 2 2 2 22 7" xfId="47682"/>
    <cellStyle name="Note 2 2 2 23" xfId="1481"/>
    <cellStyle name="Note 2 2 2 23 2" xfId="9304"/>
    <cellStyle name="Note 2 2 2 23 3" xfId="16732"/>
    <cellStyle name="Note 2 2 2 23 4" xfId="19826"/>
    <cellStyle name="Note 2 2 2 23 5" xfId="28775"/>
    <cellStyle name="Note 2 2 2 23 6" xfId="39593"/>
    <cellStyle name="Note 2 2 2 23 7" xfId="48160"/>
    <cellStyle name="Note 2 2 2 24" xfId="2708"/>
    <cellStyle name="Note 2 2 2 24 2" xfId="10531"/>
    <cellStyle name="Note 2 2 2 24 3" xfId="17959"/>
    <cellStyle name="Note 2 2 2 24 4" xfId="25649"/>
    <cellStyle name="Note 2 2 2 24 5" xfId="34171"/>
    <cellStyle name="Note 2 2 2 24 6" xfId="38779"/>
    <cellStyle name="Note 2 2 2 24 7" xfId="52198"/>
    <cellStyle name="Note 2 2 2 25" xfId="1661"/>
    <cellStyle name="Note 2 2 2 25 2" xfId="9484"/>
    <cellStyle name="Note 2 2 2 25 3" xfId="16912"/>
    <cellStyle name="Note 2 2 2 25 4" xfId="25086"/>
    <cellStyle name="Note 2 2 2 25 5" xfId="33447"/>
    <cellStyle name="Note 2 2 2 25 6" xfId="39859"/>
    <cellStyle name="Note 2 2 2 25 7" xfId="50975"/>
    <cellStyle name="Note 2 2 2 26" xfId="3115"/>
    <cellStyle name="Note 2 2 2 26 2" xfId="10920"/>
    <cellStyle name="Note 2 2 2 26 3" xfId="18301"/>
    <cellStyle name="Note 2 2 2 26 4" xfId="20081"/>
    <cellStyle name="Note 2 2 2 26 5" xfId="26817"/>
    <cellStyle name="Note 2 2 2 26 6" xfId="36376"/>
    <cellStyle name="Note 2 2 2 26 7" xfId="49042"/>
    <cellStyle name="Note 2 2 2 27" xfId="3064"/>
    <cellStyle name="Note 2 2 2 27 2" xfId="10873"/>
    <cellStyle name="Note 2 2 2 27 3" xfId="18268"/>
    <cellStyle name="Note 2 2 2 27 4" xfId="26606"/>
    <cellStyle name="Note 2 2 2 27 5" xfId="35433"/>
    <cellStyle name="Note 2 2 2 27 6" xfId="40544"/>
    <cellStyle name="Note 2 2 2 27 7" xfId="54297"/>
    <cellStyle name="Note 2 2 2 28" xfId="3077"/>
    <cellStyle name="Note 2 2 2 28 2" xfId="10885"/>
    <cellStyle name="Note 2 2 2 28 3" xfId="18278"/>
    <cellStyle name="Note 2 2 2 28 4" xfId="25985"/>
    <cellStyle name="Note 2 2 2 28 5" xfId="34606"/>
    <cellStyle name="Note 2 2 2 28 6" xfId="39024"/>
    <cellStyle name="Note 2 2 2 28 7" xfId="52966"/>
    <cellStyle name="Note 2 2 2 29" xfId="3076"/>
    <cellStyle name="Note 2 2 2 29 2" xfId="10884"/>
    <cellStyle name="Note 2 2 2 29 3" xfId="18277"/>
    <cellStyle name="Note 2 2 2 29 4" xfId="19568"/>
    <cellStyle name="Note 2 2 2 29 5" xfId="27251"/>
    <cellStyle name="Note 2 2 2 29 6" xfId="39127"/>
    <cellStyle name="Note 2 2 2 29 7" xfId="48070"/>
    <cellStyle name="Note 2 2 2 3" xfId="504"/>
    <cellStyle name="Note 2 2 2 3 10" xfId="1951"/>
    <cellStyle name="Note 2 2 2 3 10 2" xfId="9774"/>
    <cellStyle name="Note 2 2 2 3 10 3" xfId="17202"/>
    <cellStyle name="Note 2 2 2 3 10 4" xfId="25341"/>
    <cellStyle name="Note 2 2 2 3 10 5" xfId="33773"/>
    <cellStyle name="Note 2 2 2 3 10 6" xfId="40414"/>
    <cellStyle name="Note 2 2 2 3 10 7" xfId="51511"/>
    <cellStyle name="Note 2 2 2 3 11" xfId="2069"/>
    <cellStyle name="Note 2 2 2 3 11 2" xfId="9892"/>
    <cellStyle name="Note 2 2 2 3 11 3" xfId="17320"/>
    <cellStyle name="Note 2 2 2 3 11 4" xfId="25568"/>
    <cellStyle name="Note 2 2 2 3 11 5" xfId="34066"/>
    <cellStyle name="Note 2 2 2 3 11 6" xfId="39560"/>
    <cellStyle name="Note 2 2 2 3 11 7" xfId="52014"/>
    <cellStyle name="Note 2 2 2 3 12" xfId="2182"/>
    <cellStyle name="Note 2 2 2 3 12 2" xfId="10005"/>
    <cellStyle name="Note 2 2 2 3 12 3" xfId="17433"/>
    <cellStyle name="Note 2 2 2 3 12 4" xfId="26331"/>
    <cellStyle name="Note 2 2 2 3 12 5" xfId="35055"/>
    <cellStyle name="Note 2 2 2 3 12 6" xfId="39019"/>
    <cellStyle name="Note 2 2 2 3 12 7" xfId="53699"/>
    <cellStyle name="Note 2 2 2 3 13" xfId="2273"/>
    <cellStyle name="Note 2 2 2 3 13 2" xfId="10096"/>
    <cellStyle name="Note 2 2 2 3 13 3" xfId="17524"/>
    <cellStyle name="Note 2 2 2 3 13 4" xfId="25922"/>
    <cellStyle name="Note 2 2 2 3 13 5" xfId="34524"/>
    <cellStyle name="Note 2 2 2 3 13 6" xfId="37547"/>
    <cellStyle name="Note 2 2 2 3 13 7" xfId="52829"/>
    <cellStyle name="Note 2 2 2 3 14" xfId="2367"/>
    <cellStyle name="Note 2 2 2 3 14 2" xfId="10190"/>
    <cellStyle name="Note 2 2 2 3 14 3" xfId="17618"/>
    <cellStyle name="Note 2 2 2 3 14 4" xfId="19600"/>
    <cellStyle name="Note 2 2 2 3 14 5" xfId="26809"/>
    <cellStyle name="Note 2 2 2 3 14 6" xfId="37234"/>
    <cellStyle name="Note 2 2 2 3 14 7" xfId="49704"/>
    <cellStyle name="Note 2 2 2 3 15" xfId="2480"/>
    <cellStyle name="Note 2 2 2 3 15 2" xfId="10303"/>
    <cellStyle name="Note 2 2 2 3 15 3" xfId="17731"/>
    <cellStyle name="Note 2 2 2 3 15 4" xfId="26021"/>
    <cellStyle name="Note 2 2 2 3 15 5" xfId="34650"/>
    <cellStyle name="Note 2 2 2 3 15 6" xfId="38537"/>
    <cellStyle name="Note 2 2 2 3 15 7" xfId="53038"/>
    <cellStyle name="Note 2 2 2 3 16" xfId="2593"/>
    <cellStyle name="Note 2 2 2 3 16 2" xfId="10416"/>
    <cellStyle name="Note 2 2 2 3 16 3" xfId="17844"/>
    <cellStyle name="Note 2 2 2 3 16 4" xfId="20150"/>
    <cellStyle name="Note 2 2 2 3 16 5" xfId="33139"/>
    <cellStyle name="Note 2 2 2 3 16 6" xfId="40510"/>
    <cellStyle name="Note 2 2 2 3 16 7" xfId="50406"/>
    <cellStyle name="Note 2 2 2 3 17" xfId="2688"/>
    <cellStyle name="Note 2 2 2 3 17 2" xfId="10511"/>
    <cellStyle name="Note 2 2 2 3 17 3" xfId="17939"/>
    <cellStyle name="Note 2 2 2 3 17 4" xfId="19639"/>
    <cellStyle name="Note 2 2 2 3 17 5" xfId="27077"/>
    <cellStyle name="Note 2 2 2 3 17 6" xfId="40868"/>
    <cellStyle name="Note 2 2 2 3 17 7" xfId="48166"/>
    <cellStyle name="Note 2 2 2 3 18" xfId="2739"/>
    <cellStyle name="Note 2 2 2 3 18 2" xfId="10562"/>
    <cellStyle name="Note 2 2 2 3 18 3" xfId="17990"/>
    <cellStyle name="Note 2 2 2 3 18 4" xfId="20628"/>
    <cellStyle name="Note 2 2 2 3 18 5" xfId="27822"/>
    <cellStyle name="Note 2 2 2 3 18 6" xfId="37647"/>
    <cellStyle name="Note 2 2 2 3 18 7" xfId="48917"/>
    <cellStyle name="Note 2 2 2 3 19" xfId="2787"/>
    <cellStyle name="Note 2 2 2 3 19 2" xfId="10610"/>
    <cellStyle name="Note 2 2 2 3 19 3" xfId="18038"/>
    <cellStyle name="Note 2 2 2 3 19 4" xfId="25885"/>
    <cellStyle name="Note 2 2 2 3 19 5" xfId="34480"/>
    <cellStyle name="Note 2 2 2 3 19 6" xfId="37695"/>
    <cellStyle name="Note 2 2 2 3 19 7" xfId="52755"/>
    <cellStyle name="Note 2 2 2 3 2" xfId="655"/>
    <cellStyle name="Note 2 2 2 3 2 2" xfId="8479"/>
    <cellStyle name="Note 2 2 2 3 2 3" xfId="8279"/>
    <cellStyle name="Note 2 2 2 3 2 4" xfId="25642"/>
    <cellStyle name="Note 2 2 2 3 2 5" xfId="34162"/>
    <cellStyle name="Note 2 2 2 3 2 6" xfId="37241"/>
    <cellStyle name="Note 2 2 2 3 2 7" xfId="52189"/>
    <cellStyle name="Note 2 2 2 3 20" xfId="2894"/>
    <cellStyle name="Note 2 2 2 3 20 2" xfId="10717"/>
    <cellStyle name="Note 2 2 2 3 20 3" xfId="18145"/>
    <cellStyle name="Note 2 2 2 3 20 4" xfId="19204"/>
    <cellStyle name="Note 2 2 2 3 20 5" xfId="26843"/>
    <cellStyle name="Note 2 2 2 3 20 6" xfId="37839"/>
    <cellStyle name="Note 2 2 2 3 20 7" xfId="49218"/>
    <cellStyle name="Note 2 2 2 3 21" xfId="3270"/>
    <cellStyle name="Note 2 2 2 3 21 2" xfId="11063"/>
    <cellStyle name="Note 2 2 2 3 21 3" xfId="18392"/>
    <cellStyle name="Note 2 2 2 3 21 4" xfId="19325"/>
    <cellStyle name="Note 2 2 2 3 21 5" xfId="28614"/>
    <cellStyle name="Note 2 2 2 3 21 6" xfId="37978"/>
    <cellStyle name="Note 2 2 2 3 21 7" xfId="48676"/>
    <cellStyle name="Note 2 2 2 3 22" xfId="3390"/>
    <cellStyle name="Note 2 2 2 3 22 2" xfId="11181"/>
    <cellStyle name="Note 2 2 2 3 22 3" xfId="18503"/>
    <cellStyle name="Note 2 2 2 3 22 4" xfId="25122"/>
    <cellStyle name="Note 2 2 2 3 22 5" xfId="33495"/>
    <cellStyle name="Note 2 2 2 3 22 6" xfId="38061"/>
    <cellStyle name="Note 2 2 2 3 22 7" xfId="51060"/>
    <cellStyle name="Note 2 2 2 3 23" xfId="3523"/>
    <cellStyle name="Note 2 2 2 3 23 2" xfId="11314"/>
    <cellStyle name="Note 2 2 2 3 23 3" xfId="18611"/>
    <cellStyle name="Note 2 2 2 3 23 4" xfId="25820"/>
    <cellStyle name="Note 2 2 2 3 23 5" xfId="34401"/>
    <cellStyle name="Note 2 2 2 3 23 6" xfId="36798"/>
    <cellStyle name="Note 2 2 2 3 23 7" xfId="52605"/>
    <cellStyle name="Note 2 2 2 3 24" xfId="3133"/>
    <cellStyle name="Note 2 2 2 3 24 2" xfId="10938"/>
    <cellStyle name="Note 2 2 2 3 24 3" xfId="18316"/>
    <cellStyle name="Note 2 2 2 3 24 4" xfId="24925"/>
    <cellStyle name="Note 2 2 2 3 24 5" xfId="33255"/>
    <cellStyle name="Note 2 2 2 3 24 6" xfId="41965"/>
    <cellStyle name="Note 2 2 2 3 24 7" xfId="50624"/>
    <cellStyle name="Note 2 2 2 3 25" xfId="3660"/>
    <cellStyle name="Note 2 2 2 3 25 2" xfId="11445"/>
    <cellStyle name="Note 2 2 2 3 25 3" xfId="18718"/>
    <cellStyle name="Note 2 2 2 3 25 4" xfId="26165"/>
    <cellStyle name="Note 2 2 2 3 25 5" xfId="34835"/>
    <cellStyle name="Note 2 2 2 3 25 6" xfId="39420"/>
    <cellStyle name="Note 2 2 2 3 25 7" xfId="53351"/>
    <cellStyle name="Note 2 2 2 3 26" xfId="3791"/>
    <cellStyle name="Note 2 2 2 3 26 2" xfId="11573"/>
    <cellStyle name="Note 2 2 2 3 26 3" xfId="18830"/>
    <cellStyle name="Note 2 2 2 3 26 4" xfId="20577"/>
    <cellStyle name="Note 2 2 2 3 26 5" xfId="27359"/>
    <cellStyle name="Note 2 2 2 3 26 6" xfId="40381"/>
    <cellStyle name="Note 2 2 2 3 26 7" xfId="48326"/>
    <cellStyle name="Note 2 2 2 3 27" xfId="3908"/>
    <cellStyle name="Note 2 2 2 3 27 2" xfId="11688"/>
    <cellStyle name="Note 2 2 2 3 27 3" xfId="18939"/>
    <cellStyle name="Note 2 2 2 3 27 4" xfId="24912"/>
    <cellStyle name="Note 2 2 2 3 27 5" xfId="33235"/>
    <cellStyle name="Note 2 2 2 3 27 6" xfId="36455"/>
    <cellStyle name="Note 2 2 2 3 27 7" xfId="50593"/>
    <cellStyle name="Note 2 2 2 3 28" xfId="4000"/>
    <cellStyle name="Note 2 2 2 3 28 2" xfId="11779"/>
    <cellStyle name="Note 2 2 2 3 28 3" xfId="20710"/>
    <cellStyle name="Note 2 2 2 3 28 4" xfId="28897"/>
    <cellStyle name="Note 2 2 2 3 28 5" xfId="35234"/>
    <cellStyle name="Note 2 2 2 3 28 6" xfId="42562"/>
    <cellStyle name="Note 2 2 2 3 28 7" xfId="49925"/>
    <cellStyle name="Note 2 2 2 3 29" xfId="4105"/>
    <cellStyle name="Note 2 2 2 3 29 2" xfId="11865"/>
    <cellStyle name="Note 2 2 2 3 29 3" xfId="20815"/>
    <cellStyle name="Note 2 2 2 3 29 4" xfId="29002"/>
    <cellStyle name="Note 2 2 2 3 29 5" xfId="36153"/>
    <cellStyle name="Note 2 2 2 3 29 6" xfId="42667"/>
    <cellStyle name="Note 2 2 2 3 29 7" xfId="54158"/>
    <cellStyle name="Note 2 2 2 3 3" xfId="762"/>
    <cellStyle name="Note 2 2 2 3 3 2" xfId="8586"/>
    <cellStyle name="Note 2 2 2 3 3 3" xfId="16014"/>
    <cellStyle name="Note 2 2 2 3 3 4" xfId="26230"/>
    <cellStyle name="Note 2 2 2 3 3 5" xfId="34917"/>
    <cellStyle name="Note 2 2 2 3 3 6" xfId="37232"/>
    <cellStyle name="Note 2 2 2 3 3 7" xfId="53482"/>
    <cellStyle name="Note 2 2 2 3 30" xfId="4072"/>
    <cellStyle name="Note 2 2 2 3 30 2" xfId="20782"/>
    <cellStyle name="Note 2 2 2 3 30 3" xfId="28969"/>
    <cellStyle name="Note 2 2 2 3 30 4" xfId="26815"/>
    <cellStyle name="Note 2 2 2 3 30 5" xfId="42634"/>
    <cellStyle name="Note 2 2 2 3 30 6" xfId="50065"/>
    <cellStyle name="Note 2 2 2 3 31" xfId="4302"/>
    <cellStyle name="Note 2 2 2 3 31 2" xfId="12019"/>
    <cellStyle name="Note 2 2 2 3 31 3" xfId="21012"/>
    <cellStyle name="Note 2 2 2 3 31 4" xfId="29199"/>
    <cellStyle name="Note 2 2 2 3 31 5" xfId="33231"/>
    <cellStyle name="Note 2 2 2 3 31 6" xfId="42864"/>
    <cellStyle name="Note 2 2 2 3 31 7" xfId="48870"/>
    <cellStyle name="Note 2 2 2 3 32" xfId="4425"/>
    <cellStyle name="Note 2 2 2 3 32 2" xfId="12142"/>
    <cellStyle name="Note 2 2 2 3 32 3" xfId="21135"/>
    <cellStyle name="Note 2 2 2 3 32 4" xfId="29322"/>
    <cellStyle name="Note 2 2 2 3 32 5" xfId="35894"/>
    <cellStyle name="Note 2 2 2 3 32 6" xfId="42987"/>
    <cellStyle name="Note 2 2 2 3 32 7" xfId="52928"/>
    <cellStyle name="Note 2 2 2 3 33" xfId="4539"/>
    <cellStyle name="Note 2 2 2 3 33 2" xfId="12256"/>
    <cellStyle name="Note 2 2 2 3 33 3" xfId="21249"/>
    <cellStyle name="Note 2 2 2 3 33 4" xfId="29436"/>
    <cellStyle name="Note 2 2 2 3 33 5" xfId="26820"/>
    <cellStyle name="Note 2 2 2 3 33 6" xfId="43101"/>
    <cellStyle name="Note 2 2 2 3 33 7" xfId="46961"/>
    <cellStyle name="Note 2 2 2 3 34" xfId="4652"/>
    <cellStyle name="Note 2 2 2 3 34 2" xfId="12369"/>
    <cellStyle name="Note 2 2 2 3 34 3" xfId="21362"/>
    <cellStyle name="Note 2 2 2 3 34 4" xfId="29549"/>
    <cellStyle name="Note 2 2 2 3 34 5" xfId="28553"/>
    <cellStyle name="Note 2 2 2 3 34 6" xfId="43214"/>
    <cellStyle name="Note 2 2 2 3 34 7" xfId="47586"/>
    <cellStyle name="Note 2 2 2 3 35" xfId="4764"/>
    <cellStyle name="Note 2 2 2 3 35 2" xfId="12481"/>
    <cellStyle name="Note 2 2 2 3 35 3" xfId="21474"/>
    <cellStyle name="Note 2 2 2 3 35 4" xfId="29661"/>
    <cellStyle name="Note 2 2 2 3 35 5" xfId="34144"/>
    <cellStyle name="Note 2 2 2 3 35 6" xfId="43326"/>
    <cellStyle name="Note 2 2 2 3 35 7" xfId="49791"/>
    <cellStyle name="Note 2 2 2 3 36" xfId="4872"/>
    <cellStyle name="Note 2 2 2 3 36 2" xfId="12589"/>
    <cellStyle name="Note 2 2 2 3 36 3" xfId="21582"/>
    <cellStyle name="Note 2 2 2 3 36 4" xfId="29769"/>
    <cellStyle name="Note 2 2 2 3 36 5" xfId="35704"/>
    <cellStyle name="Note 2 2 2 3 36 6" xfId="43434"/>
    <cellStyle name="Note 2 2 2 3 36 7" xfId="51985"/>
    <cellStyle name="Note 2 2 2 3 37" xfId="4984"/>
    <cellStyle name="Note 2 2 2 3 37 2" xfId="12701"/>
    <cellStyle name="Note 2 2 2 3 37 3" xfId="21694"/>
    <cellStyle name="Note 2 2 2 3 37 4" xfId="29881"/>
    <cellStyle name="Note 2 2 2 3 37 5" xfId="33543"/>
    <cellStyle name="Note 2 2 2 3 37 6" xfId="43546"/>
    <cellStyle name="Note 2 2 2 3 37 7" xfId="48341"/>
    <cellStyle name="Note 2 2 2 3 38" xfId="5129"/>
    <cellStyle name="Note 2 2 2 3 38 2" xfId="12846"/>
    <cellStyle name="Note 2 2 2 3 38 3" xfId="21839"/>
    <cellStyle name="Note 2 2 2 3 38 4" xfId="30026"/>
    <cellStyle name="Note 2 2 2 3 38 5" xfId="35622"/>
    <cellStyle name="Note 2 2 2 3 38 6" xfId="43691"/>
    <cellStyle name="Note 2 2 2 3 38 7" xfId="51592"/>
    <cellStyle name="Note 2 2 2 3 39" xfId="5482"/>
    <cellStyle name="Note 2 2 2 3 39 2" xfId="13199"/>
    <cellStyle name="Note 2 2 2 3 39 3" xfId="22192"/>
    <cellStyle name="Note 2 2 2 3 39 4" xfId="30379"/>
    <cellStyle name="Note 2 2 2 3 39 5" xfId="27013"/>
    <cellStyle name="Note 2 2 2 3 39 6" xfId="44044"/>
    <cellStyle name="Note 2 2 2 3 39 7" xfId="50508"/>
    <cellStyle name="Note 2 2 2 3 4" xfId="874"/>
    <cellStyle name="Note 2 2 2 3 4 2" xfId="8698"/>
    <cellStyle name="Note 2 2 2 3 4 3" xfId="16126"/>
    <cellStyle name="Note 2 2 2 3 4 4" xfId="25421"/>
    <cellStyle name="Note 2 2 2 3 4 5" xfId="33877"/>
    <cellStyle name="Note 2 2 2 3 4 6" xfId="37216"/>
    <cellStyle name="Note 2 2 2 3 4 7" xfId="51691"/>
    <cellStyle name="Note 2 2 2 3 40" xfId="5607"/>
    <cellStyle name="Note 2 2 2 3 40 2" xfId="13324"/>
    <cellStyle name="Note 2 2 2 3 40 3" xfId="22317"/>
    <cellStyle name="Note 2 2 2 3 40 4" xfId="30504"/>
    <cellStyle name="Note 2 2 2 3 40 5" xfId="27567"/>
    <cellStyle name="Note 2 2 2 3 40 6" xfId="44169"/>
    <cellStyle name="Note 2 2 2 3 40 7" xfId="47135"/>
    <cellStyle name="Note 2 2 2 3 41" xfId="5722"/>
    <cellStyle name="Note 2 2 2 3 41 2" xfId="13439"/>
    <cellStyle name="Note 2 2 2 3 41 3" xfId="22432"/>
    <cellStyle name="Note 2 2 2 3 41 4" xfId="30619"/>
    <cellStyle name="Note 2 2 2 3 41 5" xfId="28470"/>
    <cellStyle name="Note 2 2 2 3 41 6" xfId="44284"/>
    <cellStyle name="Note 2 2 2 3 41 7" xfId="47851"/>
    <cellStyle name="Note 2 2 2 3 42" xfId="5839"/>
    <cellStyle name="Note 2 2 2 3 42 2" xfId="13556"/>
    <cellStyle name="Note 2 2 2 3 42 3" xfId="22549"/>
    <cellStyle name="Note 2 2 2 3 42 4" xfId="30736"/>
    <cellStyle name="Note 2 2 2 3 42 5" xfId="34322"/>
    <cellStyle name="Note 2 2 2 3 42 6" xfId="44401"/>
    <cellStyle name="Note 2 2 2 3 42 7" xfId="49179"/>
    <cellStyle name="Note 2 2 2 3 43" xfId="5967"/>
    <cellStyle name="Note 2 2 2 3 43 2" xfId="13684"/>
    <cellStyle name="Note 2 2 2 3 43 3" xfId="22677"/>
    <cellStyle name="Note 2 2 2 3 43 4" xfId="30864"/>
    <cellStyle name="Note 2 2 2 3 43 5" xfId="34145"/>
    <cellStyle name="Note 2 2 2 3 43 6" xfId="44529"/>
    <cellStyle name="Note 2 2 2 3 43 7" xfId="50079"/>
    <cellStyle name="Note 2 2 2 3 44" xfId="6078"/>
    <cellStyle name="Note 2 2 2 3 44 2" xfId="13795"/>
    <cellStyle name="Note 2 2 2 3 44 3" xfId="22788"/>
    <cellStyle name="Note 2 2 2 3 44 4" xfId="30975"/>
    <cellStyle name="Note 2 2 2 3 44 5" xfId="36112"/>
    <cellStyle name="Note 2 2 2 3 44 6" xfId="44640"/>
    <cellStyle name="Note 2 2 2 3 44 7" xfId="53566"/>
    <cellStyle name="Note 2 2 2 3 45" xfId="5572"/>
    <cellStyle name="Note 2 2 2 3 45 2" xfId="13289"/>
    <cellStyle name="Note 2 2 2 3 45 3" xfId="22282"/>
    <cellStyle name="Note 2 2 2 3 45 4" xfId="30469"/>
    <cellStyle name="Note 2 2 2 3 45 5" xfId="27414"/>
    <cellStyle name="Note 2 2 2 3 45 6" xfId="44134"/>
    <cellStyle name="Note 2 2 2 3 45 7" xfId="47162"/>
    <cellStyle name="Note 2 2 2 3 46" xfId="6223"/>
    <cellStyle name="Note 2 2 2 3 46 2" xfId="13940"/>
    <cellStyle name="Note 2 2 2 3 46 3" xfId="22933"/>
    <cellStyle name="Note 2 2 2 3 46 4" xfId="31120"/>
    <cellStyle name="Note 2 2 2 3 46 5" xfId="35984"/>
    <cellStyle name="Note 2 2 2 3 46 6" xfId="44785"/>
    <cellStyle name="Note 2 2 2 3 46 7" xfId="53138"/>
    <cellStyle name="Note 2 2 2 3 47" xfId="6340"/>
    <cellStyle name="Note 2 2 2 3 47 2" xfId="14057"/>
    <cellStyle name="Note 2 2 2 3 47 3" xfId="23050"/>
    <cellStyle name="Note 2 2 2 3 47 4" xfId="31237"/>
    <cellStyle name="Note 2 2 2 3 47 5" xfId="35120"/>
    <cellStyle name="Note 2 2 2 3 47 6" xfId="44902"/>
    <cellStyle name="Note 2 2 2 3 47 7" xfId="49580"/>
    <cellStyle name="Note 2 2 2 3 48" xfId="6450"/>
    <cellStyle name="Note 2 2 2 3 48 2" xfId="14167"/>
    <cellStyle name="Note 2 2 2 3 48 3" xfId="23160"/>
    <cellStyle name="Note 2 2 2 3 48 4" xfId="31347"/>
    <cellStyle name="Note 2 2 2 3 48 5" xfId="34061"/>
    <cellStyle name="Note 2 2 2 3 48 6" xfId="45012"/>
    <cellStyle name="Note 2 2 2 3 48 7" xfId="50966"/>
    <cellStyle name="Note 2 2 2 3 49" xfId="6539"/>
    <cellStyle name="Note 2 2 2 3 49 2" xfId="14256"/>
    <cellStyle name="Note 2 2 2 3 49 3" xfId="23249"/>
    <cellStyle name="Note 2 2 2 3 49 4" xfId="31436"/>
    <cellStyle name="Note 2 2 2 3 49 5" xfId="33856"/>
    <cellStyle name="Note 2 2 2 3 49 6" xfId="45101"/>
    <cellStyle name="Note 2 2 2 3 49 7" xfId="49642"/>
    <cellStyle name="Note 2 2 2 3 5" xfId="1339"/>
    <cellStyle name="Note 2 2 2 3 5 2" xfId="9162"/>
    <cellStyle name="Note 2 2 2 3 5 3" xfId="16590"/>
    <cellStyle name="Note 2 2 2 3 5 4" xfId="19783"/>
    <cellStyle name="Note 2 2 2 3 5 5" xfId="28270"/>
    <cellStyle name="Note 2 2 2 3 5 6" xfId="41410"/>
    <cellStyle name="Note 2 2 2 3 5 7" xfId="50066"/>
    <cellStyle name="Note 2 2 2 3 50" xfId="6597"/>
    <cellStyle name="Note 2 2 2 3 50 2" xfId="14314"/>
    <cellStyle name="Note 2 2 2 3 50 3" xfId="23307"/>
    <cellStyle name="Note 2 2 2 3 50 4" xfId="31494"/>
    <cellStyle name="Note 2 2 2 3 50 5" xfId="35608"/>
    <cellStyle name="Note 2 2 2 3 50 6" xfId="45159"/>
    <cellStyle name="Note 2 2 2 3 50 7" xfId="51221"/>
    <cellStyle name="Note 2 2 2 3 51" xfId="6708"/>
    <cellStyle name="Note 2 2 2 3 51 2" xfId="14425"/>
    <cellStyle name="Note 2 2 2 3 51 3" xfId="23418"/>
    <cellStyle name="Note 2 2 2 3 51 4" xfId="31605"/>
    <cellStyle name="Note 2 2 2 3 51 5" xfId="33729"/>
    <cellStyle name="Note 2 2 2 3 51 6" xfId="45270"/>
    <cellStyle name="Note 2 2 2 3 51 7" xfId="48153"/>
    <cellStyle name="Note 2 2 2 3 52" xfId="6823"/>
    <cellStyle name="Note 2 2 2 3 52 2" xfId="14540"/>
    <cellStyle name="Note 2 2 2 3 52 3" xfId="23533"/>
    <cellStyle name="Note 2 2 2 3 52 4" xfId="31720"/>
    <cellStyle name="Note 2 2 2 3 52 5" xfId="34263"/>
    <cellStyle name="Note 2 2 2 3 52 6" xfId="45385"/>
    <cellStyle name="Note 2 2 2 3 52 7" xfId="49433"/>
    <cellStyle name="Note 2 2 2 3 53" xfId="6936"/>
    <cellStyle name="Note 2 2 2 3 53 2" xfId="14653"/>
    <cellStyle name="Note 2 2 2 3 53 3" xfId="23646"/>
    <cellStyle name="Note 2 2 2 3 53 4" xfId="31833"/>
    <cellStyle name="Note 2 2 2 3 53 5" xfId="33658"/>
    <cellStyle name="Note 2 2 2 3 53 6" xfId="45498"/>
    <cellStyle name="Note 2 2 2 3 53 7" xfId="46944"/>
    <cellStyle name="Note 2 2 2 3 54" xfId="7048"/>
    <cellStyle name="Note 2 2 2 3 54 2" xfId="14765"/>
    <cellStyle name="Note 2 2 2 3 54 3" xfId="23758"/>
    <cellStyle name="Note 2 2 2 3 54 4" xfId="31945"/>
    <cellStyle name="Note 2 2 2 3 54 5" xfId="34850"/>
    <cellStyle name="Note 2 2 2 3 54 6" xfId="45610"/>
    <cellStyle name="Note 2 2 2 3 54 7" xfId="47986"/>
    <cellStyle name="Note 2 2 2 3 55" xfId="7233"/>
    <cellStyle name="Note 2 2 2 3 55 2" xfId="14950"/>
    <cellStyle name="Note 2 2 2 3 55 3" xfId="23943"/>
    <cellStyle name="Note 2 2 2 3 55 4" xfId="32130"/>
    <cellStyle name="Note 2 2 2 3 55 5" xfId="36022"/>
    <cellStyle name="Note 2 2 2 3 55 6" xfId="45795"/>
    <cellStyle name="Note 2 2 2 3 55 7" xfId="52049"/>
    <cellStyle name="Note 2 2 2 3 56" xfId="7218"/>
    <cellStyle name="Note 2 2 2 3 56 2" xfId="14935"/>
    <cellStyle name="Note 2 2 2 3 56 3" xfId="23928"/>
    <cellStyle name="Note 2 2 2 3 56 4" xfId="32115"/>
    <cellStyle name="Note 2 2 2 3 56 5" xfId="34873"/>
    <cellStyle name="Note 2 2 2 3 56 6" xfId="45780"/>
    <cellStyle name="Note 2 2 2 3 56 7" xfId="48298"/>
    <cellStyle name="Note 2 2 2 3 57" xfId="7445"/>
    <cellStyle name="Note 2 2 2 3 57 2" xfId="15162"/>
    <cellStyle name="Note 2 2 2 3 57 3" xfId="24155"/>
    <cellStyle name="Note 2 2 2 3 57 4" xfId="32342"/>
    <cellStyle name="Note 2 2 2 3 57 5" xfId="34019"/>
    <cellStyle name="Note 2 2 2 3 57 6" xfId="46007"/>
    <cellStyle name="Note 2 2 2 3 57 7" xfId="48650"/>
    <cellStyle name="Note 2 2 2 3 58" xfId="7566"/>
    <cellStyle name="Note 2 2 2 3 58 2" xfId="15283"/>
    <cellStyle name="Note 2 2 2 3 58 3" xfId="24276"/>
    <cellStyle name="Note 2 2 2 3 58 4" xfId="32463"/>
    <cellStyle name="Note 2 2 2 3 58 5" xfId="34659"/>
    <cellStyle name="Note 2 2 2 3 58 6" xfId="46128"/>
    <cellStyle name="Note 2 2 2 3 58 7" xfId="50682"/>
    <cellStyle name="Note 2 2 2 3 59" xfId="7842"/>
    <cellStyle name="Note 2 2 2 3 59 2" xfId="15559"/>
    <cellStyle name="Note 2 2 2 3 59 3" xfId="24546"/>
    <cellStyle name="Note 2 2 2 3 59 4" xfId="32739"/>
    <cellStyle name="Note 2 2 2 3 59 5" xfId="35807"/>
    <cellStyle name="Note 2 2 2 3 59 6" xfId="46404"/>
    <cellStyle name="Note 2 2 2 3 59 7" xfId="52028"/>
    <cellStyle name="Note 2 2 2 3 6" xfId="1462"/>
    <cellStyle name="Note 2 2 2 3 6 2" xfId="9285"/>
    <cellStyle name="Note 2 2 2 3 6 3" xfId="16713"/>
    <cellStyle name="Note 2 2 2 3 6 4" xfId="19556"/>
    <cellStyle name="Note 2 2 2 3 6 5" xfId="27710"/>
    <cellStyle name="Note 2 2 2 3 6 6" xfId="37918"/>
    <cellStyle name="Note 2 2 2 3 6 7" xfId="47447"/>
    <cellStyle name="Note 2 2 2 3 60" xfId="7763"/>
    <cellStyle name="Note 2 2 2 3 60 2" xfId="15480"/>
    <cellStyle name="Note 2 2 2 3 60 3" xfId="24469"/>
    <cellStyle name="Note 2 2 2 3 60 4" xfId="32660"/>
    <cellStyle name="Note 2 2 2 3 60 5" xfId="35789"/>
    <cellStyle name="Note 2 2 2 3 60 6" xfId="46325"/>
    <cellStyle name="Note 2 2 2 3 60 7" xfId="51952"/>
    <cellStyle name="Note 2 2 2 3 61" xfId="7960"/>
    <cellStyle name="Note 2 2 2 3 61 2" xfId="15677"/>
    <cellStyle name="Note 2 2 2 3 61 3" xfId="24663"/>
    <cellStyle name="Note 2 2 2 3 61 4" xfId="32857"/>
    <cellStyle name="Note 2 2 2 3 61 5" xfId="28006"/>
    <cellStyle name="Note 2 2 2 3 61 6" xfId="46522"/>
    <cellStyle name="Note 2 2 2 3 61 7" xfId="54293"/>
    <cellStyle name="Note 2 2 2 3 62" xfId="7936"/>
    <cellStyle name="Note 2 2 2 3 62 2" xfId="15653"/>
    <cellStyle name="Note 2 2 2 3 62 3" xfId="24640"/>
    <cellStyle name="Note 2 2 2 3 62 4" xfId="32833"/>
    <cellStyle name="Note 2 2 2 3 62 5" xfId="34337"/>
    <cellStyle name="Note 2 2 2 3 62 6" xfId="46498"/>
    <cellStyle name="Note 2 2 2 3 62 7" xfId="49267"/>
    <cellStyle name="Note 2 2 2 3 63" xfId="8118"/>
    <cellStyle name="Note 2 2 2 3 63 2" xfId="15835"/>
    <cellStyle name="Note 2 2 2 3 63 3" xfId="33015"/>
    <cellStyle name="Note 2 2 2 3 63 4" xfId="35890"/>
    <cellStyle name="Note 2 2 2 3 63 5" xfId="46680"/>
    <cellStyle name="Note 2 2 2 3 63 6" xfId="52316"/>
    <cellStyle name="Note 2 2 2 3 64" xfId="25394"/>
    <cellStyle name="Note 2 2 2 3 65" xfId="33842"/>
    <cellStyle name="Note 2 2 2 3 66" xfId="38184"/>
    <cellStyle name="Note 2 2 2 3 67" xfId="51628"/>
    <cellStyle name="Note 2 2 2 3 7" xfId="1567"/>
    <cellStyle name="Note 2 2 2 3 7 2" xfId="9390"/>
    <cellStyle name="Note 2 2 2 3 7 3" xfId="16818"/>
    <cellStyle name="Note 2 2 2 3 7 4" xfId="26344"/>
    <cellStyle name="Note 2 2 2 3 7 5" xfId="35070"/>
    <cellStyle name="Note 2 2 2 3 7 6" xfId="36818"/>
    <cellStyle name="Note 2 2 2 3 7 7" xfId="53724"/>
    <cellStyle name="Note 2 2 2 3 8" xfId="1699"/>
    <cellStyle name="Note 2 2 2 3 8 2" xfId="9522"/>
    <cellStyle name="Note 2 2 2 3 8 3" xfId="16950"/>
    <cellStyle name="Note 2 2 2 3 8 4" xfId="26694"/>
    <cellStyle name="Note 2 2 2 3 8 5" xfId="35546"/>
    <cellStyle name="Note 2 2 2 3 8 6" xfId="36879"/>
    <cellStyle name="Note 2 2 2 3 8 7" xfId="54482"/>
    <cellStyle name="Note 2 2 2 3 9" xfId="1833"/>
    <cellStyle name="Note 2 2 2 3 9 2" xfId="9656"/>
    <cellStyle name="Note 2 2 2 3 9 3" xfId="17084"/>
    <cellStyle name="Note 2 2 2 3 9 4" xfId="20002"/>
    <cellStyle name="Note 2 2 2 3 9 5" xfId="26960"/>
    <cellStyle name="Note 2 2 2 3 9 6" xfId="37889"/>
    <cellStyle name="Note 2 2 2 3 9 7" xfId="49058"/>
    <cellStyle name="Note 2 2 2 30" xfId="2985"/>
    <cellStyle name="Note 2 2 2 30 2" xfId="10807"/>
    <cellStyle name="Note 2 2 2 30 3" xfId="18234"/>
    <cellStyle name="Note 2 2 2 30 4" xfId="20559"/>
    <cellStyle name="Note 2 2 2 30 5" xfId="27376"/>
    <cellStyle name="Note 2 2 2 30 6" xfId="42152"/>
    <cellStyle name="Note 2 2 2 30 7" xfId="48502"/>
    <cellStyle name="Note 2 2 2 31" xfId="3712"/>
    <cellStyle name="Note 2 2 2 31 2" xfId="11497"/>
    <cellStyle name="Note 2 2 2 31 3" xfId="18769"/>
    <cellStyle name="Note 2 2 2 31 4" xfId="19967"/>
    <cellStyle name="Note 2 2 2 31 5" xfId="27398"/>
    <cellStyle name="Note 2 2 2 31 6" xfId="36379"/>
    <cellStyle name="Note 2 2 2 31 7" xfId="48313"/>
    <cellStyle name="Note 2 2 2 32" xfId="3119"/>
    <cellStyle name="Note 2 2 2 32 2" xfId="10924"/>
    <cellStyle name="Note 2 2 2 32 3" xfId="18303"/>
    <cellStyle name="Note 2 2 2 32 4" xfId="20693"/>
    <cellStyle name="Note 2 2 2 32 5" xfId="28617"/>
    <cellStyle name="Note 2 2 2 32 6" xfId="41807"/>
    <cellStyle name="Note 2 2 2 32 7" xfId="48649"/>
    <cellStyle name="Note 2 2 2 33" xfId="3162"/>
    <cellStyle name="Note 2 2 2 33 2" xfId="10964"/>
    <cellStyle name="Note 2 2 2 33 3" xfId="20296"/>
    <cellStyle name="Note 2 2 2 33 4" xfId="28386"/>
    <cellStyle name="Note 2 2 2 33 5" xfId="35947"/>
    <cellStyle name="Note 2 2 2 33 6" xfId="42416"/>
    <cellStyle name="Note 2 2 2 33 7" xfId="53153"/>
    <cellStyle name="Note 2 2 2 34" xfId="3209"/>
    <cellStyle name="Note 2 2 2 34 2" xfId="11008"/>
    <cellStyle name="Note 2 2 2 34 3" xfId="20335"/>
    <cellStyle name="Note 2 2 2 34 4" xfId="28426"/>
    <cellStyle name="Note 2 2 2 34 5" xfId="28014"/>
    <cellStyle name="Note 2 2 2 34 6" xfId="42446"/>
    <cellStyle name="Note 2 2 2 34 7" xfId="48564"/>
    <cellStyle name="Note 2 2 2 35" xfId="4219"/>
    <cellStyle name="Note 2 2 2 35 2" xfId="20929"/>
    <cellStyle name="Note 2 2 2 35 3" xfId="29116"/>
    <cellStyle name="Note 2 2 2 35 4" xfId="34921"/>
    <cellStyle name="Note 2 2 2 35 5" xfId="42781"/>
    <cellStyle name="Note 2 2 2 35 6" xfId="49921"/>
    <cellStyle name="Note 2 2 2 36" xfId="4229"/>
    <cellStyle name="Note 2 2 2 36 2" xfId="11966"/>
    <cellStyle name="Note 2 2 2 36 3" xfId="20939"/>
    <cellStyle name="Note 2 2 2 36 4" xfId="29126"/>
    <cellStyle name="Note 2 2 2 36 5" xfId="27846"/>
    <cellStyle name="Note 2 2 2 36 6" xfId="42791"/>
    <cellStyle name="Note 2 2 2 36 7" xfId="48883"/>
    <cellStyle name="Note 2 2 2 37" xfId="4372"/>
    <cellStyle name="Note 2 2 2 37 2" xfId="12089"/>
    <cellStyle name="Note 2 2 2 37 3" xfId="21082"/>
    <cellStyle name="Note 2 2 2 37 4" xfId="29269"/>
    <cellStyle name="Note 2 2 2 37 5" xfId="35706"/>
    <cellStyle name="Note 2 2 2 37 6" xfId="42934"/>
    <cellStyle name="Note 2 2 2 37 7" xfId="51996"/>
    <cellStyle name="Note 2 2 2 38" xfId="4444"/>
    <cellStyle name="Note 2 2 2 38 2" xfId="12161"/>
    <cellStyle name="Note 2 2 2 38 3" xfId="21154"/>
    <cellStyle name="Note 2 2 2 38 4" xfId="29341"/>
    <cellStyle name="Note 2 2 2 38 5" xfId="28814"/>
    <cellStyle name="Note 2 2 2 38 6" xfId="43006"/>
    <cellStyle name="Note 2 2 2 38 7" xfId="50586"/>
    <cellStyle name="Note 2 2 2 39" xfId="3201"/>
    <cellStyle name="Note 2 2 2 39 2" xfId="11001"/>
    <cellStyle name="Note 2 2 2 39 3" xfId="20327"/>
    <cellStyle name="Note 2 2 2 39 4" xfId="28419"/>
    <cellStyle name="Note 2 2 2 39 5" xfId="33583"/>
    <cellStyle name="Note 2 2 2 39 6" xfId="42439"/>
    <cellStyle name="Note 2 2 2 39 7" xfId="49262"/>
    <cellStyle name="Note 2 2 2 4" xfId="491"/>
    <cellStyle name="Note 2 2 2 4 10" xfId="1938"/>
    <cellStyle name="Note 2 2 2 4 10 2" xfId="9761"/>
    <cellStyle name="Note 2 2 2 4 10 3" xfId="17189"/>
    <cellStyle name="Note 2 2 2 4 10 4" xfId="26018"/>
    <cellStyle name="Note 2 2 2 4 10 5" xfId="34645"/>
    <cellStyle name="Note 2 2 2 4 10 6" xfId="41700"/>
    <cellStyle name="Note 2 2 2 4 10 7" xfId="53027"/>
    <cellStyle name="Note 2 2 2 4 11" xfId="2056"/>
    <cellStyle name="Note 2 2 2 4 11 2" xfId="9879"/>
    <cellStyle name="Note 2 2 2 4 11 3" xfId="17307"/>
    <cellStyle name="Note 2 2 2 4 11 4" xfId="19735"/>
    <cellStyle name="Note 2 2 2 4 11 5" xfId="28060"/>
    <cellStyle name="Note 2 2 2 4 11 6" xfId="37355"/>
    <cellStyle name="Note 2 2 2 4 11 7" xfId="48094"/>
    <cellStyle name="Note 2 2 2 4 12" xfId="2169"/>
    <cellStyle name="Note 2 2 2 4 12 2" xfId="9992"/>
    <cellStyle name="Note 2 2 2 4 12 3" xfId="17420"/>
    <cellStyle name="Note 2 2 2 4 12 4" xfId="25434"/>
    <cellStyle name="Note 2 2 2 4 12 5" xfId="33894"/>
    <cellStyle name="Note 2 2 2 4 12 6" xfId="40539"/>
    <cellStyle name="Note 2 2 2 4 12 7" xfId="51718"/>
    <cellStyle name="Note 2 2 2 4 13" xfId="1084"/>
    <cellStyle name="Note 2 2 2 4 13 2" xfId="8908"/>
    <cellStyle name="Note 2 2 2 4 13 3" xfId="16336"/>
    <cellStyle name="Note 2 2 2 4 13 4" xfId="24845"/>
    <cellStyle name="Note 2 2 2 4 13 5" xfId="26901"/>
    <cellStyle name="Note 2 2 2 4 13 6" xfId="38104"/>
    <cellStyle name="Note 2 2 2 4 13 7" xfId="49209"/>
    <cellStyle name="Note 2 2 2 4 14" xfId="2356"/>
    <cellStyle name="Note 2 2 2 4 14 2" xfId="10179"/>
    <cellStyle name="Note 2 2 2 4 14 3" xfId="17607"/>
    <cellStyle name="Note 2 2 2 4 14 4" xfId="25168"/>
    <cellStyle name="Note 2 2 2 4 14 5" xfId="33548"/>
    <cellStyle name="Note 2 2 2 4 14 6" xfId="37986"/>
    <cellStyle name="Note 2 2 2 4 14 7" xfId="51151"/>
    <cellStyle name="Note 2 2 2 4 15" xfId="2467"/>
    <cellStyle name="Note 2 2 2 4 15 2" xfId="10290"/>
    <cellStyle name="Note 2 2 2 4 15 3" xfId="17718"/>
    <cellStyle name="Note 2 2 2 4 15 4" xfId="20103"/>
    <cellStyle name="Note 2 2 2 4 15 5" xfId="27499"/>
    <cellStyle name="Note 2 2 2 4 15 6" xfId="40071"/>
    <cellStyle name="Note 2 2 2 4 15 7" xfId="48181"/>
    <cellStyle name="Note 2 2 2 4 16" xfId="2580"/>
    <cellStyle name="Note 2 2 2 4 16 2" xfId="10403"/>
    <cellStyle name="Note 2 2 2 4 16 3" xfId="17831"/>
    <cellStyle name="Note 2 2 2 4 16 4" xfId="25508"/>
    <cellStyle name="Note 2 2 2 4 16 5" xfId="33986"/>
    <cellStyle name="Note 2 2 2 4 16 6" xfId="37266"/>
    <cellStyle name="Note 2 2 2 4 16 7" xfId="51889"/>
    <cellStyle name="Note 2 2 2 4 17" xfId="2381"/>
    <cellStyle name="Note 2 2 2 4 17 2" xfId="10204"/>
    <cellStyle name="Note 2 2 2 4 17 3" xfId="17632"/>
    <cellStyle name="Note 2 2 2 4 17 4" xfId="20118"/>
    <cellStyle name="Note 2 2 2 4 17 5" xfId="28552"/>
    <cellStyle name="Note 2 2 2 4 17 6" xfId="41724"/>
    <cellStyle name="Note 2 2 2 4 17 7" xfId="47802"/>
    <cellStyle name="Note 2 2 2 4 18" xfId="2155"/>
    <cellStyle name="Note 2 2 2 4 18 2" xfId="9978"/>
    <cellStyle name="Note 2 2 2 4 18 3" xfId="17406"/>
    <cellStyle name="Note 2 2 2 4 18 4" xfId="19991"/>
    <cellStyle name="Note 2 2 2 4 18 5" xfId="27914"/>
    <cellStyle name="Note 2 2 2 4 18 6" xfId="36821"/>
    <cellStyle name="Note 2 2 2 4 18 7" xfId="49311"/>
    <cellStyle name="Note 2 2 2 4 19" xfId="2774"/>
    <cellStyle name="Note 2 2 2 4 19 2" xfId="10597"/>
    <cellStyle name="Note 2 2 2 4 19 3" xfId="18025"/>
    <cellStyle name="Note 2 2 2 4 19 4" xfId="26546"/>
    <cellStyle name="Note 2 2 2 4 19 5" xfId="35350"/>
    <cellStyle name="Note 2 2 2 4 19 6" xfId="36548"/>
    <cellStyle name="Note 2 2 2 4 19 7" xfId="54166"/>
    <cellStyle name="Note 2 2 2 4 2" xfId="642"/>
    <cellStyle name="Note 2 2 2 4 2 2" xfId="8466"/>
    <cellStyle name="Note 2 2 2 4 2 3" xfId="8294"/>
    <cellStyle name="Note 2 2 2 4 2 4" xfId="26203"/>
    <cellStyle name="Note 2 2 2 4 2 5" xfId="34885"/>
    <cellStyle name="Note 2 2 2 4 2 6" xfId="38124"/>
    <cellStyle name="Note 2 2 2 4 2 7" xfId="53434"/>
    <cellStyle name="Note 2 2 2 4 20" xfId="2881"/>
    <cellStyle name="Note 2 2 2 4 20 2" xfId="10704"/>
    <cellStyle name="Note 2 2 2 4 20 3" xfId="18132"/>
    <cellStyle name="Note 2 2 2 4 20 4" xfId="24857"/>
    <cellStyle name="Note 2 2 2 4 20 5" xfId="26746"/>
    <cellStyle name="Note 2 2 2 4 20 6" xfId="36807"/>
    <cellStyle name="Note 2 2 2 4 20 7" xfId="49793"/>
    <cellStyle name="Note 2 2 2 4 21" xfId="3257"/>
    <cellStyle name="Note 2 2 2 4 21 2" xfId="11050"/>
    <cellStyle name="Note 2 2 2 4 21 3" xfId="18379"/>
    <cellStyle name="Note 2 2 2 4 21 4" xfId="19533"/>
    <cellStyle name="Note 2 2 2 4 21 5" xfId="27570"/>
    <cellStyle name="Note 2 2 2 4 21 6" xfId="37197"/>
    <cellStyle name="Note 2 2 2 4 21 7" xfId="50044"/>
    <cellStyle name="Note 2 2 2 4 22" xfId="3377"/>
    <cellStyle name="Note 2 2 2 4 22 2" xfId="11168"/>
    <cellStyle name="Note 2 2 2 4 22 3" xfId="18490"/>
    <cellStyle name="Note 2 2 2 4 22 4" xfId="25412"/>
    <cellStyle name="Note 2 2 2 4 22 5" xfId="33868"/>
    <cellStyle name="Note 2 2 2 4 22 6" xfId="39171"/>
    <cellStyle name="Note 2 2 2 4 22 7" xfId="51675"/>
    <cellStyle name="Note 2 2 2 4 23" xfId="3511"/>
    <cellStyle name="Note 2 2 2 4 23 2" xfId="11302"/>
    <cellStyle name="Note 2 2 2 4 23 3" xfId="18600"/>
    <cellStyle name="Note 2 2 2 4 23 4" xfId="26278"/>
    <cellStyle name="Note 2 2 2 4 23 5" xfId="34981"/>
    <cellStyle name="Note 2 2 2 4 23 6" xfId="41919"/>
    <cellStyle name="Note 2 2 2 4 23 7" xfId="53596"/>
    <cellStyle name="Note 2 2 2 4 24" xfId="3575"/>
    <cellStyle name="Note 2 2 2 4 24 2" xfId="11364"/>
    <cellStyle name="Note 2 2 2 4 24 3" xfId="18644"/>
    <cellStyle name="Note 2 2 2 4 24 4" xfId="19307"/>
    <cellStyle name="Note 2 2 2 4 24 5" xfId="27187"/>
    <cellStyle name="Note 2 2 2 4 24 6" xfId="36812"/>
    <cellStyle name="Note 2 2 2 4 24 7" xfId="48237"/>
    <cellStyle name="Note 2 2 2 4 25" xfId="3647"/>
    <cellStyle name="Note 2 2 2 4 25 2" xfId="11432"/>
    <cellStyle name="Note 2 2 2 4 25 3" xfId="18705"/>
    <cellStyle name="Note 2 2 2 4 25 4" xfId="19419"/>
    <cellStyle name="Note 2 2 2 4 25 5" xfId="27341"/>
    <cellStyle name="Note 2 2 2 4 25 6" xfId="41607"/>
    <cellStyle name="Note 2 2 2 4 25 7" xfId="48405"/>
    <cellStyle name="Note 2 2 2 4 26" xfId="3778"/>
    <cellStyle name="Note 2 2 2 4 26 2" xfId="11560"/>
    <cellStyle name="Note 2 2 2 4 26 3" xfId="18817"/>
    <cellStyle name="Note 2 2 2 4 26 4" xfId="19990"/>
    <cellStyle name="Note 2 2 2 4 26 5" xfId="26788"/>
    <cellStyle name="Note 2 2 2 4 26 6" xfId="37367"/>
    <cellStyle name="Note 2 2 2 4 26 7" xfId="50346"/>
    <cellStyle name="Note 2 2 2 4 27" xfId="3895"/>
    <cellStyle name="Note 2 2 2 4 27 2" xfId="11675"/>
    <cellStyle name="Note 2 2 2 4 27 3" xfId="18926"/>
    <cellStyle name="Note 2 2 2 4 27 4" xfId="20031"/>
    <cellStyle name="Note 2 2 2 4 27 5" xfId="28098"/>
    <cellStyle name="Note 2 2 2 4 27 6" xfId="39924"/>
    <cellStyle name="Note 2 2 2 4 27 7" xfId="47618"/>
    <cellStyle name="Note 2 2 2 4 28" xfId="3203"/>
    <cellStyle name="Note 2 2 2 4 28 2" xfId="11003"/>
    <cellStyle name="Note 2 2 2 4 28 3" xfId="20329"/>
    <cellStyle name="Note 2 2 2 4 28 4" xfId="28421"/>
    <cellStyle name="Note 2 2 2 4 28 5" xfId="33318"/>
    <cellStyle name="Note 2 2 2 4 28 6" xfId="42441"/>
    <cellStyle name="Note 2 2 2 4 28 7" xfId="48922"/>
    <cellStyle name="Note 2 2 2 4 29" xfId="4092"/>
    <cellStyle name="Note 2 2 2 4 29 2" xfId="11852"/>
    <cellStyle name="Note 2 2 2 4 29 3" xfId="20802"/>
    <cellStyle name="Note 2 2 2 4 29 4" xfId="28989"/>
    <cellStyle name="Note 2 2 2 4 29 5" xfId="35642"/>
    <cellStyle name="Note 2 2 2 4 29 6" xfId="42654"/>
    <cellStyle name="Note 2 2 2 4 29 7" xfId="51662"/>
    <cellStyle name="Note 2 2 2 4 3" xfId="749"/>
    <cellStyle name="Note 2 2 2 4 3 2" xfId="8573"/>
    <cellStyle name="Note 2 2 2 4 3 3" xfId="16001"/>
    <cellStyle name="Note 2 2 2 4 3 4" xfId="20567"/>
    <cellStyle name="Note 2 2 2 4 3 5" xfId="27757"/>
    <cellStyle name="Note 2 2 2 4 3 6" xfId="38115"/>
    <cellStyle name="Note 2 2 2 4 3 7" xfId="47229"/>
    <cellStyle name="Note 2 2 2 4 30" xfId="3583"/>
    <cellStyle name="Note 2 2 2 4 30 2" xfId="20538"/>
    <cellStyle name="Note 2 2 2 4 30 3" xfId="28664"/>
    <cellStyle name="Note 2 2 2 4 30 4" xfId="36080"/>
    <cellStyle name="Note 2 2 2 4 30 5" xfId="42518"/>
    <cellStyle name="Note 2 2 2 4 30 6" xfId="53802"/>
    <cellStyle name="Note 2 2 2 4 31" xfId="4289"/>
    <cellStyle name="Note 2 2 2 4 31 2" xfId="12006"/>
    <cellStyle name="Note 2 2 2 4 31 3" xfId="20999"/>
    <cellStyle name="Note 2 2 2 4 31 4" xfId="29186"/>
    <cellStyle name="Note 2 2 2 4 31 5" xfId="35407"/>
    <cellStyle name="Note 2 2 2 4 31 6" xfId="42851"/>
    <cellStyle name="Note 2 2 2 4 31 7" xfId="49818"/>
    <cellStyle name="Note 2 2 2 4 32" xfId="4412"/>
    <cellStyle name="Note 2 2 2 4 32 2" xfId="12129"/>
    <cellStyle name="Note 2 2 2 4 32 3" xfId="21122"/>
    <cellStyle name="Note 2 2 2 4 32 4" xfId="29309"/>
    <cellStyle name="Note 2 2 2 4 32 5" xfId="28560"/>
    <cellStyle name="Note 2 2 2 4 32 6" xfId="42974"/>
    <cellStyle name="Note 2 2 2 4 32 7" xfId="48211"/>
    <cellStyle name="Note 2 2 2 4 33" xfId="4526"/>
    <cellStyle name="Note 2 2 2 4 33 2" xfId="12243"/>
    <cellStyle name="Note 2 2 2 4 33 3" xfId="21236"/>
    <cellStyle name="Note 2 2 2 4 33 4" xfId="29423"/>
    <cellStyle name="Note 2 2 2 4 33 5" xfId="26782"/>
    <cellStyle name="Note 2 2 2 4 33 6" xfId="43088"/>
    <cellStyle name="Note 2 2 2 4 33 7" xfId="47789"/>
    <cellStyle name="Note 2 2 2 4 34" xfId="4639"/>
    <cellStyle name="Note 2 2 2 4 34 2" xfId="12356"/>
    <cellStyle name="Note 2 2 2 4 34 3" xfId="21349"/>
    <cellStyle name="Note 2 2 2 4 34 4" xfId="29536"/>
    <cellStyle name="Note 2 2 2 4 34 5" xfId="35935"/>
    <cellStyle name="Note 2 2 2 4 34 6" xfId="43201"/>
    <cellStyle name="Note 2 2 2 4 34 7" xfId="53101"/>
    <cellStyle name="Note 2 2 2 4 35" xfId="4751"/>
    <cellStyle name="Note 2 2 2 4 35 2" xfId="12468"/>
    <cellStyle name="Note 2 2 2 4 35 3" xfId="21461"/>
    <cellStyle name="Note 2 2 2 4 35 4" xfId="29648"/>
    <cellStyle name="Note 2 2 2 4 35 5" xfId="34948"/>
    <cellStyle name="Note 2 2 2 4 35 6" xfId="43313"/>
    <cellStyle name="Note 2 2 2 4 35 7" xfId="49269"/>
    <cellStyle name="Note 2 2 2 4 36" xfId="4859"/>
    <cellStyle name="Note 2 2 2 4 36 2" xfId="12576"/>
    <cellStyle name="Note 2 2 2 4 36 3" xfId="21569"/>
    <cellStyle name="Note 2 2 2 4 36 4" xfId="29756"/>
    <cellStyle name="Note 2 2 2 4 36 5" xfId="35917"/>
    <cellStyle name="Note 2 2 2 4 36 6" xfId="43421"/>
    <cellStyle name="Note 2 2 2 4 36 7" xfId="53036"/>
    <cellStyle name="Note 2 2 2 4 37" xfId="4971"/>
    <cellStyle name="Note 2 2 2 4 37 2" xfId="12688"/>
    <cellStyle name="Note 2 2 2 4 37 3" xfId="21681"/>
    <cellStyle name="Note 2 2 2 4 37 4" xfId="29868"/>
    <cellStyle name="Note 2 2 2 4 37 5" xfId="27299"/>
    <cellStyle name="Note 2 2 2 4 37 6" xfId="43533"/>
    <cellStyle name="Note 2 2 2 4 37 7" xfId="50727"/>
    <cellStyle name="Note 2 2 2 4 38" xfId="5140"/>
    <cellStyle name="Note 2 2 2 4 38 2" xfId="12857"/>
    <cellStyle name="Note 2 2 2 4 38 3" xfId="21850"/>
    <cellStyle name="Note 2 2 2 4 38 4" xfId="30037"/>
    <cellStyle name="Note 2 2 2 4 38 5" xfId="36139"/>
    <cellStyle name="Note 2 2 2 4 38 6" xfId="43702"/>
    <cellStyle name="Note 2 2 2 4 38 7" xfId="54059"/>
    <cellStyle name="Note 2 2 2 4 39" xfId="5469"/>
    <cellStyle name="Note 2 2 2 4 39 2" xfId="13186"/>
    <cellStyle name="Note 2 2 2 4 39 3" xfId="22179"/>
    <cellStyle name="Note 2 2 2 4 39 4" xfId="30366"/>
    <cellStyle name="Note 2 2 2 4 39 5" xfId="35705"/>
    <cellStyle name="Note 2 2 2 4 39 6" xfId="44031"/>
    <cellStyle name="Note 2 2 2 4 39 7" xfId="51990"/>
    <cellStyle name="Note 2 2 2 4 4" xfId="861"/>
    <cellStyle name="Note 2 2 2 4 4 2" xfId="8685"/>
    <cellStyle name="Note 2 2 2 4 4 3" xfId="16113"/>
    <cellStyle name="Note 2 2 2 4 4 4" xfId="20042"/>
    <cellStyle name="Note 2 2 2 4 4 5" xfId="28709"/>
    <cellStyle name="Note 2 2 2 4 4 6" xfId="38099"/>
    <cellStyle name="Note 2 2 2 4 4 7" xfId="47403"/>
    <cellStyle name="Note 2 2 2 4 40" xfId="5594"/>
    <cellStyle name="Note 2 2 2 4 40 2" xfId="13311"/>
    <cellStyle name="Note 2 2 2 4 40 3" xfId="22304"/>
    <cellStyle name="Note 2 2 2 4 40 4" xfId="30491"/>
    <cellStyle name="Note 2 2 2 4 40 5" xfId="34924"/>
    <cellStyle name="Note 2 2 2 4 40 6" xfId="44156"/>
    <cellStyle name="Note 2 2 2 4 40 7" xfId="47145"/>
    <cellStyle name="Note 2 2 2 4 41" xfId="5709"/>
    <cellStyle name="Note 2 2 2 4 41 2" xfId="13426"/>
    <cellStyle name="Note 2 2 2 4 41 3" xfId="22419"/>
    <cellStyle name="Note 2 2 2 4 41 4" xfId="30606"/>
    <cellStyle name="Note 2 2 2 4 41 5" xfId="33730"/>
    <cellStyle name="Note 2 2 2 4 41 6" xfId="44271"/>
    <cellStyle name="Note 2 2 2 4 41 7" xfId="46950"/>
    <cellStyle name="Note 2 2 2 4 42" xfId="5826"/>
    <cellStyle name="Note 2 2 2 4 42 2" xfId="13543"/>
    <cellStyle name="Note 2 2 2 4 42 3" xfId="22536"/>
    <cellStyle name="Note 2 2 2 4 42 4" xfId="30723"/>
    <cellStyle name="Note 2 2 2 4 42 5" xfId="27552"/>
    <cellStyle name="Note 2 2 2 4 42 6" xfId="44388"/>
    <cellStyle name="Note 2 2 2 4 42 7" xfId="49630"/>
    <cellStyle name="Note 2 2 2 4 43" xfId="5954"/>
    <cellStyle name="Note 2 2 2 4 43 2" xfId="13671"/>
    <cellStyle name="Note 2 2 2 4 43 3" xfId="22664"/>
    <cellStyle name="Note 2 2 2 4 43 4" xfId="30851"/>
    <cellStyle name="Note 2 2 2 4 43 5" xfId="35776"/>
    <cellStyle name="Note 2 2 2 4 43 6" xfId="44516"/>
    <cellStyle name="Note 2 2 2 4 43 7" xfId="52144"/>
    <cellStyle name="Note 2 2 2 4 44" xfId="6067"/>
    <cellStyle name="Note 2 2 2 4 44 2" xfId="13784"/>
    <cellStyle name="Note 2 2 2 4 44 3" xfId="22777"/>
    <cellStyle name="Note 2 2 2 4 44 4" xfId="30964"/>
    <cellStyle name="Note 2 2 2 4 44 5" xfId="35656"/>
    <cellStyle name="Note 2 2 2 4 44 6" xfId="44629"/>
    <cellStyle name="Note 2 2 2 4 44 7" xfId="48540"/>
    <cellStyle name="Note 2 2 2 4 45" xfId="6088"/>
    <cellStyle name="Note 2 2 2 4 45 2" xfId="13805"/>
    <cellStyle name="Note 2 2 2 4 45 3" xfId="22798"/>
    <cellStyle name="Note 2 2 2 4 45 4" xfId="30985"/>
    <cellStyle name="Note 2 2 2 4 45 5" xfId="35903"/>
    <cellStyle name="Note 2 2 2 4 45 6" xfId="44650"/>
    <cellStyle name="Note 2 2 2 4 45 7" xfId="52693"/>
    <cellStyle name="Note 2 2 2 4 46" xfId="6210"/>
    <cellStyle name="Note 2 2 2 4 46 2" xfId="13927"/>
    <cellStyle name="Note 2 2 2 4 46 3" xfId="22920"/>
    <cellStyle name="Note 2 2 2 4 46 4" xfId="31107"/>
    <cellStyle name="Note 2 2 2 4 46 5" xfId="27674"/>
    <cellStyle name="Note 2 2 2 4 46 6" xfId="44772"/>
    <cellStyle name="Note 2 2 2 4 46 7" xfId="54459"/>
    <cellStyle name="Note 2 2 2 4 47" xfId="6327"/>
    <cellStyle name="Note 2 2 2 4 47 2" xfId="14044"/>
    <cellStyle name="Note 2 2 2 4 47 3" xfId="23037"/>
    <cellStyle name="Note 2 2 2 4 47 4" xfId="31224"/>
    <cellStyle name="Note 2 2 2 4 47 5" xfId="35592"/>
    <cellStyle name="Note 2 2 2 4 47 6" xfId="44889"/>
    <cellStyle name="Note 2 2 2 4 47 7" xfId="51142"/>
    <cellStyle name="Note 2 2 2 4 48" xfId="6437"/>
    <cellStyle name="Note 2 2 2 4 48 2" xfId="14154"/>
    <cellStyle name="Note 2 2 2 4 48 3" xfId="23147"/>
    <cellStyle name="Note 2 2 2 4 48 4" xfId="31334"/>
    <cellStyle name="Note 2 2 2 4 48 5" xfId="35885"/>
    <cellStyle name="Note 2 2 2 4 48 6" xfId="44999"/>
    <cellStyle name="Note 2 2 2 4 48 7" xfId="52154"/>
    <cellStyle name="Note 2 2 2 4 49" xfId="5810"/>
    <cellStyle name="Note 2 2 2 4 49 2" xfId="13527"/>
    <cellStyle name="Note 2 2 2 4 49 3" xfId="22520"/>
    <cellStyle name="Note 2 2 2 4 49 4" xfId="30707"/>
    <cellStyle name="Note 2 2 2 4 49 5" xfId="35860"/>
    <cellStyle name="Note 2 2 2 4 49 6" xfId="44372"/>
    <cellStyle name="Note 2 2 2 4 49 7" xfId="52355"/>
    <cellStyle name="Note 2 2 2 4 5" xfId="1326"/>
    <cellStyle name="Note 2 2 2 4 5 2" xfId="9149"/>
    <cellStyle name="Note 2 2 2 4 5 3" xfId="16577"/>
    <cellStyle name="Note 2 2 2 4 5 4" xfId="25267"/>
    <cellStyle name="Note 2 2 2 4 5 5" xfId="33675"/>
    <cellStyle name="Note 2 2 2 4 5 6" xfId="37982"/>
    <cellStyle name="Note 2 2 2 4 5 7" xfId="51361"/>
    <cellStyle name="Note 2 2 2 4 50" xfId="6584"/>
    <cellStyle name="Note 2 2 2 4 50 2" xfId="14301"/>
    <cellStyle name="Note 2 2 2 4 50 3" xfId="23294"/>
    <cellStyle name="Note 2 2 2 4 50 4" xfId="31481"/>
    <cellStyle name="Note 2 2 2 4 50 5" xfId="35922"/>
    <cellStyle name="Note 2 2 2 4 50 6" xfId="45146"/>
    <cellStyle name="Note 2 2 2 4 50 7" xfId="52809"/>
    <cellStyle name="Note 2 2 2 4 51" xfId="6695"/>
    <cellStyle name="Note 2 2 2 4 51 2" xfId="14412"/>
    <cellStyle name="Note 2 2 2 4 51 3" xfId="23405"/>
    <cellStyle name="Note 2 2 2 4 51 4" xfId="31592"/>
    <cellStyle name="Note 2 2 2 4 51 5" xfId="28170"/>
    <cellStyle name="Note 2 2 2 4 51 6" xfId="45257"/>
    <cellStyle name="Note 2 2 2 4 51 7" xfId="50939"/>
    <cellStyle name="Note 2 2 2 4 52" xfId="6810"/>
    <cellStyle name="Note 2 2 2 4 52 2" xfId="14527"/>
    <cellStyle name="Note 2 2 2 4 52 3" xfId="23520"/>
    <cellStyle name="Note 2 2 2 4 52 4" xfId="31707"/>
    <cellStyle name="Note 2 2 2 4 52 5" xfId="34347"/>
    <cellStyle name="Note 2 2 2 4 52 6" xfId="45372"/>
    <cellStyle name="Note 2 2 2 4 52 7" xfId="50872"/>
    <cellStyle name="Note 2 2 2 4 53" xfId="6923"/>
    <cellStyle name="Note 2 2 2 4 53 2" xfId="14640"/>
    <cellStyle name="Note 2 2 2 4 53 3" xfId="23633"/>
    <cellStyle name="Note 2 2 2 4 53 4" xfId="31820"/>
    <cellStyle name="Note 2 2 2 4 53 5" xfId="27188"/>
    <cellStyle name="Note 2 2 2 4 53 6" xfId="45485"/>
    <cellStyle name="Note 2 2 2 4 53 7" xfId="54514"/>
    <cellStyle name="Note 2 2 2 4 54" xfId="7035"/>
    <cellStyle name="Note 2 2 2 4 54 2" xfId="14752"/>
    <cellStyle name="Note 2 2 2 4 54 3" xfId="23745"/>
    <cellStyle name="Note 2 2 2 4 54 4" xfId="31932"/>
    <cellStyle name="Note 2 2 2 4 54 5" xfId="28236"/>
    <cellStyle name="Note 2 2 2 4 54 6" xfId="45597"/>
    <cellStyle name="Note 2 2 2 4 54 7" xfId="47202"/>
    <cellStyle name="Note 2 2 2 4 55" xfId="7309"/>
    <cellStyle name="Note 2 2 2 4 55 2" xfId="15026"/>
    <cellStyle name="Note 2 2 2 4 55 3" xfId="24019"/>
    <cellStyle name="Note 2 2 2 4 55 4" xfId="32206"/>
    <cellStyle name="Note 2 2 2 4 55 5" xfId="28576"/>
    <cellStyle name="Note 2 2 2 4 55 6" xfId="45871"/>
    <cellStyle name="Note 2 2 2 4 55 7" xfId="52495"/>
    <cellStyle name="Note 2 2 2 4 56" xfId="7408"/>
    <cellStyle name="Note 2 2 2 4 56 2" xfId="15125"/>
    <cellStyle name="Note 2 2 2 4 56 3" xfId="24118"/>
    <cellStyle name="Note 2 2 2 4 56 4" xfId="32305"/>
    <cellStyle name="Note 2 2 2 4 56 5" xfId="35944"/>
    <cellStyle name="Note 2 2 2 4 56 6" xfId="45970"/>
    <cellStyle name="Note 2 2 2 4 56 7" xfId="52692"/>
    <cellStyle name="Note 2 2 2 4 57" xfId="7432"/>
    <cellStyle name="Note 2 2 2 4 57 2" xfId="15149"/>
    <cellStyle name="Note 2 2 2 4 57 3" xfId="24142"/>
    <cellStyle name="Note 2 2 2 4 57 4" xfId="32329"/>
    <cellStyle name="Note 2 2 2 4 57 5" xfId="34781"/>
    <cellStyle name="Note 2 2 2 4 57 6" xfId="45994"/>
    <cellStyle name="Note 2 2 2 4 57 7" xfId="50020"/>
    <cellStyle name="Note 2 2 2 4 58" xfId="7553"/>
    <cellStyle name="Note 2 2 2 4 58 2" xfId="15270"/>
    <cellStyle name="Note 2 2 2 4 58 3" xfId="24263"/>
    <cellStyle name="Note 2 2 2 4 58 4" xfId="32450"/>
    <cellStyle name="Note 2 2 2 4 58 5" xfId="35851"/>
    <cellStyle name="Note 2 2 2 4 58 6" xfId="46115"/>
    <cellStyle name="Note 2 2 2 4 58 7" xfId="47621"/>
    <cellStyle name="Note 2 2 2 4 59" xfId="7829"/>
    <cellStyle name="Note 2 2 2 4 59 2" xfId="15546"/>
    <cellStyle name="Note 2 2 2 4 59 3" xfId="24533"/>
    <cellStyle name="Note 2 2 2 4 59 4" xfId="32726"/>
    <cellStyle name="Note 2 2 2 4 59 5" xfId="36035"/>
    <cellStyle name="Note 2 2 2 4 59 6" xfId="46391"/>
    <cellStyle name="Note 2 2 2 4 59 7" xfId="48108"/>
    <cellStyle name="Note 2 2 2 4 6" xfId="1449"/>
    <cellStyle name="Note 2 2 2 4 6 2" xfId="9272"/>
    <cellStyle name="Note 2 2 2 4 6 3" xfId="16700"/>
    <cellStyle name="Note 2 2 2 4 6 4" xfId="25106"/>
    <cellStyle name="Note 2 2 2 4 6 5" xfId="33471"/>
    <cellStyle name="Note 2 2 2 4 6 6" xfId="38903"/>
    <cellStyle name="Note 2 2 2 4 6 7" xfId="51020"/>
    <cellStyle name="Note 2 2 2 4 60" xfId="7703"/>
    <cellStyle name="Note 2 2 2 4 60 2" xfId="15420"/>
    <cellStyle name="Note 2 2 2 4 60 3" xfId="24411"/>
    <cellStyle name="Note 2 2 2 4 60 4" xfId="32600"/>
    <cellStyle name="Note 2 2 2 4 60 5" xfId="35750"/>
    <cellStyle name="Note 2 2 2 4 60 6" xfId="46265"/>
    <cellStyle name="Note 2 2 2 4 60 7" xfId="51554"/>
    <cellStyle name="Note 2 2 2 4 61" xfId="7696"/>
    <cellStyle name="Note 2 2 2 4 61 2" xfId="15413"/>
    <cellStyle name="Note 2 2 2 4 61 3" xfId="24404"/>
    <cellStyle name="Note 2 2 2 4 61 4" xfId="32593"/>
    <cellStyle name="Note 2 2 2 4 61 5" xfId="35659"/>
    <cellStyle name="Note 2 2 2 4 61 6" xfId="46258"/>
    <cellStyle name="Note 2 2 2 4 61 7" xfId="52477"/>
    <cellStyle name="Note 2 2 2 4 62" xfId="8020"/>
    <cellStyle name="Note 2 2 2 4 62 2" xfId="15737"/>
    <cellStyle name="Note 2 2 2 4 62 3" xfId="24722"/>
    <cellStyle name="Note 2 2 2 4 62 4" xfId="32917"/>
    <cellStyle name="Note 2 2 2 4 62 5" xfId="33252"/>
    <cellStyle name="Note 2 2 2 4 62 6" xfId="46582"/>
    <cellStyle name="Note 2 2 2 4 62 7" xfId="50565"/>
    <cellStyle name="Note 2 2 2 4 63" xfId="8105"/>
    <cellStyle name="Note 2 2 2 4 63 2" xfId="15822"/>
    <cellStyle name="Note 2 2 2 4 63 3" xfId="33002"/>
    <cellStyle name="Note 2 2 2 4 63 4" xfId="36190"/>
    <cellStyle name="Note 2 2 2 4 63 5" xfId="46667"/>
    <cellStyle name="Note 2 2 2 4 63 6" xfId="53703"/>
    <cellStyle name="Note 2 2 2 4 64" xfId="26055"/>
    <cellStyle name="Note 2 2 2 4 65" xfId="34697"/>
    <cellStyle name="Note 2 2 2 4 66" xfId="37341"/>
    <cellStyle name="Note 2 2 2 4 67" xfId="53114"/>
    <cellStyle name="Note 2 2 2 4 7" xfId="1555"/>
    <cellStyle name="Note 2 2 2 4 7 2" xfId="9378"/>
    <cellStyle name="Note 2 2 2 4 7 3" xfId="16806"/>
    <cellStyle name="Note 2 2 2 4 7 4" xfId="26309"/>
    <cellStyle name="Note 2 2 2 4 7 5" xfId="35028"/>
    <cellStyle name="Note 2 2 2 4 7 6" xfId="37650"/>
    <cellStyle name="Note 2 2 2 4 7 7" xfId="53663"/>
    <cellStyle name="Note 2 2 2 4 8" xfId="1686"/>
    <cellStyle name="Note 2 2 2 4 8 2" xfId="9509"/>
    <cellStyle name="Note 2 2 2 4 8 3" xfId="16937"/>
    <cellStyle name="Note 2 2 2 4 8 4" xfId="25429"/>
    <cellStyle name="Note 2 2 2 4 8 5" xfId="33888"/>
    <cellStyle name="Note 2 2 2 4 8 6" xfId="37513"/>
    <cellStyle name="Note 2 2 2 4 8 7" xfId="51706"/>
    <cellStyle name="Note 2 2 2 4 9" xfId="1820"/>
    <cellStyle name="Note 2 2 2 4 9 2" xfId="9643"/>
    <cellStyle name="Note 2 2 2 4 9 3" xfId="17071"/>
    <cellStyle name="Note 2 2 2 4 9 4" xfId="19582"/>
    <cellStyle name="Note 2 2 2 4 9 5" xfId="27273"/>
    <cellStyle name="Note 2 2 2 4 9 6" xfId="38857"/>
    <cellStyle name="Note 2 2 2 4 9 7" xfId="48254"/>
    <cellStyle name="Note 2 2 2 40" xfId="4671"/>
    <cellStyle name="Note 2 2 2 40 2" xfId="12388"/>
    <cellStyle name="Note 2 2 2 40 3" xfId="21381"/>
    <cellStyle name="Note 2 2 2 40 4" xfId="29568"/>
    <cellStyle name="Note 2 2 2 40 5" xfId="34932"/>
    <cellStyle name="Note 2 2 2 40 6" xfId="43233"/>
    <cellStyle name="Note 2 2 2 40 7" xfId="49973"/>
    <cellStyle name="Note 2 2 2 41" xfId="3349"/>
    <cellStyle name="Note 2 2 2 41 2" xfId="11142"/>
    <cellStyle name="Note 2 2 2 41 3" xfId="20405"/>
    <cellStyle name="Note 2 2 2 41 4" xfId="28509"/>
    <cellStyle name="Note 2 2 2 41 5" xfId="36141"/>
    <cellStyle name="Note 2 2 2 41 6" xfId="42465"/>
    <cellStyle name="Note 2 2 2 41 7" xfId="54072"/>
    <cellStyle name="Note 2 2 2 42" xfId="4891"/>
    <cellStyle name="Note 2 2 2 42 2" xfId="12608"/>
    <cellStyle name="Note 2 2 2 42 3" xfId="21601"/>
    <cellStyle name="Note 2 2 2 42 4" xfId="29788"/>
    <cellStyle name="Note 2 2 2 42 5" xfId="34071"/>
    <cellStyle name="Note 2 2 2 42 6" xfId="43453"/>
    <cellStyle name="Note 2 2 2 42 7" xfId="49900"/>
    <cellStyle name="Note 2 2 2 43" xfId="5109"/>
    <cellStyle name="Note 2 2 2 43 2" xfId="12826"/>
    <cellStyle name="Note 2 2 2 43 3" xfId="21819"/>
    <cellStyle name="Note 2 2 2 43 4" xfId="30006"/>
    <cellStyle name="Note 2 2 2 43 5" xfId="28691"/>
    <cellStyle name="Note 2 2 2 43 6" xfId="43671"/>
    <cellStyle name="Note 2 2 2 43 7" xfId="50122"/>
    <cellStyle name="Note 2 2 2 44" xfId="5381"/>
    <cellStyle name="Note 2 2 2 44 2" xfId="13098"/>
    <cellStyle name="Note 2 2 2 44 3" xfId="22091"/>
    <cellStyle name="Note 2 2 2 44 4" xfId="30278"/>
    <cellStyle name="Note 2 2 2 44 5" xfId="35959"/>
    <cellStyle name="Note 2 2 2 44 6" xfId="43943"/>
    <cellStyle name="Note 2 2 2 44 7" xfId="53218"/>
    <cellStyle name="Note 2 2 2 45" xfId="5165"/>
    <cellStyle name="Note 2 2 2 45 2" xfId="12882"/>
    <cellStyle name="Note 2 2 2 45 3" xfId="21875"/>
    <cellStyle name="Note 2 2 2 45 4" xfId="30062"/>
    <cellStyle name="Note 2 2 2 45 5" xfId="34353"/>
    <cellStyle name="Note 2 2 2 45 6" xfId="43727"/>
    <cellStyle name="Note 2 2 2 45 7" xfId="48029"/>
    <cellStyle name="Note 2 2 2 46" xfId="5258"/>
    <cellStyle name="Note 2 2 2 46 2" xfId="12975"/>
    <cellStyle name="Note 2 2 2 46 3" xfId="21968"/>
    <cellStyle name="Note 2 2 2 46 4" xfId="30155"/>
    <cellStyle name="Note 2 2 2 46 5" xfId="27707"/>
    <cellStyle name="Note 2 2 2 46 6" xfId="43820"/>
    <cellStyle name="Note 2 2 2 46 7" xfId="50829"/>
    <cellStyle name="Note 2 2 2 47" xfId="5210"/>
    <cellStyle name="Note 2 2 2 47 2" xfId="12927"/>
    <cellStyle name="Note 2 2 2 47 3" xfId="21920"/>
    <cellStyle name="Note 2 2 2 47 4" xfId="30107"/>
    <cellStyle name="Note 2 2 2 47 5" xfId="35980"/>
    <cellStyle name="Note 2 2 2 47 6" xfId="43772"/>
    <cellStyle name="Note 2 2 2 47 7" xfId="53341"/>
    <cellStyle name="Note 2 2 2 48" xfId="5191"/>
    <cellStyle name="Note 2 2 2 48 2" xfId="12908"/>
    <cellStyle name="Note 2 2 2 48 3" xfId="21901"/>
    <cellStyle name="Note 2 2 2 48 4" xfId="30088"/>
    <cellStyle name="Note 2 2 2 48 5" xfId="34809"/>
    <cellStyle name="Note 2 2 2 48 6" xfId="43753"/>
    <cellStyle name="Note 2 2 2 48 7" xfId="50356"/>
    <cellStyle name="Note 2 2 2 49" xfId="5263"/>
    <cellStyle name="Note 2 2 2 49 2" xfId="12980"/>
    <cellStyle name="Note 2 2 2 49 3" xfId="21973"/>
    <cellStyle name="Note 2 2 2 49 4" xfId="30160"/>
    <cellStyle name="Note 2 2 2 49 5" xfId="33586"/>
    <cellStyle name="Note 2 2 2 49 6" xfId="43825"/>
    <cellStyle name="Note 2 2 2 49 7" xfId="50457"/>
    <cellStyle name="Note 2 2 2 5" xfId="486"/>
    <cellStyle name="Note 2 2 2 5 10" xfId="1933"/>
    <cellStyle name="Note 2 2 2 5 10 2" xfId="9756"/>
    <cellStyle name="Note 2 2 2 5 10 3" xfId="17184"/>
    <cellStyle name="Note 2 2 2 5 10 4" xfId="26212"/>
    <cellStyle name="Note 2 2 2 5 10 5" xfId="34895"/>
    <cellStyle name="Note 2 2 2 5 10 6" xfId="42088"/>
    <cellStyle name="Note 2 2 2 5 10 7" xfId="53446"/>
    <cellStyle name="Note 2 2 2 5 11" xfId="2051"/>
    <cellStyle name="Note 2 2 2 5 11 2" xfId="9874"/>
    <cellStyle name="Note 2 2 2 5 11 3" xfId="17302"/>
    <cellStyle name="Note 2 2 2 5 11 4" xfId="26329"/>
    <cellStyle name="Note 2 2 2 5 11 5" xfId="35053"/>
    <cellStyle name="Note 2 2 2 5 11 6" xfId="37892"/>
    <cellStyle name="Note 2 2 2 5 11 7" xfId="53695"/>
    <cellStyle name="Note 2 2 2 5 12" xfId="2164"/>
    <cellStyle name="Note 2 2 2 5 12 2" xfId="9987"/>
    <cellStyle name="Note 2 2 2 5 12 3" xfId="17415"/>
    <cellStyle name="Note 2 2 2 5 12 4" xfId="26304"/>
    <cellStyle name="Note 2 2 2 5 12 5" xfId="35022"/>
    <cellStyle name="Note 2 2 2 5 12 6" xfId="40891"/>
    <cellStyle name="Note 2 2 2 5 12 7" xfId="53655"/>
    <cellStyle name="Note 2 2 2 5 13" xfId="2201"/>
    <cellStyle name="Note 2 2 2 5 13 2" xfId="10024"/>
    <cellStyle name="Note 2 2 2 5 13 3" xfId="17452"/>
    <cellStyle name="Note 2 2 2 5 13 4" xfId="25832"/>
    <cellStyle name="Note 2 2 2 5 13 5" xfId="34415"/>
    <cellStyle name="Note 2 2 2 5 13 6" xfId="37503"/>
    <cellStyle name="Note 2 2 2 5 13 7" xfId="52633"/>
    <cellStyle name="Note 2 2 2 5 14" xfId="1257"/>
    <cellStyle name="Note 2 2 2 5 14 2" xfId="9080"/>
    <cellStyle name="Note 2 2 2 5 14 3" xfId="16508"/>
    <cellStyle name="Note 2 2 2 5 14 4" xfId="24797"/>
    <cellStyle name="Note 2 2 2 5 14 5" xfId="28142"/>
    <cellStyle name="Note 2 2 2 5 14 6" xfId="36954"/>
    <cellStyle name="Note 2 2 2 5 14 7" xfId="47195"/>
    <cellStyle name="Note 2 2 2 5 15" xfId="2462"/>
    <cellStyle name="Note 2 2 2 5 15 2" xfId="10285"/>
    <cellStyle name="Note 2 2 2 5 15 3" xfId="17713"/>
    <cellStyle name="Note 2 2 2 5 15 4" xfId="20257"/>
    <cellStyle name="Note 2 2 2 5 15 5" xfId="28672"/>
    <cellStyle name="Note 2 2 2 5 15 6" xfId="40556"/>
    <cellStyle name="Note 2 2 2 5 15 7" xfId="47765"/>
    <cellStyle name="Note 2 2 2 5 16" xfId="2575"/>
    <cellStyle name="Note 2 2 2 5 16 2" xfId="10398"/>
    <cellStyle name="Note 2 2 2 5 16 3" xfId="17826"/>
    <cellStyle name="Note 2 2 2 5 16 4" xfId="25710"/>
    <cellStyle name="Note 2 2 2 5 16 5" xfId="34251"/>
    <cellStyle name="Note 2 2 2 5 16 6" xfId="37885"/>
    <cellStyle name="Note 2 2 2 5 16 7" xfId="52335"/>
    <cellStyle name="Note 2 2 2 5 17" xfId="2672"/>
    <cellStyle name="Note 2 2 2 5 17 2" xfId="10495"/>
    <cellStyle name="Note 2 2 2 5 17 3" xfId="17923"/>
    <cellStyle name="Note 2 2 2 5 17 4" xfId="19772"/>
    <cellStyle name="Note 2 2 2 5 17 5" xfId="27565"/>
    <cellStyle name="Note 2 2 2 5 17 6" xfId="37002"/>
    <cellStyle name="Note 2 2 2 5 17 7" xfId="48781"/>
    <cellStyle name="Note 2 2 2 5 18" xfId="1590"/>
    <cellStyle name="Note 2 2 2 5 18 2" xfId="9413"/>
    <cellStyle name="Note 2 2 2 5 18 3" xfId="16841"/>
    <cellStyle name="Note 2 2 2 5 18 4" xfId="25133"/>
    <cellStyle name="Note 2 2 2 5 18 5" xfId="33506"/>
    <cellStyle name="Note 2 2 2 5 18 6" xfId="39703"/>
    <cellStyle name="Note 2 2 2 5 18 7" xfId="51079"/>
    <cellStyle name="Note 2 2 2 5 19" xfId="2769"/>
    <cellStyle name="Note 2 2 2 5 19 2" xfId="10592"/>
    <cellStyle name="Note 2 2 2 5 19 3" xfId="18020"/>
    <cellStyle name="Note 2 2 2 5 19 4" xfId="26665"/>
    <cellStyle name="Note 2 2 2 5 19 5" xfId="35512"/>
    <cellStyle name="Note 2 2 2 5 19 6" xfId="40313"/>
    <cellStyle name="Note 2 2 2 5 19 7" xfId="54425"/>
    <cellStyle name="Note 2 2 2 5 2" xfId="637"/>
    <cellStyle name="Note 2 2 2 5 2 2" xfId="8461"/>
    <cellStyle name="Note 2 2 2 5 2 3" xfId="8297"/>
    <cellStyle name="Note 2 2 2 5 2 4" xfId="26553"/>
    <cellStyle name="Note 2 2 2 5 2 5" xfId="35362"/>
    <cellStyle name="Note 2 2 2 5 2 6" xfId="36793"/>
    <cellStyle name="Note 2 2 2 5 2 7" xfId="54183"/>
    <cellStyle name="Note 2 2 2 5 20" xfId="2876"/>
    <cellStyle name="Note 2 2 2 5 20 2" xfId="10699"/>
    <cellStyle name="Note 2 2 2 5 20 3" xfId="18127"/>
    <cellStyle name="Note 2 2 2 5 20 4" xfId="25073"/>
    <cellStyle name="Note 2 2 2 5 20 5" xfId="33433"/>
    <cellStyle name="Note 2 2 2 5 20 6" xfId="36593"/>
    <cellStyle name="Note 2 2 2 5 20 7" xfId="50957"/>
    <cellStyle name="Note 2 2 2 5 21" xfId="3252"/>
    <cellStyle name="Note 2 2 2 5 21 2" xfId="11045"/>
    <cellStyle name="Note 2 2 2 5 21 3" xfId="18374"/>
    <cellStyle name="Note 2 2 2 5 21 4" xfId="24889"/>
    <cellStyle name="Note 2 2 2 5 21 5" xfId="33204"/>
    <cellStyle name="Note 2 2 2 5 21 6" xfId="36902"/>
    <cellStyle name="Note 2 2 2 5 21 7" xfId="50536"/>
    <cellStyle name="Note 2 2 2 5 22" xfId="3372"/>
    <cellStyle name="Note 2 2 2 5 22 2" xfId="11163"/>
    <cellStyle name="Note 2 2 2 5 22 3" xfId="18485"/>
    <cellStyle name="Note 2 2 2 5 22 4" xfId="19752"/>
    <cellStyle name="Note 2 2 2 5 22 5" xfId="27540"/>
    <cellStyle name="Note 2 2 2 5 22 6" xfId="39877"/>
    <cellStyle name="Note 2 2 2 5 22 7" xfId="48028"/>
    <cellStyle name="Note 2 2 2 5 23" xfId="3507"/>
    <cellStyle name="Note 2 2 2 5 23 2" xfId="11298"/>
    <cellStyle name="Note 2 2 2 5 23 3" xfId="18596"/>
    <cellStyle name="Note 2 2 2 5 23 4" xfId="19778"/>
    <cellStyle name="Note 2 2 2 5 23 5" xfId="28083"/>
    <cellStyle name="Note 2 2 2 5 23 6" xfId="36624"/>
    <cellStyle name="Note 2 2 2 5 23 7" xfId="48222"/>
    <cellStyle name="Note 2 2 2 5 24" xfId="3566"/>
    <cellStyle name="Note 2 2 2 5 24 2" xfId="11355"/>
    <cellStyle name="Note 2 2 2 5 24 3" xfId="18638"/>
    <cellStyle name="Note 2 2 2 5 24 4" xfId="25002"/>
    <cellStyle name="Note 2 2 2 5 24 5" xfId="33353"/>
    <cellStyle name="Note 2 2 2 5 24 6" xfId="37123"/>
    <cellStyle name="Note 2 2 2 5 24 7" xfId="50803"/>
    <cellStyle name="Note 2 2 2 5 25" xfId="3642"/>
    <cellStyle name="Note 2 2 2 5 25 2" xfId="11427"/>
    <cellStyle name="Note 2 2 2 5 25 3" xfId="18700"/>
    <cellStyle name="Note 2 2 2 5 25 4" xfId="19414"/>
    <cellStyle name="Note 2 2 2 5 25 5" xfId="28096"/>
    <cellStyle name="Note 2 2 2 5 25 6" xfId="42105"/>
    <cellStyle name="Note 2 2 2 5 25 7" xfId="48968"/>
    <cellStyle name="Note 2 2 2 5 26" xfId="3773"/>
    <cellStyle name="Note 2 2 2 5 26 2" xfId="11555"/>
    <cellStyle name="Note 2 2 2 5 26 3" xfId="18812"/>
    <cellStyle name="Note 2 2 2 5 26 4" xfId="24987"/>
    <cellStyle name="Note 2 2 2 5 26 5" xfId="33332"/>
    <cellStyle name="Note 2 2 2 5 26 6" xfId="36405"/>
    <cellStyle name="Note 2 2 2 5 26 7" xfId="50763"/>
    <cellStyle name="Note 2 2 2 5 27" xfId="3890"/>
    <cellStyle name="Note 2 2 2 5 27 2" xfId="11670"/>
    <cellStyle name="Note 2 2 2 5 27 3" xfId="18921"/>
    <cellStyle name="Note 2 2 2 5 27 4" xfId="25789"/>
    <cellStyle name="Note 2 2 2 5 27 5" xfId="34357"/>
    <cellStyle name="Note 2 2 2 5 27 6" xfId="40408"/>
    <cellStyle name="Note 2 2 2 5 27 7" xfId="52530"/>
    <cellStyle name="Note 2 2 2 5 28" xfId="3960"/>
    <cellStyle name="Note 2 2 2 5 28 2" xfId="11739"/>
    <cellStyle name="Note 2 2 2 5 28 3" xfId="20691"/>
    <cellStyle name="Note 2 2 2 5 28 4" xfId="28872"/>
    <cellStyle name="Note 2 2 2 5 28 5" xfId="36117"/>
    <cellStyle name="Note 2 2 2 5 28 6" xfId="42555"/>
    <cellStyle name="Note 2 2 2 5 28 7" xfId="53965"/>
    <cellStyle name="Note 2 2 2 5 29" xfId="4087"/>
    <cellStyle name="Note 2 2 2 5 29 2" xfId="11847"/>
    <cellStyle name="Note 2 2 2 5 29 3" xfId="20797"/>
    <cellStyle name="Note 2 2 2 5 29 4" xfId="28984"/>
    <cellStyle name="Note 2 2 2 5 29 5" xfId="35809"/>
    <cellStyle name="Note 2 2 2 5 29 6" xfId="42649"/>
    <cellStyle name="Note 2 2 2 5 29 7" xfId="52488"/>
    <cellStyle name="Note 2 2 2 5 3" xfId="744"/>
    <cellStyle name="Note 2 2 2 5 3 2" xfId="8568"/>
    <cellStyle name="Note 2 2 2 5 3 3" xfId="15996"/>
    <cellStyle name="Note 2 2 2 5 3 4" xfId="20098"/>
    <cellStyle name="Note 2 2 2 5 3 5" xfId="26997"/>
    <cellStyle name="Note 2 2 2 5 3 6" xfId="36787"/>
    <cellStyle name="Note 2 2 2 5 3 7" xfId="47963"/>
    <cellStyle name="Note 2 2 2 5 30" xfId="3092"/>
    <cellStyle name="Note 2 2 2 5 30 2" xfId="20252"/>
    <cellStyle name="Note 2 2 2 5 30 3" xfId="28342"/>
    <cellStyle name="Note 2 2 2 5 30 4" xfId="34506"/>
    <cellStyle name="Note 2 2 2 5 30 5" xfId="42396"/>
    <cellStyle name="Note 2 2 2 5 30 6" xfId="51317"/>
    <cellStyle name="Note 2 2 2 5 31" xfId="4284"/>
    <cellStyle name="Note 2 2 2 5 31 2" xfId="12001"/>
    <cellStyle name="Note 2 2 2 5 31 3" xfId="20994"/>
    <cellStyle name="Note 2 2 2 5 31 4" xfId="29181"/>
    <cellStyle name="Note 2 2 2 5 31 5" xfId="35491"/>
    <cellStyle name="Note 2 2 2 5 31 6" xfId="42846"/>
    <cellStyle name="Note 2 2 2 5 31 7" xfId="50697"/>
    <cellStyle name="Note 2 2 2 5 32" xfId="4407"/>
    <cellStyle name="Note 2 2 2 5 32 2" xfId="12124"/>
    <cellStyle name="Note 2 2 2 5 32 3" xfId="21117"/>
    <cellStyle name="Note 2 2 2 5 32 4" xfId="29304"/>
    <cellStyle name="Note 2 2 2 5 32 5" xfId="27314"/>
    <cellStyle name="Note 2 2 2 5 32 6" xfId="42969"/>
    <cellStyle name="Note 2 2 2 5 32 7" xfId="48011"/>
    <cellStyle name="Note 2 2 2 5 33" xfId="4521"/>
    <cellStyle name="Note 2 2 2 5 33 2" xfId="12238"/>
    <cellStyle name="Note 2 2 2 5 33 3" xfId="21231"/>
    <cellStyle name="Note 2 2 2 5 33 4" xfId="29418"/>
    <cellStyle name="Note 2 2 2 5 33 5" xfId="35463"/>
    <cellStyle name="Note 2 2 2 5 33 6" xfId="43083"/>
    <cellStyle name="Note 2 2 2 5 33 7" xfId="49317"/>
    <cellStyle name="Note 2 2 2 5 34" xfId="4634"/>
    <cellStyle name="Note 2 2 2 5 34 2" xfId="12351"/>
    <cellStyle name="Note 2 2 2 5 34 3" xfId="21344"/>
    <cellStyle name="Note 2 2 2 5 34 4" xfId="29531"/>
    <cellStyle name="Note 2 2 2 5 34 5" xfId="36070"/>
    <cellStyle name="Note 2 2 2 5 34 6" xfId="43196"/>
    <cellStyle name="Note 2 2 2 5 34 7" xfId="53753"/>
    <cellStyle name="Note 2 2 2 5 35" xfId="4746"/>
    <cellStyle name="Note 2 2 2 5 35 2" xfId="12463"/>
    <cellStyle name="Note 2 2 2 5 35 3" xfId="21456"/>
    <cellStyle name="Note 2 2 2 5 35 4" xfId="29643"/>
    <cellStyle name="Note 2 2 2 5 35 5" xfId="27293"/>
    <cellStyle name="Note 2 2 2 5 35 6" xfId="43308"/>
    <cellStyle name="Note 2 2 2 5 35 7" xfId="49555"/>
    <cellStyle name="Note 2 2 2 5 36" xfId="4854"/>
    <cellStyle name="Note 2 2 2 5 36 2" xfId="12571"/>
    <cellStyle name="Note 2 2 2 5 36 3" xfId="21564"/>
    <cellStyle name="Note 2 2 2 5 36 4" xfId="29751"/>
    <cellStyle name="Note 2 2 2 5 36 5" xfId="36034"/>
    <cellStyle name="Note 2 2 2 5 36 6" xfId="43416"/>
    <cellStyle name="Note 2 2 2 5 36 7" xfId="53573"/>
    <cellStyle name="Note 2 2 2 5 37" xfId="4966"/>
    <cellStyle name="Note 2 2 2 5 37 2" xfId="12683"/>
    <cellStyle name="Note 2 2 2 5 37 3" xfId="21676"/>
    <cellStyle name="Note 2 2 2 5 37 4" xfId="29863"/>
    <cellStyle name="Note 2 2 2 5 37 5" xfId="34029"/>
    <cellStyle name="Note 2 2 2 5 37 6" xfId="43528"/>
    <cellStyle name="Note 2 2 2 5 37 7" xfId="51137"/>
    <cellStyle name="Note 2 2 2 5 38" xfId="5147"/>
    <cellStyle name="Note 2 2 2 5 38 2" xfId="12864"/>
    <cellStyle name="Note 2 2 2 5 38 3" xfId="21857"/>
    <cellStyle name="Note 2 2 2 5 38 4" xfId="30044"/>
    <cellStyle name="Note 2 2 2 5 38 5" xfId="33334"/>
    <cellStyle name="Note 2 2 2 5 38 6" xfId="43709"/>
    <cellStyle name="Note 2 2 2 5 38 7" xfId="48498"/>
    <cellStyle name="Note 2 2 2 5 39" xfId="5464"/>
    <cellStyle name="Note 2 2 2 5 39 2" xfId="13181"/>
    <cellStyle name="Note 2 2 2 5 39 3" xfId="22174"/>
    <cellStyle name="Note 2 2 2 5 39 4" xfId="30361"/>
    <cellStyle name="Note 2 2 2 5 39 5" xfId="35798"/>
    <cellStyle name="Note 2 2 2 5 39 6" xfId="44026"/>
    <cellStyle name="Note 2 2 2 5 39 7" xfId="52447"/>
    <cellStyle name="Note 2 2 2 5 4" xfId="856"/>
    <cellStyle name="Note 2 2 2 5 4 2" xfId="8680"/>
    <cellStyle name="Note 2 2 2 5 4 3" xfId="16108"/>
    <cellStyle name="Note 2 2 2 5 4 4" xfId="19597"/>
    <cellStyle name="Note 2 2 2 5 4 5" xfId="27642"/>
    <cellStyle name="Note 2 2 2 5 4 6" xfId="36770"/>
    <cellStyle name="Note 2 2 2 5 4 7" xfId="50251"/>
    <cellStyle name="Note 2 2 2 5 40" xfId="5589"/>
    <cellStyle name="Note 2 2 2 5 40 2" xfId="13306"/>
    <cellStyle name="Note 2 2 2 5 40 3" xfId="22299"/>
    <cellStyle name="Note 2 2 2 5 40 4" xfId="30486"/>
    <cellStyle name="Note 2 2 2 5 40 5" xfId="34268"/>
    <cellStyle name="Note 2 2 2 5 40 6" xfId="44151"/>
    <cellStyle name="Note 2 2 2 5 40 7" xfId="47149"/>
    <cellStyle name="Note 2 2 2 5 41" xfId="5704"/>
    <cellStyle name="Note 2 2 2 5 41 2" xfId="13421"/>
    <cellStyle name="Note 2 2 2 5 41 3" xfId="22414"/>
    <cellStyle name="Note 2 2 2 5 41 4" xfId="30601"/>
    <cellStyle name="Note 2 2 2 5 41 5" xfId="28658"/>
    <cellStyle name="Note 2 2 2 5 41 6" xfId="44266"/>
    <cellStyle name="Note 2 2 2 5 41 7" xfId="46825"/>
    <cellStyle name="Note 2 2 2 5 42" xfId="5821"/>
    <cellStyle name="Note 2 2 2 5 42 2" xfId="13538"/>
    <cellStyle name="Note 2 2 2 5 42 3" xfId="22531"/>
    <cellStyle name="Note 2 2 2 5 42 4" xfId="30718"/>
    <cellStyle name="Note 2 2 2 5 42 5" xfId="35158"/>
    <cellStyle name="Note 2 2 2 5 42 6" xfId="44383"/>
    <cellStyle name="Note 2 2 2 5 42 7" xfId="51024"/>
    <cellStyle name="Note 2 2 2 5 43" xfId="5949"/>
    <cellStyle name="Note 2 2 2 5 43 2" xfId="13666"/>
    <cellStyle name="Note 2 2 2 5 43 3" xfId="22659"/>
    <cellStyle name="Note 2 2 2 5 43 4" xfId="30846"/>
    <cellStyle name="Note 2 2 2 5 43 5" xfId="35898"/>
    <cellStyle name="Note 2 2 2 5 43 6" xfId="44511"/>
    <cellStyle name="Note 2 2 2 5 43 7" xfId="52604"/>
    <cellStyle name="Note 2 2 2 5 44" xfId="6062"/>
    <cellStyle name="Note 2 2 2 5 44 2" xfId="13779"/>
    <cellStyle name="Note 2 2 2 5 44 3" xfId="22772"/>
    <cellStyle name="Note 2 2 2 5 44 4" xfId="30959"/>
    <cellStyle name="Note 2 2 2 5 44 5" xfId="35650"/>
    <cellStyle name="Note 2 2 2 5 44 6" xfId="44624"/>
    <cellStyle name="Note 2 2 2 5 44 7" xfId="51667"/>
    <cellStyle name="Note 2 2 2 5 45" xfId="6091"/>
    <cellStyle name="Note 2 2 2 5 45 2" xfId="13808"/>
    <cellStyle name="Note 2 2 2 5 45 3" xfId="22801"/>
    <cellStyle name="Note 2 2 2 5 45 4" xfId="30988"/>
    <cellStyle name="Note 2 2 2 5 45 5" xfId="35856"/>
    <cellStyle name="Note 2 2 2 5 45 6" xfId="44653"/>
    <cellStyle name="Note 2 2 2 5 45 7" xfId="52328"/>
    <cellStyle name="Note 2 2 2 5 46" xfId="6205"/>
    <cellStyle name="Note 2 2 2 5 46 2" xfId="13922"/>
    <cellStyle name="Note 2 2 2 5 46 3" xfId="22915"/>
    <cellStyle name="Note 2 2 2 5 46 4" xfId="31102"/>
    <cellStyle name="Note 2 2 2 5 46 5" xfId="26886"/>
    <cellStyle name="Note 2 2 2 5 46 6" xfId="44767"/>
    <cellStyle name="Note 2 2 2 5 46 7" xfId="48285"/>
    <cellStyle name="Note 2 2 2 5 47" xfId="6322"/>
    <cellStyle name="Note 2 2 2 5 47 2" xfId="14039"/>
    <cellStyle name="Note 2 2 2 5 47 3" xfId="23032"/>
    <cellStyle name="Note 2 2 2 5 47 4" xfId="31219"/>
    <cellStyle name="Note 2 2 2 5 47 5" xfId="27882"/>
    <cellStyle name="Note 2 2 2 5 47 6" xfId="44884"/>
    <cellStyle name="Note 2 2 2 5 47 7" xfId="51920"/>
    <cellStyle name="Note 2 2 2 5 48" xfId="6432"/>
    <cellStyle name="Note 2 2 2 5 48 2" xfId="14149"/>
    <cellStyle name="Note 2 2 2 5 48 3" xfId="23142"/>
    <cellStyle name="Note 2 2 2 5 48 4" xfId="31329"/>
    <cellStyle name="Note 2 2 2 5 48 5" xfId="35960"/>
    <cellStyle name="Note 2 2 2 5 48 6" xfId="44994"/>
    <cellStyle name="Note 2 2 2 5 48 7" xfId="53014"/>
    <cellStyle name="Note 2 2 2 5 49" xfId="6469"/>
    <cellStyle name="Note 2 2 2 5 49 2" xfId="14186"/>
    <cellStyle name="Note 2 2 2 5 49 3" xfId="23179"/>
    <cellStyle name="Note 2 2 2 5 49 4" xfId="31366"/>
    <cellStyle name="Note 2 2 2 5 49 5" xfId="27669"/>
    <cellStyle name="Note 2 2 2 5 49 6" xfId="45031"/>
    <cellStyle name="Note 2 2 2 5 49 7" xfId="47756"/>
    <cellStyle name="Note 2 2 2 5 5" xfId="1321"/>
    <cellStyle name="Note 2 2 2 5 5 2" xfId="9144"/>
    <cellStyle name="Note 2 2 2 5 5 3" xfId="16572"/>
    <cellStyle name="Note 2 2 2 5 5 4" xfId="25630"/>
    <cellStyle name="Note 2 2 2 5 5 5" xfId="34148"/>
    <cellStyle name="Note 2 2 2 5 5 6" xfId="39551"/>
    <cellStyle name="Note 2 2 2 5 5 7" xfId="52156"/>
    <cellStyle name="Note 2 2 2 5 50" xfId="6579"/>
    <cellStyle name="Note 2 2 2 5 50 2" xfId="14296"/>
    <cellStyle name="Note 2 2 2 5 50 3" xfId="23289"/>
    <cellStyle name="Note 2 2 2 5 50 4" xfId="31476"/>
    <cellStyle name="Note 2 2 2 5 50 5" xfId="36010"/>
    <cellStyle name="Note 2 2 2 5 50 6" xfId="45141"/>
    <cellStyle name="Note 2 2 2 5 50 7" xfId="48080"/>
    <cellStyle name="Note 2 2 2 5 51" xfId="6690"/>
    <cellStyle name="Note 2 2 2 5 51 2" xfId="14407"/>
    <cellStyle name="Note 2 2 2 5 51 3" xfId="23400"/>
    <cellStyle name="Note 2 2 2 5 51 4" xfId="31587"/>
    <cellStyle name="Note 2 2 2 5 51 5" xfId="27014"/>
    <cellStyle name="Note 2 2 2 5 51 6" xfId="45252"/>
    <cellStyle name="Note 2 2 2 5 51 7" xfId="48905"/>
    <cellStyle name="Note 2 2 2 5 52" xfId="6805"/>
    <cellStyle name="Note 2 2 2 5 52 2" xfId="14522"/>
    <cellStyle name="Note 2 2 2 5 52 3" xfId="23515"/>
    <cellStyle name="Note 2 2 2 5 52 4" xfId="31702"/>
    <cellStyle name="Note 2 2 2 5 52 5" xfId="35703"/>
    <cellStyle name="Note 2 2 2 5 52 6" xfId="45367"/>
    <cellStyle name="Note 2 2 2 5 52 7" xfId="51413"/>
    <cellStyle name="Note 2 2 2 5 53" xfId="6918"/>
    <cellStyle name="Note 2 2 2 5 53 2" xfId="14635"/>
    <cellStyle name="Note 2 2 2 5 53 3" xfId="23628"/>
    <cellStyle name="Note 2 2 2 5 53 4" xfId="31815"/>
    <cellStyle name="Note 2 2 2 5 53 5" xfId="27415"/>
    <cellStyle name="Note 2 2 2 5 53 6" xfId="45480"/>
    <cellStyle name="Note 2 2 2 5 53 7" xfId="46818"/>
    <cellStyle name="Note 2 2 2 5 54" xfId="7030"/>
    <cellStyle name="Note 2 2 2 5 54 2" xfId="14747"/>
    <cellStyle name="Note 2 2 2 5 54 3" xfId="23740"/>
    <cellStyle name="Note 2 2 2 5 54 4" xfId="31927"/>
    <cellStyle name="Note 2 2 2 5 54 5" xfId="34532"/>
    <cellStyle name="Note 2 2 2 5 54 6" xfId="45592"/>
    <cellStyle name="Note 2 2 2 5 54 7" xfId="46939"/>
    <cellStyle name="Note 2 2 2 5 55" xfId="7317"/>
    <cellStyle name="Note 2 2 2 5 55 2" xfId="15034"/>
    <cellStyle name="Note 2 2 2 5 55 3" xfId="24027"/>
    <cellStyle name="Note 2 2 2 5 55 4" xfId="32214"/>
    <cellStyle name="Note 2 2 2 5 55 5" xfId="35904"/>
    <cellStyle name="Note 2 2 2 5 55 6" xfId="45879"/>
    <cellStyle name="Note 2 2 2 5 55 7" xfId="48583"/>
    <cellStyle name="Note 2 2 2 5 56" xfId="7304"/>
    <cellStyle name="Note 2 2 2 5 56 2" xfId="15021"/>
    <cellStyle name="Note 2 2 2 5 56 3" xfId="24014"/>
    <cellStyle name="Note 2 2 2 5 56 4" xfId="32201"/>
    <cellStyle name="Note 2 2 2 5 56 5" xfId="33782"/>
    <cellStyle name="Note 2 2 2 5 56 6" xfId="45866"/>
    <cellStyle name="Note 2 2 2 5 56 7" xfId="48806"/>
    <cellStyle name="Note 2 2 2 5 57" xfId="7427"/>
    <cellStyle name="Note 2 2 2 5 57 2" xfId="15144"/>
    <cellStyle name="Note 2 2 2 5 57 3" xfId="24137"/>
    <cellStyle name="Note 2 2 2 5 57 4" xfId="32324"/>
    <cellStyle name="Note 2 2 2 5 57 5" xfId="27817"/>
    <cellStyle name="Note 2 2 2 5 57 6" xfId="45989"/>
    <cellStyle name="Note 2 2 2 5 57 7" xfId="50564"/>
    <cellStyle name="Note 2 2 2 5 58" xfId="7548"/>
    <cellStyle name="Note 2 2 2 5 58 2" xfId="15265"/>
    <cellStyle name="Note 2 2 2 5 58 3" xfId="24258"/>
    <cellStyle name="Note 2 2 2 5 58 4" xfId="32445"/>
    <cellStyle name="Note 2 2 2 5 58 5" xfId="35941"/>
    <cellStyle name="Note 2 2 2 5 58 6" xfId="46110"/>
    <cellStyle name="Note 2 2 2 5 58 7" xfId="52680"/>
    <cellStyle name="Note 2 2 2 5 59" xfId="7824"/>
    <cellStyle name="Note 2 2 2 5 59 2" xfId="15541"/>
    <cellStyle name="Note 2 2 2 5 59 3" xfId="24528"/>
    <cellStyle name="Note 2 2 2 5 59 4" xfId="32721"/>
    <cellStyle name="Note 2 2 2 5 59 5" xfId="36125"/>
    <cellStyle name="Note 2 2 2 5 59 6" xfId="46386"/>
    <cellStyle name="Note 2 2 2 5 59 7" xfId="53580"/>
    <cellStyle name="Note 2 2 2 5 6" xfId="1444"/>
    <cellStyle name="Note 2 2 2 5 6 2" xfId="9267"/>
    <cellStyle name="Note 2 2 2 5 6 3" xfId="16695"/>
    <cellStyle name="Note 2 2 2 5 6 4" xfId="25359"/>
    <cellStyle name="Note 2 2 2 5 6 5" xfId="33795"/>
    <cellStyle name="Note 2 2 2 5 6 6" xfId="39702"/>
    <cellStyle name="Note 2 2 2 5 6 7" xfId="51549"/>
    <cellStyle name="Note 2 2 2 5 60" xfId="7892"/>
    <cellStyle name="Note 2 2 2 5 60 2" xfId="15609"/>
    <cellStyle name="Note 2 2 2 5 60 3" xfId="24596"/>
    <cellStyle name="Note 2 2 2 5 60 4" xfId="32789"/>
    <cellStyle name="Note 2 2 2 5 60 5" xfId="36220"/>
    <cellStyle name="Note 2 2 2 5 60 6" xfId="46454"/>
    <cellStyle name="Note 2 2 2 5 60 7" xfId="53957"/>
    <cellStyle name="Note 2 2 2 5 61" xfId="7670"/>
    <cellStyle name="Note 2 2 2 5 61 2" xfId="15387"/>
    <cellStyle name="Note 2 2 2 5 61 3" xfId="24379"/>
    <cellStyle name="Note 2 2 2 5 61 4" xfId="32567"/>
    <cellStyle name="Note 2 2 2 5 61 5" xfId="27019"/>
    <cellStyle name="Note 2 2 2 5 61 6" xfId="46232"/>
    <cellStyle name="Note 2 2 2 5 61 7" xfId="48748"/>
    <cellStyle name="Note 2 2 2 5 62" xfId="7654"/>
    <cellStyle name="Note 2 2 2 5 62 2" xfId="15371"/>
    <cellStyle name="Note 2 2 2 5 62 3" xfId="24363"/>
    <cellStyle name="Note 2 2 2 5 62 4" xfId="32551"/>
    <cellStyle name="Note 2 2 2 5 62 5" xfId="26892"/>
    <cellStyle name="Note 2 2 2 5 62 6" xfId="46216"/>
    <cellStyle name="Note 2 2 2 5 62 7" xfId="50497"/>
    <cellStyle name="Note 2 2 2 5 63" xfId="8100"/>
    <cellStyle name="Note 2 2 2 5 63 2" xfId="15817"/>
    <cellStyle name="Note 2 2 2 5 63 3" xfId="32997"/>
    <cellStyle name="Note 2 2 2 5 63 4" xfId="27690"/>
    <cellStyle name="Note 2 2 2 5 63 5" xfId="46662"/>
    <cellStyle name="Note 2 2 2 5 63 6" xfId="54325"/>
    <cellStyle name="Note 2 2 2 5 64" xfId="26286"/>
    <cellStyle name="Note 2 2 2 5 65" xfId="34993"/>
    <cellStyle name="Note 2 2 2 5 66" xfId="37698"/>
    <cellStyle name="Note 2 2 2 5 67" xfId="53614"/>
    <cellStyle name="Note 2 2 2 5 7" xfId="1004"/>
    <cellStyle name="Note 2 2 2 5 7 2" xfId="8828"/>
    <cellStyle name="Note 2 2 2 5 7 3" xfId="16256"/>
    <cellStyle name="Note 2 2 2 5 7 4" xfId="20464"/>
    <cellStyle name="Note 2 2 2 5 7 5" xfId="26784"/>
    <cellStyle name="Note 2 2 2 5 7 6" xfId="37408"/>
    <cellStyle name="Note 2 2 2 5 7 7" xfId="50353"/>
    <cellStyle name="Note 2 2 2 5 8" xfId="1681"/>
    <cellStyle name="Note 2 2 2 5 8 2" xfId="9504"/>
    <cellStyle name="Note 2 2 2 5 8 3" xfId="16932"/>
    <cellStyle name="Note 2 2 2 5 8 4" xfId="19745"/>
    <cellStyle name="Note 2 2 2 5 8 5" xfId="27495"/>
    <cellStyle name="Note 2 2 2 5 8 6" xfId="37939"/>
    <cellStyle name="Note 2 2 2 5 8 7" xfId="48588"/>
    <cellStyle name="Note 2 2 2 5 9" xfId="1815"/>
    <cellStyle name="Note 2 2 2 5 9 2" xfId="9638"/>
    <cellStyle name="Note 2 2 2 5 9 3" xfId="17066"/>
    <cellStyle name="Note 2 2 2 5 9 4" xfId="19348"/>
    <cellStyle name="Note 2 2 2 5 9 5" xfId="27377"/>
    <cellStyle name="Note 2 2 2 5 9 6" xfId="39650"/>
    <cellStyle name="Note 2 2 2 5 9 7" xfId="49407"/>
    <cellStyle name="Note 2 2 2 50" xfId="5171"/>
    <cellStyle name="Note 2 2 2 50 2" xfId="12888"/>
    <cellStyle name="Note 2 2 2 50 3" xfId="21881"/>
    <cellStyle name="Note 2 2 2 50 4" xfId="30068"/>
    <cellStyle name="Note 2 2 2 50 5" xfId="35815"/>
    <cellStyle name="Note 2 2 2 50 6" xfId="43733"/>
    <cellStyle name="Note 2 2 2 50 7" xfId="52515"/>
    <cellStyle name="Note 2 2 2 51" xfId="5311"/>
    <cellStyle name="Note 2 2 2 51 2" xfId="13028"/>
    <cellStyle name="Note 2 2 2 51 3" xfId="22021"/>
    <cellStyle name="Note 2 2 2 51 4" xfId="30208"/>
    <cellStyle name="Note 2 2 2 51 5" xfId="27648"/>
    <cellStyle name="Note 2 2 2 51 6" xfId="43873"/>
    <cellStyle name="Note 2 2 2 51 7" xfId="48022"/>
    <cellStyle name="Note 2 2 2 52" xfId="6099"/>
    <cellStyle name="Note 2 2 2 52 2" xfId="13816"/>
    <cellStyle name="Note 2 2 2 52 3" xfId="22809"/>
    <cellStyle name="Note 2 2 2 52 4" xfId="30996"/>
    <cellStyle name="Note 2 2 2 52 5" xfId="35687"/>
    <cellStyle name="Note 2 2 2 52 6" xfId="44661"/>
    <cellStyle name="Note 2 2 2 52 7" xfId="51319"/>
    <cellStyle name="Note 2 2 2 53" xfId="6183"/>
    <cellStyle name="Note 2 2 2 53 2" xfId="13900"/>
    <cellStyle name="Note 2 2 2 53 3" xfId="22893"/>
    <cellStyle name="Note 2 2 2 53 4" xfId="31080"/>
    <cellStyle name="Note 2 2 2 53 5" xfId="27802"/>
    <cellStyle name="Note 2 2 2 53 6" xfId="44745"/>
    <cellStyle name="Note 2 2 2 53 7" xfId="49851"/>
    <cellStyle name="Note 2 2 2 54" xfId="5310"/>
    <cellStyle name="Note 2 2 2 54 2" xfId="13027"/>
    <cellStyle name="Note 2 2 2 54 3" xfId="22020"/>
    <cellStyle name="Note 2 2 2 54 4" xfId="30207"/>
    <cellStyle name="Note 2 2 2 54 5" xfId="35908"/>
    <cellStyle name="Note 2 2 2 54 6" xfId="43872"/>
    <cellStyle name="Note 2 2 2 54 7" xfId="52995"/>
    <cellStyle name="Note 2 2 2 55" xfId="6084"/>
    <cellStyle name="Note 2 2 2 55 2" xfId="13801"/>
    <cellStyle name="Note 2 2 2 55 3" xfId="22794"/>
    <cellStyle name="Note 2 2 2 55 4" xfId="30981"/>
    <cellStyle name="Note 2 2 2 55 5" xfId="35964"/>
    <cellStyle name="Note 2 2 2 55 6" xfId="44646"/>
    <cellStyle name="Note 2 2 2 55 7" xfId="53044"/>
    <cellStyle name="Note 2 2 2 56" xfId="5168"/>
    <cellStyle name="Note 2 2 2 56 2" xfId="12885"/>
    <cellStyle name="Note 2 2 2 56 3" xfId="21878"/>
    <cellStyle name="Note 2 2 2 56 4" xfId="30065"/>
    <cellStyle name="Note 2 2 2 56 5" xfId="35871"/>
    <cellStyle name="Note 2 2 2 56 6" xfId="43730"/>
    <cellStyle name="Note 2 2 2 56 7" xfId="52759"/>
    <cellStyle name="Note 2 2 2 57" xfId="6727"/>
    <cellStyle name="Note 2 2 2 57 2" xfId="14444"/>
    <cellStyle name="Note 2 2 2 57 3" xfId="23437"/>
    <cellStyle name="Note 2 2 2 57 4" xfId="31624"/>
    <cellStyle name="Note 2 2 2 57 5" xfId="35872"/>
    <cellStyle name="Note 2 2 2 57 6" xfId="45289"/>
    <cellStyle name="Note 2 2 2 57 7" xfId="52416"/>
    <cellStyle name="Note 2 2 2 58" xfId="6842"/>
    <cellStyle name="Note 2 2 2 58 2" xfId="14559"/>
    <cellStyle name="Note 2 2 2 58 3" xfId="23552"/>
    <cellStyle name="Note 2 2 2 58 4" xfId="31739"/>
    <cellStyle name="Note 2 2 2 58 5" xfId="33713"/>
    <cellStyle name="Note 2 2 2 58 6" xfId="45404"/>
    <cellStyle name="Note 2 2 2 58 7" xfId="47892"/>
    <cellStyle name="Note 2 2 2 59" xfId="6955"/>
    <cellStyle name="Note 2 2 2 59 2" xfId="14672"/>
    <cellStyle name="Note 2 2 2 59 3" xfId="23665"/>
    <cellStyle name="Note 2 2 2 59 4" xfId="31852"/>
    <cellStyle name="Note 2 2 2 59 5" xfId="27580"/>
    <cellStyle name="Note 2 2 2 59 6" xfId="45517"/>
    <cellStyle name="Note 2 2 2 59 7" xfId="47035"/>
    <cellStyle name="Note 2 2 2 6" xfId="498"/>
    <cellStyle name="Note 2 2 2 6 10" xfId="1945"/>
    <cellStyle name="Note 2 2 2 6 10 2" xfId="9768"/>
    <cellStyle name="Note 2 2 2 6 10 3" xfId="17196"/>
    <cellStyle name="Note 2 2 2 6 10 4" xfId="25701"/>
    <cellStyle name="Note 2 2 2 6 10 5" xfId="34241"/>
    <cellStyle name="Note 2 2 2 6 10 6" xfId="40880"/>
    <cellStyle name="Note 2 2 2 6 10 7" xfId="52311"/>
    <cellStyle name="Note 2 2 2 6 11" xfId="2063"/>
    <cellStyle name="Note 2 2 2 6 11 2" xfId="9886"/>
    <cellStyle name="Note 2 2 2 6 11 3" xfId="17314"/>
    <cellStyle name="Note 2 2 2 6 11 4" xfId="25813"/>
    <cellStyle name="Note 2 2 2 6 11 5" xfId="34392"/>
    <cellStyle name="Note 2 2 2 6 11 6" xfId="37122"/>
    <cellStyle name="Note 2 2 2 6 11 7" xfId="52591"/>
    <cellStyle name="Note 2 2 2 6 12" xfId="2176"/>
    <cellStyle name="Note 2 2 2 6 12 2" xfId="9999"/>
    <cellStyle name="Note 2 2 2 6 12 3" xfId="17427"/>
    <cellStyle name="Note 2 2 2 6 12 4" xfId="19351"/>
    <cellStyle name="Note 2 2 2 6 12 5" xfId="27545"/>
    <cellStyle name="Note 2 2 2 6 12 6" xfId="39829"/>
    <cellStyle name="Note 2 2 2 6 12 7" xfId="47342"/>
    <cellStyle name="Note 2 2 2 6 13" xfId="2275"/>
    <cellStyle name="Note 2 2 2 6 13 2" xfId="10098"/>
    <cellStyle name="Note 2 2 2 6 13 3" xfId="17526"/>
    <cellStyle name="Note 2 2 2 6 13 4" xfId="25816"/>
    <cellStyle name="Note 2 2 2 6 13 5" xfId="34396"/>
    <cellStyle name="Note 2 2 2 6 13 6" xfId="36806"/>
    <cellStyle name="Note 2 2 2 6 13 7" xfId="52599"/>
    <cellStyle name="Note 2 2 2 6 14" xfId="2369"/>
    <cellStyle name="Note 2 2 2 6 14 2" xfId="10192"/>
    <cellStyle name="Note 2 2 2 6 14 3" xfId="17620"/>
    <cellStyle name="Note 2 2 2 6 14 4" xfId="19135"/>
    <cellStyle name="Note 2 2 2 6 14 5" xfId="33112"/>
    <cellStyle name="Note 2 2 2 6 14 6" xfId="37133"/>
    <cellStyle name="Note 2 2 2 6 14 7" xfId="49841"/>
    <cellStyle name="Note 2 2 2 6 15" xfId="2474"/>
    <cellStyle name="Note 2 2 2 6 15 2" xfId="10297"/>
    <cellStyle name="Note 2 2 2 6 15 3" xfId="17725"/>
    <cellStyle name="Note 2 2 2 6 15 4" xfId="26266"/>
    <cellStyle name="Note 2 2 2 6 15 5" xfId="34964"/>
    <cellStyle name="Note 2 2 2 6 15 6" xfId="39140"/>
    <cellStyle name="Note 2 2 2 6 15 7" xfId="53571"/>
    <cellStyle name="Note 2 2 2 6 16" xfId="2587"/>
    <cellStyle name="Note 2 2 2 6 16 2" xfId="10410"/>
    <cellStyle name="Note 2 2 2 6 16 3" xfId="17838"/>
    <cellStyle name="Note 2 2 2 6 16 4" xfId="25043"/>
    <cellStyle name="Note 2 2 2 6 16 5" xfId="33402"/>
    <cellStyle name="Note 2 2 2 6 16 6" xfId="37114"/>
    <cellStyle name="Note 2 2 2 6 16 7" xfId="50889"/>
    <cellStyle name="Note 2 2 2 6 17" xfId="2690"/>
    <cellStyle name="Note 2 2 2 6 17 2" xfId="10513"/>
    <cellStyle name="Note 2 2 2 6 17 3" xfId="17941"/>
    <cellStyle name="Note 2 2 2 6 17 4" xfId="26436"/>
    <cellStyle name="Note 2 2 2 6 17 5" xfId="35205"/>
    <cellStyle name="Note 2 2 2 6 17 6" xfId="36749"/>
    <cellStyle name="Note 2 2 2 6 17 7" xfId="53928"/>
    <cellStyle name="Note 2 2 2 6 18" xfId="2741"/>
    <cellStyle name="Note 2 2 2 6 18 2" xfId="10564"/>
    <cellStyle name="Note 2 2 2 6 18 3" xfId="17992"/>
    <cellStyle name="Note 2 2 2 6 18 4" xfId="19670"/>
    <cellStyle name="Note 2 2 2 6 18 5" xfId="27029"/>
    <cellStyle name="Note 2 2 2 6 18 6" xfId="37697"/>
    <cellStyle name="Note 2 2 2 6 18 7" xfId="48741"/>
    <cellStyle name="Note 2 2 2 6 19" xfId="2781"/>
    <cellStyle name="Note 2 2 2 6 19 2" xfId="10604"/>
    <cellStyle name="Note 2 2 2 6 19 3" xfId="18032"/>
    <cellStyle name="Note 2 2 2 6 19 4" xfId="26099"/>
    <cellStyle name="Note 2 2 2 6 19 5" xfId="34752"/>
    <cellStyle name="Note 2 2 2 6 19 6" xfId="38848"/>
    <cellStyle name="Note 2 2 2 6 19 7" xfId="53209"/>
    <cellStyle name="Note 2 2 2 6 2" xfId="649"/>
    <cellStyle name="Note 2 2 2 6 2 2" xfId="8473"/>
    <cellStyle name="Note 2 2 2 6 2 3" xfId="8285"/>
    <cellStyle name="Note 2 2 2 6 2 4" xfId="25942"/>
    <cellStyle name="Note 2 2 2 6 2 5" xfId="34547"/>
    <cellStyle name="Note 2 2 2 6 2 6" xfId="37494"/>
    <cellStyle name="Note 2 2 2 6 2 7" xfId="52875"/>
    <cellStyle name="Note 2 2 2 6 20" xfId="2888"/>
    <cellStyle name="Note 2 2 2 6 20 2" xfId="10711"/>
    <cellStyle name="Note 2 2 2 6 20 3" xfId="18139"/>
    <cellStyle name="Note 2 2 2 6 20 4" xfId="19130"/>
    <cellStyle name="Note 2 2 2 6 20 5" xfId="26853"/>
    <cellStyle name="Note 2 2 2 6 20 6" xfId="36717"/>
    <cellStyle name="Note 2 2 2 6 20 7" xfId="49868"/>
    <cellStyle name="Note 2 2 2 6 21" xfId="3264"/>
    <cellStyle name="Note 2 2 2 6 21 2" xfId="11057"/>
    <cellStyle name="Note 2 2 2 6 21 3" xfId="18386"/>
    <cellStyle name="Note 2 2 2 6 21 4" xfId="19055"/>
    <cellStyle name="Note 2 2 2 6 21 5" xfId="28465"/>
    <cellStyle name="Note 2 2 2 6 21 6" xfId="39403"/>
    <cellStyle name="Note 2 2 2 6 21 7" xfId="49282"/>
    <cellStyle name="Note 2 2 2 6 22" xfId="3384"/>
    <cellStyle name="Note 2 2 2 6 22 2" xfId="11175"/>
    <cellStyle name="Note 2 2 2 6 22 3" xfId="18497"/>
    <cellStyle name="Note 2 2 2 6 22 4" xfId="25533"/>
    <cellStyle name="Note 2 2 2 6 22 5" xfId="34020"/>
    <cellStyle name="Note 2 2 2 6 22 6" xfId="36492"/>
    <cellStyle name="Note 2 2 2 6 22 7" xfId="51949"/>
    <cellStyle name="Note 2 2 2 6 23" xfId="3518"/>
    <cellStyle name="Note 2 2 2 6 23 2" xfId="11309"/>
    <cellStyle name="Note 2 2 2 6 23 3" xfId="18606"/>
    <cellStyle name="Note 2 2 2 6 23 4" xfId="19922"/>
    <cellStyle name="Note 2 2 2 6 23 5" xfId="28878"/>
    <cellStyle name="Note 2 2 2 6 23 6" xfId="41277"/>
    <cellStyle name="Note 2 2 2 6 23 7" xfId="48107"/>
    <cellStyle name="Note 2 2 2 6 24" xfId="3163"/>
    <cellStyle name="Note 2 2 2 6 24 2" xfId="10965"/>
    <cellStyle name="Note 2 2 2 6 24 3" xfId="18334"/>
    <cellStyle name="Note 2 2 2 6 24 4" xfId="26025"/>
    <cellStyle name="Note 2 2 2 6 24 5" xfId="34655"/>
    <cellStyle name="Note 2 2 2 6 24 6" xfId="38564"/>
    <cellStyle name="Note 2 2 2 6 24 7" xfId="53048"/>
    <cellStyle name="Note 2 2 2 6 25" xfId="3654"/>
    <cellStyle name="Note 2 2 2 6 25 2" xfId="11439"/>
    <cellStyle name="Note 2 2 2 6 25 3" xfId="18712"/>
    <cellStyle name="Note 2 2 2 6 25 4" xfId="26564"/>
    <cellStyle name="Note 2 2 2 6 25 5" xfId="35375"/>
    <cellStyle name="Note 2 2 2 6 25 6" xfId="40797"/>
    <cellStyle name="Note 2 2 2 6 25 7" xfId="54203"/>
    <cellStyle name="Note 2 2 2 6 26" xfId="3785"/>
    <cellStyle name="Note 2 2 2 6 26 2" xfId="11567"/>
    <cellStyle name="Note 2 2 2 6 26 3" xfId="18824"/>
    <cellStyle name="Note 2 2 2 6 26 4" xfId="20114"/>
    <cellStyle name="Note 2 2 2 6 26 5" xfId="27213"/>
    <cellStyle name="Note 2 2 2 6 26 6" xfId="41121"/>
    <cellStyle name="Note 2 2 2 6 26 7" xfId="47376"/>
    <cellStyle name="Note 2 2 2 6 27" xfId="3902"/>
    <cellStyle name="Note 2 2 2 6 27 2" xfId="11682"/>
    <cellStyle name="Note 2 2 2 6 27 3" xfId="18933"/>
    <cellStyle name="Note 2 2 2 6 27 4" xfId="25141"/>
    <cellStyle name="Note 2 2 2 6 27 5" xfId="33514"/>
    <cellStyle name="Note 2 2 2 6 27 6" xfId="39003"/>
    <cellStyle name="Note 2 2 2 6 27 7" xfId="51089"/>
    <cellStyle name="Note 2 2 2 6 28" xfId="4002"/>
    <cellStyle name="Note 2 2 2 6 28 2" xfId="11781"/>
    <cellStyle name="Note 2 2 2 6 28 3" xfId="20712"/>
    <cellStyle name="Note 2 2 2 6 28 4" xfId="28899"/>
    <cellStyle name="Note 2 2 2 6 28 5" xfId="34320"/>
    <cellStyle name="Note 2 2 2 6 28 6" xfId="42564"/>
    <cellStyle name="Note 2 2 2 6 28 7" xfId="47443"/>
    <cellStyle name="Note 2 2 2 6 29" xfId="4099"/>
    <cellStyle name="Note 2 2 2 6 29 2" xfId="11859"/>
    <cellStyle name="Note 2 2 2 6 29 3" xfId="20809"/>
    <cellStyle name="Note 2 2 2 6 29 4" xfId="28996"/>
    <cellStyle name="Note 2 2 2 6 29 5" xfId="27468"/>
    <cellStyle name="Note 2 2 2 6 29 6" xfId="42661"/>
    <cellStyle name="Note 2 2 2 6 29 7" xfId="47720"/>
    <cellStyle name="Note 2 2 2 6 3" xfId="756"/>
    <cellStyle name="Note 2 2 2 6 3 2" xfId="8580"/>
    <cellStyle name="Note 2 2 2 6 3 3" xfId="16008"/>
    <cellStyle name="Note 2 2 2 6 3 4" xfId="26633"/>
    <cellStyle name="Note 2 2 2 6 3 5" xfId="35468"/>
    <cellStyle name="Note 2 2 2 6 3 6" xfId="36730"/>
    <cellStyle name="Note 2 2 2 6 3 7" xfId="54352"/>
    <cellStyle name="Note 2 2 2 6 30" xfId="2994"/>
    <cellStyle name="Note 2 2 2 6 30 2" xfId="20176"/>
    <cellStyle name="Note 2 2 2 6 30 3" xfId="28263"/>
    <cellStyle name="Note 2 2 2 6 30 4" xfId="36103"/>
    <cellStyle name="Note 2 2 2 6 30 5" xfId="42344"/>
    <cellStyle name="Note 2 2 2 6 30 6" xfId="53910"/>
    <cellStyle name="Note 2 2 2 6 31" xfId="4296"/>
    <cellStyle name="Note 2 2 2 6 31 2" xfId="12013"/>
    <cellStyle name="Note 2 2 2 6 31 3" xfId="21006"/>
    <cellStyle name="Note 2 2 2 6 31 4" xfId="29193"/>
    <cellStyle name="Note 2 2 2 6 31 5" xfId="28029"/>
    <cellStyle name="Note 2 2 2 6 31 6" xfId="42858"/>
    <cellStyle name="Note 2 2 2 6 31 7" xfId="47970"/>
    <cellStyle name="Note 2 2 2 6 32" xfId="4419"/>
    <cellStyle name="Note 2 2 2 6 32 2" xfId="12136"/>
    <cellStyle name="Note 2 2 2 6 32 3" xfId="21129"/>
    <cellStyle name="Note 2 2 2 6 32 4" xfId="29316"/>
    <cellStyle name="Note 2 2 2 6 32 5" xfId="35991"/>
    <cellStyle name="Note 2 2 2 6 32 6" xfId="42981"/>
    <cellStyle name="Note 2 2 2 6 32 7" xfId="53383"/>
    <cellStyle name="Note 2 2 2 6 33" xfId="4533"/>
    <cellStyle name="Note 2 2 2 6 33 2" xfId="12250"/>
    <cellStyle name="Note 2 2 2 6 33 3" xfId="21243"/>
    <cellStyle name="Note 2 2 2 6 33 4" xfId="29430"/>
    <cellStyle name="Note 2 2 2 6 33 5" xfId="36152"/>
    <cellStyle name="Note 2 2 2 6 33 6" xfId="43095"/>
    <cellStyle name="Note 2 2 2 6 33 7" xfId="54152"/>
    <cellStyle name="Note 2 2 2 6 34" xfId="4646"/>
    <cellStyle name="Note 2 2 2 6 34 2" xfId="12363"/>
    <cellStyle name="Note 2 2 2 6 34 3" xfId="21356"/>
    <cellStyle name="Note 2 2 2 6 34 4" xfId="29543"/>
    <cellStyle name="Note 2 2 2 6 34 5" xfId="35821"/>
    <cellStyle name="Note 2 2 2 6 34 6" xfId="43208"/>
    <cellStyle name="Note 2 2 2 6 34 7" xfId="52534"/>
    <cellStyle name="Note 2 2 2 6 35" xfId="4758"/>
    <cellStyle name="Note 2 2 2 6 35 2" xfId="12475"/>
    <cellStyle name="Note 2 2 2 6 35 3" xfId="21468"/>
    <cellStyle name="Note 2 2 2 6 35 4" xfId="29655"/>
    <cellStyle name="Note 2 2 2 6 35 5" xfId="28238"/>
    <cellStyle name="Note 2 2 2 6 35 6" xfId="43320"/>
    <cellStyle name="Note 2 2 2 6 35 7" xfId="47295"/>
    <cellStyle name="Note 2 2 2 6 36" xfId="4866"/>
    <cellStyle name="Note 2 2 2 6 36 2" xfId="12583"/>
    <cellStyle name="Note 2 2 2 6 36 3" xfId="21576"/>
    <cellStyle name="Note 2 2 2 6 36 4" xfId="29763"/>
    <cellStyle name="Note 2 2 2 6 36 5" xfId="35822"/>
    <cellStyle name="Note 2 2 2 6 36 6" xfId="43428"/>
    <cellStyle name="Note 2 2 2 6 36 7" xfId="52537"/>
    <cellStyle name="Note 2 2 2 6 37" xfId="4978"/>
    <cellStyle name="Note 2 2 2 6 37 2" xfId="12695"/>
    <cellStyle name="Note 2 2 2 6 37 3" xfId="21688"/>
    <cellStyle name="Note 2 2 2 6 37 4" xfId="29875"/>
    <cellStyle name="Note 2 2 2 6 37 5" xfId="27436"/>
    <cellStyle name="Note 2 2 2 6 37 6" xfId="43540"/>
    <cellStyle name="Note 2 2 2 6 37 7" xfId="50053"/>
    <cellStyle name="Note 2 2 2 6 38" xfId="5135"/>
    <cellStyle name="Note 2 2 2 6 38 2" xfId="12852"/>
    <cellStyle name="Note 2 2 2 6 38 3" xfId="21845"/>
    <cellStyle name="Note 2 2 2 6 38 4" xfId="30032"/>
    <cellStyle name="Note 2 2 2 6 38 5" xfId="35541"/>
    <cellStyle name="Note 2 2 2 6 38 6" xfId="43697"/>
    <cellStyle name="Note 2 2 2 6 38 7" xfId="47542"/>
    <cellStyle name="Note 2 2 2 6 39" xfId="5476"/>
    <cellStyle name="Note 2 2 2 6 39 2" xfId="13193"/>
    <cellStyle name="Note 2 2 2 6 39 3" xfId="22186"/>
    <cellStyle name="Note 2 2 2 6 39 4" xfId="30373"/>
    <cellStyle name="Note 2 2 2 6 39 5" xfId="33408"/>
    <cellStyle name="Note 2 2 2 6 39 6" xfId="44038"/>
    <cellStyle name="Note 2 2 2 6 39 7" xfId="50995"/>
    <cellStyle name="Note 2 2 2 6 4" xfId="868"/>
    <cellStyle name="Note 2 2 2 6 4 2" xfId="8692"/>
    <cellStyle name="Note 2 2 2 6 4 3" xfId="16120"/>
    <cellStyle name="Note 2 2 2 6 4 4" xfId="24824"/>
    <cellStyle name="Note 2 2 2 6 4 5" xfId="28809"/>
    <cellStyle name="Note 2 2 2 6 4 6" xfId="37515"/>
    <cellStyle name="Note 2 2 2 6 4 7" xfId="47869"/>
    <cellStyle name="Note 2 2 2 6 40" xfId="5601"/>
    <cellStyle name="Note 2 2 2 6 40 2" xfId="13318"/>
    <cellStyle name="Note 2 2 2 6 40 3" xfId="22311"/>
    <cellStyle name="Note 2 2 2 6 40 4" xfId="30498"/>
    <cellStyle name="Note 2 2 2 6 40 5" xfId="27611"/>
    <cellStyle name="Note 2 2 2 6 40 6" xfId="44163"/>
    <cellStyle name="Note 2 2 2 6 40 7" xfId="47140"/>
    <cellStyle name="Note 2 2 2 6 41" xfId="5716"/>
    <cellStyle name="Note 2 2 2 6 41 2" xfId="13433"/>
    <cellStyle name="Note 2 2 2 6 41 3" xfId="22426"/>
    <cellStyle name="Note 2 2 2 6 41 4" xfId="30613"/>
    <cellStyle name="Note 2 2 2 6 41 5" xfId="27433"/>
    <cellStyle name="Note 2 2 2 6 41 6" xfId="44278"/>
    <cellStyle name="Note 2 2 2 6 41 7" xfId="46803"/>
    <cellStyle name="Note 2 2 2 6 42" xfId="5833"/>
    <cellStyle name="Note 2 2 2 6 42 2" xfId="13550"/>
    <cellStyle name="Note 2 2 2 6 42 3" xfId="22543"/>
    <cellStyle name="Note 2 2 2 6 42 4" xfId="30730"/>
    <cellStyle name="Note 2 2 2 6 42 5" xfId="27643"/>
    <cellStyle name="Note 2 2 2 6 42 6" xfId="44395"/>
    <cellStyle name="Note 2 2 2 6 42 7" xfId="49569"/>
    <cellStyle name="Note 2 2 2 6 43" xfId="5961"/>
    <cellStyle name="Note 2 2 2 6 43 2" xfId="13678"/>
    <cellStyle name="Note 2 2 2 6 43 3" xfId="22671"/>
    <cellStyle name="Note 2 2 2 6 43 4" xfId="30858"/>
    <cellStyle name="Note 2 2 2 6 43 5" xfId="35589"/>
    <cellStyle name="Note 2 2 2 6 43 6" xfId="44523"/>
    <cellStyle name="Note 2 2 2 6 43 7" xfId="51138"/>
    <cellStyle name="Note 2 2 2 6 44" xfId="6074"/>
    <cellStyle name="Note 2 2 2 6 44 2" xfId="13791"/>
    <cellStyle name="Note 2 2 2 6 44 3" xfId="22784"/>
    <cellStyle name="Note 2 2 2 6 44 4" xfId="30971"/>
    <cellStyle name="Note 2 2 2 6 44 5" xfId="28288"/>
    <cellStyle name="Note 2 2 2 6 44 6" xfId="44636"/>
    <cellStyle name="Note 2 2 2 6 44 7" xfId="54212"/>
    <cellStyle name="Note 2 2 2 6 45" xfId="5814"/>
    <cellStyle name="Note 2 2 2 6 45 2" xfId="13531"/>
    <cellStyle name="Note 2 2 2 6 45 3" xfId="22524"/>
    <cellStyle name="Note 2 2 2 6 45 4" xfId="30711"/>
    <cellStyle name="Note 2 2 2 6 45 5" xfId="35749"/>
    <cellStyle name="Note 2 2 2 6 45 6" xfId="44376"/>
    <cellStyle name="Note 2 2 2 6 45 7" xfId="52019"/>
    <cellStyle name="Note 2 2 2 6 46" xfId="6217"/>
    <cellStyle name="Note 2 2 2 6 46 2" xfId="13934"/>
    <cellStyle name="Note 2 2 2 6 46 3" xfId="22927"/>
    <cellStyle name="Note 2 2 2 6 46 4" xfId="31114"/>
    <cellStyle name="Note 2 2 2 6 46 5" xfId="36162"/>
    <cellStyle name="Note 2 2 2 6 46 6" xfId="44779"/>
    <cellStyle name="Note 2 2 2 6 46 7" xfId="53748"/>
    <cellStyle name="Note 2 2 2 6 47" xfId="6334"/>
    <cellStyle name="Note 2 2 2 6 47 2" xfId="14051"/>
    <cellStyle name="Note 2 2 2 6 47 3" xfId="23044"/>
    <cellStyle name="Note 2 2 2 6 47 4" xfId="31231"/>
    <cellStyle name="Note 2 2 2 6 47 5" xfId="27592"/>
    <cellStyle name="Note 2 2 2 6 47 6" xfId="44896"/>
    <cellStyle name="Note 2 2 2 6 47 7" xfId="50550"/>
    <cellStyle name="Note 2 2 2 6 48" xfId="6444"/>
    <cellStyle name="Note 2 2 2 6 48 2" xfId="14161"/>
    <cellStyle name="Note 2 2 2 6 48 3" xfId="23154"/>
    <cellStyle name="Note 2 2 2 6 48 4" xfId="31341"/>
    <cellStyle name="Note 2 2 2 6 48 5" xfId="35465"/>
    <cellStyle name="Note 2 2 2 6 48 6" xfId="45006"/>
    <cellStyle name="Note 2 2 2 6 48 7" xfId="51624"/>
    <cellStyle name="Note 2 2 2 6 49" xfId="6541"/>
    <cellStyle name="Note 2 2 2 6 49 2" xfId="14258"/>
    <cellStyle name="Note 2 2 2 6 49 3" xfId="23251"/>
    <cellStyle name="Note 2 2 2 6 49 4" xfId="31438"/>
    <cellStyle name="Note 2 2 2 6 49 5" xfId="27799"/>
    <cellStyle name="Note 2 2 2 6 49 6" xfId="45103"/>
    <cellStyle name="Note 2 2 2 6 49 7" xfId="49371"/>
    <cellStyle name="Note 2 2 2 6 5" xfId="1333"/>
    <cellStyle name="Note 2 2 2 6 5 2" xfId="9156"/>
    <cellStyle name="Note 2 2 2 6 5 3" xfId="16584"/>
    <cellStyle name="Note 2 2 2 6 5 4" xfId="24977"/>
    <cellStyle name="Note 2 2 2 6 5 5" xfId="33320"/>
    <cellStyle name="Note 2 2 2 6 5 6" xfId="41895"/>
    <cellStyle name="Note 2 2 2 6 5 7" xfId="50739"/>
    <cellStyle name="Note 2 2 2 6 50" xfId="6591"/>
    <cellStyle name="Note 2 2 2 6 50 2" xfId="14308"/>
    <cellStyle name="Note 2 2 2 6 50 3" xfId="23301"/>
    <cellStyle name="Note 2 2 2 6 50 4" xfId="31488"/>
    <cellStyle name="Note 2 2 2 6 50 5" xfId="35766"/>
    <cellStyle name="Note 2 2 2 6 50 6" xfId="45153"/>
    <cellStyle name="Note 2 2 2 6 50 7" xfId="52118"/>
    <cellStyle name="Note 2 2 2 6 51" xfId="6702"/>
    <cellStyle name="Note 2 2 2 6 51 2" xfId="14419"/>
    <cellStyle name="Note 2 2 2 6 51 3" xfId="23412"/>
    <cellStyle name="Note 2 2 2 6 51 4" xfId="31599"/>
    <cellStyle name="Note 2 2 2 6 51 5" xfId="27472"/>
    <cellStyle name="Note 2 2 2 6 51 6" xfId="45264"/>
    <cellStyle name="Note 2 2 2 6 51 7" xfId="49829"/>
    <cellStyle name="Note 2 2 2 6 52" xfId="6817"/>
    <cellStyle name="Note 2 2 2 6 52 2" xfId="14534"/>
    <cellStyle name="Note 2 2 2 6 52 3" xfId="23527"/>
    <cellStyle name="Note 2 2 2 6 52 4" xfId="31714"/>
    <cellStyle name="Note 2 2 2 6 52 5" xfId="34536"/>
    <cellStyle name="Note 2 2 2 6 52 6" xfId="45379"/>
    <cellStyle name="Note 2 2 2 6 52 7" xfId="50265"/>
    <cellStyle name="Note 2 2 2 6 53" xfId="6930"/>
    <cellStyle name="Note 2 2 2 6 53 2" xfId="14647"/>
    <cellStyle name="Note 2 2 2 6 53 3" xfId="23640"/>
    <cellStyle name="Note 2 2 2 6 53 4" xfId="31827"/>
    <cellStyle name="Note 2 2 2 6 53 5" xfId="36230"/>
    <cellStyle name="Note 2 2 2 6 53 6" xfId="45492"/>
    <cellStyle name="Note 2 2 2 6 53 7" xfId="47042"/>
    <cellStyle name="Note 2 2 2 6 54" xfId="7042"/>
    <cellStyle name="Note 2 2 2 6 54 2" xfId="14759"/>
    <cellStyle name="Note 2 2 2 6 54 3" xfId="23752"/>
    <cellStyle name="Note 2 2 2 6 54 4" xfId="31939"/>
    <cellStyle name="Note 2 2 2 6 54 5" xfId="28694"/>
    <cellStyle name="Note 2 2 2 6 54 6" xfId="45604"/>
    <cellStyle name="Note 2 2 2 6 54 7" xfId="47736"/>
    <cellStyle name="Note 2 2 2 6 55" xfId="7311"/>
    <cellStyle name="Note 2 2 2 6 55 2" xfId="15028"/>
    <cellStyle name="Note 2 2 2 6 55 3" xfId="24021"/>
    <cellStyle name="Note 2 2 2 6 55 4" xfId="32208"/>
    <cellStyle name="Note 2 2 2 6 55 5" xfId="27124"/>
    <cellStyle name="Note 2 2 2 6 55 6" xfId="45873"/>
    <cellStyle name="Note 2 2 2 6 55 7" xfId="52965"/>
    <cellStyle name="Note 2 2 2 6 56" xfId="7269"/>
    <cellStyle name="Note 2 2 2 6 56 2" xfId="14986"/>
    <cellStyle name="Note 2 2 2 6 56 3" xfId="23979"/>
    <cellStyle name="Note 2 2 2 6 56 4" xfId="32166"/>
    <cellStyle name="Note 2 2 2 6 56 5" xfId="35932"/>
    <cellStyle name="Note 2 2 2 6 56 6" xfId="45831"/>
    <cellStyle name="Note 2 2 2 6 56 7" xfId="52615"/>
    <cellStyle name="Note 2 2 2 6 57" xfId="7439"/>
    <cellStyle name="Note 2 2 2 6 57 2" xfId="15156"/>
    <cellStyle name="Note 2 2 2 6 57 3" xfId="24149"/>
    <cellStyle name="Note 2 2 2 6 57 4" xfId="32336"/>
    <cellStyle name="Note 2 2 2 6 57 5" xfId="27765"/>
    <cellStyle name="Note 2 2 2 6 57 6" xfId="46001"/>
    <cellStyle name="Note 2 2 2 6 57 7" xfId="49257"/>
    <cellStyle name="Note 2 2 2 6 58" xfId="7560"/>
    <cellStyle name="Note 2 2 2 6 58 2" xfId="15277"/>
    <cellStyle name="Note 2 2 2 6 58 3" xfId="24270"/>
    <cellStyle name="Note 2 2 2 6 58 4" xfId="32457"/>
    <cellStyle name="Note 2 2 2 6 58 5" xfId="35701"/>
    <cellStyle name="Note 2 2 2 6 58 6" xfId="46122"/>
    <cellStyle name="Note 2 2 2 6 58 7" xfId="51200"/>
    <cellStyle name="Note 2 2 2 6 59" xfId="7836"/>
    <cellStyle name="Note 2 2 2 6 59 2" xfId="15553"/>
    <cellStyle name="Note 2 2 2 6 59 3" xfId="24540"/>
    <cellStyle name="Note 2 2 2 6 59 4" xfId="32733"/>
    <cellStyle name="Note 2 2 2 6 59 5" xfId="35928"/>
    <cellStyle name="Note 2 2 2 6 59 6" xfId="46398"/>
    <cellStyle name="Note 2 2 2 6 59 7" xfId="52606"/>
    <cellStyle name="Note 2 2 2 6 6" xfId="1456"/>
    <cellStyle name="Note 2 2 2 6 6 2" xfId="9279"/>
    <cellStyle name="Note 2 2 2 6 6 3" xfId="16707"/>
    <cellStyle name="Note 2 2 2 6 6 4" xfId="19489"/>
    <cellStyle name="Note 2 2 2 6 6 5" xfId="33147"/>
    <cellStyle name="Note 2 2 2 6 6 6" xfId="37795"/>
    <cellStyle name="Note 2 2 2 6 6 7" xfId="50421"/>
    <cellStyle name="Note 2 2 2 6 60" xfId="7674"/>
    <cellStyle name="Note 2 2 2 6 60 2" xfId="15391"/>
    <cellStyle name="Note 2 2 2 6 60 3" xfId="24383"/>
    <cellStyle name="Note 2 2 2 6 60 4" xfId="32571"/>
    <cellStyle name="Note 2 2 2 6 60 5" xfId="35183"/>
    <cellStyle name="Note 2 2 2 6 60 6" xfId="46236"/>
    <cellStyle name="Note 2 2 2 6 60 7" xfId="48442"/>
    <cellStyle name="Note 2 2 2 6 61" xfId="7699"/>
    <cellStyle name="Note 2 2 2 6 61 2" xfId="15416"/>
    <cellStyle name="Note 2 2 2 6 61 3" xfId="24407"/>
    <cellStyle name="Note 2 2 2 6 61 4" xfId="32596"/>
    <cellStyle name="Note 2 2 2 6 61 5" xfId="35861"/>
    <cellStyle name="Note 2 2 2 6 61 6" xfId="46261"/>
    <cellStyle name="Note 2 2 2 6 61 7" xfId="47660"/>
    <cellStyle name="Note 2 2 2 6 62" xfId="7694"/>
    <cellStyle name="Note 2 2 2 6 62 2" xfId="15411"/>
    <cellStyle name="Note 2 2 2 6 62 3" xfId="24402"/>
    <cellStyle name="Note 2 2 2 6 62 4" xfId="32591"/>
    <cellStyle name="Note 2 2 2 6 62 5" xfId="35949"/>
    <cellStyle name="Note 2 2 2 6 62 6" xfId="46256"/>
    <cellStyle name="Note 2 2 2 6 62 7" xfId="52720"/>
    <cellStyle name="Note 2 2 2 6 63" xfId="8112"/>
    <cellStyle name="Note 2 2 2 6 63 2" xfId="15829"/>
    <cellStyle name="Note 2 2 2 6 63 3" xfId="33009"/>
    <cellStyle name="Note 2 2 2 6 63 4" xfId="35983"/>
    <cellStyle name="Note 2 2 2 6 63 5" xfId="46674"/>
    <cellStyle name="Note 2 2 2 6 63 6" xfId="52973"/>
    <cellStyle name="Note 2 2 2 6 64" xfId="25741"/>
    <cellStyle name="Note 2 2 2 6 65" xfId="34291"/>
    <cellStyle name="Note 2 2 2 6 66" xfId="36919"/>
    <cellStyle name="Note 2 2 2 6 67" xfId="52415"/>
    <cellStyle name="Note 2 2 2 6 7" xfId="1569"/>
    <cellStyle name="Note 2 2 2 6 7 2" xfId="9392"/>
    <cellStyle name="Note 2 2 2 6 7 3" xfId="16820"/>
    <cellStyle name="Note 2 2 2 6 7 4" xfId="26158"/>
    <cellStyle name="Note 2 2 2 6 7 5" xfId="34827"/>
    <cellStyle name="Note 2 2 2 6 7 6" xfId="41705"/>
    <cellStyle name="Note 2 2 2 6 7 7" xfId="53335"/>
    <cellStyle name="Note 2 2 2 6 8" xfId="1693"/>
    <cellStyle name="Note 2 2 2 6 8 2" xfId="9516"/>
    <cellStyle name="Note 2 2 2 6 8 3" xfId="16944"/>
    <cellStyle name="Note 2 2 2 6 8 4" xfId="25418"/>
    <cellStyle name="Note 2 2 2 6 8 5" xfId="33874"/>
    <cellStyle name="Note 2 2 2 6 8 6" xfId="37163"/>
    <cellStyle name="Note 2 2 2 6 8 7" xfId="51686"/>
    <cellStyle name="Note 2 2 2 6 9" xfId="1827"/>
    <cellStyle name="Note 2 2 2 6 9 2" xfId="9650"/>
    <cellStyle name="Note 2 2 2 6 9 3" xfId="17078"/>
    <cellStyle name="Note 2 2 2 6 9 4" xfId="19734"/>
    <cellStyle name="Note 2 2 2 6 9 5" xfId="26827"/>
    <cellStyle name="Note 2 2 2 6 9 6" xfId="38268"/>
    <cellStyle name="Note 2 2 2 6 9 7" xfId="49765"/>
    <cellStyle name="Note 2 2 2 60" xfId="7277"/>
    <cellStyle name="Note 2 2 2 60 2" xfId="14994"/>
    <cellStyle name="Note 2 2 2 60 3" xfId="23987"/>
    <cellStyle name="Note 2 2 2 60 4" xfId="32174"/>
    <cellStyle name="Note 2 2 2 60 5" xfId="35753"/>
    <cellStyle name="Note 2 2 2 60 6" xfId="45839"/>
    <cellStyle name="Note 2 2 2 60 7" xfId="51570"/>
    <cellStyle name="Note 2 2 2 61" xfId="7282"/>
    <cellStyle name="Note 2 2 2 61 2" xfId="14999"/>
    <cellStyle name="Note 2 2 2 61 3" xfId="23992"/>
    <cellStyle name="Note 2 2 2 61 4" xfId="32179"/>
    <cellStyle name="Note 2 2 2 61 5" xfId="35616"/>
    <cellStyle name="Note 2 2 2 61 6" xfId="45844"/>
    <cellStyle name="Note 2 2 2 61 7" xfId="51042"/>
    <cellStyle name="Note 2 2 2 62" xfId="7292"/>
    <cellStyle name="Note 2 2 2 62 2" xfId="15009"/>
    <cellStyle name="Note 2 2 2 62 3" xfId="24002"/>
    <cellStyle name="Note 2 2 2 62 4" xfId="32189"/>
    <cellStyle name="Note 2 2 2 62 5" xfId="27915"/>
    <cellStyle name="Note 2 2 2 62 6" xfId="45854"/>
    <cellStyle name="Note 2 2 2 62 7" xfId="50067"/>
    <cellStyle name="Note 2 2 2 63" xfId="7538"/>
    <cellStyle name="Note 2 2 2 63 2" xfId="15255"/>
    <cellStyle name="Note 2 2 2 63 3" xfId="24248"/>
    <cellStyle name="Note 2 2 2 63 4" xfId="32435"/>
    <cellStyle name="Note 2 2 2 63 5" xfId="36189"/>
    <cellStyle name="Note 2 2 2 63 6" xfId="46100"/>
    <cellStyle name="Note 2 2 2 63 7" xfId="53716"/>
    <cellStyle name="Note 2 2 2 64" xfId="7739"/>
    <cellStyle name="Note 2 2 2 64 2" xfId="15456"/>
    <cellStyle name="Note 2 2 2 64 3" xfId="24447"/>
    <cellStyle name="Note 2 2 2 64 4" xfId="32636"/>
    <cellStyle name="Note 2 2 2 64 5" xfId="36069"/>
    <cellStyle name="Note 2 2 2 64 6" xfId="46301"/>
    <cellStyle name="Note 2 2 2 64 7" xfId="48147"/>
    <cellStyle name="Note 2 2 2 65" xfId="7798"/>
    <cellStyle name="Note 2 2 2 65 2" xfId="15515"/>
    <cellStyle name="Note 2 2 2 65 3" xfId="24502"/>
    <cellStyle name="Note 2 2 2 65 4" xfId="32695"/>
    <cellStyle name="Note 2 2 2 65 5" xfId="33801"/>
    <cellStyle name="Note 2 2 2 65 6" xfId="46360"/>
    <cellStyle name="Note 2 2 2 65 7" xfId="52502"/>
    <cellStyle name="Note 2 2 2 66" xfId="7720"/>
    <cellStyle name="Note 2 2 2 66 2" xfId="15437"/>
    <cellStyle name="Note 2 2 2 66 3" xfId="24428"/>
    <cellStyle name="Note 2 2 2 66 4" xfId="32617"/>
    <cellStyle name="Note 2 2 2 66 5" xfId="33136"/>
    <cellStyle name="Note 2 2 2 66 6" xfId="46282"/>
    <cellStyle name="Note 2 2 2 66 7" xfId="49570"/>
    <cellStyle name="Note 2 2 2 67" xfId="7800"/>
    <cellStyle name="Note 2 2 2 67 2" xfId="15517"/>
    <cellStyle name="Note 2 2 2 67 3" xfId="24504"/>
    <cellStyle name="Note 2 2 2 67 4" xfId="32697"/>
    <cellStyle name="Note 2 2 2 67 5" xfId="36049"/>
    <cellStyle name="Note 2 2 2 67 6" xfId="46362"/>
    <cellStyle name="Note 2 2 2 67 7" xfId="51800"/>
    <cellStyle name="Note 2 2 2 68" xfId="8083"/>
    <cellStyle name="Note 2 2 2 68 2" xfId="15800"/>
    <cellStyle name="Note 2 2 2 68 3" xfId="32980"/>
    <cellStyle name="Note 2 2 2 68 4" xfId="33223"/>
    <cellStyle name="Note 2 2 2 68 5" xfId="46645"/>
    <cellStyle name="Note 2 2 2 68 6" xfId="47227"/>
    <cellStyle name="Note 2 2 2 69" xfId="20014"/>
    <cellStyle name="Note 2 2 2 7" xfId="606"/>
    <cellStyle name="Note 2 2 2 7 2" xfId="8430"/>
    <cellStyle name="Note 2 2 2 7 3" xfId="11789"/>
    <cellStyle name="Note 2 2 2 7 4" xfId="19962"/>
    <cellStyle name="Note 2 2 2 7 5" xfId="27940"/>
    <cellStyle name="Note 2 2 2 7 6" xfId="36373"/>
    <cellStyle name="Note 2 2 2 7 7" xfId="48267"/>
    <cellStyle name="Note 2 2 2 70" xfId="28069"/>
    <cellStyle name="Note 2 2 2 71" xfId="37285"/>
    <cellStyle name="Note 2 2 2 72" xfId="48487"/>
    <cellStyle name="Note 2 2 2 8" xfId="613"/>
    <cellStyle name="Note 2 2 2 8 2" xfId="8437"/>
    <cellStyle name="Note 2 2 2 8 3" xfId="11978"/>
    <cellStyle name="Note 2 2 2 8 4" xfId="19741"/>
    <cellStyle name="Note 2 2 2 8 5" xfId="27028"/>
    <cellStyle name="Note 2 2 2 8 6" xfId="36483"/>
    <cellStyle name="Note 2 2 2 8 7" xfId="47780"/>
    <cellStyle name="Note 2 2 2 9" xfId="813"/>
    <cellStyle name="Note 2 2 2 9 2" xfId="8637"/>
    <cellStyle name="Note 2 2 2 9 3" xfId="16065"/>
    <cellStyle name="Note 2 2 2 9 4" xfId="19789"/>
    <cellStyle name="Note 2 2 2 9 5" xfId="27095"/>
    <cellStyle name="Note 2 2 2 9 6" xfId="38103"/>
    <cellStyle name="Note 2 2 2 9 7" xfId="48516"/>
    <cellStyle name="Note 2 2 20" xfId="4232"/>
    <cellStyle name="Note 2 2 20 2" xfId="11968"/>
    <cellStyle name="Note 2 2 20 3" xfId="20942"/>
    <cellStyle name="Note 2 2 20 4" xfId="29129"/>
    <cellStyle name="Note 2 2 20 5" xfId="34022"/>
    <cellStyle name="Note 2 2 20 6" xfId="42794"/>
    <cellStyle name="Note 2 2 20 7" xfId="47299"/>
    <cellStyle name="Note 2 2 21" xfId="3466"/>
    <cellStyle name="Note 2 2 21 2" xfId="11257"/>
    <cellStyle name="Note 2 2 21 3" xfId="20461"/>
    <cellStyle name="Note 2 2 21 4" xfId="28580"/>
    <cellStyle name="Note 2 2 21 5" xfId="28119"/>
    <cellStyle name="Note 2 2 21 6" xfId="42474"/>
    <cellStyle name="Note 2 2 21 7" xfId="50750"/>
    <cellStyle name="Note 2 2 22" xfId="3875"/>
    <cellStyle name="Note 2 2 22 2" xfId="11656"/>
    <cellStyle name="Note 2 2 22 3" xfId="20647"/>
    <cellStyle name="Note 2 2 22 4" xfId="28819"/>
    <cellStyle name="Note 2 2 22 5" xfId="36105"/>
    <cellStyle name="Note 2 2 22 6" xfId="42548"/>
    <cellStyle name="Note 2 2 22 7" xfId="53932"/>
    <cellStyle name="Note 2 2 23" xfId="4061"/>
    <cellStyle name="Note 2 2 23 2" xfId="11827"/>
    <cellStyle name="Note 2 2 23 3" xfId="20771"/>
    <cellStyle name="Note 2 2 23 4" xfId="28958"/>
    <cellStyle name="Note 2 2 23 5" xfId="34601"/>
    <cellStyle name="Note 2 2 23 6" xfId="42623"/>
    <cellStyle name="Note 2 2 23 7" xfId="51040"/>
    <cellStyle name="Note 2 2 24" xfId="5307"/>
    <cellStyle name="Note 2 2 24 2" xfId="13024"/>
    <cellStyle name="Note 2 2 24 3" xfId="22017"/>
    <cellStyle name="Note 2 2 24 4" xfId="30204"/>
    <cellStyle name="Note 2 2 24 5" xfId="35975"/>
    <cellStyle name="Note 2 2 24 6" xfId="43869"/>
    <cellStyle name="Note 2 2 24 7" xfId="53310"/>
    <cellStyle name="Note 2 2 25" xfId="5088"/>
    <cellStyle name="Note 2 2 25 2" xfId="12805"/>
    <cellStyle name="Note 2 2 25 3" xfId="21798"/>
    <cellStyle name="Note 2 2 25 4" xfId="29985"/>
    <cellStyle name="Note 2 2 25 5" xfId="35763"/>
    <cellStyle name="Note 2 2 25 6" xfId="43650"/>
    <cellStyle name="Note 2 2 25 7" xfId="52307"/>
    <cellStyle name="Note 2 2 26" xfId="5158"/>
    <cellStyle name="Note 2 2 26 2" xfId="12875"/>
    <cellStyle name="Note 2 2 26 3" xfId="21868"/>
    <cellStyle name="Note 2 2 26 4" xfId="30055"/>
    <cellStyle name="Note 2 2 26 5" xfId="36044"/>
    <cellStyle name="Note 2 2 26 6" xfId="43720"/>
    <cellStyle name="Note 2 2 26 7" xfId="53635"/>
    <cellStyle name="Note 2 2 27" xfId="5299"/>
    <cellStyle name="Note 2 2 27 2" xfId="13016"/>
    <cellStyle name="Note 2 2 27 3" xfId="22009"/>
    <cellStyle name="Note 2 2 27 4" xfId="30196"/>
    <cellStyle name="Note 2 2 27 5" xfId="36135"/>
    <cellStyle name="Note 2 2 27 6" xfId="43861"/>
    <cellStyle name="Note 2 2 27 7" xfId="54045"/>
    <cellStyle name="Note 2 2 28" xfId="5773"/>
    <cellStyle name="Note 2 2 28 2" xfId="13490"/>
    <cellStyle name="Note 2 2 28 3" xfId="22483"/>
    <cellStyle name="Note 2 2 28 4" xfId="30670"/>
    <cellStyle name="Note 2 2 28 5" xfId="35345"/>
    <cellStyle name="Note 2 2 28 6" xfId="44335"/>
    <cellStyle name="Note 2 2 28 7" xfId="49529"/>
    <cellStyle name="Note 2 2 29" xfId="5267"/>
    <cellStyle name="Note 2 2 29 2" xfId="12984"/>
    <cellStyle name="Note 2 2 29 3" xfId="21977"/>
    <cellStyle name="Note 2 2 29 4" xfId="30164"/>
    <cellStyle name="Note 2 2 29 5" xfId="26805"/>
    <cellStyle name="Note 2 2 29 6" xfId="43829"/>
    <cellStyle name="Note 2 2 29 7" xfId="50096"/>
    <cellStyle name="Note 2 2 3" xfId="520"/>
    <cellStyle name="Note 2 2 3 10" xfId="1967"/>
    <cellStyle name="Note 2 2 3 10 2" xfId="9790"/>
    <cellStyle name="Note 2 2 3 10 3" xfId="17218"/>
    <cellStyle name="Note 2 2 3 10 4" xfId="19026"/>
    <cellStyle name="Note 2 2 3 10 5" xfId="27833"/>
    <cellStyle name="Note 2 2 3 10 6" xfId="38565"/>
    <cellStyle name="Note 2 2 3 10 7" xfId="49891"/>
    <cellStyle name="Note 2 2 3 11" xfId="2085"/>
    <cellStyle name="Note 2 2 3 11 2" xfId="9908"/>
    <cellStyle name="Note 2 2 3 11 3" xfId="17336"/>
    <cellStyle name="Note 2 2 3 11 4" xfId="20072"/>
    <cellStyle name="Note 2 2 3 11 5" xfId="28243"/>
    <cellStyle name="Note 2 2 3 11 6" xfId="41660"/>
    <cellStyle name="Note 2 2 3 11 7" xfId="50191"/>
    <cellStyle name="Note 2 2 3 12" xfId="2198"/>
    <cellStyle name="Note 2 2 3 12 2" xfId="10021"/>
    <cellStyle name="Note 2 2 3 12 3" xfId="17449"/>
    <cellStyle name="Note 2 2 3 12 4" xfId="19714"/>
    <cellStyle name="Note 2 2 3 12 5" xfId="27102"/>
    <cellStyle name="Note 2 2 3 12 6" xfId="37592"/>
    <cellStyle name="Note 2 2 3 12 7" xfId="48114"/>
    <cellStyle name="Note 2 2 3 13" xfId="1179"/>
    <cellStyle name="Note 2 2 3 13 2" xfId="9002"/>
    <cellStyle name="Note 2 2 3 13 3" xfId="16430"/>
    <cellStyle name="Note 2 2 3 13 4" xfId="26568"/>
    <cellStyle name="Note 2 2 3 13 5" xfId="35380"/>
    <cellStyle name="Note 2 2 3 13 6" xfId="37458"/>
    <cellStyle name="Note 2 2 3 13 7" xfId="54208"/>
    <cellStyle name="Note 2 2 3 14" xfId="1618"/>
    <cellStyle name="Note 2 2 3 14 2" xfId="9441"/>
    <cellStyle name="Note 2 2 3 14 3" xfId="16869"/>
    <cellStyle name="Note 2 2 3 14 4" xfId="25929"/>
    <cellStyle name="Note 2 2 3 14 5" xfId="34533"/>
    <cellStyle name="Note 2 2 3 14 6" xfId="36689"/>
    <cellStyle name="Note 2 2 3 14 7" xfId="52847"/>
    <cellStyle name="Note 2 2 3 15" xfId="2496"/>
    <cellStyle name="Note 2 2 3 15 2" xfId="10319"/>
    <cellStyle name="Note 2 2 3 15 3" xfId="17747"/>
    <cellStyle name="Note 2 2 3 15 4" xfId="25196"/>
    <cellStyle name="Note 2 2 3 15 5" xfId="33580"/>
    <cellStyle name="Note 2 2 3 15 6" xfId="37445"/>
    <cellStyle name="Note 2 2 3 15 7" xfId="51207"/>
    <cellStyle name="Note 2 2 3 16" xfId="2609"/>
    <cellStyle name="Note 2 2 3 16 2" xfId="10432"/>
    <cellStyle name="Note 2 2 3 16 3" xfId="17860"/>
    <cellStyle name="Note 2 2 3 16 4" xfId="19656"/>
    <cellStyle name="Note 2 2 3 16 5" xfId="28105"/>
    <cellStyle name="Note 2 2 3 16 6" xfId="41668"/>
    <cellStyle name="Note 2 2 3 16 7" xfId="48769"/>
    <cellStyle name="Note 2 2 3 17" xfId="2444"/>
    <cellStyle name="Note 2 2 3 17 2" xfId="10267"/>
    <cellStyle name="Note 2 2 3 17 3" xfId="17695"/>
    <cellStyle name="Note 2 2 3 17 4" xfId="19795"/>
    <cellStyle name="Note 2 2 3 17 5" xfId="26864"/>
    <cellStyle name="Note 2 2 3 17 6" xfId="42256"/>
    <cellStyle name="Note 2 2 3 17 7" xfId="48304"/>
    <cellStyle name="Note 2 2 3 18" xfId="2407"/>
    <cellStyle name="Note 2 2 3 18 2" xfId="10230"/>
    <cellStyle name="Note 2 2 3 18 3" xfId="17658"/>
    <cellStyle name="Note 2 2 3 18 4" xfId="26129"/>
    <cellStyle name="Note 2 2 3 18 5" xfId="34790"/>
    <cellStyle name="Note 2 2 3 18 6" xfId="38924"/>
    <cellStyle name="Note 2 2 3 18 7" xfId="53270"/>
    <cellStyle name="Note 2 2 3 19" xfId="2803"/>
    <cellStyle name="Note 2 2 3 19 2" xfId="10626"/>
    <cellStyle name="Note 2 2 3 19 3" xfId="18054"/>
    <cellStyle name="Note 2 2 3 19 4" xfId="25070"/>
    <cellStyle name="Note 2 2 3 19 5" xfId="33430"/>
    <cellStyle name="Note 2 2 3 19 6" xfId="36599"/>
    <cellStyle name="Note 2 2 3 19 7" xfId="50950"/>
    <cellStyle name="Note 2 2 3 2" xfId="671"/>
    <cellStyle name="Note 2 2 3 2 2" xfId="8495"/>
    <cellStyle name="Note 2 2 3 2 3" xfId="8263"/>
    <cellStyle name="Note 2 2 3 2 4" xfId="24859"/>
    <cellStyle name="Note 2 2 3 2 5" xfId="33172"/>
    <cellStyle name="Note 2 2 3 2 6" xfId="37859"/>
    <cellStyle name="Note 2 2 3 2 7" xfId="50480"/>
    <cellStyle name="Note 2 2 3 20" xfId="2910"/>
    <cellStyle name="Note 2 2 3 20 2" xfId="10733"/>
    <cellStyle name="Note 2 2 3 20 3" xfId="18161"/>
    <cellStyle name="Note 2 2 3 20 4" xfId="19508"/>
    <cellStyle name="Note 2 2 3 20 5" xfId="33103"/>
    <cellStyle name="Note 2 2 3 20 6" xfId="36668"/>
    <cellStyle name="Note 2 2 3 20 7" xfId="49692"/>
    <cellStyle name="Note 2 2 3 21" xfId="3286"/>
    <cellStyle name="Note 2 2 3 21 2" xfId="11079"/>
    <cellStyle name="Note 2 2 3 21 3" xfId="18408"/>
    <cellStyle name="Note 2 2 3 21 4" xfId="26155"/>
    <cellStyle name="Note 2 2 3 21 5" xfId="34824"/>
    <cellStyle name="Note 2 2 3 21 6" xfId="41042"/>
    <cellStyle name="Note 2 2 3 21 7" xfId="53331"/>
    <cellStyle name="Note 2 2 3 22" xfId="3406"/>
    <cellStyle name="Note 2 2 3 22 2" xfId="11197"/>
    <cellStyle name="Note 2 2 3 22 3" xfId="18519"/>
    <cellStyle name="Note 2 2 3 22 4" xfId="19255"/>
    <cellStyle name="Note 2 2 3 22 5" xfId="28294"/>
    <cellStyle name="Note 2 2 3 22 6" xfId="36355"/>
    <cellStyle name="Note 2 2 3 22 7" xfId="49399"/>
    <cellStyle name="Note 2 2 3 23" xfId="3534"/>
    <cellStyle name="Note 2 2 3 23 2" xfId="11324"/>
    <cellStyle name="Note 2 2 3 23 3" xfId="18615"/>
    <cellStyle name="Note 2 2 3 23 4" xfId="25265"/>
    <cellStyle name="Note 2 2 3 23 5" xfId="33673"/>
    <cellStyle name="Note 2 2 3 23 6" xfId="36558"/>
    <cellStyle name="Note 2 2 3 23 7" xfId="51352"/>
    <cellStyle name="Note 2 2 3 24" xfId="3033"/>
    <cellStyle name="Note 2 2 3 24 2" xfId="10848"/>
    <cellStyle name="Note 2 2 3 24 3" xfId="18259"/>
    <cellStyle name="Note 2 2 3 24 4" xfId="19808"/>
    <cellStyle name="Note 2 2 3 24 5" xfId="28246"/>
    <cellStyle name="Note 2 2 3 24 6" xfId="37289"/>
    <cellStyle name="Note 2 2 3 24 7" xfId="49982"/>
    <cellStyle name="Note 2 2 3 25" xfId="3676"/>
    <cellStyle name="Note 2 2 3 25 2" xfId="11461"/>
    <cellStyle name="Note 2 2 3 25 3" xfId="18734"/>
    <cellStyle name="Note 2 2 3 25 4" xfId="25551"/>
    <cellStyle name="Note 2 2 3 25 5" xfId="34046"/>
    <cellStyle name="Note 2 2 3 25 6" xfId="37668"/>
    <cellStyle name="Note 2 2 3 25 7" xfId="51984"/>
    <cellStyle name="Note 2 2 3 26" xfId="3807"/>
    <cellStyle name="Note 2 2 3 26 2" xfId="11589"/>
    <cellStyle name="Note 2 2 3 26 3" xfId="18846"/>
    <cellStyle name="Note 2 2 3 26 4" xfId="26385"/>
    <cellStyle name="Note 2 2 3 26 5" xfId="35131"/>
    <cellStyle name="Note 2 2 3 26 6" xfId="41470"/>
    <cellStyle name="Note 2 2 3 26 7" xfId="53815"/>
    <cellStyle name="Note 2 2 3 27" xfId="3924"/>
    <cellStyle name="Note 2 2 3 27 2" xfId="11704"/>
    <cellStyle name="Note 2 2 3 27 3" xfId="18955"/>
    <cellStyle name="Note 2 2 3 27 4" xfId="19277"/>
    <cellStyle name="Note 2 2 3 27 5" xfId="28109"/>
    <cellStyle name="Note 2 2 3 27 6" xfId="37362"/>
    <cellStyle name="Note 2 2 3 27 7" xfId="48982"/>
    <cellStyle name="Note 2 2 3 28" xfId="2978"/>
    <cellStyle name="Note 2 2 3 28 2" xfId="10801"/>
    <cellStyle name="Note 2 2 3 28 3" xfId="20168"/>
    <cellStyle name="Note 2 2 3 28 4" xfId="28250"/>
    <cellStyle name="Note 2 2 3 28 5" xfId="27001"/>
    <cellStyle name="Note 2 2 3 28 6" xfId="42339"/>
    <cellStyle name="Note 2 2 3 28 7" xfId="50077"/>
    <cellStyle name="Note 2 2 3 29" xfId="4121"/>
    <cellStyle name="Note 2 2 3 29 2" xfId="11881"/>
    <cellStyle name="Note 2 2 3 29 3" xfId="20831"/>
    <cellStyle name="Note 2 2 3 29 4" xfId="29018"/>
    <cellStyle name="Note 2 2 3 29 5" xfId="35813"/>
    <cellStyle name="Note 2 2 3 29 6" xfId="42683"/>
    <cellStyle name="Note 2 2 3 29 7" xfId="52500"/>
    <cellStyle name="Note 2 2 3 3" xfId="778"/>
    <cellStyle name="Note 2 2 3 3 2" xfId="8602"/>
    <cellStyle name="Note 2 2 3 3 3" xfId="16030"/>
    <cellStyle name="Note 2 2 3 3 4" xfId="25567"/>
    <cellStyle name="Note 2 2 3 3 5" xfId="34065"/>
    <cellStyle name="Note 2 2 3 3 6" xfId="37648"/>
    <cellStyle name="Note 2 2 3 3 7" xfId="52013"/>
    <cellStyle name="Note 2 2 3 30" xfId="3024"/>
    <cellStyle name="Note 2 2 3 30 2" xfId="20196"/>
    <cellStyle name="Note 2 2 3 30 3" xfId="28287"/>
    <cellStyle name="Note 2 2 3 30 4" xfId="33938"/>
    <cellStyle name="Note 2 2 3 30 5" xfId="42361"/>
    <cellStyle name="Note 2 2 3 30 6" xfId="49840"/>
    <cellStyle name="Note 2 2 3 31" xfId="4318"/>
    <cellStyle name="Note 2 2 3 31 2" xfId="12035"/>
    <cellStyle name="Note 2 2 3 31 3" xfId="21028"/>
    <cellStyle name="Note 2 2 3 31 4" xfId="29215"/>
    <cellStyle name="Note 2 2 3 31 5" xfId="33264"/>
    <cellStyle name="Note 2 2 3 31 6" xfId="42880"/>
    <cellStyle name="Note 2 2 3 31 7" xfId="50630"/>
    <cellStyle name="Note 2 2 3 32" xfId="4441"/>
    <cellStyle name="Note 2 2 3 32 2" xfId="12158"/>
    <cellStyle name="Note 2 2 3 32 3" xfId="21151"/>
    <cellStyle name="Note 2 2 3 32 4" xfId="29338"/>
    <cellStyle name="Note 2 2 3 32 5" xfId="34589"/>
    <cellStyle name="Note 2 2 3 32 6" xfId="43003"/>
    <cellStyle name="Note 2 2 3 32 7" xfId="51128"/>
    <cellStyle name="Note 2 2 3 33" xfId="4555"/>
    <cellStyle name="Note 2 2 3 33 2" xfId="12272"/>
    <cellStyle name="Note 2 2 3 33 3" xfId="21265"/>
    <cellStyle name="Note 2 2 3 33 4" xfId="29452"/>
    <cellStyle name="Note 2 2 3 33 5" xfId="36136"/>
    <cellStyle name="Note 2 2 3 33 6" xfId="43117"/>
    <cellStyle name="Note 2 2 3 33 7" xfId="54046"/>
    <cellStyle name="Note 2 2 3 34" xfId="4668"/>
    <cellStyle name="Note 2 2 3 34 2" xfId="12385"/>
    <cellStyle name="Note 2 2 3 34 3" xfId="21378"/>
    <cellStyle name="Note 2 2 3 34 4" xfId="29565"/>
    <cellStyle name="Note 2 2 3 34 5" xfId="27016"/>
    <cellStyle name="Note 2 2 3 34 6" xfId="43230"/>
    <cellStyle name="Note 2 2 3 34 7" xfId="50226"/>
    <cellStyle name="Note 2 2 3 35" xfId="4780"/>
    <cellStyle name="Note 2 2 3 35 2" xfId="12497"/>
    <cellStyle name="Note 2 2 3 35 3" xfId="21490"/>
    <cellStyle name="Note 2 2 3 35 4" xfId="29677"/>
    <cellStyle name="Note 2 2 3 35 5" xfId="36064"/>
    <cellStyle name="Note 2 2 3 35 6" xfId="43342"/>
    <cellStyle name="Note 2 2 3 35 7" xfId="53739"/>
    <cellStyle name="Note 2 2 3 36" xfId="4888"/>
    <cellStyle name="Note 2 2 3 36 2" xfId="12605"/>
    <cellStyle name="Note 2 2 3 36 3" xfId="21598"/>
    <cellStyle name="Note 2 2 3 36 4" xfId="29785"/>
    <cellStyle name="Note 2 2 3 36 5" xfId="34582"/>
    <cellStyle name="Note 2 2 3 36 6" xfId="43450"/>
    <cellStyle name="Note 2 2 3 36 7" xfId="49736"/>
    <cellStyle name="Note 2 2 3 37" xfId="5000"/>
    <cellStyle name="Note 2 2 3 37 2" xfId="12717"/>
    <cellStyle name="Note 2 2 3 37 3" xfId="21710"/>
    <cellStyle name="Note 2 2 3 37 4" xfId="29897"/>
    <cellStyle name="Note 2 2 3 37 5" xfId="34097"/>
    <cellStyle name="Note 2 2 3 37 6" xfId="43562"/>
    <cellStyle name="Note 2 2 3 37 7" xfId="48136"/>
    <cellStyle name="Note 2 2 3 38" xfId="5113"/>
    <cellStyle name="Note 2 2 3 38 2" xfId="12830"/>
    <cellStyle name="Note 2 2 3 38 3" xfId="21823"/>
    <cellStyle name="Note 2 2 3 38 4" xfId="30010"/>
    <cellStyle name="Note 2 2 3 38 5" xfId="27103"/>
    <cellStyle name="Note 2 2 3 38 6" xfId="43675"/>
    <cellStyle name="Note 2 2 3 38 7" xfId="47405"/>
    <cellStyle name="Note 2 2 3 39" xfId="5498"/>
    <cellStyle name="Note 2 2 3 39 2" xfId="13215"/>
    <cellStyle name="Note 2 2 3 39 3" xfId="22208"/>
    <cellStyle name="Note 2 2 3 39 4" xfId="30395"/>
    <cellStyle name="Note 2 2 3 39 5" xfId="33668"/>
    <cellStyle name="Note 2 2 3 39 6" xfId="44060"/>
    <cellStyle name="Note 2 2 3 39 7" xfId="48865"/>
    <cellStyle name="Note 2 2 3 4" xfId="890"/>
    <cellStyle name="Note 2 2 3 4 2" xfId="8714"/>
    <cellStyle name="Note 2 2 3 4 3" xfId="16142"/>
    <cellStyle name="Note 2 2 3 4 4" xfId="26415"/>
    <cellStyle name="Note 2 2 3 4 5" xfId="35175"/>
    <cellStyle name="Note 2 2 3 4 6" xfId="37877"/>
    <cellStyle name="Note 2 2 3 4 7" xfId="53886"/>
    <cellStyle name="Note 2 2 3 40" xfId="5623"/>
    <cellStyle name="Note 2 2 3 40 2" xfId="13340"/>
    <cellStyle name="Note 2 2 3 40 3" xfId="22333"/>
    <cellStyle name="Note 2 2 3 40 4" xfId="30520"/>
    <cellStyle name="Note 2 2 3 40 5" xfId="27224"/>
    <cellStyle name="Note 2 2 3 40 6" xfId="44185"/>
    <cellStyle name="Note 2 2 3 40 7" xfId="47119"/>
    <cellStyle name="Note 2 2 3 41" xfId="5738"/>
    <cellStyle name="Note 2 2 3 41 2" xfId="13455"/>
    <cellStyle name="Note 2 2 3 41 3" xfId="22448"/>
    <cellStyle name="Note 2 2 3 41 4" xfId="30635"/>
    <cellStyle name="Note 2 2 3 41 5" xfId="36084"/>
    <cellStyle name="Note 2 2 3 41 6" xfId="44300"/>
    <cellStyle name="Note 2 2 3 41 7" xfId="53448"/>
    <cellStyle name="Note 2 2 3 42" xfId="5855"/>
    <cellStyle name="Note 2 2 3 42 2" xfId="13572"/>
    <cellStyle name="Note 2 2 3 42 3" xfId="22565"/>
    <cellStyle name="Note 2 2 3 42 4" xfId="30752"/>
    <cellStyle name="Note 2 2 3 42 5" xfId="34131"/>
    <cellStyle name="Note 2 2 3 42 6" xfId="44417"/>
    <cellStyle name="Note 2 2 3 42 7" xfId="54181"/>
    <cellStyle name="Note 2 2 3 43" xfId="5983"/>
    <cellStyle name="Note 2 2 3 43 2" xfId="13700"/>
    <cellStyle name="Note 2 2 3 43 3" xfId="22693"/>
    <cellStyle name="Note 2 2 3 43 4" xfId="30880"/>
    <cellStyle name="Note 2 2 3 43 5" xfId="28108"/>
    <cellStyle name="Note 2 2 3 43 6" xfId="44545"/>
    <cellStyle name="Note 2 2 3 43 7" xfId="48902"/>
    <cellStyle name="Note 2 2 3 44" xfId="6085"/>
    <cellStyle name="Note 2 2 3 44 2" xfId="13802"/>
    <cellStyle name="Note 2 2 3 44 3" xfId="22795"/>
    <cellStyle name="Note 2 2 3 44 4" xfId="30982"/>
    <cellStyle name="Note 2 2 3 44 5" xfId="27241"/>
    <cellStyle name="Note 2 2 3 44 6" xfId="44647"/>
    <cellStyle name="Note 2 2 3 44 7" xfId="52971"/>
    <cellStyle name="Note 2 2 3 45" xfId="5184"/>
    <cellStyle name="Note 2 2 3 45 2" xfId="12901"/>
    <cellStyle name="Note 2 2 3 45 3" xfId="21894"/>
    <cellStyle name="Note 2 2 3 45 4" xfId="30081"/>
    <cellStyle name="Note 2 2 3 45 5" xfId="34083"/>
    <cellStyle name="Note 2 2 3 45 6" xfId="43746"/>
    <cellStyle name="Note 2 2 3 45 7" xfId="50954"/>
    <cellStyle name="Note 2 2 3 46" xfId="6239"/>
    <cellStyle name="Note 2 2 3 46 2" xfId="13956"/>
    <cellStyle name="Note 2 2 3 46 3" xfId="22949"/>
    <cellStyle name="Note 2 2 3 46 4" xfId="31136"/>
    <cellStyle name="Note 2 2 3 46 5" xfId="35686"/>
    <cellStyle name="Note 2 2 3 46 6" xfId="44801"/>
    <cellStyle name="Note 2 2 3 46 7" xfId="51308"/>
    <cellStyle name="Note 2 2 3 47" xfId="6356"/>
    <cellStyle name="Note 2 2 3 47 2" xfId="14073"/>
    <cellStyle name="Note 2 2 3 47 3" xfId="23066"/>
    <cellStyle name="Note 2 2 3 47 4" xfId="31253"/>
    <cellStyle name="Note 2 2 3 47 5" xfId="28458"/>
    <cellStyle name="Note 2 2 3 47 6" xfId="44918"/>
    <cellStyle name="Note 2 2 3 47 7" xfId="54494"/>
    <cellStyle name="Note 2 2 3 48" xfId="6466"/>
    <cellStyle name="Note 2 2 3 48 2" xfId="14183"/>
    <cellStyle name="Note 2 2 3 48 3" xfId="23176"/>
    <cellStyle name="Note 2 2 3 48 4" xfId="31363"/>
    <cellStyle name="Note 2 2 3 48 5" xfId="28501"/>
    <cellStyle name="Note 2 2 3 48 6" xfId="45028"/>
    <cellStyle name="Note 2 2 3 48 7" xfId="48947"/>
    <cellStyle name="Note 2 2 3 49" xfId="5249"/>
    <cellStyle name="Note 2 2 3 49 2" xfId="12966"/>
    <cellStyle name="Note 2 2 3 49 3" xfId="21959"/>
    <cellStyle name="Note 2 2 3 49 4" xfId="30146"/>
    <cellStyle name="Note 2 2 3 49 5" xfId="33703"/>
    <cellStyle name="Note 2 2 3 49 6" xfId="43811"/>
    <cellStyle name="Note 2 2 3 49 7" xfId="47581"/>
    <cellStyle name="Note 2 2 3 5" xfId="1355"/>
    <cellStyle name="Note 2 2 3 5 2" xfId="9178"/>
    <cellStyle name="Note 2 2 3 5 3" xfId="16606"/>
    <cellStyle name="Note 2 2 3 5 4" xfId="20631"/>
    <cellStyle name="Note 2 2 3 5 5" xfId="27450"/>
    <cellStyle name="Note 2 2 3 5 6" xfId="41093"/>
    <cellStyle name="Note 2 2 3 5 7" xfId="48419"/>
    <cellStyle name="Note 2 2 3 50" xfId="6613"/>
    <cellStyle name="Note 2 2 3 50 2" xfId="14330"/>
    <cellStyle name="Note 2 2 3 50 3" xfId="23323"/>
    <cellStyle name="Note 2 2 3 50 4" xfId="31510"/>
    <cellStyle name="Note 2 2 3 50 5" xfId="27616"/>
    <cellStyle name="Note 2 2 3 50 6" xfId="45175"/>
    <cellStyle name="Note 2 2 3 50 7" xfId="49451"/>
    <cellStyle name="Note 2 2 3 51" xfId="6724"/>
    <cellStyle name="Note 2 2 3 51 2" xfId="14441"/>
    <cellStyle name="Note 2 2 3 51 3" xfId="23434"/>
    <cellStyle name="Note 2 2 3 51 4" xfId="31621"/>
    <cellStyle name="Note 2 2 3 51 5" xfId="35911"/>
    <cellStyle name="Note 2 2 3 51 6" xfId="45286"/>
    <cellStyle name="Note 2 2 3 51 7" xfId="52768"/>
    <cellStyle name="Note 2 2 3 52" xfId="6839"/>
    <cellStyle name="Note 2 2 3 52 2" xfId="14556"/>
    <cellStyle name="Note 2 2 3 52 3" xfId="23549"/>
    <cellStyle name="Note 2 2 3 52 4" xfId="31736"/>
    <cellStyle name="Note 2 2 3 52 5" xfId="34798"/>
    <cellStyle name="Note 2 2 3 52 6" xfId="45401"/>
    <cellStyle name="Note 2 2 3 52 7" xfId="48458"/>
    <cellStyle name="Note 2 2 3 53" xfId="6952"/>
    <cellStyle name="Note 2 2 3 53 2" xfId="14669"/>
    <cellStyle name="Note 2 2 3 53 3" xfId="23662"/>
    <cellStyle name="Note 2 2 3 53 4" xfId="31849"/>
    <cellStyle name="Note 2 2 3 53 5" xfId="26848"/>
    <cellStyle name="Note 2 2 3 53 6" xfId="45514"/>
    <cellStyle name="Note 2 2 3 53 7" xfId="46853"/>
    <cellStyle name="Note 2 2 3 54" xfId="7064"/>
    <cellStyle name="Note 2 2 3 54 2" xfId="14781"/>
    <cellStyle name="Note 2 2 3 54 3" xfId="23774"/>
    <cellStyle name="Note 2 2 3 54 4" xfId="31961"/>
    <cellStyle name="Note 2 2 3 54 5" xfId="35988"/>
    <cellStyle name="Note 2 2 3 54 6" xfId="45626"/>
    <cellStyle name="Note 2 2 3 54 7" xfId="51750"/>
    <cellStyle name="Note 2 2 3 55" xfId="7354"/>
    <cellStyle name="Note 2 2 3 55 2" xfId="15071"/>
    <cellStyle name="Note 2 2 3 55 3" xfId="24064"/>
    <cellStyle name="Note 2 2 3 55 4" xfId="32251"/>
    <cellStyle name="Note 2 2 3 55 5" xfId="27686"/>
    <cellStyle name="Note 2 2 3 55 6" xfId="45916"/>
    <cellStyle name="Note 2 2 3 55 7" xfId="47570"/>
    <cellStyle name="Note 2 2 3 56" xfId="7331"/>
    <cellStyle name="Note 2 2 3 56 2" xfId="15048"/>
    <cellStyle name="Note 2 2 3 56 3" xfId="24041"/>
    <cellStyle name="Note 2 2 3 56 4" xfId="32228"/>
    <cellStyle name="Note 2 2 3 56 5" xfId="36094"/>
    <cellStyle name="Note 2 2 3 56 6" xfId="45893"/>
    <cellStyle name="Note 2 2 3 56 7" xfId="53295"/>
    <cellStyle name="Note 2 2 3 57" xfId="7461"/>
    <cellStyle name="Note 2 2 3 57 2" xfId="15178"/>
    <cellStyle name="Note 2 2 3 57 3" xfId="24171"/>
    <cellStyle name="Note 2 2 3 57 4" xfId="32358"/>
    <cellStyle name="Note 2 2 3 57 5" xfId="28028"/>
    <cellStyle name="Note 2 2 3 57 6" xfId="46023"/>
    <cellStyle name="Note 2 2 3 57 7" xfId="48205"/>
    <cellStyle name="Note 2 2 3 58" xfId="7582"/>
    <cellStyle name="Note 2 2 3 58 2" xfId="15299"/>
    <cellStyle name="Note 2 2 3 58 3" xfId="24292"/>
    <cellStyle name="Note 2 2 3 58 4" xfId="32479"/>
    <cellStyle name="Note 2 2 3 58 5" xfId="35417"/>
    <cellStyle name="Note 2 2 3 58 6" xfId="46144"/>
    <cellStyle name="Note 2 2 3 58 7" xfId="48995"/>
    <cellStyle name="Note 2 2 3 59" xfId="7858"/>
    <cellStyle name="Note 2 2 3 59 2" xfId="15575"/>
    <cellStyle name="Note 2 2 3 59 3" xfId="24562"/>
    <cellStyle name="Note 2 2 3 59 4" xfId="32755"/>
    <cellStyle name="Note 2 2 3 59 5" xfId="27384"/>
    <cellStyle name="Note 2 2 3 59 6" xfId="46420"/>
    <cellStyle name="Note 2 2 3 59 7" xfId="50205"/>
    <cellStyle name="Note 2 2 3 6" xfId="1478"/>
    <cellStyle name="Note 2 2 3 6 2" xfId="9301"/>
    <cellStyle name="Note 2 2 3 6 3" xfId="16729"/>
    <cellStyle name="Note 2 2 3 6 4" xfId="19607"/>
    <cellStyle name="Note 2 2 3 6 5" xfId="27065"/>
    <cellStyle name="Note 2 2 3 6 6" xfId="39607"/>
    <cellStyle name="Note 2 2 3 6 7" xfId="48387"/>
    <cellStyle name="Note 2 2 3 60" xfId="7754"/>
    <cellStyle name="Note 2 2 3 60 2" xfId="15471"/>
    <cellStyle name="Note 2 2 3 60 3" xfId="24462"/>
    <cellStyle name="Note 2 2 3 60 4" xfId="32651"/>
    <cellStyle name="Note 2 2 3 60 5" xfId="35958"/>
    <cellStyle name="Note 2 2 3 60 6" xfId="46316"/>
    <cellStyle name="Note 2 2 3 60 7" xfId="52864"/>
    <cellStyle name="Note 2 2 3 61" xfId="7982"/>
    <cellStyle name="Note 2 2 3 61 2" xfId="15699"/>
    <cellStyle name="Note 2 2 3 61 3" xfId="24684"/>
    <cellStyle name="Note 2 2 3 61 4" xfId="32879"/>
    <cellStyle name="Note 2 2 3 61 5" xfId="35794"/>
    <cellStyle name="Note 2 2 3 61 6" xfId="46544"/>
    <cellStyle name="Note 2 2 3 61 7" xfId="51975"/>
    <cellStyle name="Note 2 2 3 62" xfId="7715"/>
    <cellStyle name="Note 2 2 3 62 2" xfId="15432"/>
    <cellStyle name="Note 2 2 3 62 3" xfId="24423"/>
    <cellStyle name="Note 2 2 3 62 4" xfId="32612"/>
    <cellStyle name="Note 2 2 3 62 5" xfId="26990"/>
    <cellStyle name="Note 2 2 3 62 6" xfId="46277"/>
    <cellStyle name="Note 2 2 3 62 7" xfId="50426"/>
    <cellStyle name="Note 2 2 3 63" xfId="8134"/>
    <cellStyle name="Note 2 2 3 63 2" xfId="15851"/>
    <cellStyle name="Note 2 2 3 63 3" xfId="33031"/>
    <cellStyle name="Note 2 2 3 63 4" xfId="26756"/>
    <cellStyle name="Note 2 2 3 63 5" xfId="46696"/>
    <cellStyle name="Note 2 2 3 63 6" xfId="50584"/>
    <cellStyle name="Note 2 2 3 64" xfId="19518"/>
    <cellStyle name="Note 2 2 3 65" xfId="27955"/>
    <cellStyle name="Note 2 2 3 66" xfId="37099"/>
    <cellStyle name="Note 2 2 3 67" xfId="49986"/>
    <cellStyle name="Note 2 2 3 7" xfId="990"/>
    <cellStyle name="Note 2 2 3 7 2" xfId="8814"/>
    <cellStyle name="Note 2 2 3 7 3" xfId="16242"/>
    <cellStyle name="Note 2 2 3 7 4" xfId="25532"/>
    <cellStyle name="Note 2 2 3 7 5" xfId="34018"/>
    <cellStyle name="Note 2 2 3 7 6" xfId="36556"/>
    <cellStyle name="Note 2 2 3 7 7" xfId="51947"/>
    <cellStyle name="Note 2 2 3 8" xfId="1715"/>
    <cellStyle name="Note 2 2 3 8 2" xfId="9538"/>
    <cellStyle name="Note 2 2 3 8 3" xfId="16966"/>
    <cellStyle name="Note 2 2 3 8 4" xfId="25964"/>
    <cellStyle name="Note 2 2 3 8 5" xfId="34573"/>
    <cellStyle name="Note 2 2 3 8 6" xfId="36894"/>
    <cellStyle name="Note 2 2 3 8 7" xfId="52917"/>
    <cellStyle name="Note 2 2 3 9" xfId="1849"/>
    <cellStyle name="Note 2 2 3 9 2" xfId="9672"/>
    <cellStyle name="Note 2 2 3 9 3" xfId="17100"/>
    <cellStyle name="Note 2 2 3 9 4" xfId="26166"/>
    <cellStyle name="Note 2 2 3 9 5" xfId="34837"/>
    <cellStyle name="Note 2 2 3 9 6" xfId="36867"/>
    <cellStyle name="Note 2 2 3 9 7" xfId="53353"/>
    <cellStyle name="Note 2 2 30" xfId="5070"/>
    <cellStyle name="Note 2 2 30 2" xfId="12787"/>
    <cellStyle name="Note 2 2 30 3" xfId="21780"/>
    <cellStyle name="Note 2 2 30 4" xfId="29967"/>
    <cellStyle name="Note 2 2 30 5" xfId="36158"/>
    <cellStyle name="Note 2 2 30 6" xfId="43632"/>
    <cellStyle name="Note 2 2 30 7" xfId="54191"/>
    <cellStyle name="Note 2 2 31" xfId="7360"/>
    <cellStyle name="Note 2 2 31 2" xfId="15077"/>
    <cellStyle name="Note 2 2 31 3" xfId="24070"/>
    <cellStyle name="Note 2 2 31 4" xfId="32257"/>
    <cellStyle name="Note 2 2 31 5" xfId="27487"/>
    <cellStyle name="Note 2 2 31 6" xfId="45922"/>
    <cellStyle name="Note 2 2 31 7" xfId="50319"/>
    <cellStyle name="Note 2 2 32" xfId="7409"/>
    <cellStyle name="Note 2 2 32 2" xfId="15126"/>
    <cellStyle name="Note 2 2 32 3" xfId="24119"/>
    <cellStyle name="Note 2 2 32 4" xfId="32306"/>
    <cellStyle name="Note 2 2 32 5" xfId="35919"/>
    <cellStyle name="Note 2 2 32 6" xfId="45971"/>
    <cellStyle name="Note 2 2 32 7" xfId="51593"/>
    <cellStyle name="Note 2 2 33" xfId="7693"/>
    <cellStyle name="Note 2 2 33 2" xfId="15410"/>
    <cellStyle name="Note 2 2 33 3" xfId="24401"/>
    <cellStyle name="Note 2 2 33 4" xfId="32590"/>
    <cellStyle name="Note 2 2 33 5" xfId="33473"/>
    <cellStyle name="Note 2 2 33 6" xfId="46255"/>
    <cellStyle name="Note 2 2 33 7" xfId="52827"/>
    <cellStyle name="Note 2 2 34" xfId="8005"/>
    <cellStyle name="Note 2 2 34 2" xfId="15722"/>
    <cellStyle name="Note 2 2 34 3" xfId="24707"/>
    <cellStyle name="Note 2 2 34 4" xfId="32902"/>
    <cellStyle name="Note 2 2 34 5" xfId="33539"/>
    <cellStyle name="Note 2 2 34 6" xfId="46567"/>
    <cellStyle name="Note 2 2 34 7" xfId="49027"/>
    <cellStyle name="Note 2 2 35" xfId="7978"/>
    <cellStyle name="Note 2 2 35 2" xfId="15695"/>
    <cellStyle name="Note 2 2 35 3" xfId="24680"/>
    <cellStyle name="Note 2 2 35 4" xfId="32875"/>
    <cellStyle name="Note 2 2 35 5" xfId="35888"/>
    <cellStyle name="Note 2 2 35 6" xfId="46540"/>
    <cellStyle name="Note 2 2 35 7" xfId="52310"/>
    <cellStyle name="Note 2 2 36" xfId="19824"/>
    <cellStyle name="Note 2 2 37" xfId="26787"/>
    <cellStyle name="Note 2 2 38" xfId="36802"/>
    <cellStyle name="Note 2 2 39" xfId="50348"/>
    <cellStyle name="Note 2 2 4" xfId="489"/>
    <cellStyle name="Note 2 2 4 10" xfId="1936"/>
    <cellStyle name="Note 2 2 4 10 2" xfId="9759"/>
    <cellStyle name="Note 2 2 4 10 3" xfId="17187"/>
    <cellStyle name="Note 2 2 4 10 4" xfId="20301"/>
    <cellStyle name="Note 2 2 4 10 5" xfId="27520"/>
    <cellStyle name="Note 2 2 4 10 6" xfId="36815"/>
    <cellStyle name="Note 2 2 4 10 7" xfId="48055"/>
    <cellStyle name="Note 2 2 4 11" xfId="2054"/>
    <cellStyle name="Note 2 2 4 11 2" xfId="9877"/>
    <cellStyle name="Note 2 2 4 11 3" xfId="17305"/>
    <cellStyle name="Note 2 2 4 11 4" xfId="26181"/>
    <cellStyle name="Note 2 2 4 11 5" xfId="34854"/>
    <cellStyle name="Note 2 2 4 11 6" xfId="37572"/>
    <cellStyle name="Note 2 2 4 11 7" xfId="53381"/>
    <cellStyle name="Note 2 2 4 12" xfId="2167"/>
    <cellStyle name="Note 2 2 4 12 2" xfId="9990"/>
    <cellStyle name="Note 2 2 4 12 3" xfId="17418"/>
    <cellStyle name="Note 2 2 4 12 4" xfId="25982"/>
    <cellStyle name="Note 2 2 4 12 5" xfId="34600"/>
    <cellStyle name="Note 2 2 4 12 6" xfId="40394"/>
    <cellStyle name="Note 2 2 4 12 7" xfId="52958"/>
    <cellStyle name="Note 2 2 4 13" xfId="1636"/>
    <cellStyle name="Note 2 2 4 13 2" xfId="9459"/>
    <cellStyle name="Note 2 2 4 13 3" xfId="16887"/>
    <cellStyle name="Note 2 2 4 13 4" xfId="26283"/>
    <cellStyle name="Note 2 2 4 13 5" xfId="34989"/>
    <cellStyle name="Note 2 2 4 13 6" xfId="42269"/>
    <cellStyle name="Note 2 2 4 13 7" xfId="53608"/>
    <cellStyle name="Note 2 2 4 14" xfId="985"/>
    <cellStyle name="Note 2 2 4 14 2" xfId="8809"/>
    <cellStyle name="Note 2 2 4 14 3" xfId="16237"/>
    <cellStyle name="Note 2 2 4 14 4" xfId="25736"/>
    <cellStyle name="Note 2 2 4 14 5" xfId="34285"/>
    <cellStyle name="Note 2 2 4 14 6" xfId="37054"/>
    <cellStyle name="Note 2 2 4 14 7" xfId="52404"/>
    <cellStyle name="Note 2 2 4 15" xfId="2465"/>
    <cellStyle name="Note 2 2 4 15 2" xfId="10288"/>
    <cellStyle name="Note 2 2 4 15 3" xfId="17716"/>
    <cellStyle name="Note 2 2 4 15 4" xfId="19375"/>
    <cellStyle name="Note 2 2 4 15 5" xfId="28455"/>
    <cellStyle name="Note 2 2 4 15 6" xfId="40290"/>
    <cellStyle name="Note 2 2 4 15 7" xfId="48322"/>
    <cellStyle name="Note 2 2 4 16" xfId="2578"/>
    <cellStyle name="Note 2 2 4 16 2" xfId="10401"/>
    <cellStyle name="Note 2 2 4 16 3" xfId="17829"/>
    <cellStyle name="Note 2 2 4 16 4" xfId="19298"/>
    <cellStyle name="Note 2 2 4 16 5" xfId="28237"/>
    <cellStyle name="Note 2 2 4 16 6" xfId="37565"/>
    <cellStyle name="Note 2 2 4 16 7" xfId="47641"/>
    <cellStyle name="Note 2 2 4 17" xfId="2344"/>
    <cellStyle name="Note 2 2 4 17 2" xfId="10167"/>
    <cellStyle name="Note 2 2 4 17 3" xfId="17595"/>
    <cellStyle name="Note 2 2 4 17 4" xfId="25829"/>
    <cellStyle name="Note 2 2 4 17 5" xfId="34412"/>
    <cellStyle name="Note 2 2 4 17 6" xfId="38892"/>
    <cellStyle name="Note 2 2 4 17 7" xfId="52627"/>
    <cellStyle name="Note 2 2 4 18" xfId="2335"/>
    <cellStyle name="Note 2 2 4 18 2" xfId="10158"/>
    <cellStyle name="Note 2 2 4 18 3" xfId="17586"/>
    <cellStyle name="Note 2 2 4 18 4" xfId="26191"/>
    <cellStyle name="Note 2 2 4 18 5" xfId="34869"/>
    <cellStyle name="Note 2 2 4 18 6" xfId="40035"/>
    <cellStyle name="Note 2 2 4 18 7" xfId="53405"/>
    <cellStyle name="Note 2 2 4 19" xfId="2772"/>
    <cellStyle name="Note 2 2 4 19 2" xfId="10595"/>
    <cellStyle name="Note 2 2 4 19 3" xfId="18023"/>
    <cellStyle name="Note 2 2 4 19 4" xfId="26590"/>
    <cellStyle name="Note 2 2 4 19 5" xfId="35411"/>
    <cellStyle name="Note 2 2 4 19 6" xfId="39987"/>
    <cellStyle name="Note 2 2 4 19 7" xfId="54258"/>
    <cellStyle name="Note 2 2 4 2" xfId="640"/>
    <cellStyle name="Note 2 2 4 2 2" xfId="8464"/>
    <cellStyle name="Note 2 2 4 2 3" xfId="8296"/>
    <cellStyle name="Note 2 2 4 2 4" xfId="26337"/>
    <cellStyle name="Note 2 2 4 2 5" xfId="35063"/>
    <cellStyle name="Note 2 2 4 2 6" xfId="38267"/>
    <cellStyle name="Note 2 2 4 2 7" xfId="53714"/>
    <cellStyle name="Note 2 2 4 20" xfId="2879"/>
    <cellStyle name="Note 2 2 4 20 2" xfId="10702"/>
    <cellStyle name="Note 2 2 4 20 3" xfId="18130"/>
    <cellStyle name="Note 2 2 4 20 4" xfId="19839"/>
    <cellStyle name="Note 2 2 4 20 5" xfId="28067"/>
    <cellStyle name="Note 2 2 4 20 6" xfId="37101"/>
    <cellStyle name="Note 2 2 4 20 7" xfId="47488"/>
    <cellStyle name="Note 2 2 4 21" xfId="3255"/>
    <cellStyle name="Note 2 2 4 21 2" xfId="11048"/>
    <cellStyle name="Note 2 2 4 21 3" xfId="18377"/>
    <cellStyle name="Note 2 2 4 21 4" xfId="19454"/>
    <cellStyle name="Note 2 2 4 21 5" xfId="27943"/>
    <cellStyle name="Note 2 2 4 21 6" xfId="37062"/>
    <cellStyle name="Note 2 2 4 21 7" xfId="50194"/>
    <cellStyle name="Note 2 2 4 22" xfId="3375"/>
    <cellStyle name="Note 2 2 4 22 2" xfId="11166"/>
    <cellStyle name="Note 2 2 4 22 3" xfId="18488"/>
    <cellStyle name="Note 2 2 4 22 4" xfId="25887"/>
    <cellStyle name="Note 2 2 4 22 5" xfId="34482"/>
    <cellStyle name="Note 2 2 4 22 6" xfId="39643"/>
    <cellStyle name="Note 2 2 4 22 7" xfId="52758"/>
    <cellStyle name="Note 2 2 4 23" xfId="3509"/>
    <cellStyle name="Note 2 2 4 23 2" xfId="11300"/>
    <cellStyle name="Note 2 2 4 23 3" xfId="18598"/>
    <cellStyle name="Note 2 2 4 23 4" xfId="26460"/>
    <cellStyle name="Note 2 2 4 23 5" xfId="35237"/>
    <cellStyle name="Note 2 2 4 23 6" xfId="42084"/>
    <cellStyle name="Note 2 2 4 23 7" xfId="53981"/>
    <cellStyle name="Note 2 2 4 24" xfId="3007"/>
    <cellStyle name="Note 2 2 4 24 2" xfId="10826"/>
    <cellStyle name="Note 2 2 4 24 3" xfId="18249"/>
    <cellStyle name="Note 2 2 4 24 4" xfId="25840"/>
    <cellStyle name="Note 2 2 4 24 5" xfId="34426"/>
    <cellStyle name="Note 2 2 4 24 6" xfId="39996"/>
    <cellStyle name="Note 2 2 4 24 7" xfId="52654"/>
    <cellStyle name="Note 2 2 4 25" xfId="3645"/>
    <cellStyle name="Note 2 2 4 25 2" xfId="11430"/>
    <cellStyle name="Note 2 2 4 25 3" xfId="18703"/>
    <cellStyle name="Note 2 2 4 25 4" xfId="19333"/>
    <cellStyle name="Note 2 2 4 25 5" xfId="26957"/>
    <cellStyle name="Note 2 2 4 25 6" xfId="41987"/>
    <cellStyle name="Note 2 2 4 25 7" xfId="49066"/>
    <cellStyle name="Note 2 2 4 26" xfId="3776"/>
    <cellStyle name="Note 2 2 4 26 2" xfId="11558"/>
    <cellStyle name="Note 2 2 4 26 3" xfId="18815"/>
    <cellStyle name="Note 2 2 4 26 4" xfId="19720"/>
    <cellStyle name="Note 2 2 4 26 5" xfId="27981"/>
    <cellStyle name="Note 2 2 4 26 6" xfId="37487"/>
    <cellStyle name="Note 2 2 4 26 7" xfId="50120"/>
    <cellStyle name="Note 2 2 4 27" xfId="3893"/>
    <cellStyle name="Note 2 2 4 27 2" xfId="11673"/>
    <cellStyle name="Note 2 2 4 27 3" xfId="18924"/>
    <cellStyle name="Note 2 2 4 27 4" xfId="25653"/>
    <cellStyle name="Note 2 2 4 27 5" xfId="34175"/>
    <cellStyle name="Note 2 2 4 27 6" xfId="40162"/>
    <cellStyle name="Note 2 2 4 27 7" xfId="52203"/>
    <cellStyle name="Note 2 2 4 28" xfId="3187"/>
    <cellStyle name="Note 2 2 4 28 2" xfId="10988"/>
    <cellStyle name="Note 2 2 4 28 3" xfId="20315"/>
    <cellStyle name="Note 2 2 4 28 4" xfId="28407"/>
    <cellStyle name="Note 2 2 4 28 5" xfId="26993"/>
    <cellStyle name="Note 2 2 4 28 6" xfId="42430"/>
    <cellStyle name="Note 2 2 4 28 7" xfId="50699"/>
    <cellStyle name="Note 2 2 4 29" xfId="4090"/>
    <cellStyle name="Note 2 2 4 29 2" xfId="11850"/>
    <cellStyle name="Note 2 2 4 29 3" xfId="20800"/>
    <cellStyle name="Note 2 2 4 29 4" xfId="28987"/>
    <cellStyle name="Note 2 2 4 29 5" xfId="35733"/>
    <cellStyle name="Note 2 2 4 29 6" xfId="42652"/>
    <cellStyle name="Note 2 2 4 29 7" xfId="52150"/>
    <cellStyle name="Note 2 2 4 3" xfId="747"/>
    <cellStyle name="Note 2 2 4 3 2" xfId="8571"/>
    <cellStyle name="Note 2 2 4 3 3" xfId="15999"/>
    <cellStyle name="Note 2 2 4 3 4" xfId="20564"/>
    <cellStyle name="Note 2 2 4 3 5" xfId="28066"/>
    <cellStyle name="Note 2 2 4 3 6" xfId="38258"/>
    <cellStyle name="Note 2 2 4 3 7" xfId="48707"/>
    <cellStyle name="Note 2 2 4 30" xfId="3586"/>
    <cellStyle name="Note 2 2 4 30 2" xfId="20540"/>
    <cellStyle name="Note 2 2 4 30 3" xfId="28665"/>
    <cellStyle name="Note 2 2 4 30 4" xfId="36005"/>
    <cellStyle name="Note 2 2 4 30 5" xfId="42519"/>
    <cellStyle name="Note 2 2 4 30 6" xfId="53431"/>
    <cellStyle name="Note 2 2 4 31" xfId="4287"/>
    <cellStyle name="Note 2 2 4 31 2" xfId="12004"/>
    <cellStyle name="Note 2 2 4 31 3" xfId="20997"/>
    <cellStyle name="Note 2 2 4 31 4" xfId="29184"/>
    <cellStyle name="Note 2 2 4 31 5" xfId="35485"/>
    <cellStyle name="Note 2 2 4 31 6" xfId="42849"/>
    <cellStyle name="Note 2 2 4 31 7" xfId="50401"/>
    <cellStyle name="Note 2 2 4 32" xfId="4410"/>
    <cellStyle name="Note 2 2 4 32 2" xfId="12127"/>
    <cellStyle name="Note 2 2 4 32 3" xfId="21120"/>
    <cellStyle name="Note 2 2 4 32 4" xfId="29307"/>
    <cellStyle name="Note 2 2 4 32 5" xfId="36198"/>
    <cellStyle name="Note 2 2 4 32 6" xfId="42972"/>
    <cellStyle name="Note 2 2 4 32 7" xfId="54355"/>
    <cellStyle name="Note 2 2 4 33" xfId="4524"/>
    <cellStyle name="Note 2 2 4 33 2" xfId="12241"/>
    <cellStyle name="Note 2 2 4 33 3" xfId="21234"/>
    <cellStyle name="Note 2 2 4 33 4" xfId="29421"/>
    <cellStyle name="Note 2 2 4 33 5" xfId="27926"/>
    <cellStyle name="Note 2 2 4 33 6" xfId="43086"/>
    <cellStyle name="Note 2 2 4 33 7" xfId="49125"/>
    <cellStyle name="Note 2 2 4 34" xfId="4637"/>
    <cellStyle name="Note 2 2 4 34 2" xfId="12354"/>
    <cellStyle name="Note 2 2 4 34 3" xfId="21347"/>
    <cellStyle name="Note 2 2 4 34 4" xfId="29534"/>
    <cellStyle name="Note 2 2 4 34 5" xfId="35976"/>
    <cellStyle name="Note 2 2 4 34 6" xfId="43199"/>
    <cellStyle name="Note 2 2 4 34 7" xfId="53312"/>
    <cellStyle name="Note 2 2 4 35" xfId="4749"/>
    <cellStyle name="Note 2 2 4 35 2" xfId="12466"/>
    <cellStyle name="Note 2 2 4 35 3" xfId="21459"/>
    <cellStyle name="Note 2 2 4 35 4" xfId="29646"/>
    <cellStyle name="Note 2 2 4 35 5" xfId="33224"/>
    <cellStyle name="Note 2 2 4 35 6" xfId="43311"/>
    <cellStyle name="Note 2 2 4 35 7" xfId="47815"/>
    <cellStyle name="Note 2 2 4 36" xfId="4857"/>
    <cellStyle name="Note 2 2 4 36 2" xfId="12574"/>
    <cellStyle name="Note 2 2 4 36 3" xfId="21567"/>
    <cellStyle name="Note 2 2 4 36 4" xfId="29754"/>
    <cellStyle name="Note 2 2 4 36 5" xfId="35962"/>
    <cellStyle name="Note 2 2 4 36 6" xfId="43419"/>
    <cellStyle name="Note 2 2 4 36 7" xfId="53247"/>
    <cellStyle name="Note 2 2 4 37" xfId="4969"/>
    <cellStyle name="Note 2 2 4 37 2" xfId="12686"/>
    <cellStyle name="Note 2 2 4 37 3" xfId="21679"/>
    <cellStyle name="Note 2 2 4 37 4" xfId="29866"/>
    <cellStyle name="Note 2 2 4 37 5" xfId="34092"/>
    <cellStyle name="Note 2 2 4 37 6" xfId="43531"/>
    <cellStyle name="Note 2 2 4 37 7" xfId="50780"/>
    <cellStyle name="Note 2 2 4 38" xfId="5142"/>
    <cellStyle name="Note 2 2 4 38 2" xfId="12859"/>
    <cellStyle name="Note 2 2 4 38 3" xfId="21852"/>
    <cellStyle name="Note 2 2 4 38 4" xfId="30039"/>
    <cellStyle name="Note 2 2 4 38 5" xfId="36142"/>
    <cellStyle name="Note 2 2 4 38 6" xfId="43704"/>
    <cellStyle name="Note 2 2 4 38 7" xfId="54078"/>
    <cellStyle name="Note 2 2 4 39" xfId="5467"/>
    <cellStyle name="Note 2 2 4 39 2" xfId="13184"/>
    <cellStyle name="Note 2 2 4 39 3" xfId="22177"/>
    <cellStyle name="Note 2 2 4 39 4" xfId="30364"/>
    <cellStyle name="Note 2 2 4 39 5" xfId="35726"/>
    <cellStyle name="Note 2 2 4 39 6" xfId="44029"/>
    <cellStyle name="Note 2 2 4 39 7" xfId="52107"/>
    <cellStyle name="Note 2 2 4 4" xfId="859"/>
    <cellStyle name="Note 2 2 4 4 2" xfId="8683"/>
    <cellStyle name="Note 2 2 4 4 3" xfId="16111"/>
    <cellStyle name="Note 2 2 4 4 4" xfId="19125"/>
    <cellStyle name="Note 2 2 4 4 5" xfId="27364"/>
    <cellStyle name="Note 2 2 4 4 6" xfId="38241"/>
    <cellStyle name="Note 2 2 4 4 7" xfId="49885"/>
    <cellStyle name="Note 2 2 4 40" xfId="5592"/>
    <cellStyle name="Note 2 2 4 40 2" xfId="13309"/>
    <cellStyle name="Note 2 2 4 40 3" xfId="22302"/>
    <cellStyle name="Note 2 2 4 40 4" xfId="30489"/>
    <cellStyle name="Note 2 2 4 40 5" xfId="34995"/>
    <cellStyle name="Note 2 2 4 40 6" xfId="44154"/>
    <cellStyle name="Note 2 2 4 40 7" xfId="47146"/>
    <cellStyle name="Note 2 2 4 41" xfId="5707"/>
    <cellStyle name="Note 2 2 4 41 2" xfId="13424"/>
    <cellStyle name="Note 2 2 4 41 3" xfId="22417"/>
    <cellStyle name="Note 2 2 4 41 4" xfId="30604"/>
    <cellStyle name="Note 2 2 4 41 5" xfId="33737"/>
    <cellStyle name="Note 2 2 4 41 6" xfId="44269"/>
    <cellStyle name="Note 2 2 4 41 7" xfId="47076"/>
    <cellStyle name="Note 2 2 4 42" xfId="5824"/>
    <cellStyle name="Note 2 2 4 42 2" xfId="13541"/>
    <cellStyle name="Note 2 2 4 42 3" xfId="22534"/>
    <cellStyle name="Note 2 2 4 42 4" xfId="30721"/>
    <cellStyle name="Note 2 2 4 42 5" xfId="28452"/>
    <cellStyle name="Note 2 2 4 42 6" xfId="44386"/>
    <cellStyle name="Note 2 2 4 42 7" xfId="50746"/>
    <cellStyle name="Note 2 2 4 43" xfId="5952"/>
    <cellStyle name="Note 2 2 4 43 2" xfId="13669"/>
    <cellStyle name="Note 2 2 4 43 3" xfId="22662"/>
    <cellStyle name="Note 2 2 4 43 4" xfId="30849"/>
    <cellStyle name="Note 2 2 4 43 5" xfId="35840"/>
    <cellStyle name="Note 2 2 4 43 6" xfId="44514"/>
    <cellStyle name="Note 2 2 4 43 7" xfId="52252"/>
    <cellStyle name="Note 2 2 4 44" xfId="6065"/>
    <cellStyle name="Note 2 2 4 44 2" xfId="13782"/>
    <cellStyle name="Note 2 2 4 44 3" xfId="22775"/>
    <cellStyle name="Note 2 2 4 44 4" xfId="30962"/>
    <cellStyle name="Note 2 2 4 44 5" xfId="35643"/>
    <cellStyle name="Note 2 2 4 44 6" xfId="44627"/>
    <cellStyle name="Note 2 2 4 44 7" xfId="50607"/>
    <cellStyle name="Note 2 2 4 45" xfId="6128"/>
    <cellStyle name="Note 2 2 4 45 2" xfId="13845"/>
    <cellStyle name="Note 2 2 4 45 3" xfId="22838"/>
    <cellStyle name="Note 2 2 4 45 4" xfId="31025"/>
    <cellStyle name="Note 2 2 4 45 5" xfId="28206"/>
    <cellStyle name="Note 2 2 4 45 6" xfId="44690"/>
    <cellStyle name="Note 2 2 4 45 7" xfId="49659"/>
    <cellStyle name="Note 2 2 4 46" xfId="6208"/>
    <cellStyle name="Note 2 2 4 46 2" xfId="13925"/>
    <cellStyle name="Note 2 2 4 46 3" xfId="22918"/>
    <cellStyle name="Note 2 2 4 46 4" xfId="31105"/>
    <cellStyle name="Note 2 2 4 46 5" xfId="27652"/>
    <cellStyle name="Note 2 2 4 46 6" xfId="44770"/>
    <cellStyle name="Note 2 2 4 46 7" xfId="48403"/>
    <cellStyle name="Note 2 2 4 47" xfId="6325"/>
    <cellStyle name="Note 2 2 4 47 2" xfId="14042"/>
    <cellStyle name="Note 2 2 4 47 3" xfId="23035"/>
    <cellStyle name="Note 2 2 4 47 4" xfId="31222"/>
    <cellStyle name="Note 2 2 4 47 5" xfId="35691"/>
    <cellStyle name="Note 2 2 4 47 6" xfId="44887"/>
    <cellStyle name="Note 2 2 4 47 7" xfId="51355"/>
    <cellStyle name="Note 2 2 4 48" xfId="6435"/>
    <cellStyle name="Note 2 2 4 48 2" xfId="14152"/>
    <cellStyle name="Note 2 2 4 48 3" xfId="23145"/>
    <cellStyle name="Note 2 2 4 48 4" xfId="31332"/>
    <cellStyle name="Note 2 2 4 48 5" xfId="35913"/>
    <cellStyle name="Note 2 2 4 48 6" xfId="44997"/>
    <cellStyle name="Note 2 2 4 48 7" xfId="52771"/>
    <cellStyle name="Note 2 2 4 49" xfId="5209"/>
    <cellStyle name="Note 2 2 4 49 2" xfId="12926"/>
    <cellStyle name="Note 2 2 4 49 3" xfId="21919"/>
    <cellStyle name="Note 2 2 4 49 4" xfId="30106"/>
    <cellStyle name="Note 2 2 4 49 5" xfId="27843"/>
    <cellStyle name="Note 2 2 4 49 6" xfId="43771"/>
    <cellStyle name="Note 2 2 4 49 7" xfId="47240"/>
    <cellStyle name="Note 2 2 4 5" xfId="1324"/>
    <cellStyle name="Note 2 2 4 5 2" xfId="9147"/>
    <cellStyle name="Note 2 2 4 5 3" xfId="16575"/>
    <cellStyle name="Note 2 2 4 5 4" xfId="25364"/>
    <cellStyle name="Note 2 2 4 5 5" xfId="33804"/>
    <cellStyle name="Note 2 2 4 5 6" xfId="39537"/>
    <cellStyle name="Note 2 2 4 5 7" xfId="51569"/>
    <cellStyle name="Note 2 2 4 50" xfId="6582"/>
    <cellStyle name="Note 2 2 4 50 2" xfId="14299"/>
    <cellStyle name="Note 2 2 4 50 3" xfId="23292"/>
    <cellStyle name="Note 2 2 4 50 4" xfId="31479"/>
    <cellStyle name="Note 2 2 4 50 5" xfId="28514"/>
    <cellStyle name="Note 2 2 4 50 6" xfId="45144"/>
    <cellStyle name="Note 2 2 4 50 7" xfId="51799"/>
    <cellStyle name="Note 2 2 4 51" xfId="6693"/>
    <cellStyle name="Note 2 2 4 51 2" xfId="14410"/>
    <cellStyle name="Note 2 2 4 51 3" xfId="23403"/>
    <cellStyle name="Note 2 2 4 51 4" xfId="31590"/>
    <cellStyle name="Note 2 2 4 51 5" xfId="34217"/>
    <cellStyle name="Note 2 2 4 51 6" xfId="45255"/>
    <cellStyle name="Note 2 2 4 51 7" xfId="47322"/>
    <cellStyle name="Note 2 2 4 52" xfId="6808"/>
    <cellStyle name="Note 2 2 4 52 2" xfId="14525"/>
    <cellStyle name="Note 2 2 4 52 3" xfId="23518"/>
    <cellStyle name="Note 2 2 4 52 4" xfId="31705"/>
    <cellStyle name="Note 2 2 4 52 5" xfId="35580"/>
    <cellStyle name="Note 2 2 4 52 6" xfId="45370"/>
    <cellStyle name="Note 2 2 4 52 7" xfId="51095"/>
    <cellStyle name="Note 2 2 4 53" xfId="6921"/>
    <cellStyle name="Note 2 2 4 53 2" xfId="14638"/>
    <cellStyle name="Note 2 2 4 53 3" xfId="23631"/>
    <cellStyle name="Note 2 2 4 53 4" xfId="31818"/>
    <cellStyle name="Note 2 2 4 53 5" xfId="34897"/>
    <cellStyle name="Note 2 2 4 53 6" xfId="45483"/>
    <cellStyle name="Note 2 2 4 53 7" xfId="46816"/>
    <cellStyle name="Note 2 2 4 54" xfId="7033"/>
    <cellStyle name="Note 2 2 4 54 2" xfId="14750"/>
    <cellStyle name="Note 2 2 4 54 3" xfId="23743"/>
    <cellStyle name="Note 2 2 4 54 4" xfId="31930"/>
    <cellStyle name="Note 2 2 4 54 5" xfId="27680"/>
    <cellStyle name="Note 2 2 4 54 6" xfId="45595"/>
    <cellStyle name="Note 2 2 4 54 7" xfId="54540"/>
    <cellStyle name="Note 2 2 4 55" xfId="7248"/>
    <cellStyle name="Note 2 2 4 55 2" xfId="14965"/>
    <cellStyle name="Note 2 2 4 55 3" xfId="23958"/>
    <cellStyle name="Note 2 2 4 55 4" xfId="32145"/>
    <cellStyle name="Note 2 2 4 55 5" xfId="36176"/>
    <cellStyle name="Note 2 2 4 55 6" xfId="45810"/>
    <cellStyle name="Note 2 2 4 55 7" xfId="48463"/>
    <cellStyle name="Note 2 2 4 56" xfId="7399"/>
    <cellStyle name="Note 2 2 4 56 2" xfId="15116"/>
    <cellStyle name="Note 2 2 4 56 3" xfId="24109"/>
    <cellStyle name="Note 2 2 4 56 4" xfId="32296"/>
    <cellStyle name="Note 2 2 4 56 5" xfId="36164"/>
    <cellStyle name="Note 2 2 4 56 6" xfId="45961"/>
    <cellStyle name="Note 2 2 4 56 7" xfId="53462"/>
    <cellStyle name="Note 2 2 4 57" xfId="7430"/>
    <cellStyle name="Note 2 2 4 57 2" xfId="15147"/>
    <cellStyle name="Note 2 2 4 57 3" xfId="24140"/>
    <cellStyle name="Note 2 2 4 57 4" xfId="32327"/>
    <cellStyle name="Note 2 2 4 57 5" xfId="34856"/>
    <cellStyle name="Note 2 2 4 57 6" xfId="45992"/>
    <cellStyle name="Note 2 2 4 57 7" xfId="50274"/>
    <cellStyle name="Note 2 2 4 58" xfId="7551"/>
    <cellStyle name="Note 2 2 4 58 2" xfId="15268"/>
    <cellStyle name="Note 2 2 4 58 3" xfId="24261"/>
    <cellStyle name="Note 2 2 4 58 4" xfId="32448"/>
    <cellStyle name="Note 2 2 4 58 5" xfId="35889"/>
    <cellStyle name="Note 2 2 4 58 6" xfId="46113"/>
    <cellStyle name="Note 2 2 4 58 7" xfId="52315"/>
    <cellStyle name="Note 2 2 4 59" xfId="7827"/>
    <cellStyle name="Note 2 2 4 59 2" xfId="15544"/>
    <cellStyle name="Note 2 2 4 59 3" xfId="24531"/>
    <cellStyle name="Note 2 2 4 59 4" xfId="32724"/>
    <cellStyle name="Note 2 2 4 59 5" xfId="36119"/>
    <cellStyle name="Note 2 2 4 59 6" xfId="46389"/>
    <cellStyle name="Note 2 2 4 59 7" xfId="53395"/>
    <cellStyle name="Note 2 2 4 6" xfId="1447"/>
    <cellStyle name="Note 2 2 4 6 2" xfId="9270"/>
    <cellStyle name="Note 2 2 4 6 3" xfId="16698"/>
    <cellStyle name="Note 2 2 4 6 4" xfId="25210"/>
    <cellStyle name="Note 2 2 4 6 5" xfId="33602"/>
    <cellStyle name="Note 2 2 4 6 6" xfId="39115"/>
    <cellStyle name="Note 2 2 4 6 7" xfId="51235"/>
    <cellStyle name="Note 2 2 4 60" xfId="7678"/>
    <cellStyle name="Note 2 2 4 60 2" xfId="15395"/>
    <cellStyle name="Note 2 2 4 60 3" xfId="24386"/>
    <cellStyle name="Note 2 2 4 60 4" xfId="32575"/>
    <cellStyle name="Note 2 2 4 60 5" xfId="27253"/>
    <cellStyle name="Note 2 2 4 60 6" xfId="46240"/>
    <cellStyle name="Note 2 2 4 60 7" xfId="54025"/>
    <cellStyle name="Note 2 2 4 61" xfId="7777"/>
    <cellStyle name="Note 2 2 4 61 2" xfId="15494"/>
    <cellStyle name="Note 2 2 4 61 3" xfId="24483"/>
    <cellStyle name="Note 2 2 4 61 4" xfId="32674"/>
    <cellStyle name="Note 2 2 4 61 5" xfId="35573"/>
    <cellStyle name="Note 2 2 4 61 6" xfId="46339"/>
    <cellStyle name="Note 2 2 4 61 7" xfId="50358"/>
    <cellStyle name="Note 2 2 4 62" xfId="8061"/>
    <cellStyle name="Note 2 2 4 62 2" xfId="15778"/>
    <cellStyle name="Note 2 2 4 62 3" xfId="24763"/>
    <cellStyle name="Note 2 2 4 62 4" xfId="32958"/>
    <cellStyle name="Note 2 2 4 62 5" xfId="34021"/>
    <cellStyle name="Note 2 2 4 62 6" xfId="46623"/>
    <cellStyle name="Note 2 2 4 62 7" xfId="47471"/>
    <cellStyle name="Note 2 2 4 63" xfId="8103"/>
    <cellStyle name="Note 2 2 4 63 2" xfId="15820"/>
    <cellStyle name="Note 2 2 4 63 3" xfId="33000"/>
    <cellStyle name="Note 2 2 4 63 4" xfId="33882"/>
    <cellStyle name="Note 2 2 4 63 5" xfId="46665"/>
    <cellStyle name="Note 2 2 4 63 6" xfId="53822"/>
    <cellStyle name="Note 2 2 4 64" xfId="26105"/>
    <cellStyle name="Note 2 2 4 65" xfId="34760"/>
    <cellStyle name="Note 2 2 4 66" xfId="37736"/>
    <cellStyle name="Note 2 2 4 67" xfId="53220"/>
    <cellStyle name="Note 2 2 4 7" xfId="1205"/>
    <cellStyle name="Note 2 2 4 7 2" xfId="9028"/>
    <cellStyle name="Note 2 2 4 7 3" xfId="16456"/>
    <cellStyle name="Note 2 2 4 7 4" xfId="25198"/>
    <cellStyle name="Note 2 2 4 7 5" xfId="33582"/>
    <cellStyle name="Note 2 2 4 7 6" xfId="36791"/>
    <cellStyle name="Note 2 2 4 7 7" xfId="51209"/>
    <cellStyle name="Note 2 2 4 8" xfId="1684"/>
    <cellStyle name="Note 2 2 4 8 2" xfId="9507"/>
    <cellStyle name="Note 2 2 4 8 3" xfId="16935"/>
    <cellStyle name="Note 2 2 4 8 4" xfId="20154"/>
    <cellStyle name="Note 2 2 4 8 5" xfId="27977"/>
    <cellStyle name="Note 2 2 4 8 6" xfId="36425"/>
    <cellStyle name="Note 2 2 4 8 7" xfId="48628"/>
    <cellStyle name="Note 2 2 4 9" xfId="1818"/>
    <cellStyle name="Note 2 2 4 9 2" xfId="9641"/>
    <cellStyle name="Note 2 2 4 9 3" xfId="17069"/>
    <cellStyle name="Note 2 2 4 9 4" xfId="19171"/>
    <cellStyle name="Note 2 2 4 9 5" xfId="27527"/>
    <cellStyle name="Note 2 2 4 9 6" xfId="39073"/>
    <cellStyle name="Note 2 2 4 9 7" xfId="49222"/>
    <cellStyle name="Note 2 2 5" xfId="578"/>
    <cellStyle name="Note 2 2 5 10" xfId="2025"/>
    <cellStyle name="Note 2 2 5 10 2" xfId="9848"/>
    <cellStyle name="Note 2 2 5 10 3" xfId="17276"/>
    <cellStyle name="Note 2 2 5 10 4" xfId="20427"/>
    <cellStyle name="Note 2 2 5 10 5" xfId="26806"/>
    <cellStyle name="Note 2 2 5 10 6" xfId="40363"/>
    <cellStyle name="Note 2 2 5 10 7" xfId="49712"/>
    <cellStyle name="Note 2 2 5 11" xfId="2141"/>
    <cellStyle name="Note 2 2 5 11 2" xfId="9964"/>
    <cellStyle name="Note 2 2 5 11 3" xfId="17392"/>
    <cellStyle name="Note 2 2 5 11 4" xfId="20546"/>
    <cellStyle name="Note 2 2 5 11 5" xfId="27409"/>
    <cellStyle name="Note 2 2 5 11 6" xfId="38527"/>
    <cellStyle name="Note 2 2 5 11 7" xfId="47502"/>
    <cellStyle name="Note 2 2 5 12" xfId="2255"/>
    <cellStyle name="Note 2 2 5 12 2" xfId="10078"/>
    <cellStyle name="Note 2 2 5 12 3" xfId="17506"/>
    <cellStyle name="Note 2 2 5 12 4" xfId="19972"/>
    <cellStyle name="Note 2 2 5 12 5" xfId="27488"/>
    <cellStyle name="Note 2 2 5 12 6" xfId="39043"/>
    <cellStyle name="Note 2 2 5 12 7" xfId="47967"/>
    <cellStyle name="Note 2 2 5 13" xfId="1654"/>
    <cellStyle name="Note 2 2 5 13 2" xfId="9477"/>
    <cellStyle name="Note 2 2 5 13 3" xfId="16905"/>
    <cellStyle name="Note 2 2 5 13 4" xfId="25546"/>
    <cellStyle name="Note 2 2 5 13 5" xfId="34037"/>
    <cellStyle name="Note 2 2 5 13 6" xfId="40569"/>
    <cellStyle name="Note 2 2 5 13 7" xfId="51971"/>
    <cellStyle name="Note 2 2 5 14" xfId="1623"/>
    <cellStyle name="Note 2 2 5 14 2" xfId="9446"/>
    <cellStyle name="Note 2 2 5 14 3" xfId="16874"/>
    <cellStyle name="Note 2 2 5 14 4" xfId="25470"/>
    <cellStyle name="Note 2 2 5 14 5" xfId="33939"/>
    <cellStyle name="Note 2 2 5 14 6" xfId="37779"/>
    <cellStyle name="Note 2 2 5 14 7" xfId="51807"/>
    <cellStyle name="Note 2 2 5 15" xfId="2553"/>
    <cellStyle name="Note 2 2 5 15 2" xfId="10376"/>
    <cellStyle name="Note 2 2 5 15 3" xfId="17804"/>
    <cellStyle name="Note 2 2 5 15 4" xfId="26466"/>
    <cellStyle name="Note 2 2 5 15 5" xfId="35245"/>
    <cellStyle name="Note 2 2 5 15 6" xfId="39991"/>
    <cellStyle name="Note 2 2 5 15 7" xfId="53997"/>
    <cellStyle name="Note 2 2 5 16" xfId="2667"/>
    <cellStyle name="Note 2 2 5 16 2" xfId="10490"/>
    <cellStyle name="Note 2 2 5 16 3" xfId="17918"/>
    <cellStyle name="Note 2 2 5 16 4" xfId="19148"/>
    <cellStyle name="Note 2 2 5 16 5" xfId="28842"/>
    <cellStyle name="Note 2 2 5 16 6" xfId="39400"/>
    <cellStyle name="Note 2 2 5 16 7" xfId="49277"/>
    <cellStyle name="Note 2 2 5 17" xfId="1660"/>
    <cellStyle name="Note 2 2 5 17 2" xfId="9483"/>
    <cellStyle name="Note 2 2 5 17 3" xfId="16911"/>
    <cellStyle name="Note 2 2 5 17 4" xfId="25136"/>
    <cellStyle name="Note 2 2 5 17 5" xfId="33509"/>
    <cellStyle name="Note 2 2 5 17 6" xfId="39971"/>
    <cellStyle name="Note 2 2 5 17 7" xfId="51082"/>
    <cellStyle name="Note 2 2 5 18" xfId="1042"/>
    <cellStyle name="Note 2 2 5 18 2" xfId="8866"/>
    <cellStyle name="Note 2 2 5 18 3" xfId="16294"/>
    <cellStyle name="Note 2 2 5 18 4" xfId="26244"/>
    <cellStyle name="Note 2 2 5 18 5" xfId="34936"/>
    <cellStyle name="Note 2 2 5 18 6" xfId="36851"/>
    <cellStyle name="Note 2 2 5 18 7" xfId="53523"/>
    <cellStyle name="Note 2 2 5 19" xfId="2857"/>
    <cellStyle name="Note 2 2 5 19 2" xfId="10680"/>
    <cellStyle name="Note 2 2 5 19 3" xfId="18108"/>
    <cellStyle name="Note 2 2 5 19 4" xfId="19598"/>
    <cellStyle name="Note 2 2 5 19 5" xfId="27142"/>
    <cellStyle name="Note 2 2 5 19 6" xfId="38050"/>
    <cellStyle name="Note 2 2 5 19 7" xfId="48032"/>
    <cellStyle name="Note 2 2 5 2" xfId="725"/>
    <cellStyle name="Note 2 2 5 2 2" xfId="8549"/>
    <cellStyle name="Note 2 2 5 2 3" xfId="15977"/>
    <cellStyle name="Note 2 2 5 2 4" xfId="25066"/>
    <cellStyle name="Note 2 2 5 2 5" xfId="33427"/>
    <cellStyle name="Note 2 2 5 2 6" xfId="37928"/>
    <cellStyle name="Note 2 2 5 2 7" xfId="50943"/>
    <cellStyle name="Note 2 2 5 20" xfId="2964"/>
    <cellStyle name="Note 2 2 5 20 2" xfId="10787"/>
    <cellStyle name="Note 2 2 5 20 3" xfId="18215"/>
    <cellStyle name="Note 2 2 5 20 4" xfId="19235"/>
    <cellStyle name="Note 2 2 5 20 5" xfId="27380"/>
    <cellStyle name="Note 2 2 5 20 6" xfId="38021"/>
    <cellStyle name="Note 2 2 5 20 7" xfId="49453"/>
    <cellStyle name="Note 2 2 5 21" xfId="3342"/>
    <cellStyle name="Note 2 2 5 21 2" xfId="11135"/>
    <cellStyle name="Note 2 2 5 21 3" xfId="18462"/>
    <cellStyle name="Note 2 2 5 21 4" xfId="19474"/>
    <cellStyle name="Note 2 2 5 21 5" xfId="27922"/>
    <cellStyle name="Note 2 2 5 21 6" xfId="38023"/>
    <cellStyle name="Note 2 2 5 21 7" xfId="47364"/>
    <cellStyle name="Note 2 2 5 22" xfId="3461"/>
    <cellStyle name="Note 2 2 5 22 2" xfId="11252"/>
    <cellStyle name="Note 2 2 5 22 3" xfId="18573"/>
    <cellStyle name="Note 2 2 5 22 4" xfId="25264"/>
    <cellStyle name="Note 2 2 5 22 5" xfId="33671"/>
    <cellStyle name="Note 2 2 5 22 6" xfId="38180"/>
    <cellStyle name="Note 2 2 5 22 7" xfId="51349"/>
    <cellStyle name="Note 2 2 5 23" xfId="3582"/>
    <cellStyle name="Note 2 2 5 23 2" xfId="11371"/>
    <cellStyle name="Note 2 2 5 23 3" xfId="18647"/>
    <cellStyle name="Note 2 2 5 23 4" xfId="26428"/>
    <cellStyle name="Note 2 2 5 23 5" xfId="35194"/>
    <cellStyle name="Note 2 2 5 23 6" xfId="41090"/>
    <cellStyle name="Note 2 2 5 23 7" xfId="53916"/>
    <cellStyle name="Note 2 2 5 24" xfId="3620"/>
    <cellStyle name="Note 2 2 5 24 2" xfId="11406"/>
    <cellStyle name="Note 2 2 5 24 3" xfId="18680"/>
    <cellStyle name="Note 2 2 5 24 4" xfId="19908"/>
    <cellStyle name="Note 2 2 5 24 5" xfId="28546"/>
    <cellStyle name="Note 2 2 5 24 6" xfId="37524"/>
    <cellStyle name="Note 2 2 5 24 7" xfId="50113"/>
    <cellStyle name="Note 2 2 5 25" xfId="3734"/>
    <cellStyle name="Note 2 2 5 25 2" xfId="11519"/>
    <cellStyle name="Note 2 2 5 25 3" xfId="18790"/>
    <cellStyle name="Note 2 2 5 25 4" xfId="19905"/>
    <cellStyle name="Note 2 2 5 25 5" xfId="27252"/>
    <cellStyle name="Note 2 2 5 25 6" xfId="41464"/>
    <cellStyle name="Note 2 2 5 25 7" xfId="48489"/>
    <cellStyle name="Note 2 2 5 26" xfId="3863"/>
    <cellStyle name="Note 2 2 5 26 2" xfId="11645"/>
    <cellStyle name="Note 2 2 5 26 3" xfId="18900"/>
    <cellStyle name="Note 2 2 5 26 4" xfId="26338"/>
    <cellStyle name="Note 2 2 5 26 5" xfId="35064"/>
    <cellStyle name="Note 2 2 5 26 6" xfId="39609"/>
    <cellStyle name="Note 2 2 5 26 7" xfId="53715"/>
    <cellStyle name="Note 2 2 5 27" xfId="3981"/>
    <cellStyle name="Note 2 2 5 27 2" xfId="11760"/>
    <cellStyle name="Note 2 2 5 27 3" xfId="19009"/>
    <cellStyle name="Note 2 2 5 27 4" xfId="25565"/>
    <cellStyle name="Note 2 2 5 27 5" xfId="34063"/>
    <cellStyle name="Note 2 2 5 27 6" xfId="36461"/>
    <cellStyle name="Note 2 2 5 27 7" xfId="52011"/>
    <cellStyle name="Note 2 2 5 28" xfId="3759"/>
    <cellStyle name="Note 2 2 5 28 2" xfId="11543"/>
    <cellStyle name="Note 2 2 5 28 3" xfId="20609"/>
    <cellStyle name="Note 2 2 5 28 4" xfId="28759"/>
    <cellStyle name="Note 2 2 5 28 5" xfId="35785"/>
    <cellStyle name="Note 2 2 5 28 6" xfId="42535"/>
    <cellStyle name="Note 2 2 5 28 7" xfId="52398"/>
    <cellStyle name="Note 2 2 5 29" xfId="4177"/>
    <cellStyle name="Note 2 2 5 29 2" xfId="11936"/>
    <cellStyle name="Note 2 2 5 29 3" xfId="20887"/>
    <cellStyle name="Note 2 2 5 29 4" xfId="29074"/>
    <cellStyle name="Note 2 2 5 29 5" xfId="35034"/>
    <cellStyle name="Note 2 2 5 29 6" xfId="42739"/>
    <cellStyle name="Note 2 2 5 29 7" xfId="48202"/>
    <cellStyle name="Note 2 2 5 3" xfId="834"/>
    <cellStyle name="Note 2 2 5 3 2" xfId="8658"/>
    <cellStyle name="Note 2 2 5 3 3" xfId="16086"/>
    <cellStyle name="Note 2 2 5 3 4" xfId="25850"/>
    <cellStyle name="Note 2 2 5 3 5" xfId="34437"/>
    <cellStyle name="Note 2 2 5 3 6" xfId="36715"/>
    <cellStyle name="Note 2 2 5 3 7" xfId="52669"/>
    <cellStyle name="Note 2 2 5 30" xfId="4233"/>
    <cellStyle name="Note 2 2 5 30 2" xfId="20943"/>
    <cellStyle name="Note 2 2 5 30 3" xfId="29130"/>
    <cellStyle name="Note 2 2 5 30 4" xfId="33738"/>
    <cellStyle name="Note 2 2 5 30 5" xfId="42795"/>
    <cellStyle name="Note 2 2 5 30 6" xfId="49832"/>
    <cellStyle name="Note 2 2 5 31" xfId="4376"/>
    <cellStyle name="Note 2 2 5 31 2" xfId="12093"/>
    <cellStyle name="Note 2 2 5 31 3" xfId="21086"/>
    <cellStyle name="Note 2 2 5 31 4" xfId="29273"/>
    <cellStyle name="Note 2 2 5 31 5" xfId="28101"/>
    <cellStyle name="Note 2 2 5 31 6" xfId="42938"/>
    <cellStyle name="Note 2 2 5 31 7" xfId="51322"/>
    <cellStyle name="Note 2 2 5 32" xfId="4497"/>
    <cellStyle name="Note 2 2 5 32 2" xfId="12214"/>
    <cellStyle name="Note 2 2 5 32 3" xfId="21207"/>
    <cellStyle name="Note 2 2 5 32 4" xfId="29394"/>
    <cellStyle name="Note 2 2 5 32 5" xfId="34068"/>
    <cellStyle name="Note 2 2 5 32 6" xfId="43059"/>
    <cellStyle name="Note 2 2 5 32 7" xfId="47606"/>
    <cellStyle name="Note 2 2 5 33" xfId="4611"/>
    <cellStyle name="Note 2 2 5 33 2" xfId="12328"/>
    <cellStyle name="Note 2 2 5 33 3" xfId="21321"/>
    <cellStyle name="Note 2 2 5 33 4" xfId="29508"/>
    <cellStyle name="Note 2 2 5 33 5" xfId="27227"/>
    <cellStyle name="Note 2 2 5 33 6" xfId="43173"/>
    <cellStyle name="Note 2 2 5 33 7" xfId="48605"/>
    <cellStyle name="Note 2 2 5 34" xfId="4724"/>
    <cellStyle name="Note 2 2 5 34 2" xfId="12441"/>
    <cellStyle name="Note 2 2 5 34 3" xfId="21434"/>
    <cellStyle name="Note 2 2 5 34 4" xfId="29621"/>
    <cellStyle name="Note 2 2 5 34 5" xfId="35728"/>
    <cellStyle name="Note 2 2 5 34 6" xfId="43286"/>
    <cellStyle name="Note 2 2 5 34 7" xfId="52121"/>
    <cellStyle name="Note 2 2 5 35" xfId="4834"/>
    <cellStyle name="Note 2 2 5 35 2" xfId="12551"/>
    <cellStyle name="Note 2 2 5 35 3" xfId="21544"/>
    <cellStyle name="Note 2 2 5 35 4" xfId="29731"/>
    <cellStyle name="Note 2 2 5 35 5" xfId="35565"/>
    <cellStyle name="Note 2 2 5 35 6" xfId="43396"/>
    <cellStyle name="Note 2 2 5 35 7" xfId="49761"/>
    <cellStyle name="Note 2 2 5 36" xfId="4944"/>
    <cellStyle name="Note 2 2 5 36 2" xfId="12661"/>
    <cellStyle name="Note 2 2 5 36 3" xfId="21654"/>
    <cellStyle name="Note 2 2 5 36 4" xfId="29841"/>
    <cellStyle name="Note 2 2 5 36 5" xfId="35995"/>
    <cellStyle name="Note 2 2 5 36 6" xfId="43506"/>
    <cellStyle name="Note 2 2 5 36 7" xfId="53392"/>
    <cellStyle name="Note 2 2 5 37" xfId="5054"/>
    <cellStyle name="Note 2 2 5 37 2" xfId="12771"/>
    <cellStyle name="Note 2 2 5 37 3" xfId="21764"/>
    <cellStyle name="Note 2 2 5 37 4" xfId="29951"/>
    <cellStyle name="Note 2 2 5 37 5" xfId="28532"/>
    <cellStyle name="Note 2 2 5 37 6" xfId="43616"/>
    <cellStyle name="Note 2 2 5 37 7" xfId="48599"/>
    <cellStyle name="Note 2 2 5 38" xfId="5434"/>
    <cellStyle name="Note 2 2 5 38 2" xfId="13151"/>
    <cellStyle name="Note 2 2 5 38 3" xfId="22144"/>
    <cellStyle name="Note 2 2 5 38 4" xfId="30331"/>
    <cellStyle name="Note 2 2 5 38 5" xfId="27797"/>
    <cellStyle name="Note 2 2 5 38 6" xfId="43996"/>
    <cellStyle name="Note 2 2 5 38 7" xfId="49330"/>
    <cellStyle name="Note 2 2 5 39" xfId="5554"/>
    <cellStyle name="Note 2 2 5 39 2" xfId="13271"/>
    <cellStyle name="Note 2 2 5 39 3" xfId="22264"/>
    <cellStyle name="Note 2 2 5 39 4" xfId="30451"/>
    <cellStyle name="Note 2 2 5 39 5" xfId="28846"/>
    <cellStyle name="Note 2 2 5 39 6" xfId="44116"/>
    <cellStyle name="Note 2 2 5 39 7" xfId="47174"/>
    <cellStyle name="Note 2 2 5 4" xfId="944"/>
    <cellStyle name="Note 2 2 5 4 2" xfId="8768"/>
    <cellStyle name="Note 2 2 5 4 3" xfId="16196"/>
    <cellStyle name="Note 2 2 5 4 4" xfId="19081"/>
    <cellStyle name="Note 2 2 5 4 5" xfId="27908"/>
    <cellStyle name="Note 2 2 5 4 6" xfId="36413"/>
    <cellStyle name="Note 2 2 5 4 7" xfId="49288"/>
    <cellStyle name="Note 2 2 5 40" xfId="5679"/>
    <cellStyle name="Note 2 2 5 40 2" xfId="13396"/>
    <cellStyle name="Note 2 2 5 40 3" xfId="22389"/>
    <cellStyle name="Note 2 2 5 40 4" xfId="30576"/>
    <cellStyle name="Note 2 2 5 40 5" xfId="35318"/>
    <cellStyle name="Note 2 2 5 40 6" xfId="44241"/>
    <cellStyle name="Note 2 2 5 40 7" xfId="46828"/>
    <cellStyle name="Note 2 2 5 41" xfId="5794"/>
    <cellStyle name="Note 2 2 5 41 2" xfId="13511"/>
    <cellStyle name="Note 2 2 5 41 3" xfId="22504"/>
    <cellStyle name="Note 2 2 5 41 4" xfId="30691"/>
    <cellStyle name="Note 2 2 5 41 5" xfId="36127"/>
    <cellStyle name="Note 2 2 5 41 6" xfId="44356"/>
    <cellStyle name="Note 2 2 5 41 7" xfId="53973"/>
    <cellStyle name="Note 2 2 5 42" xfId="5912"/>
    <cellStyle name="Note 2 2 5 42 2" xfId="13629"/>
    <cellStyle name="Note 2 2 5 42 3" xfId="22622"/>
    <cellStyle name="Note 2 2 5 42 4" xfId="30809"/>
    <cellStyle name="Note 2 2 5 42 5" xfId="36051"/>
    <cellStyle name="Note 2 2 5 42 6" xfId="44474"/>
    <cellStyle name="Note 2 2 5 42 7" xfId="51731"/>
    <cellStyle name="Note 2 2 5 43" xfId="6039"/>
    <cellStyle name="Note 2 2 5 43 2" xfId="13756"/>
    <cellStyle name="Note 2 2 5 43 3" xfId="22749"/>
    <cellStyle name="Note 2 2 5 43 4" xfId="30936"/>
    <cellStyle name="Note 2 2 5 43 5" xfId="27753"/>
    <cellStyle name="Note 2 2 5 43 6" xfId="44601"/>
    <cellStyle name="Note 2 2 5 43 7" xfId="50439"/>
    <cellStyle name="Note 2 2 5 44" xfId="6126"/>
    <cellStyle name="Note 2 2 5 44 2" xfId="13843"/>
    <cellStyle name="Note 2 2 5 44 3" xfId="22836"/>
    <cellStyle name="Note 2 2 5 44 4" xfId="31023"/>
    <cellStyle name="Note 2 2 5 44 5" xfId="35078"/>
    <cellStyle name="Note 2 2 5 44 6" xfId="44688"/>
    <cellStyle name="Note 2 2 5 44 7" xfId="47284"/>
    <cellStyle name="Note 2 2 5 45" xfId="6167"/>
    <cellStyle name="Note 2 2 5 45 2" xfId="13884"/>
    <cellStyle name="Note 2 2 5 45 3" xfId="22877"/>
    <cellStyle name="Note 2 2 5 45 4" xfId="31064"/>
    <cellStyle name="Note 2 2 5 45 5" xfId="35719"/>
    <cellStyle name="Note 2 2 5 45 6" xfId="44729"/>
    <cellStyle name="Note 2 2 5 45 7" xfId="51470"/>
    <cellStyle name="Note 2 2 5 46" xfId="6295"/>
    <cellStyle name="Note 2 2 5 46 2" xfId="14012"/>
    <cellStyle name="Note 2 2 5 46 3" xfId="23005"/>
    <cellStyle name="Note 2 2 5 46 4" xfId="31192"/>
    <cellStyle name="Note 2 2 5 46 5" xfId="35355"/>
    <cellStyle name="Note 2 2 5 46 6" xfId="44857"/>
    <cellStyle name="Note 2 2 5 46 7" xfId="48003"/>
    <cellStyle name="Note 2 2 5 47" xfId="6410"/>
    <cellStyle name="Note 2 2 5 47 2" xfId="14127"/>
    <cellStyle name="Note 2 2 5 47 3" xfId="23120"/>
    <cellStyle name="Note 2 2 5 47 4" xfId="31307"/>
    <cellStyle name="Note 2 2 5 47 5" xfId="26942"/>
    <cellStyle name="Note 2 2 5 47 6" xfId="44972"/>
    <cellStyle name="Note 2 2 5 47 7" xfId="48787"/>
    <cellStyle name="Note 2 2 5 48" xfId="6522"/>
    <cellStyle name="Note 2 2 5 48 2" xfId="14239"/>
    <cellStyle name="Note 2 2 5 48 3" xfId="23232"/>
    <cellStyle name="Note 2 2 5 48 4" xfId="31419"/>
    <cellStyle name="Note 2 2 5 48 5" xfId="35639"/>
    <cellStyle name="Note 2 2 5 48 6" xfId="45084"/>
    <cellStyle name="Note 2 2 5 48 7" xfId="51930"/>
    <cellStyle name="Note 2 2 5 49" xfId="5174"/>
    <cellStyle name="Note 2 2 5 49 2" xfId="12891"/>
    <cellStyle name="Note 2 2 5 49 3" xfId="21884"/>
    <cellStyle name="Note 2 2 5 49 4" xfId="30071"/>
    <cellStyle name="Note 2 2 5 49 5" xfId="35739"/>
    <cellStyle name="Note 2 2 5 49 6" xfId="43736"/>
    <cellStyle name="Note 2 2 5 49 7" xfId="52176"/>
    <cellStyle name="Note 2 2 5 5" xfId="1412"/>
    <cellStyle name="Note 2 2 5 5 2" xfId="9235"/>
    <cellStyle name="Note 2 2 5 5 3" xfId="16663"/>
    <cellStyle name="Note 2 2 5 5 4" xfId="20160"/>
    <cellStyle name="Note 2 2 5 5 5" xfId="27692"/>
    <cellStyle name="Note 2 2 5 5 6" xfId="40294"/>
    <cellStyle name="Note 2 2 5 5 7" xfId="48656"/>
    <cellStyle name="Note 2 2 5 50" xfId="6669"/>
    <cellStyle name="Note 2 2 5 50 2" xfId="14386"/>
    <cellStyle name="Note 2 2 5 50 3" xfId="23379"/>
    <cellStyle name="Note 2 2 5 50 4" xfId="31566"/>
    <cellStyle name="Note 2 2 5 50 5" xfId="26742"/>
    <cellStyle name="Note 2 2 5 50 6" xfId="45231"/>
    <cellStyle name="Note 2 2 5 50 7" xfId="51034"/>
    <cellStyle name="Note 2 2 5 51" xfId="6780"/>
    <cellStyle name="Note 2 2 5 51 2" xfId="14497"/>
    <cellStyle name="Note 2 2 5 51 3" xfId="23490"/>
    <cellStyle name="Note 2 2 5 51 4" xfId="31677"/>
    <cellStyle name="Note 2 2 5 51 5" xfId="36214"/>
    <cellStyle name="Note 2 2 5 51 6" xfId="45342"/>
    <cellStyle name="Note 2 2 5 51 7" xfId="54277"/>
    <cellStyle name="Note 2 2 5 52" xfId="6895"/>
    <cellStyle name="Note 2 2 5 52 2" xfId="14612"/>
    <cellStyle name="Note 2 2 5 52 3" xfId="23605"/>
    <cellStyle name="Note 2 2 5 52 4" xfId="31792"/>
    <cellStyle name="Note 2 2 5 52 5" xfId="33606"/>
    <cellStyle name="Note 2 2 5 52 6" xfId="45457"/>
    <cellStyle name="Note 2 2 5 52 7" xfId="46823"/>
    <cellStyle name="Note 2 2 5 53" xfId="7008"/>
    <cellStyle name="Note 2 2 5 53 2" xfId="14725"/>
    <cellStyle name="Note 2 2 5 53 3" xfId="23718"/>
    <cellStyle name="Note 2 2 5 53 4" xfId="31905"/>
    <cellStyle name="Note 2 2 5 53 5" xfId="36237"/>
    <cellStyle name="Note 2 2 5 53 6" xfId="45570"/>
    <cellStyle name="Note 2 2 5 53 7" xfId="47001"/>
    <cellStyle name="Note 2 2 5 54" xfId="7118"/>
    <cellStyle name="Note 2 2 5 54 2" xfId="14835"/>
    <cellStyle name="Note 2 2 5 54 3" xfId="23828"/>
    <cellStyle name="Note 2 2 5 54 4" xfId="32015"/>
    <cellStyle name="Note 2 2 5 54 5" xfId="36169"/>
    <cellStyle name="Note 2 2 5 54 6" xfId="45680"/>
    <cellStyle name="Note 2 2 5 54 7" xfId="53490"/>
    <cellStyle name="Note 2 2 5 55" xfId="7160"/>
    <cellStyle name="Note 2 2 5 55 2" xfId="14877"/>
    <cellStyle name="Note 2 2 5 55 3" xfId="23870"/>
    <cellStyle name="Note 2 2 5 55 4" xfId="32057"/>
    <cellStyle name="Note 2 2 5 55 5" xfId="27733"/>
    <cellStyle name="Note 2 2 5 55 6" xfId="45722"/>
    <cellStyle name="Note 2 2 5 55 7" xfId="47881"/>
    <cellStyle name="Note 2 2 5 56" xfId="7135"/>
    <cellStyle name="Note 2 2 5 56 2" xfId="14852"/>
    <cellStyle name="Note 2 2 5 56 3" xfId="23845"/>
    <cellStyle name="Note 2 2 5 56 4" xfId="32032"/>
    <cellStyle name="Note 2 2 5 56 5" xfId="35774"/>
    <cellStyle name="Note 2 2 5 56 6" xfId="45697"/>
    <cellStyle name="Note 2 2 5 56 7" xfId="51910"/>
    <cellStyle name="Note 2 2 5 57" xfId="7515"/>
    <cellStyle name="Note 2 2 5 57 2" xfId="15232"/>
    <cellStyle name="Note 2 2 5 57 3" xfId="24225"/>
    <cellStyle name="Note 2 2 5 57 4" xfId="32412"/>
    <cellStyle name="Note 2 2 5 57 5" xfId="26879"/>
    <cellStyle name="Note 2 2 5 57 6" xfId="46077"/>
    <cellStyle name="Note 2 2 5 57 7" xfId="48669"/>
    <cellStyle name="Note 2 2 5 58" xfId="7636"/>
    <cellStyle name="Note 2 2 5 58 2" xfId="15353"/>
    <cellStyle name="Note 2 2 5 58 3" xfId="24346"/>
    <cellStyle name="Note 2 2 5 58 4" xfId="32533"/>
    <cellStyle name="Note 2 2 5 58 5" xfId="35906"/>
    <cellStyle name="Note 2 2 5 58 6" xfId="46198"/>
    <cellStyle name="Note 2 2 5 58 7" xfId="52436"/>
    <cellStyle name="Note 2 2 5 59" xfId="7913"/>
    <cellStyle name="Note 2 2 5 59 2" xfId="15630"/>
    <cellStyle name="Note 2 2 5 59 3" xfId="24617"/>
    <cellStyle name="Note 2 2 5 59 4" xfId="32810"/>
    <cellStyle name="Note 2 2 5 59 5" xfId="35767"/>
    <cellStyle name="Note 2 2 5 59 6" xfId="46475"/>
    <cellStyle name="Note 2 2 5 59 7" xfId="51891"/>
    <cellStyle name="Note 2 2 5 6" xfId="1535"/>
    <cellStyle name="Note 2 2 5 6 2" xfId="9358"/>
    <cellStyle name="Note 2 2 5 6 3" xfId="16786"/>
    <cellStyle name="Note 2 2 5 6 4" xfId="20581"/>
    <cellStyle name="Note 2 2 5 6 5" xfId="27083"/>
    <cellStyle name="Note 2 2 5 6 6" xfId="37946"/>
    <cellStyle name="Note 2 2 5 6 7" xfId="48623"/>
    <cellStyle name="Note 2 2 5 60" xfId="7787"/>
    <cellStyle name="Note 2 2 5 60 2" xfId="15504"/>
    <cellStyle name="Note 2 2 5 60 3" xfId="24493"/>
    <cellStyle name="Note 2 2 5 60 4" xfId="32684"/>
    <cellStyle name="Note 2 2 5 60 5" xfId="33341"/>
    <cellStyle name="Note 2 2 5 60 6" xfId="46349"/>
    <cellStyle name="Note 2 2 5 60 7" xfId="49217"/>
    <cellStyle name="Note 2 2 5 61" xfId="8041"/>
    <cellStyle name="Note 2 2 5 61 2" xfId="15758"/>
    <cellStyle name="Note 2 2 5 61 3" xfId="24743"/>
    <cellStyle name="Note 2 2 5 61 4" xfId="32938"/>
    <cellStyle name="Note 2 2 5 61 5" xfId="36000"/>
    <cellStyle name="Note 2 2 5 61 6" xfId="46603"/>
    <cellStyle name="Note 2 2 5 61 7" xfId="52989"/>
    <cellStyle name="Note 2 2 5 62" xfId="7959"/>
    <cellStyle name="Note 2 2 5 62 2" xfId="15676"/>
    <cellStyle name="Note 2 2 5 62 3" xfId="24662"/>
    <cellStyle name="Note 2 2 5 62 4" xfId="32856"/>
    <cellStyle name="Note 2 2 5 62 5" xfId="26973"/>
    <cellStyle name="Note 2 2 5 62 6" xfId="46521"/>
    <cellStyle name="Note 2 2 5 62 7" xfId="54406"/>
    <cellStyle name="Note 2 2 5 63" xfId="8188"/>
    <cellStyle name="Note 2 2 5 63 2" xfId="15905"/>
    <cellStyle name="Note 2 2 5 63 3" xfId="33085"/>
    <cellStyle name="Note 2 2 5 63 4" xfId="27747"/>
    <cellStyle name="Note 2 2 5 63 5" xfId="46750"/>
    <cellStyle name="Note 2 2 5 63 6" xfId="46866"/>
    <cellStyle name="Note 2 2 5 64" xfId="25197"/>
    <cellStyle name="Note 2 2 5 65" xfId="33581"/>
    <cellStyle name="Note 2 2 5 66" xfId="36701"/>
    <cellStyle name="Note 2 2 5 67" xfId="51208"/>
    <cellStyle name="Note 2 2 5 7" xfId="1056"/>
    <cellStyle name="Note 2 2 5 7 2" xfId="8880"/>
    <cellStyle name="Note 2 2 5 7 3" xfId="16308"/>
    <cellStyle name="Note 2 2 5 7 4" xfId="25684"/>
    <cellStyle name="Note 2 2 5 7 5" xfId="34221"/>
    <cellStyle name="Note 2 2 5 7 6" xfId="36903"/>
    <cellStyle name="Note 2 2 5 7 7" xfId="52280"/>
    <cellStyle name="Note 2 2 5 8" xfId="1773"/>
    <cellStyle name="Note 2 2 5 8 2" xfId="9596"/>
    <cellStyle name="Note 2 2 5 8 3" xfId="17024"/>
    <cellStyle name="Note 2 2 5 8 4" xfId="26551"/>
    <cellStyle name="Note 2 2 5 8 5" xfId="35359"/>
    <cellStyle name="Note 2 2 5 8 6" xfId="37555"/>
    <cellStyle name="Note 2 2 5 8 7" xfId="54177"/>
    <cellStyle name="Note 2 2 5 9" xfId="1906"/>
    <cellStyle name="Note 2 2 5 9 2" xfId="9729"/>
    <cellStyle name="Note 2 2 5 9 3" xfId="17157"/>
    <cellStyle name="Note 2 2 5 9 4" xfId="19481"/>
    <cellStyle name="Note 2 2 5 9 5" xfId="27306"/>
    <cellStyle name="Note 2 2 5 9 6" xfId="37206"/>
    <cellStyle name="Note 2 2 5 9 7" xfId="47008"/>
    <cellStyle name="Note 2 2 6" xfId="619"/>
    <cellStyle name="Note 2 2 6 2" xfId="8443"/>
    <cellStyle name="Note 2 2 6 3" xfId="11957"/>
    <cellStyle name="Note 2 2 6 4" xfId="20582"/>
    <cellStyle name="Note 2 2 6 5" xfId="28268"/>
    <cellStyle name="Note 2 2 6 6" xfId="37876"/>
    <cellStyle name="Note 2 2 6 7" xfId="49654"/>
    <cellStyle name="Note 2 2 7" xfId="226"/>
    <cellStyle name="Note 2 2 7 2" xfId="8330"/>
    <cellStyle name="Note 2 2 7 3" xfId="8372"/>
    <cellStyle name="Note 2 2 7 4" xfId="20378"/>
    <cellStyle name="Note 2 2 7 5" xfId="27329"/>
    <cellStyle name="Note 2 2 7 6" xfId="36963"/>
    <cellStyle name="Note 2 2 7 7" xfId="50165"/>
    <cellStyle name="Note 2 2 8" xfId="1213"/>
    <cellStyle name="Note 2 2 8 2" xfId="9036"/>
    <cellStyle name="Note 2 2 8 3" xfId="16464"/>
    <cellStyle name="Note 2 2 8 4" xfId="24875"/>
    <cellStyle name="Note 2 2 8 5" xfId="33189"/>
    <cellStyle name="Note 2 2 8 6" xfId="40106"/>
    <cellStyle name="Note 2 2 8 7" xfId="50507"/>
    <cellStyle name="Note 2 2 9" xfId="1007"/>
    <cellStyle name="Note 2 2 9 2" xfId="8831"/>
    <cellStyle name="Note 2 2 9 3" xfId="16259"/>
    <cellStyle name="Note 2 2 9 4" xfId="19911"/>
    <cellStyle name="Note 2 2 9 5" xfId="27167"/>
    <cellStyle name="Note 2 2 9 6" xfId="37244"/>
    <cellStyle name="Note 2 2 9 7" xfId="49975"/>
    <cellStyle name="Note 2 20" xfId="3579"/>
    <cellStyle name="Note 2 20 2" xfId="11368"/>
    <cellStyle name="Note 2 20 3" xfId="20535"/>
    <cellStyle name="Note 2 20 4" xfId="28661"/>
    <cellStyle name="Note 2 20 5" xfId="36134"/>
    <cellStyle name="Note 2 20 6" xfId="42516"/>
    <cellStyle name="Note 2 20 7" xfId="54043"/>
    <cellStyle name="Note 2 21" xfId="2986"/>
    <cellStyle name="Note 2 21 2" xfId="10808"/>
    <cellStyle name="Note 2 21 3" xfId="20172"/>
    <cellStyle name="Note 2 21 4" xfId="28256"/>
    <cellStyle name="Note 2 21 5" xfId="35569"/>
    <cellStyle name="Note 2 21 6" xfId="42341"/>
    <cellStyle name="Note 2 21 7" xfId="48376"/>
    <cellStyle name="Note 2 22" xfId="3022"/>
    <cellStyle name="Note 2 22 2" xfId="10838"/>
    <cellStyle name="Note 2 22 3" xfId="20194"/>
    <cellStyle name="Note 2 22 4" xfId="28285"/>
    <cellStyle name="Note 2 22 5" xfId="35568"/>
    <cellStyle name="Note 2 22 6" xfId="42359"/>
    <cellStyle name="Note 2 22 7" xfId="50958"/>
    <cellStyle name="Note 2 23" xfId="4247"/>
    <cellStyle name="Note 2 23 2" xfId="11976"/>
    <cellStyle name="Note 2 23 3" xfId="20957"/>
    <cellStyle name="Note 2 23 4" xfId="29144"/>
    <cellStyle name="Note 2 23 5" xfId="36140"/>
    <cellStyle name="Note 2 23 6" xfId="42809"/>
    <cellStyle name="Note 2 23 7" xfId="54065"/>
    <cellStyle name="Note 2 24" xfId="4192"/>
    <cellStyle name="Note 2 24 2" xfId="11951"/>
    <cellStyle name="Note 2 24 3" xfId="20902"/>
    <cellStyle name="Note 2 24 4" xfId="29089"/>
    <cellStyle name="Note 2 24 5" xfId="35858"/>
    <cellStyle name="Note 2 24 6" xfId="42754"/>
    <cellStyle name="Note 2 24 7" xfId="52707"/>
    <cellStyle name="Note 2 25" xfId="5099"/>
    <cellStyle name="Note 2 25 2" xfId="12816"/>
    <cellStyle name="Note 2 25 3" xfId="21809"/>
    <cellStyle name="Note 2 25 4" xfId="29996"/>
    <cellStyle name="Note 2 25 5" xfId="34224"/>
    <cellStyle name="Note 2 25 6" xfId="43661"/>
    <cellStyle name="Note 2 25 7" xfId="50976"/>
    <cellStyle name="Note 2 26" xfId="5092"/>
    <cellStyle name="Note 2 26 2" xfId="12809"/>
    <cellStyle name="Note 2 26 3" xfId="21802"/>
    <cellStyle name="Note 2 26 4" xfId="29989"/>
    <cellStyle name="Note 2 26 5" xfId="35698"/>
    <cellStyle name="Note 2 26 6" xfId="43654"/>
    <cellStyle name="Note 2 26 7" xfId="51972"/>
    <cellStyle name="Note 2 27" xfId="5084"/>
    <cellStyle name="Note 2 27 2" xfId="12801"/>
    <cellStyle name="Note 2 27 3" xfId="21794"/>
    <cellStyle name="Note 2 27 4" xfId="29981"/>
    <cellStyle name="Note 2 27 5" xfId="35848"/>
    <cellStyle name="Note 2 27 6" xfId="43646"/>
    <cellStyle name="Note 2 27 7" xfId="52671"/>
    <cellStyle name="Note 2 28" xfId="5202"/>
    <cellStyle name="Note 2 28 2" xfId="12919"/>
    <cellStyle name="Note 2 28 3" xfId="21912"/>
    <cellStyle name="Note 2 28 4" xfId="30099"/>
    <cellStyle name="Note 2 28 5" xfId="35302"/>
    <cellStyle name="Note 2 28 6" xfId="43764"/>
    <cellStyle name="Note 2 28 7" xfId="49215"/>
    <cellStyle name="Note 2 29" xfId="6550"/>
    <cellStyle name="Note 2 29 2" xfId="14267"/>
    <cellStyle name="Note 2 29 3" xfId="23260"/>
    <cellStyle name="Note 2 29 4" xfId="31447"/>
    <cellStyle name="Note 2 29 5" xfId="27530"/>
    <cellStyle name="Note 2 29 6" xfId="45112"/>
    <cellStyle name="Note 2 29 7" xfId="48478"/>
    <cellStyle name="Note 2 3" xfId="260"/>
    <cellStyle name="Note 2 3 10" xfId="1128"/>
    <cellStyle name="Note 2 3 10 2" xfId="8951"/>
    <cellStyle name="Note 2 3 10 3" xfId="16379"/>
    <cellStyle name="Note 2 3 10 4" xfId="19500"/>
    <cellStyle name="Note 2 3 10 5" xfId="27934"/>
    <cellStyle name="Note 2 3 10 6" xfId="41794"/>
    <cellStyle name="Note 2 3 10 7" xfId="47596"/>
    <cellStyle name="Note 2 3 11" xfId="1185"/>
    <cellStyle name="Note 2 3 11 2" xfId="9008"/>
    <cellStyle name="Note 2 3 11 3" xfId="16436"/>
    <cellStyle name="Note 2 3 11 4" xfId="26169"/>
    <cellStyle name="Note 2 3 11 5" xfId="34840"/>
    <cellStyle name="Note 2 3 11 6" xfId="37105"/>
    <cellStyle name="Note 2 3 11 7" xfId="53356"/>
    <cellStyle name="Note 2 3 12" xfId="1064"/>
    <cellStyle name="Note 2 3 12 2" xfId="8888"/>
    <cellStyle name="Note 2 3 12 3" xfId="16316"/>
    <cellStyle name="Note 2 3 12 4" xfId="25223"/>
    <cellStyle name="Note 2 3 12 5" xfId="33623"/>
    <cellStyle name="Note 2 3 12 6" xfId="36354"/>
    <cellStyle name="Note 2 3 12 7" xfId="51270"/>
    <cellStyle name="Note 2 3 13" xfId="1245"/>
    <cellStyle name="Note 2 3 13 2" xfId="9068"/>
    <cellStyle name="Note 2 3 13 3" xfId="16496"/>
    <cellStyle name="Note 2 3 13 4" xfId="24904"/>
    <cellStyle name="Note 2 3 13 5" xfId="33226"/>
    <cellStyle name="Note 2 3 13 6" xfId="37130"/>
    <cellStyle name="Note 2 3 13 7" xfId="50575"/>
    <cellStyle name="Note 2 3 14" xfId="1673"/>
    <cellStyle name="Note 2 3 14 2" xfId="9496"/>
    <cellStyle name="Note 2 3 14 3" xfId="16924"/>
    <cellStyle name="Note 2 3 14 4" xfId="19488"/>
    <cellStyle name="Note 2 3 14 5" xfId="27261"/>
    <cellStyle name="Note 2 3 14 6" xfId="36479"/>
    <cellStyle name="Note 2 3 14 7" xfId="49522"/>
    <cellStyle name="Note 2 3 15" xfId="1279"/>
    <cellStyle name="Note 2 3 15 2" xfId="9102"/>
    <cellStyle name="Note 2 3 15 3" xfId="16530"/>
    <cellStyle name="Note 2 3 15 4" xfId="19948"/>
    <cellStyle name="Note 2 3 15 5" xfId="27526"/>
    <cellStyle name="Note 2 3 15 6" xfId="39346"/>
    <cellStyle name="Note 2 3 15 7" xfId="46850"/>
    <cellStyle name="Note 2 3 16" xfId="999"/>
    <cellStyle name="Note 2 3 16 2" xfId="8823"/>
    <cellStyle name="Note 2 3 16 3" xfId="16251"/>
    <cellStyle name="Note 2 3 16 4" xfId="20056"/>
    <cellStyle name="Note 2 3 16 5" xfId="28490"/>
    <cellStyle name="Note 2 3 16 6" xfId="36444"/>
    <cellStyle name="Note 2 3 16 7" xfId="47482"/>
    <cellStyle name="Note 2 3 17" xfId="1657"/>
    <cellStyle name="Note 2 3 17 2" xfId="9480"/>
    <cellStyle name="Note 2 3 17 3" xfId="16908"/>
    <cellStyle name="Note 2 3 17 4" xfId="25288"/>
    <cellStyle name="Note 2 3 17 5" xfId="33700"/>
    <cellStyle name="Note 2 3 17 6" xfId="40300"/>
    <cellStyle name="Note 2 3 17 7" xfId="51400"/>
    <cellStyle name="Note 2 3 18" xfId="1223"/>
    <cellStyle name="Note 2 3 18 2" xfId="9046"/>
    <cellStyle name="Note 2 3 18 3" xfId="16474"/>
    <cellStyle name="Note 2 3 18 4" xfId="20668"/>
    <cellStyle name="Note 2 3 18 5" xfId="27144"/>
    <cellStyle name="Note 2 3 18 6" xfId="38853"/>
    <cellStyle name="Note 2 3 18 7" xfId="49353"/>
    <cellStyle name="Note 2 3 19" xfId="987"/>
    <cellStyle name="Note 2 3 19 2" xfId="8811"/>
    <cellStyle name="Note 2 3 19 3" xfId="16239"/>
    <cellStyle name="Note 2 3 19 4" xfId="25635"/>
    <cellStyle name="Note 2 3 19 5" xfId="34154"/>
    <cellStyle name="Note 2 3 19 6" xfId="36723"/>
    <cellStyle name="Note 2 3 19 7" xfId="52173"/>
    <cellStyle name="Note 2 3 2" xfId="534"/>
    <cellStyle name="Note 2 3 2 10" xfId="1981"/>
    <cellStyle name="Note 2 3 2 10 2" xfId="9804"/>
    <cellStyle name="Note 2 3 2 10 3" xfId="17232"/>
    <cellStyle name="Note 2 3 2 10 4" xfId="19859"/>
    <cellStyle name="Note 2 3 2 10 5" xfId="27448"/>
    <cellStyle name="Note 2 3 2 10 6" xfId="37529"/>
    <cellStyle name="Note 2 3 2 10 7" xfId="48546"/>
    <cellStyle name="Note 2 3 2 11" xfId="2099"/>
    <cellStyle name="Note 2 3 2 11 2" xfId="9922"/>
    <cellStyle name="Note 2 3 2 11 3" xfId="17350"/>
    <cellStyle name="Note 2 3 2 11 4" xfId="19604"/>
    <cellStyle name="Note 2 3 2 11 5" xfId="28773"/>
    <cellStyle name="Note 2 3 2 11 6" xfId="40325"/>
    <cellStyle name="Note 2 3 2 11 7" xfId="48673"/>
    <cellStyle name="Note 2 3 2 12" xfId="2212"/>
    <cellStyle name="Note 2 3 2 12 2" xfId="10035"/>
    <cellStyle name="Note 2 3 2 12 3" xfId="17463"/>
    <cellStyle name="Note 2 3 2 12 4" xfId="25522"/>
    <cellStyle name="Note 2 3 2 12 5" xfId="34004"/>
    <cellStyle name="Note 2 3 2 12 6" xfId="37637"/>
    <cellStyle name="Note 2 3 2 12 7" xfId="51922"/>
    <cellStyle name="Note 2 3 2 13" xfId="977"/>
    <cellStyle name="Note 2 3 2 13 2" xfId="8801"/>
    <cellStyle name="Note 2 3 2 13 3" xfId="16229"/>
    <cellStyle name="Note 2 3 2 13 4" xfId="20317"/>
    <cellStyle name="Note 2 3 2 13 5" xfId="27672"/>
    <cellStyle name="Note 2 3 2 13 6" xfId="37479"/>
    <cellStyle name="Note 2 3 2 13 7" xfId="48026"/>
    <cellStyle name="Note 2 3 2 14" xfId="1260"/>
    <cellStyle name="Note 2 3 2 14 2" xfId="9083"/>
    <cellStyle name="Note 2 3 2 14 3" xfId="16511"/>
    <cellStyle name="Note 2 3 2 14 4" xfId="19955"/>
    <cellStyle name="Note 2 3 2 14 5" xfId="26821"/>
    <cellStyle name="Note 2 3 2 14 6" xfId="42125"/>
    <cellStyle name="Note 2 3 2 14 7" xfId="47017"/>
    <cellStyle name="Note 2 3 2 15" xfId="2510"/>
    <cellStyle name="Note 2 3 2 15 2" xfId="10333"/>
    <cellStyle name="Note 2 3 2 15 3" xfId="17761"/>
    <cellStyle name="Note 2 3 2 15 4" xfId="24838"/>
    <cellStyle name="Note 2 3 2 15 5" xfId="28605"/>
    <cellStyle name="Note 2 3 2 15 6" xfId="38775"/>
    <cellStyle name="Note 2 3 2 15 7" xfId="49538"/>
    <cellStyle name="Note 2 3 2 16" xfId="2623"/>
    <cellStyle name="Note 2 3 2 16 2" xfId="10446"/>
    <cellStyle name="Note 2 3 2 16 3" xfId="17874"/>
    <cellStyle name="Note 2 3 2 16 4" xfId="26269"/>
    <cellStyle name="Note 2 3 2 16 5" xfId="34967"/>
    <cellStyle name="Note 2 3 2 16 6" xfId="40332"/>
    <cellStyle name="Note 2 3 2 16 7" xfId="53576"/>
    <cellStyle name="Note 2 3 2 17" xfId="1674"/>
    <cellStyle name="Note 2 3 2 17 2" xfId="9497"/>
    <cellStyle name="Note 2 3 2 17 3" xfId="16925"/>
    <cellStyle name="Note 2 3 2 17 4" xfId="20005"/>
    <cellStyle name="Note 2 3 2 17 5" xfId="28367"/>
    <cellStyle name="Note 2 3 2 17 6" xfId="38414"/>
    <cellStyle name="Note 2 3 2 17 7" xfId="47404"/>
    <cellStyle name="Note 2 3 2 18" xfId="2703"/>
    <cellStyle name="Note 2 3 2 18 2" xfId="10526"/>
    <cellStyle name="Note 2 3 2 18 3" xfId="17954"/>
    <cellStyle name="Note 2 3 2 18 4" xfId="25852"/>
    <cellStyle name="Note 2 3 2 18 5" xfId="34439"/>
    <cellStyle name="Note 2 3 2 18 6" xfId="39384"/>
    <cellStyle name="Note 2 3 2 18 7" xfId="52672"/>
    <cellStyle name="Note 2 3 2 19" xfId="2816"/>
    <cellStyle name="Note 2 3 2 19 2" xfId="10639"/>
    <cellStyle name="Note 2 3 2 19 3" xfId="18067"/>
    <cellStyle name="Note 2 3 2 19 4" xfId="20576"/>
    <cellStyle name="Note 2 3 2 19 5" xfId="27231"/>
    <cellStyle name="Note 2 3 2 19 6" xfId="37413"/>
    <cellStyle name="Note 2 3 2 19 7" xfId="49497"/>
    <cellStyle name="Note 2 3 2 2" xfId="684"/>
    <cellStyle name="Note 2 3 2 2 2" xfId="8508"/>
    <cellStyle name="Note 2 3 2 2 3" xfId="15936"/>
    <cellStyle name="Note 2 3 2 2 4" xfId="19983"/>
    <cellStyle name="Note 2 3 2 2 5" xfId="27624"/>
    <cellStyle name="Note 2 3 2 2 6" xfId="36328"/>
    <cellStyle name="Note 2 3 2 2 7" xfId="48299"/>
    <cellStyle name="Note 2 3 2 20" xfId="2923"/>
    <cellStyle name="Note 2 3 2 20 2" xfId="10746"/>
    <cellStyle name="Note 2 3 2 20 3" xfId="18174"/>
    <cellStyle name="Note 2 3 2 20 4" xfId="26315"/>
    <cellStyle name="Note 2 3 2 20 5" xfId="35036"/>
    <cellStyle name="Note 2 3 2 20 6" xfId="41908"/>
    <cellStyle name="Note 2 3 2 20 7" xfId="53675"/>
    <cellStyle name="Note 2 3 2 21" xfId="3299"/>
    <cellStyle name="Note 2 3 2 21 2" xfId="11092"/>
    <cellStyle name="Note 2 3 2 21 3" xfId="18421"/>
    <cellStyle name="Note 2 3 2 21 4" xfId="25643"/>
    <cellStyle name="Note 2 3 2 21 5" xfId="34163"/>
    <cellStyle name="Note 2 3 2 21 6" xfId="39872"/>
    <cellStyle name="Note 2 3 2 21 7" xfId="52190"/>
    <cellStyle name="Note 2 3 2 22" xfId="3419"/>
    <cellStyle name="Note 2 3 2 22 2" xfId="11210"/>
    <cellStyle name="Note 2 3 2 22 3" xfId="18532"/>
    <cellStyle name="Note 2 3 2 22 4" xfId="25991"/>
    <cellStyle name="Note 2 3 2 22 5" xfId="34613"/>
    <cellStyle name="Note 2 3 2 22 6" xfId="36573"/>
    <cellStyle name="Note 2 3 2 22 7" xfId="52977"/>
    <cellStyle name="Note 2 3 2 23" xfId="3547"/>
    <cellStyle name="Note 2 3 2 23 2" xfId="11336"/>
    <cellStyle name="Note 2 3 2 23 3" xfId="18624"/>
    <cellStyle name="Note 2 3 2 23 4" xfId="20109"/>
    <cellStyle name="Note 2 3 2 23 5" xfId="27969"/>
    <cellStyle name="Note 2 3 2 23 6" xfId="38147"/>
    <cellStyle name="Note 2 3 2 23 7" xfId="50168"/>
    <cellStyle name="Note 2 3 2 24" xfId="3127"/>
    <cellStyle name="Note 2 3 2 24 2" xfId="10932"/>
    <cellStyle name="Note 2 3 2 24 3" xfId="18310"/>
    <cellStyle name="Note 2 3 2 24 4" xfId="20623"/>
    <cellStyle name="Note 2 3 2 24 5" xfId="28065"/>
    <cellStyle name="Note 2 3 2 24 6" xfId="36871"/>
    <cellStyle name="Note 2 3 2 24 7" xfId="47981"/>
    <cellStyle name="Note 2 3 2 25" xfId="3690"/>
    <cellStyle name="Note 2 3 2 25 2" xfId="11475"/>
    <cellStyle name="Note 2 3 2 25 3" xfId="18748"/>
    <cellStyle name="Note 2 3 2 25 4" xfId="19744"/>
    <cellStyle name="Note 2 3 2 25 5" xfId="33130"/>
    <cellStyle name="Note 2 3 2 25 6" xfId="37329"/>
    <cellStyle name="Note 2 3 2 25 7" xfId="50390"/>
    <cellStyle name="Note 2 3 2 26" xfId="3820"/>
    <cellStyle name="Note 2 3 2 26 2" xfId="11602"/>
    <cellStyle name="Note 2 3 2 26 3" xfId="18859"/>
    <cellStyle name="Note 2 3 2 26 4" xfId="25367"/>
    <cellStyle name="Note 2 3 2 26 5" xfId="33808"/>
    <cellStyle name="Note 2 3 2 26 6" xfId="40157"/>
    <cellStyle name="Note 2 3 2 26 7" xfId="51576"/>
    <cellStyle name="Note 2 3 2 27" xfId="3938"/>
    <cellStyle name="Note 2 3 2 27 2" xfId="11718"/>
    <cellStyle name="Note 2 3 2 27 3" xfId="18968"/>
    <cellStyle name="Note 2 3 2 27 4" xfId="19080"/>
    <cellStyle name="Note 2 3 2 27 5" xfId="26874"/>
    <cellStyle name="Note 2 3 2 27 6" xfId="37740"/>
    <cellStyle name="Note 2 3 2 27 7" xfId="49790"/>
    <cellStyle name="Note 2 3 2 28" xfId="3365"/>
    <cellStyle name="Note 2 3 2 28 2" xfId="11156"/>
    <cellStyle name="Note 2 3 2 28 3" xfId="20414"/>
    <cellStyle name="Note 2 3 2 28 4" xfId="28521"/>
    <cellStyle name="Note 2 3 2 28 5" xfId="36058"/>
    <cellStyle name="Note 2 3 2 28 6" xfId="42471"/>
    <cellStyle name="Note 2 3 2 28 7" xfId="53700"/>
    <cellStyle name="Note 2 3 2 29" xfId="4135"/>
    <cellStyle name="Note 2 3 2 29 2" xfId="11894"/>
    <cellStyle name="Note 2 3 2 29 3" xfId="20845"/>
    <cellStyle name="Note 2 3 2 29 4" xfId="29032"/>
    <cellStyle name="Note 2 3 2 29 5" xfId="27895"/>
    <cellStyle name="Note 2 3 2 29 6" xfId="42697"/>
    <cellStyle name="Note 2 3 2 29 7" xfId="50827"/>
    <cellStyle name="Note 2 3 2 3" xfId="792"/>
    <cellStyle name="Note 2 3 2 3 2" xfId="8616"/>
    <cellStyle name="Note 2 3 2 3 3" xfId="16044"/>
    <cellStyle name="Note 2 3 2 3 4" xfId="19428"/>
    <cellStyle name="Note 2 3 2 3 5" xfId="33145"/>
    <cellStyle name="Note 2 3 2 3 6" xfId="37082"/>
    <cellStyle name="Note 2 3 2 3 7" xfId="50419"/>
    <cellStyle name="Note 2 3 2 30" xfId="4051"/>
    <cellStyle name="Note 2 3 2 30 2" xfId="20761"/>
    <cellStyle name="Note 2 3 2 30 3" xfId="28948"/>
    <cellStyle name="Note 2 3 2 30 4" xfId="35752"/>
    <cellStyle name="Note 2 3 2 30 5" xfId="42613"/>
    <cellStyle name="Note 2 3 2 30 6" xfId="52262"/>
    <cellStyle name="Note 2 3 2 31" xfId="4332"/>
    <cellStyle name="Note 2 3 2 31 2" xfId="12049"/>
    <cellStyle name="Note 2 3 2 31 3" xfId="21042"/>
    <cellStyle name="Note 2 3 2 31 4" xfId="29229"/>
    <cellStyle name="Note 2 3 2 31 5" xfId="27058"/>
    <cellStyle name="Note 2 3 2 31 6" xfId="42894"/>
    <cellStyle name="Note 2 3 2 31 7" xfId="49053"/>
    <cellStyle name="Note 2 3 2 32" xfId="4455"/>
    <cellStyle name="Note 2 3 2 32 2" xfId="12172"/>
    <cellStyle name="Note 2 3 2 32 3" xfId="21165"/>
    <cellStyle name="Note 2 3 2 32 4" xfId="29352"/>
    <cellStyle name="Note 2 3 2 32 5" xfId="35026"/>
    <cellStyle name="Note 2 3 2 32 6" xfId="43017"/>
    <cellStyle name="Note 2 3 2 32 7" xfId="49566"/>
    <cellStyle name="Note 2 3 2 33" xfId="4569"/>
    <cellStyle name="Note 2 3 2 33 2" xfId="12286"/>
    <cellStyle name="Note 2 3 2 33 3" xfId="21279"/>
    <cellStyle name="Note 2 3 2 33 4" xfId="29466"/>
    <cellStyle name="Note 2 3 2 33 5" xfId="35844"/>
    <cellStyle name="Note 2 3 2 33 6" xfId="43131"/>
    <cellStyle name="Note 2 3 2 33 7" xfId="52630"/>
    <cellStyle name="Note 2 3 2 34" xfId="4682"/>
    <cellStyle name="Note 2 3 2 34 2" xfId="12399"/>
    <cellStyle name="Note 2 3 2 34 3" xfId="21392"/>
    <cellStyle name="Note 2 3 2 34 4" xfId="29579"/>
    <cellStyle name="Note 2 3 2 34 5" xfId="34836"/>
    <cellStyle name="Note 2 3 2 34 6" xfId="43244"/>
    <cellStyle name="Note 2 3 2 34 7" xfId="48820"/>
    <cellStyle name="Note 2 3 2 35" xfId="4793"/>
    <cellStyle name="Note 2 3 2 35 2" xfId="12510"/>
    <cellStyle name="Note 2 3 2 35 3" xfId="21503"/>
    <cellStyle name="Note 2 3 2 35 4" xfId="29690"/>
    <cellStyle name="Note 2 3 2 35 5" xfId="35829"/>
    <cellStyle name="Note 2 3 2 35 6" xfId="43355"/>
    <cellStyle name="Note 2 3 2 35 7" xfId="52556"/>
    <cellStyle name="Note 2 3 2 36" xfId="4902"/>
    <cellStyle name="Note 2 3 2 36 2" xfId="12619"/>
    <cellStyle name="Note 2 3 2 36 3" xfId="21612"/>
    <cellStyle name="Note 2 3 2 36 4" xfId="29799"/>
    <cellStyle name="Note 2 3 2 36 5" xfId="28451"/>
    <cellStyle name="Note 2 3 2 36 6" xfId="43464"/>
    <cellStyle name="Note 2 3 2 36 7" xfId="48754"/>
    <cellStyle name="Note 2 3 2 37" xfId="5013"/>
    <cellStyle name="Note 2 3 2 37 2" xfId="12730"/>
    <cellStyle name="Note 2 3 2 37 3" xfId="21723"/>
    <cellStyle name="Note 2 3 2 37 4" xfId="29910"/>
    <cellStyle name="Note 2 3 2 37 5" xfId="35881"/>
    <cellStyle name="Note 2 3 2 37 6" xfId="43575"/>
    <cellStyle name="Note 2 3 2 37 7" xfId="52854"/>
    <cellStyle name="Note 2 3 2 38" xfId="5392"/>
    <cellStyle name="Note 2 3 2 38 2" xfId="13109"/>
    <cellStyle name="Note 2 3 2 38 3" xfId="22102"/>
    <cellStyle name="Note 2 3 2 38 4" xfId="30289"/>
    <cellStyle name="Note 2 3 2 38 5" xfId="35761"/>
    <cellStyle name="Note 2 3 2 38 6" xfId="43954"/>
    <cellStyle name="Note 2 3 2 38 7" xfId="52292"/>
    <cellStyle name="Note 2 3 2 39" xfId="5512"/>
    <cellStyle name="Note 2 3 2 39 2" xfId="13229"/>
    <cellStyle name="Note 2 3 2 39 3" xfId="22222"/>
    <cellStyle name="Note 2 3 2 39 4" xfId="30409"/>
    <cellStyle name="Note 2 3 2 39 5" xfId="28796"/>
    <cellStyle name="Note 2 3 2 39 6" xfId="44074"/>
    <cellStyle name="Note 2 3 2 39 7" xfId="47012"/>
    <cellStyle name="Note 2 3 2 4" xfId="903"/>
    <cellStyle name="Note 2 3 2 4 2" xfId="8727"/>
    <cellStyle name="Note 2 3 2 4 3" xfId="16155"/>
    <cellStyle name="Note 2 3 2 4 4" xfId="26248"/>
    <cellStyle name="Note 2 3 2 4 5" xfId="34942"/>
    <cellStyle name="Note 2 3 2 4 6" xfId="36346"/>
    <cellStyle name="Note 2 3 2 4 7" xfId="53534"/>
    <cellStyle name="Note 2 3 2 40" xfId="5636"/>
    <cellStyle name="Note 2 3 2 40 2" xfId="13353"/>
    <cellStyle name="Note 2 3 2 40 3" xfId="22346"/>
    <cellStyle name="Note 2 3 2 40 4" xfId="30533"/>
    <cellStyle name="Note 2 3 2 40 5" xfId="33278"/>
    <cellStyle name="Note 2 3 2 40 6" xfId="44198"/>
    <cellStyle name="Note 2 3 2 40 7" xfId="46778"/>
    <cellStyle name="Note 2 3 2 41" xfId="5752"/>
    <cellStyle name="Note 2 3 2 41 2" xfId="13469"/>
    <cellStyle name="Note 2 3 2 41 3" xfId="22462"/>
    <cellStyle name="Note 2 3 2 41 4" xfId="30649"/>
    <cellStyle name="Note 2 3 2 41 5" xfId="35795"/>
    <cellStyle name="Note 2 3 2 41 6" xfId="44314"/>
    <cellStyle name="Note 2 3 2 41 7" xfId="47619"/>
    <cellStyle name="Note 2 3 2 42" xfId="5868"/>
    <cellStyle name="Note 2 3 2 42 2" xfId="13585"/>
    <cellStyle name="Note 2 3 2 42 3" xfId="22578"/>
    <cellStyle name="Note 2 3 2 42 4" xfId="30765"/>
    <cellStyle name="Note 2 3 2 42 5" xfId="35912"/>
    <cellStyle name="Note 2 3 2 42 6" xfId="44430"/>
    <cellStyle name="Note 2 3 2 42 7" xfId="52770"/>
    <cellStyle name="Note 2 3 2 43" xfId="5997"/>
    <cellStyle name="Note 2 3 2 43 2" xfId="13714"/>
    <cellStyle name="Note 2 3 2 43 3" xfId="22707"/>
    <cellStyle name="Note 2 3 2 43 4" xfId="30894"/>
    <cellStyle name="Note 2 3 2 43 5" xfId="35682"/>
    <cellStyle name="Note 2 3 2 43 6" xfId="44559"/>
    <cellStyle name="Note 2 3 2 43 7" xfId="48580"/>
    <cellStyle name="Note 2 3 2 44" xfId="6096"/>
    <cellStyle name="Note 2 3 2 44 2" xfId="13813"/>
    <cellStyle name="Note 2 3 2 44 3" xfId="22806"/>
    <cellStyle name="Note 2 3 2 44 4" xfId="30993"/>
    <cellStyle name="Note 2 3 2 44 5" xfId="28562"/>
    <cellStyle name="Note 2 3 2 44 6" xfId="44658"/>
    <cellStyle name="Note 2 3 2 44 7" xfId="51882"/>
    <cellStyle name="Note 2 3 2 45" xfId="5324"/>
    <cellStyle name="Note 2 3 2 45 2" xfId="13041"/>
    <cellStyle name="Note 2 3 2 45 3" xfId="22034"/>
    <cellStyle name="Note 2 3 2 45 4" xfId="30221"/>
    <cellStyle name="Note 2 3 2 45 5" xfId="35635"/>
    <cellStyle name="Note 2 3 2 45 6" xfId="43886"/>
    <cellStyle name="Note 2 3 2 45 7" xfId="51641"/>
    <cellStyle name="Note 2 3 2 46" xfId="6253"/>
    <cellStyle name="Note 2 3 2 46 2" xfId="13970"/>
    <cellStyle name="Note 2 3 2 46 3" xfId="22963"/>
    <cellStyle name="Note 2 3 2 46 4" xfId="31150"/>
    <cellStyle name="Note 2 3 2 46 5" xfId="34306"/>
    <cellStyle name="Note 2 3 2 46 6" xfId="44815"/>
    <cellStyle name="Note 2 3 2 46 7" xfId="49897"/>
    <cellStyle name="Note 2 3 2 47" xfId="6369"/>
    <cellStyle name="Note 2 3 2 47 2" xfId="14086"/>
    <cellStyle name="Note 2 3 2 47 3" xfId="23079"/>
    <cellStyle name="Note 2 3 2 47 4" xfId="31266"/>
    <cellStyle name="Note 2 3 2 47 5" xfId="35993"/>
    <cellStyle name="Note 2 3 2 47 6" xfId="44931"/>
    <cellStyle name="Note 2 3 2 47 7" xfId="53174"/>
    <cellStyle name="Note 2 3 2 48" xfId="6480"/>
    <cellStyle name="Note 2 3 2 48 2" xfId="14197"/>
    <cellStyle name="Note 2 3 2 48 3" xfId="23190"/>
    <cellStyle name="Note 2 3 2 48 4" xfId="31377"/>
    <cellStyle name="Note 2 3 2 48 5" xfId="35902"/>
    <cellStyle name="Note 2 3 2 48 6" xfId="45042"/>
    <cellStyle name="Note 2 3 2 48 7" xfId="52386"/>
    <cellStyle name="Note 2 3 2 49" xfId="5106"/>
    <cellStyle name="Note 2 3 2 49 2" xfId="12823"/>
    <cellStyle name="Note 2 3 2 49 3" xfId="21816"/>
    <cellStyle name="Note 2 3 2 49 4" xfId="30003"/>
    <cellStyle name="Note 2 3 2 49 5" xfId="35085"/>
    <cellStyle name="Note 2 3 2 49 6" xfId="43668"/>
    <cellStyle name="Note 2 3 2 49 7" xfId="50378"/>
    <cellStyle name="Note 2 3 2 5" xfId="1369"/>
    <cellStyle name="Note 2 3 2 5 2" xfId="9192"/>
    <cellStyle name="Note 2 3 2 5 3" xfId="16620"/>
    <cellStyle name="Note 2 3 2 5 4" xfId="20515"/>
    <cellStyle name="Note 2 3 2 5 5" xfId="27315"/>
    <cellStyle name="Note 2 3 2 5 6" xfId="39816"/>
    <cellStyle name="Note 2 3 2 5 7" xfId="48077"/>
    <cellStyle name="Note 2 3 2 50" xfId="6626"/>
    <cellStyle name="Note 2 3 2 50 2" xfId="14343"/>
    <cellStyle name="Note 2 3 2 50 3" xfId="23336"/>
    <cellStyle name="Note 2 3 2 50 4" xfId="31523"/>
    <cellStyle name="Note 2 3 2 50 5" xfId="26726"/>
    <cellStyle name="Note 2 3 2 50 6" xfId="45188"/>
    <cellStyle name="Note 2 3 2 50 7" xfId="51577"/>
    <cellStyle name="Note 2 3 2 51" xfId="6738"/>
    <cellStyle name="Note 2 3 2 51 2" xfId="14455"/>
    <cellStyle name="Note 2 3 2 51 3" xfId="23448"/>
    <cellStyle name="Note 2 3 2 51 4" xfId="31635"/>
    <cellStyle name="Note 2 3 2 51 5" xfId="33478"/>
    <cellStyle name="Note 2 3 2 51 6" xfId="45300"/>
    <cellStyle name="Note 2 3 2 51 7" xfId="51070"/>
    <cellStyle name="Note 2 3 2 52" xfId="6853"/>
    <cellStyle name="Note 2 3 2 52 2" xfId="14570"/>
    <cellStyle name="Note 2 3 2 52 3" xfId="23563"/>
    <cellStyle name="Note 2 3 2 52 4" xfId="31750"/>
    <cellStyle name="Note 2 3 2 52 5" xfId="33630"/>
    <cellStyle name="Note 2 3 2 52 6" xfId="45415"/>
    <cellStyle name="Note 2 3 2 52 7" xfId="48086"/>
    <cellStyle name="Note 2 3 2 53" xfId="6966"/>
    <cellStyle name="Note 2 3 2 53 2" xfId="14683"/>
    <cellStyle name="Note 2 3 2 53 3" xfId="23676"/>
    <cellStyle name="Note 2 3 2 53 4" xfId="31863"/>
    <cellStyle name="Note 2 3 2 53 5" xfId="27212"/>
    <cellStyle name="Note 2 3 2 53 6" xfId="45528"/>
    <cellStyle name="Note 2 3 2 53 7" xfId="46809"/>
    <cellStyle name="Note 2 3 2 54" xfId="7077"/>
    <cellStyle name="Note 2 3 2 54 2" xfId="14794"/>
    <cellStyle name="Note 2 3 2 54 3" xfId="23787"/>
    <cellStyle name="Note 2 3 2 54 4" xfId="31974"/>
    <cellStyle name="Note 2 3 2 54 5" xfId="35141"/>
    <cellStyle name="Note 2 3 2 54 6" xfId="45639"/>
    <cellStyle name="Note 2 3 2 54 7" xfId="51424"/>
    <cellStyle name="Note 2 3 2 55" xfId="7202"/>
    <cellStyle name="Note 2 3 2 55 2" xfId="14919"/>
    <cellStyle name="Note 2 3 2 55 3" xfId="23912"/>
    <cellStyle name="Note 2 3 2 55 4" xfId="32099"/>
    <cellStyle name="Note 2 3 2 55 5" xfId="35632"/>
    <cellStyle name="Note 2 3 2 55 6" xfId="45764"/>
    <cellStyle name="Note 2 3 2 55 7" xfId="51062"/>
    <cellStyle name="Note 2 3 2 56" xfId="7136"/>
    <cellStyle name="Note 2 3 2 56 2" xfId="14853"/>
    <cellStyle name="Note 2 3 2 56 3" xfId="23846"/>
    <cellStyle name="Note 2 3 2 56 4" xfId="32033"/>
    <cellStyle name="Note 2 3 2 56 5" xfId="35751"/>
    <cellStyle name="Note 2 3 2 56 6" xfId="45698"/>
    <cellStyle name="Note 2 3 2 56 7" xfId="51555"/>
    <cellStyle name="Note 2 3 2 57" xfId="7474"/>
    <cellStyle name="Note 2 3 2 57 2" xfId="15191"/>
    <cellStyle name="Note 2 3 2 57 3" xfId="24184"/>
    <cellStyle name="Note 2 3 2 57 4" xfId="32371"/>
    <cellStyle name="Note 2 3 2 57 5" xfId="36013"/>
    <cellStyle name="Note 2 3 2 57 6" xfId="46036"/>
    <cellStyle name="Note 2 3 2 57 7" xfId="53062"/>
    <cellStyle name="Note 2 3 2 58" xfId="7595"/>
    <cellStyle name="Note 2 3 2 58 2" xfId="15312"/>
    <cellStyle name="Note 2 3 2 58 3" xfId="24305"/>
    <cellStyle name="Note 2 3 2 58 4" xfId="32492"/>
    <cellStyle name="Note 2 3 2 58 5" xfId="26945"/>
    <cellStyle name="Note 2 3 2 58 6" xfId="46157"/>
    <cellStyle name="Note 2 3 2 58 7" xfId="47783"/>
    <cellStyle name="Note 2 3 2 59" xfId="7871"/>
    <cellStyle name="Note 2 3 2 59 2" xfId="15588"/>
    <cellStyle name="Note 2 3 2 59 3" xfId="24575"/>
    <cellStyle name="Note 2 3 2 59 4" xfId="32768"/>
    <cellStyle name="Note 2 3 2 59 5" xfId="34571"/>
    <cellStyle name="Note 2 3 2 59 6" xfId="46433"/>
    <cellStyle name="Note 2 3 2 59 7" xfId="48797"/>
    <cellStyle name="Note 2 3 2 6" xfId="1492"/>
    <cellStyle name="Note 2 3 2 6 2" xfId="9315"/>
    <cellStyle name="Note 2 3 2 6 3" xfId="16743"/>
    <cellStyle name="Note 2 3 2 6 4" xfId="20100"/>
    <cellStyle name="Note 2 3 2 6 5" xfId="28058"/>
    <cellStyle name="Note 2 3 2 6 6" xfId="42140"/>
    <cellStyle name="Note 2 3 2 6 7" xfId="48045"/>
    <cellStyle name="Note 2 3 2 60" xfId="7993"/>
    <cellStyle name="Note 2 3 2 60 2" xfId="15710"/>
    <cellStyle name="Note 2 3 2 60 3" xfId="24695"/>
    <cellStyle name="Note 2 3 2 60 4" xfId="32890"/>
    <cellStyle name="Note 2 3 2 60 5" xfId="33746"/>
    <cellStyle name="Note 2 3 2 60 6" xfId="46555"/>
    <cellStyle name="Note 2 3 2 60 7" xfId="50677"/>
    <cellStyle name="Note 2 3 2 61" xfId="7991"/>
    <cellStyle name="Note 2 3 2 61 2" xfId="15708"/>
    <cellStyle name="Note 2 3 2 61 3" xfId="24693"/>
    <cellStyle name="Note 2 3 2 61 4" xfId="32888"/>
    <cellStyle name="Note 2 3 2 61 5" xfId="34679"/>
    <cellStyle name="Note 2 3 2 61 6" xfId="46553"/>
    <cellStyle name="Note 2 3 2 61 7" xfId="47511"/>
    <cellStyle name="Note 2 3 2 62" xfId="8086"/>
    <cellStyle name="Note 2 3 2 62 2" xfId="15803"/>
    <cellStyle name="Note 2 3 2 62 3" xfId="24787"/>
    <cellStyle name="Note 2 3 2 62 4" xfId="32983"/>
    <cellStyle name="Note 2 3 2 62 5" xfId="27828"/>
    <cellStyle name="Note 2 3 2 62 6" xfId="46648"/>
    <cellStyle name="Note 2 3 2 62 7" xfId="49710"/>
    <cellStyle name="Note 2 3 2 63" xfId="8147"/>
    <cellStyle name="Note 2 3 2 63 2" xfId="15864"/>
    <cellStyle name="Note 2 3 2 63 3" xfId="33044"/>
    <cellStyle name="Note 2 3 2 63 4" xfId="34725"/>
    <cellStyle name="Note 2 3 2 63 5" xfId="46709"/>
    <cellStyle name="Note 2 3 2 63 6" xfId="49141"/>
    <cellStyle name="Note 2 3 2 64" xfId="19958"/>
    <cellStyle name="Note 2 3 2 65" xfId="28721"/>
    <cellStyle name="Note 2 3 2 66" xfId="37778"/>
    <cellStyle name="Note 2 3 2 67" xfId="47248"/>
    <cellStyle name="Note 2 3 2 7" xfId="967"/>
    <cellStyle name="Note 2 3 2 7 2" xfId="8791"/>
    <cellStyle name="Note 2 3 2 7 3" xfId="16219"/>
    <cellStyle name="Note 2 3 2 7 4" xfId="26527"/>
    <cellStyle name="Note 2 3 2 7 5" xfId="35327"/>
    <cellStyle name="Note 2 3 2 7 6" xfId="38209"/>
    <cellStyle name="Note 2 3 2 7 7" xfId="54130"/>
    <cellStyle name="Note 2 3 2 8" xfId="1729"/>
    <cellStyle name="Note 2 3 2 8 2" xfId="9552"/>
    <cellStyle name="Note 2 3 2 8 3" xfId="16980"/>
    <cellStyle name="Note 2 3 2 8 4" xfId="25204"/>
    <cellStyle name="Note 2 3 2 8 5" xfId="33593"/>
    <cellStyle name="Note 2 3 2 8 6" xfId="42011"/>
    <cellStyle name="Note 2 3 2 8 7" xfId="51225"/>
    <cellStyle name="Note 2 3 2 9" xfId="1863"/>
    <cellStyle name="Note 2 3 2 9 2" xfId="9686"/>
    <cellStyle name="Note 2 3 2 9 3" xfId="17114"/>
    <cellStyle name="Note 2 3 2 9 4" xfId="25605"/>
    <cellStyle name="Note 2 3 2 9 5" xfId="34116"/>
    <cellStyle name="Note 2 3 2 9 6" xfId="40895"/>
    <cellStyle name="Note 2 3 2 9 7" xfId="52103"/>
    <cellStyle name="Note 2 3 20" xfId="2262"/>
    <cellStyle name="Note 2 3 20 2" xfId="10085"/>
    <cellStyle name="Note 2 3 20 3" xfId="17513"/>
    <cellStyle name="Note 2 3 20 4" xfId="26405"/>
    <cellStyle name="Note 2 3 20 5" xfId="35161"/>
    <cellStyle name="Note 2 3 20 6" xfId="38408"/>
    <cellStyle name="Note 2 3 20 7" xfId="53862"/>
    <cellStyle name="Note 2 3 21" xfId="1106"/>
    <cellStyle name="Note 2 3 21 2" xfId="8930"/>
    <cellStyle name="Note 2 3 21 3" xfId="16358"/>
    <cellStyle name="Note 2 3 21 4" xfId="20529"/>
    <cellStyle name="Note 2 3 21 5" xfId="27062"/>
    <cellStyle name="Note 2 3 21 6" xfId="36975"/>
    <cellStyle name="Note 2 3 21 7" xfId="48150"/>
    <cellStyle name="Note 2 3 22" xfId="2399"/>
    <cellStyle name="Note 2 3 22 2" xfId="10222"/>
    <cellStyle name="Note 2 3 22 3" xfId="17650"/>
    <cellStyle name="Note 2 3 22 4" xfId="26630"/>
    <cellStyle name="Note 2 3 22 5" xfId="35464"/>
    <cellStyle name="Note 2 3 22 6" xfId="39954"/>
    <cellStyle name="Note 2 3 22 7" xfId="54347"/>
    <cellStyle name="Note 2 3 23" xfId="2386"/>
    <cellStyle name="Note 2 3 23 2" xfId="10209"/>
    <cellStyle name="Note 2 3 23 3" xfId="17637"/>
    <cellStyle name="Note 2 3 23 4" xfId="25060"/>
    <cellStyle name="Note 2 3 23 5" xfId="33420"/>
    <cellStyle name="Note 2 3 23 6" xfId="41120"/>
    <cellStyle name="Note 2 3 23 7" xfId="50925"/>
    <cellStyle name="Note 2 3 24" xfId="2420"/>
    <cellStyle name="Note 2 3 24 2" xfId="10243"/>
    <cellStyle name="Note 2 3 24 3" xfId="17671"/>
    <cellStyle name="Note 2 3 24 4" xfId="25617"/>
    <cellStyle name="Note 2 3 24 5" xfId="34130"/>
    <cellStyle name="Note 2 3 24 6" xfId="37931"/>
    <cellStyle name="Note 2 3 24 7" xfId="52125"/>
    <cellStyle name="Note 2 3 25" xfId="2120"/>
    <cellStyle name="Note 2 3 25 2" xfId="9943"/>
    <cellStyle name="Note 2 3 25 3" xfId="17371"/>
    <cellStyle name="Note 2 3 25 4" xfId="26059"/>
    <cellStyle name="Note 2 3 25 5" xfId="34703"/>
    <cellStyle name="Note 2 3 25 6" xfId="38132"/>
    <cellStyle name="Note 2 3 25 7" xfId="53123"/>
    <cellStyle name="Note 2 3 26" xfId="3110"/>
    <cellStyle name="Note 2 3 26 2" xfId="10915"/>
    <cellStyle name="Note 2 3 26 3" xfId="18296"/>
    <cellStyle name="Note 2 3 26 4" xfId="20153"/>
    <cellStyle name="Note 2 3 26 5" xfId="27277"/>
    <cellStyle name="Note 2 3 26 6" xfId="41416"/>
    <cellStyle name="Note 2 3 26 7" xfId="49441"/>
    <cellStyle name="Note 2 3 27" xfId="3155"/>
    <cellStyle name="Note 2 3 27 2" xfId="10957"/>
    <cellStyle name="Note 2 3 27 3" xfId="18327"/>
    <cellStyle name="Note 2 3 27 4" xfId="26445"/>
    <cellStyle name="Note 2 3 27 5" xfId="35220"/>
    <cellStyle name="Note 2 3 27 6" xfId="39698"/>
    <cellStyle name="Note 2 3 27 7" xfId="53952"/>
    <cellStyle name="Note 2 3 28" xfId="2989"/>
    <cellStyle name="Note 2 3 28 2" xfId="10811"/>
    <cellStyle name="Note 2 3 28 3" xfId="18237"/>
    <cellStyle name="Note 2 3 28 4" xfId="26649"/>
    <cellStyle name="Note 2 3 28 5" xfId="35493"/>
    <cellStyle name="Note 2 3 28 6" xfId="41764"/>
    <cellStyle name="Note 2 3 28 7" xfId="54389"/>
    <cellStyle name="Note 2 3 29" xfId="2991"/>
    <cellStyle name="Note 2 3 29 2" xfId="10813"/>
    <cellStyle name="Note 2 3 29 3" xfId="18238"/>
    <cellStyle name="Note 2 3 29 4" xfId="26593"/>
    <cellStyle name="Note 2 3 29 5" xfId="35415"/>
    <cellStyle name="Note 2 3 29 6" xfId="41522"/>
    <cellStyle name="Note 2 3 29 7" xfId="54262"/>
    <cellStyle name="Note 2 3 3" xfId="559"/>
    <cellStyle name="Note 2 3 3 10" xfId="2006"/>
    <cellStyle name="Note 2 3 3 10 2" xfId="9829"/>
    <cellStyle name="Note 2 3 3 10 3" xfId="17257"/>
    <cellStyle name="Note 2 3 3 10 4" xfId="25662"/>
    <cellStyle name="Note 2 3 3 10 5" xfId="34189"/>
    <cellStyle name="Note 2 3 3 10 6" xfId="41846"/>
    <cellStyle name="Note 2 3 3 10 7" xfId="52225"/>
    <cellStyle name="Note 2 3 3 11" xfId="2123"/>
    <cellStyle name="Note 2 3 3 11 2" xfId="9946"/>
    <cellStyle name="Note 2 3 3 11 3" xfId="17374"/>
    <cellStyle name="Note 2 3 3 11 4" xfId="25945"/>
    <cellStyle name="Note 2 3 3 11 5" xfId="34550"/>
    <cellStyle name="Note 2 3 3 11 6" xfId="37961"/>
    <cellStyle name="Note 2 3 3 11 7" xfId="52879"/>
    <cellStyle name="Note 2 3 3 12" xfId="2237"/>
    <cellStyle name="Note 2 3 3 12 2" xfId="10060"/>
    <cellStyle name="Note 2 3 3 12 3" xfId="17488"/>
    <cellStyle name="Note 2 3 3 12 4" xfId="19341"/>
    <cellStyle name="Note 2 3 3 12 5" xfId="28472"/>
    <cellStyle name="Note 2 3 3 12 6" xfId="40915"/>
    <cellStyle name="Note 2 3 3 12 7" xfId="47897"/>
    <cellStyle name="Note 2 3 3 13" xfId="1513"/>
    <cellStyle name="Note 2 3 3 13 2" xfId="9336"/>
    <cellStyle name="Note 2 3 3 13 3" xfId="16764"/>
    <cellStyle name="Note 2 3 3 13 4" xfId="25026"/>
    <cellStyle name="Note 2 3 3 13 5" xfId="33381"/>
    <cellStyle name="Note 2 3 3 13 6" xfId="40096"/>
    <cellStyle name="Note 2 3 3 13 7" xfId="50855"/>
    <cellStyle name="Note 2 3 3 14" xfId="1199"/>
    <cellStyle name="Note 2 3 3 14 2" xfId="9022"/>
    <cellStyle name="Note 2 3 3 14 3" xfId="16450"/>
    <cellStyle name="Note 2 3 3 14 4" xfId="25608"/>
    <cellStyle name="Note 2 3 3 14 5" xfId="34119"/>
    <cellStyle name="Note 2 3 3 14 6" xfId="41333"/>
    <cellStyle name="Note 2 3 3 14 7" xfId="52106"/>
    <cellStyle name="Note 2 3 3 15" xfId="2534"/>
    <cellStyle name="Note 2 3 3 15 2" xfId="10357"/>
    <cellStyle name="Note 2 3 3 15 3" xfId="17785"/>
    <cellStyle name="Note 2 3 3 15 4" xfId="19562"/>
    <cellStyle name="Note 2 3 3 15 5" xfId="28777"/>
    <cellStyle name="Note 2 3 3 15 6" xfId="42025"/>
    <cellStyle name="Note 2 3 3 15 7" xfId="50157"/>
    <cellStyle name="Note 2 3 3 16" xfId="2648"/>
    <cellStyle name="Note 2 3 3 16 2" xfId="10471"/>
    <cellStyle name="Note 2 3 3 16 3" xfId="17899"/>
    <cellStyle name="Note 2 3 3 16 4" xfId="25156"/>
    <cellStyle name="Note 2 3 3 16 5" xfId="33533"/>
    <cellStyle name="Note 2 3 3 16 6" xfId="37899"/>
    <cellStyle name="Note 2 3 3 16 7" xfId="51124"/>
    <cellStyle name="Note 2 3 3 17" xfId="2448"/>
    <cellStyle name="Note 2 3 3 17 2" xfId="10271"/>
    <cellStyle name="Note 2 3 3 17 3" xfId="17699"/>
    <cellStyle name="Note 2 3 3 17 4" xfId="19640"/>
    <cellStyle name="Note 2 3 3 17 5" xfId="28478"/>
    <cellStyle name="Note 2 3 3 17 6" xfId="36831"/>
    <cellStyle name="Note 2 3 3 17 7" xfId="48281"/>
    <cellStyle name="Note 2 3 3 18" xfId="2699"/>
    <cellStyle name="Note 2 3 3 18 2" xfId="10522"/>
    <cellStyle name="Note 2 3 3 18 3" xfId="17950"/>
    <cellStyle name="Note 2 3 3 18 4" xfId="19876"/>
    <cellStyle name="Note 2 3 3 18 5" xfId="27018"/>
    <cellStyle name="Note 2 3 3 18 6" xfId="39916"/>
    <cellStyle name="Note 2 3 3 18 7" xfId="48051"/>
    <cellStyle name="Note 2 3 3 19" xfId="2839"/>
    <cellStyle name="Note 2 3 3 19 2" xfId="10662"/>
    <cellStyle name="Note 2 3 3 19 3" xfId="18090"/>
    <cellStyle name="Note 2 3 3 19 4" xfId="20619"/>
    <cellStyle name="Note 2 3 3 19 5" xfId="28019"/>
    <cellStyle name="Note 2 3 3 19 6" xfId="40573"/>
    <cellStyle name="Note 2 3 3 19 7" xfId="48501"/>
    <cellStyle name="Note 2 3 3 2" xfId="707"/>
    <cellStyle name="Note 2 3 3 2 2" xfId="8531"/>
    <cellStyle name="Note 2 3 3 2 3" xfId="15959"/>
    <cellStyle name="Note 2 3 3 2 4" xfId="25998"/>
    <cellStyle name="Note 2 3 3 2 5" xfId="34622"/>
    <cellStyle name="Note 2 3 3 2 6" xfId="37376"/>
    <cellStyle name="Note 2 3 3 2 7" xfId="52991"/>
    <cellStyle name="Note 2 3 3 20" xfId="2946"/>
    <cellStyle name="Note 2 3 3 20 2" xfId="10769"/>
    <cellStyle name="Note 2 3 3 20 3" xfId="18197"/>
    <cellStyle name="Note 2 3 3 20 4" xfId="25253"/>
    <cellStyle name="Note 2 3 3 20 5" xfId="33659"/>
    <cellStyle name="Note 2 3 3 20 6" xfId="36540"/>
    <cellStyle name="Note 2 3 3 20 7" xfId="51329"/>
    <cellStyle name="Note 2 3 3 21" xfId="3323"/>
    <cellStyle name="Note 2 3 3 21 2" xfId="11116"/>
    <cellStyle name="Note 2 3 3 21 3" xfId="18444"/>
    <cellStyle name="Note 2 3 3 21 4" xfId="20393"/>
    <cellStyle name="Note 2 3 3 21 5" xfId="27470"/>
    <cellStyle name="Note 2 3 3 21 6" xfId="37560"/>
    <cellStyle name="Note 2 3 3 21 7" xfId="47398"/>
    <cellStyle name="Note 2 3 3 22" xfId="3442"/>
    <cellStyle name="Note 2 3 3 22 2" xfId="11233"/>
    <cellStyle name="Note 2 3 3 22 3" xfId="18555"/>
    <cellStyle name="Note 2 3 3 22 4" xfId="26138"/>
    <cellStyle name="Note 2 3 3 22 5" xfId="34802"/>
    <cellStyle name="Note 2 3 3 22 6" xfId="40203"/>
    <cellStyle name="Note 2 3 3 22 7" xfId="53286"/>
    <cellStyle name="Note 2 3 3 23" xfId="3565"/>
    <cellStyle name="Note 2 3 3 23 2" xfId="11354"/>
    <cellStyle name="Note 2 3 3 23 3" xfId="18637"/>
    <cellStyle name="Note 2 3 3 23 4" xfId="25047"/>
    <cellStyle name="Note 2 3 3 23 5" xfId="33406"/>
    <cellStyle name="Note 2 3 3 23 6" xfId="37185"/>
    <cellStyle name="Note 2 3 3 23 7" xfId="50896"/>
    <cellStyle name="Note 2 3 3 24" xfId="3602"/>
    <cellStyle name="Note 2 3 3 24 2" xfId="11388"/>
    <cellStyle name="Note 2 3 3 24 3" xfId="18662"/>
    <cellStyle name="Note 2 3 3 24 4" xfId="19669"/>
    <cellStyle name="Note 2 3 3 24 5" xfId="27010"/>
    <cellStyle name="Note 2 3 3 24 6" xfId="39001"/>
    <cellStyle name="Note 2 3 3 24 7" xfId="47601"/>
    <cellStyle name="Note 2 3 3 25" xfId="3715"/>
    <cellStyle name="Note 2 3 3 25 2" xfId="11500"/>
    <cellStyle name="Note 2 3 3 25 3" xfId="18772"/>
    <cellStyle name="Note 2 3 3 25 4" xfId="20679"/>
    <cellStyle name="Note 2 3 3 25 5" xfId="27071"/>
    <cellStyle name="Note 2 3 3 25 6" xfId="41854"/>
    <cellStyle name="Note 2 3 3 25 7" xfId="48324"/>
    <cellStyle name="Note 2 3 3 26" xfId="3844"/>
    <cellStyle name="Note 2 3 3 26 2" xfId="11626"/>
    <cellStyle name="Note 2 3 3 26 3" xfId="18882"/>
    <cellStyle name="Note 2 3 3 26 4" xfId="19575"/>
    <cellStyle name="Note 2 3 3 26 5" xfId="27770"/>
    <cellStyle name="Note 2 3 3 26 6" xfId="37844"/>
    <cellStyle name="Note 2 3 3 26 7" xfId="50124"/>
    <cellStyle name="Note 2 3 3 27" xfId="3963"/>
    <cellStyle name="Note 2 3 3 27 2" xfId="11742"/>
    <cellStyle name="Note 2 3 3 27 3" xfId="18991"/>
    <cellStyle name="Note 2 3 3 27 4" xfId="26254"/>
    <cellStyle name="Note 2 3 3 27 5" xfId="34951"/>
    <cellStyle name="Note 2 3 3 27 6" xfId="40421"/>
    <cellStyle name="Note 2 3 3 27 7" xfId="53546"/>
    <cellStyle name="Note 2 3 3 28" xfId="3169"/>
    <cellStyle name="Note 2 3 3 28 2" xfId="10971"/>
    <cellStyle name="Note 2 3 3 28 3" xfId="20302"/>
    <cellStyle name="Note 2 3 3 28 4" xfId="28392"/>
    <cellStyle name="Note 2 3 3 28 5" xfId="35834"/>
    <cellStyle name="Note 2 3 3 28 6" xfId="42419"/>
    <cellStyle name="Note 2 3 3 28 7" xfId="52574"/>
    <cellStyle name="Note 2 3 3 29" xfId="4159"/>
    <cellStyle name="Note 2 3 3 29 2" xfId="11918"/>
    <cellStyle name="Note 2 3 3 29 3" xfId="20869"/>
    <cellStyle name="Note 2 3 3 29 4" xfId="29056"/>
    <cellStyle name="Note 2 3 3 29 5" xfId="26961"/>
    <cellStyle name="Note 2 3 3 29 6" xfId="42721"/>
    <cellStyle name="Note 2 3 3 29 7" xfId="47228"/>
    <cellStyle name="Note 2 3 3 3" xfId="816"/>
    <cellStyle name="Note 2 3 3 3 2" xfId="8640"/>
    <cellStyle name="Note 2 3 3 3 3" xfId="16068"/>
    <cellStyle name="Note 2 3 3 3 4" xfId="26678"/>
    <cellStyle name="Note 2 3 3 3 5" xfId="35525"/>
    <cellStyle name="Note 2 3 3 3 6" xfId="37869"/>
    <cellStyle name="Note 2 3 3 3 7" xfId="54447"/>
    <cellStyle name="Note 2 3 3 30" xfId="4204"/>
    <cellStyle name="Note 2 3 3 30 2" xfId="20914"/>
    <cellStyle name="Note 2 3 3 30 3" xfId="29101"/>
    <cellStyle name="Note 2 3 3 30 4" xfId="28213"/>
    <cellStyle name="Note 2 3 3 30 5" xfId="42766"/>
    <cellStyle name="Note 2 3 3 30 6" xfId="51332"/>
    <cellStyle name="Note 2 3 3 31" xfId="4357"/>
    <cellStyle name="Note 2 3 3 31 2" xfId="12074"/>
    <cellStyle name="Note 2 3 3 31 3" xfId="21067"/>
    <cellStyle name="Note 2 3 3 31 4" xfId="29254"/>
    <cellStyle name="Note 2 3 3 31 5" xfId="35967"/>
    <cellStyle name="Note 2 3 3 31 6" xfId="42919"/>
    <cellStyle name="Note 2 3 3 31 7" xfId="53258"/>
    <cellStyle name="Note 2 3 3 32" xfId="4479"/>
    <cellStyle name="Note 2 3 3 32 2" xfId="12196"/>
    <cellStyle name="Note 2 3 3 32 3" xfId="21189"/>
    <cellStyle name="Note 2 3 3 32 4" xfId="29376"/>
    <cellStyle name="Note 2 3 3 32 5" xfId="36040"/>
    <cellStyle name="Note 2 3 3 32 6" xfId="43041"/>
    <cellStyle name="Note 2 3 3 32 7" xfId="53609"/>
    <cellStyle name="Note 2 3 3 33" xfId="4593"/>
    <cellStyle name="Note 2 3 3 33 2" xfId="12310"/>
    <cellStyle name="Note 2 3 3 33 3" xfId="21303"/>
    <cellStyle name="Note 2 3 3 33 4" xfId="29490"/>
    <cellStyle name="Note 2 3 3 33 5" xfId="28463"/>
    <cellStyle name="Note 2 3 3 33 6" xfId="43155"/>
    <cellStyle name="Note 2 3 3 33 7" xfId="50465"/>
    <cellStyle name="Note 2 3 3 34" xfId="4706"/>
    <cellStyle name="Note 2 3 3 34 2" xfId="12423"/>
    <cellStyle name="Note 2 3 3 34 3" xfId="21416"/>
    <cellStyle name="Note 2 3 3 34 4" xfId="29603"/>
    <cellStyle name="Note 2 3 3 34 5" xfId="36088"/>
    <cellStyle name="Note 2 3 3 34 6" xfId="43268"/>
    <cellStyle name="Note 2 3 3 34 7" xfId="53845"/>
    <cellStyle name="Note 2 3 3 35" xfId="4816"/>
    <cellStyle name="Note 2 3 3 35 2" xfId="12533"/>
    <cellStyle name="Note 2 3 3 35 3" xfId="21526"/>
    <cellStyle name="Note 2 3 3 35 4" xfId="29713"/>
    <cellStyle name="Note 2 3 3 35 5" xfId="34755"/>
    <cellStyle name="Note 2 3 3 35 6" xfId="43378"/>
    <cellStyle name="Note 2 3 3 35 7" xfId="50149"/>
    <cellStyle name="Note 2 3 3 36" xfId="4926"/>
    <cellStyle name="Note 2 3 3 36 2" xfId="12643"/>
    <cellStyle name="Note 2 3 3 36 3" xfId="21636"/>
    <cellStyle name="Note 2 3 3 36 4" xfId="29823"/>
    <cellStyle name="Note 2 3 3 36 5" xfId="33604"/>
    <cellStyle name="Note 2 3 3 36 6" xfId="43488"/>
    <cellStyle name="Note 2 3 3 36 7" xfId="47724"/>
    <cellStyle name="Note 2 3 3 37" xfId="5036"/>
    <cellStyle name="Note 2 3 3 37 2" xfId="12753"/>
    <cellStyle name="Note 2 3 3 37 3" xfId="21746"/>
    <cellStyle name="Note 2 3 3 37 4" xfId="29933"/>
    <cellStyle name="Note 2 3 3 37 5" xfId="34685"/>
    <cellStyle name="Note 2 3 3 37 6" xfId="43598"/>
    <cellStyle name="Note 2 3 3 37 7" xfId="50459"/>
    <cellStyle name="Note 2 3 3 38" xfId="5416"/>
    <cellStyle name="Note 2 3 3 38 2" xfId="13133"/>
    <cellStyle name="Note 2 3 3 38 3" xfId="22126"/>
    <cellStyle name="Note 2 3 3 38 4" xfId="30313"/>
    <cellStyle name="Note 2 3 3 38 5" xfId="26925"/>
    <cellStyle name="Note 2 3 3 38 6" xfId="43978"/>
    <cellStyle name="Note 2 3 3 38 7" xfId="49507"/>
    <cellStyle name="Note 2 3 3 39" xfId="5536"/>
    <cellStyle name="Note 2 3 3 39 2" xfId="13253"/>
    <cellStyle name="Note 2 3 3 39 3" xfId="22246"/>
    <cellStyle name="Note 2 3 3 39 4" xfId="30433"/>
    <cellStyle name="Note 2 3 3 39 5" xfId="33605"/>
    <cellStyle name="Note 2 3 3 39 6" xfId="44098"/>
    <cellStyle name="Note 2 3 3 39 7" xfId="46792"/>
    <cellStyle name="Note 2 3 3 4" xfId="926"/>
    <cellStyle name="Note 2 3 3 4 2" xfId="8750"/>
    <cellStyle name="Note 2 3 3 4 3" xfId="16178"/>
    <cellStyle name="Note 2 3 3 4 4" xfId="25162"/>
    <cellStyle name="Note 2 3 3 4 5" xfId="33540"/>
    <cellStyle name="Note 2 3 3 4 6" xfId="37240"/>
    <cellStyle name="Note 2 3 3 4 7" xfId="51135"/>
    <cellStyle name="Note 2 3 3 40" xfId="5660"/>
    <cellStyle name="Note 2 3 3 40 2" xfId="13377"/>
    <cellStyle name="Note 2 3 3 40 3" xfId="22370"/>
    <cellStyle name="Note 2 3 3 40 4" xfId="30557"/>
    <cellStyle name="Note 2 3 3 40 5" xfId="27410"/>
    <cellStyle name="Note 2 3 3 40 6" xfId="44222"/>
    <cellStyle name="Note 2 3 3 40 7" xfId="47110"/>
    <cellStyle name="Note 2 3 3 41" xfId="5776"/>
    <cellStyle name="Note 2 3 3 41 2" xfId="13493"/>
    <cellStyle name="Note 2 3 3 41 3" xfId="22486"/>
    <cellStyle name="Note 2 3 3 41 4" xfId="30673"/>
    <cellStyle name="Note 2 3 3 41 5" xfId="27320"/>
    <cellStyle name="Note 2 3 3 41 6" xfId="44338"/>
    <cellStyle name="Note 2 3 3 41 7" xfId="49365"/>
    <cellStyle name="Note 2 3 3 42" xfId="5893"/>
    <cellStyle name="Note 2 3 3 42 2" xfId="13610"/>
    <cellStyle name="Note 2 3 3 42 3" xfId="22603"/>
    <cellStyle name="Note 2 3 3 42 4" xfId="30790"/>
    <cellStyle name="Note 2 3 3 42 5" xfId="34867"/>
    <cellStyle name="Note 2 3 3 42 6" xfId="44455"/>
    <cellStyle name="Note 2 3 3 42 7" xfId="49989"/>
    <cellStyle name="Note 2 3 3 43" xfId="6021"/>
    <cellStyle name="Note 2 3 3 43 2" xfId="13738"/>
    <cellStyle name="Note 2 3 3 43 3" xfId="22731"/>
    <cellStyle name="Note 2 3 3 43 4" xfId="30918"/>
    <cellStyle name="Note 2 3 3 43 5" xfId="35865"/>
    <cellStyle name="Note 2 3 3 43 6" xfId="44583"/>
    <cellStyle name="Note 2 3 3 43 7" xfId="52370"/>
    <cellStyle name="Note 2 3 3 44" xfId="6115"/>
    <cellStyle name="Note 2 3 3 44 2" xfId="13832"/>
    <cellStyle name="Note 2 3 3 44 3" xfId="22825"/>
    <cellStyle name="Note 2 3 3 44 4" xfId="31012"/>
    <cellStyle name="Note 2 3 3 44 5" xfId="28354"/>
    <cellStyle name="Note 2 3 3 44 6" xfId="44677"/>
    <cellStyle name="Note 2 3 3 44 7" xfId="47426"/>
    <cellStyle name="Note 2 3 3 45" xfId="6148"/>
    <cellStyle name="Note 2 3 3 45 2" xfId="13865"/>
    <cellStyle name="Note 2 3 3 45 3" xfId="22858"/>
    <cellStyle name="Note 2 3 3 45 4" xfId="31045"/>
    <cellStyle name="Note 2 3 3 45 5" xfId="36098"/>
    <cellStyle name="Note 2 3 3 45 6" xfId="44710"/>
    <cellStyle name="Note 2 3 3 45 7" xfId="53672"/>
    <cellStyle name="Note 2 3 3 46" xfId="6277"/>
    <cellStyle name="Note 2 3 3 46 2" xfId="13994"/>
    <cellStyle name="Note 2 3 3 46 3" xfId="22987"/>
    <cellStyle name="Note 2 3 3 46 4" xfId="31174"/>
    <cellStyle name="Note 2 3 3 46 5" xfId="27220"/>
    <cellStyle name="Note 2 3 3 46 6" xfId="44839"/>
    <cellStyle name="Note 2 3 3 46 7" xfId="47004"/>
    <cellStyle name="Note 2 3 3 47" xfId="6392"/>
    <cellStyle name="Note 2 3 3 47 2" xfId="14109"/>
    <cellStyle name="Note 2 3 3 47 3" xfId="23102"/>
    <cellStyle name="Note 2 3 3 47 4" xfId="31289"/>
    <cellStyle name="Note 2 3 3 47 5" xfId="34354"/>
    <cellStyle name="Note 2 3 3 47 6" xfId="44954"/>
    <cellStyle name="Note 2 3 3 47 7" xfId="50720"/>
    <cellStyle name="Note 2 3 3 48" xfId="6504"/>
    <cellStyle name="Note 2 3 3 48 2" xfId="14221"/>
    <cellStyle name="Note 2 3 3 48 3" xfId="23214"/>
    <cellStyle name="Note 2 3 3 48 4" xfId="31401"/>
    <cellStyle name="Note 2 3 3 48 5" xfId="36151"/>
    <cellStyle name="Note 2 3 3 48 6" xfId="45066"/>
    <cellStyle name="Note 2 3 3 48 7" xfId="53769"/>
    <cellStyle name="Note 2 3 3 49" xfId="5370"/>
    <cellStyle name="Note 2 3 3 49 2" xfId="13087"/>
    <cellStyle name="Note 2 3 3 49 3" xfId="22080"/>
    <cellStyle name="Note 2 3 3 49 4" xfId="30267"/>
    <cellStyle name="Note 2 3 3 49 5" xfId="36175"/>
    <cellStyle name="Note 2 3 3 49 6" xfId="43932"/>
    <cellStyle name="Note 2 3 3 49 7" xfId="54265"/>
    <cellStyle name="Note 2 3 3 5" xfId="1394"/>
    <cellStyle name="Note 2 3 3 5 2" xfId="9217"/>
    <cellStyle name="Note 2 3 3 5 3" xfId="16645"/>
    <cellStyle name="Note 2 3 3 5 4" xfId="19852"/>
    <cellStyle name="Note 2 3 3 5 5" xfId="28218"/>
    <cellStyle name="Note 2 3 3 5 6" xfId="37286"/>
    <cellStyle name="Note 2 3 3 5 7" xfId="50115"/>
    <cellStyle name="Note 2 3 3 50" xfId="6651"/>
    <cellStyle name="Note 2 3 3 50 2" xfId="14368"/>
    <cellStyle name="Note 2 3 3 50 3" xfId="23361"/>
    <cellStyle name="Note 2 3 3 50 4" xfId="31548"/>
    <cellStyle name="Note 2 3 3 50 5" xfId="35971"/>
    <cellStyle name="Note 2 3 3 50 6" xfId="45213"/>
    <cellStyle name="Note 2 3 3 50 7" xfId="53081"/>
    <cellStyle name="Note 2 3 3 51" xfId="6762"/>
    <cellStyle name="Note 2 3 3 51 2" xfId="14479"/>
    <cellStyle name="Note 2 3 3 51 3" xfId="23472"/>
    <cellStyle name="Note 2 3 3 51 4" xfId="31659"/>
    <cellStyle name="Note 2 3 3 51 5" xfId="33731"/>
    <cellStyle name="Note 2 3 3 51 6" xfId="45324"/>
    <cellStyle name="Note 2 3 3 51 7" xfId="48616"/>
    <cellStyle name="Note 2 3 3 52" xfId="6877"/>
    <cellStyle name="Note 2 3 3 52 2" xfId="14594"/>
    <cellStyle name="Note 2 3 3 52 3" xfId="23587"/>
    <cellStyle name="Note 2 3 3 52 4" xfId="31774"/>
    <cellStyle name="Note 2 3 3 52 5" xfId="35361"/>
    <cellStyle name="Note 2 3 3 52 6" xfId="45439"/>
    <cellStyle name="Note 2 3 3 52 7" xfId="46888"/>
    <cellStyle name="Note 2 3 3 53" xfId="6990"/>
    <cellStyle name="Note 2 3 3 53 2" xfId="14707"/>
    <cellStyle name="Note 2 3 3 53 3" xfId="23700"/>
    <cellStyle name="Note 2 3 3 53 4" xfId="31887"/>
    <cellStyle name="Note 2 3 3 53 5" xfId="36246"/>
    <cellStyle name="Note 2 3 3 53 6" xfId="45552"/>
    <cellStyle name="Note 2 3 3 53 7" xfId="46998"/>
    <cellStyle name="Note 2 3 3 54" xfId="7100"/>
    <cellStyle name="Note 2 3 3 54 2" xfId="14817"/>
    <cellStyle name="Note 2 3 3 54 3" xfId="23810"/>
    <cellStyle name="Note 2 3 3 54 4" xfId="31997"/>
    <cellStyle name="Note 2 3 3 54 5" xfId="33434"/>
    <cellStyle name="Note 2 3 3 54 6" xfId="45662"/>
    <cellStyle name="Note 2 3 3 54 7" xfId="48255"/>
    <cellStyle name="Note 2 3 3 55" xfId="7176"/>
    <cellStyle name="Note 2 3 3 55 2" xfId="14893"/>
    <cellStyle name="Note 2 3 3 55 3" xfId="23886"/>
    <cellStyle name="Note 2 3 3 55 4" xfId="32073"/>
    <cellStyle name="Note 2 3 3 55 5" xfId="36206"/>
    <cellStyle name="Note 2 3 3 55 6" xfId="45738"/>
    <cellStyle name="Note 2 3 3 55 7" xfId="53907"/>
    <cellStyle name="Note 2 3 3 56" xfId="7382"/>
    <cellStyle name="Note 2 3 3 56 2" xfId="15099"/>
    <cellStyle name="Note 2 3 3 56 3" xfId="24092"/>
    <cellStyle name="Note 2 3 3 56 4" xfId="32279"/>
    <cellStyle name="Note 2 3 3 56 5" xfId="35780"/>
    <cellStyle name="Note 2 3 3 56 6" xfId="45944"/>
    <cellStyle name="Note 2 3 3 56 7" xfId="51575"/>
    <cellStyle name="Note 2 3 3 57" xfId="7497"/>
    <cellStyle name="Note 2 3 3 57 2" xfId="15214"/>
    <cellStyle name="Note 2 3 3 57 3" xfId="24207"/>
    <cellStyle name="Note 2 3 3 57 4" xfId="32394"/>
    <cellStyle name="Note 2 3 3 57 5" xfId="27402"/>
    <cellStyle name="Note 2 3 3 57 6" xfId="46059"/>
    <cellStyle name="Note 2 3 3 57 7" xfId="50325"/>
    <cellStyle name="Note 2 3 3 58" xfId="7618"/>
    <cellStyle name="Note 2 3 3 58 2" xfId="15335"/>
    <cellStyle name="Note 2 3 3 58 3" xfId="24328"/>
    <cellStyle name="Note 2 3 3 58 4" xfId="32515"/>
    <cellStyle name="Note 2 3 3 58 5" xfId="34684"/>
    <cellStyle name="Note 2 3 3 58 6" xfId="46180"/>
    <cellStyle name="Note 2 3 3 58 7" xfId="54401"/>
    <cellStyle name="Note 2 3 3 59" xfId="7895"/>
    <cellStyle name="Note 2 3 3 59 2" xfId="15612"/>
    <cellStyle name="Note 2 3 3 59 3" xfId="24599"/>
    <cellStyle name="Note 2 3 3 59 4" xfId="32792"/>
    <cellStyle name="Note 2 3 3 59 5" xfId="36194"/>
    <cellStyle name="Note 2 3 3 59 6" xfId="46457"/>
    <cellStyle name="Note 2 3 3 59 7" xfId="53555"/>
    <cellStyle name="Note 2 3 3 6" xfId="1517"/>
    <cellStyle name="Note 2 3 3 6 2" xfId="9340"/>
    <cellStyle name="Note 2 3 3 6 3" xfId="16768"/>
    <cellStyle name="Note 2 3 3 6 4" xfId="19754"/>
    <cellStyle name="Note 2 3 3 6 5" xfId="33109"/>
    <cellStyle name="Note 2 3 3 6 6" xfId="39751"/>
    <cellStyle name="Note 2 3 3 6 7" xfId="49700"/>
    <cellStyle name="Note 2 3 3 60" xfId="7782"/>
    <cellStyle name="Note 2 3 3 60 2" xfId="15499"/>
    <cellStyle name="Note 2 3 3 60 3" xfId="24488"/>
    <cellStyle name="Note 2 3 3 60 4" xfId="32679"/>
    <cellStyle name="Note 2 3 3 60 5" xfId="34406"/>
    <cellStyle name="Note 2 3 3 60 6" xfId="46344"/>
    <cellStyle name="Note 2 3 3 60 7" xfId="49503"/>
    <cellStyle name="Note 2 3 3 61" xfId="8023"/>
    <cellStyle name="Note 2 3 3 61 2" xfId="15740"/>
    <cellStyle name="Note 2 3 3 61 3" xfId="24725"/>
    <cellStyle name="Note 2 3 3 61 4" xfId="32920"/>
    <cellStyle name="Note 2 3 3 61 5" xfId="35578"/>
    <cellStyle name="Note 2 3 3 61 6" xfId="46585"/>
    <cellStyle name="Note 2 3 3 61 7" xfId="49679"/>
    <cellStyle name="Note 2 3 3 62" xfId="7749"/>
    <cellStyle name="Note 2 3 3 62 2" xfId="15466"/>
    <cellStyle name="Note 2 3 3 62 3" xfId="24457"/>
    <cellStyle name="Note 2 3 3 62 4" xfId="32646"/>
    <cellStyle name="Note 2 3 3 62 5" xfId="36077"/>
    <cellStyle name="Note 2 3 3 62 6" xfId="46311"/>
    <cellStyle name="Note 2 3 3 62 7" xfId="53215"/>
    <cellStyle name="Note 2 3 3 63" xfId="8170"/>
    <cellStyle name="Note 2 3 3 63 2" xfId="15887"/>
    <cellStyle name="Note 2 3 3 63 3" xfId="33067"/>
    <cellStyle name="Note 2 3 3 63 4" xfId="28247"/>
    <cellStyle name="Note 2 3 3 63 5" xfId="46732"/>
    <cellStyle name="Note 2 3 3 63 6" xfId="50099"/>
    <cellStyle name="Note 2 3 3 64" xfId="26120"/>
    <cellStyle name="Note 2 3 3 65" xfId="34779"/>
    <cellStyle name="Note 2 3 3 66" xfId="36252"/>
    <cellStyle name="Note 2 3 3 67" xfId="53250"/>
    <cellStyle name="Note 2 3 3 7" xfId="1115"/>
    <cellStyle name="Note 2 3 3 7 2" xfId="8939"/>
    <cellStyle name="Note 2 3 3 7 3" xfId="16367"/>
    <cellStyle name="Note 2 3 3 7 4" xfId="26151"/>
    <cellStyle name="Note 2 3 3 7 5" xfId="34820"/>
    <cellStyle name="Note 2 3 3 7 6" xfId="36597"/>
    <cellStyle name="Note 2 3 3 7 7" xfId="53322"/>
    <cellStyle name="Note 2 3 3 8" xfId="1754"/>
    <cellStyle name="Note 2 3 3 8 2" xfId="9577"/>
    <cellStyle name="Note 2 3 3 8 3" xfId="17005"/>
    <cellStyle name="Note 2 3 3 8 4" xfId="19412"/>
    <cellStyle name="Note 2 3 3 8 5" xfId="27702"/>
    <cellStyle name="Note 2 3 3 8 6" xfId="39159"/>
    <cellStyle name="Note 2 3 3 8 7" xfId="48663"/>
    <cellStyle name="Note 2 3 3 9" xfId="1887"/>
    <cellStyle name="Note 2 3 3 9 2" xfId="9710"/>
    <cellStyle name="Note 2 3 3 9 3" xfId="17138"/>
    <cellStyle name="Note 2 3 3 9 4" xfId="20396"/>
    <cellStyle name="Note 2 3 3 9 5" xfId="28687"/>
    <cellStyle name="Note 2 3 3 9 6" xfId="36464"/>
    <cellStyle name="Note 2 3 3 9 7" xfId="49331"/>
    <cellStyle name="Note 2 3 30" xfId="3088"/>
    <cellStyle name="Note 2 3 30 2" xfId="10895"/>
    <cellStyle name="Note 2 3 30 3" xfId="18281"/>
    <cellStyle name="Note 2 3 30 4" xfId="25556"/>
    <cellStyle name="Note 2 3 30 5" xfId="34051"/>
    <cellStyle name="Note 2 3 30 6" xfId="38091"/>
    <cellStyle name="Note 2 3 30 7" xfId="51991"/>
    <cellStyle name="Note 2 3 31" xfId="3556"/>
    <cellStyle name="Note 2 3 31 2" xfId="11345"/>
    <cellStyle name="Note 2 3 31 3" xfId="18631"/>
    <cellStyle name="Note 2 3 31 4" xfId="19175"/>
    <cellStyle name="Note 2 3 31 5" xfId="26907"/>
    <cellStyle name="Note 2 3 31 6" xfId="36446"/>
    <cellStyle name="Note 2 3 31 7" xfId="49188"/>
    <cellStyle name="Note 2 3 32" xfId="3512"/>
    <cellStyle name="Note 2 3 32 2" xfId="11303"/>
    <cellStyle name="Note 2 3 32 3" xfId="18601"/>
    <cellStyle name="Note 2 3 32 4" xfId="26247"/>
    <cellStyle name="Note 2 3 32 5" xfId="34940"/>
    <cellStyle name="Note 2 3 32 6" xfId="36861"/>
    <cellStyle name="Note 2 3 32 7" xfId="53532"/>
    <cellStyle name="Note 2 3 33" xfId="3498"/>
    <cellStyle name="Note 2 3 33 2" xfId="11289"/>
    <cellStyle name="Note 2 3 33 3" xfId="20482"/>
    <cellStyle name="Note 2 3 33 4" xfId="28604"/>
    <cellStyle name="Note 2 3 33 5" xfId="27471"/>
    <cellStyle name="Note 2 3 33 6" xfId="42489"/>
    <cellStyle name="Note 2 3 33 7" xfId="50567"/>
    <cellStyle name="Note 2 3 34" xfId="3186"/>
    <cellStyle name="Note 2 3 34 2" xfId="10987"/>
    <cellStyle name="Note 2 3 34 3" xfId="20314"/>
    <cellStyle name="Note 2 3 34 4" xfId="28406"/>
    <cellStyle name="Note 2 3 34 5" xfId="35567"/>
    <cellStyle name="Note 2 3 34 6" xfId="42429"/>
    <cellStyle name="Note 2 3 34 7" xfId="47533"/>
    <cellStyle name="Note 2 3 35" xfId="4246"/>
    <cellStyle name="Note 2 3 35 2" xfId="20956"/>
    <cellStyle name="Note 2 3 35 3" xfId="29143"/>
    <cellStyle name="Note 2 3 35 4" xfId="36218"/>
    <cellStyle name="Note 2 3 35 5" xfId="42808"/>
    <cellStyle name="Note 2 3 35 6" xfId="54472"/>
    <cellStyle name="Note 2 3 36" xfId="4023"/>
    <cellStyle name="Note 2 3 36 2" xfId="11797"/>
    <cellStyle name="Note 2 3 36 3" xfId="20733"/>
    <cellStyle name="Note 2 3 36 4" xfId="28920"/>
    <cellStyle name="Note 2 3 36 5" xfId="35625"/>
    <cellStyle name="Note 2 3 36 6" xfId="42585"/>
    <cellStyle name="Note 2 3 36 7" xfId="51604"/>
    <cellStyle name="Note 2 3 37" xfId="4046"/>
    <cellStyle name="Note 2 3 37 2" xfId="11815"/>
    <cellStyle name="Note 2 3 37 3" xfId="20756"/>
    <cellStyle name="Note 2 3 37 4" xfId="28943"/>
    <cellStyle name="Note 2 3 37 5" xfId="35868"/>
    <cellStyle name="Note 2 3 37 6" xfId="42608"/>
    <cellStyle name="Note 2 3 37 7" xfId="52736"/>
    <cellStyle name="Note 2 3 38" xfId="3884"/>
    <cellStyle name="Note 2 3 38 2" xfId="11664"/>
    <cellStyle name="Note 2 3 38 3" xfId="20654"/>
    <cellStyle name="Note 2 3 38 4" xfId="28825"/>
    <cellStyle name="Note 2 3 38 5" xfId="27403"/>
    <cellStyle name="Note 2 3 38 6" xfId="42552"/>
    <cellStyle name="Note 2 3 38 7" xfId="48056"/>
    <cellStyle name="Note 2 3 39" xfId="4622"/>
    <cellStyle name="Note 2 3 39 2" xfId="12339"/>
    <cellStyle name="Note 2 3 39 3" xfId="21332"/>
    <cellStyle name="Note 2 3 39 4" xfId="29519"/>
    <cellStyle name="Note 2 3 39 5" xfId="35669"/>
    <cellStyle name="Note 2 3 39 6" xfId="43184"/>
    <cellStyle name="Note 2 3 39 7" xfId="51767"/>
    <cellStyle name="Note 2 3 4" xfId="553"/>
    <cellStyle name="Note 2 3 4 10" xfId="2000"/>
    <cellStyle name="Note 2 3 4 10 2" xfId="9823"/>
    <cellStyle name="Note 2 3 4 10 3" xfId="17251"/>
    <cellStyle name="Note 2 3 4 10 4" xfId="25961"/>
    <cellStyle name="Note 2 3 4 10 5" xfId="34569"/>
    <cellStyle name="Note 2 3 4 10 6" xfId="40128"/>
    <cellStyle name="Note 2 3 4 10 7" xfId="52911"/>
    <cellStyle name="Note 2 3 4 11" xfId="2118"/>
    <cellStyle name="Note 2 3 4 11 2" xfId="9941"/>
    <cellStyle name="Note 2 3 4 11 3" xfId="17369"/>
    <cellStyle name="Note 2 3 4 11 4" xfId="26110"/>
    <cellStyle name="Note 2 3 4 11 5" xfId="34766"/>
    <cellStyle name="Note 2 3 4 11 6" xfId="38271"/>
    <cellStyle name="Note 2 3 4 11 7" xfId="53229"/>
    <cellStyle name="Note 2 3 4 12" xfId="2231"/>
    <cellStyle name="Note 2 3 4 12 2" xfId="10054"/>
    <cellStyle name="Note 2 3 4 12 3" xfId="17482"/>
    <cellStyle name="Note 2 3 4 12 4" xfId="19797"/>
    <cellStyle name="Note 2 3 4 12 5" xfId="28045"/>
    <cellStyle name="Note 2 3 4 12 6" xfId="41619"/>
    <cellStyle name="Note 2 3 4 12 7" xfId="47464"/>
    <cellStyle name="Note 2 3 4 13" xfId="1275"/>
    <cellStyle name="Note 2 3 4 13 2" xfId="9098"/>
    <cellStyle name="Note 2 3 4 13 3" xfId="16526"/>
    <cellStyle name="Note 2 3 4 13 4" xfId="19215"/>
    <cellStyle name="Note 2 3 4 13 5" xfId="28524"/>
    <cellStyle name="Note 2 3 4 13 6" xfId="40726"/>
    <cellStyle name="Note 2 3 4 13 7" xfId="47191"/>
    <cellStyle name="Note 2 3 4 14" xfId="2351"/>
    <cellStyle name="Note 2 3 4 14 2" xfId="10174"/>
    <cellStyle name="Note 2 3 4 14 3" xfId="17602"/>
    <cellStyle name="Note 2 3 4 14 4" xfId="25526"/>
    <cellStyle name="Note 2 3 4 14 5" xfId="34008"/>
    <cellStyle name="Note 2 3 4 14 6" xfId="38004"/>
    <cellStyle name="Note 2 3 4 14 7" xfId="51929"/>
    <cellStyle name="Note 2 3 4 15" xfId="2529"/>
    <cellStyle name="Note 2 3 4 15 2" xfId="10352"/>
    <cellStyle name="Note 2 3 4 15 3" xfId="17780"/>
    <cellStyle name="Note 2 3 4 15 4" xfId="20664"/>
    <cellStyle name="Note 2 3 4 15 5" xfId="27935"/>
    <cellStyle name="Note 2 3 4 15 6" xfId="42288"/>
    <cellStyle name="Note 2 3 4 15 7" xfId="47980"/>
    <cellStyle name="Note 2 3 4 16" xfId="2642"/>
    <cellStyle name="Note 2 3 4 16 2" xfId="10465"/>
    <cellStyle name="Note 2 3 4 16 3" xfId="17893"/>
    <cellStyle name="Note 2 3 4 16 4" xfId="25566"/>
    <cellStyle name="Note 2 3 4 16 5" xfId="34064"/>
    <cellStyle name="Note 2 3 4 16 6" xfId="38277"/>
    <cellStyle name="Note 2 3 4 16 7" xfId="52012"/>
    <cellStyle name="Note 2 3 4 17" xfId="1591"/>
    <cellStyle name="Note 2 3 4 17 2" xfId="9414"/>
    <cellStyle name="Note 2 3 4 17 3" xfId="16842"/>
    <cellStyle name="Note 2 3 4 17 4" xfId="25083"/>
    <cellStyle name="Note 2 3 4 17 5" xfId="33444"/>
    <cellStyle name="Note 2 3 4 17 6" xfId="39369"/>
    <cellStyle name="Note 2 3 4 17 7" xfId="50972"/>
    <cellStyle name="Note 2 3 4 18" xfId="1100"/>
    <cellStyle name="Note 2 3 4 18 2" xfId="8924"/>
    <cellStyle name="Note 2 3 4 18 3" xfId="16352"/>
    <cellStyle name="Note 2 3 4 18 4" xfId="19572"/>
    <cellStyle name="Note 2 3 4 18 5" xfId="26828"/>
    <cellStyle name="Note 2 3 4 18 6" xfId="36340"/>
    <cellStyle name="Note 2 3 4 18 7" xfId="49774"/>
    <cellStyle name="Note 2 3 4 19" xfId="2835"/>
    <cellStyle name="Note 2 3 4 19 2" xfId="10658"/>
    <cellStyle name="Note 2 3 4 19 3" xfId="18086"/>
    <cellStyle name="Note 2 3 4 19 4" xfId="25825"/>
    <cellStyle name="Note 2 3 4 19 5" xfId="34408"/>
    <cellStyle name="Note 2 3 4 19 6" xfId="40819"/>
    <cellStyle name="Note 2 3 4 19 7" xfId="52619"/>
    <cellStyle name="Note 2 3 4 2" xfId="703"/>
    <cellStyle name="Note 2 3 4 2 2" xfId="8527"/>
    <cellStyle name="Note 2 3 4 2 3" xfId="15955"/>
    <cellStyle name="Note 2 3 4 2 4" xfId="26144"/>
    <cellStyle name="Note 2 3 4 2 5" xfId="34810"/>
    <cellStyle name="Note 2 3 4 2 6" xfId="37540"/>
    <cellStyle name="Note 2 3 4 2 7" xfId="53306"/>
    <cellStyle name="Note 2 3 4 20" xfId="2942"/>
    <cellStyle name="Note 2 3 4 20 2" xfId="10765"/>
    <cellStyle name="Note 2 3 4 20 3" xfId="18193"/>
    <cellStyle name="Note 2 3 4 20 4" xfId="25561"/>
    <cellStyle name="Note 2 3 4 20 5" xfId="34057"/>
    <cellStyle name="Note 2 3 4 20 6" xfId="40213"/>
    <cellStyle name="Note 2 3 4 20 7" xfId="52003"/>
    <cellStyle name="Note 2 3 4 21" xfId="3318"/>
    <cellStyle name="Note 2 3 4 21 2" xfId="11111"/>
    <cellStyle name="Note 2 3 4 21 3" xfId="18440"/>
    <cellStyle name="Note 2 3 4 21 4" xfId="19564"/>
    <cellStyle name="Note 2 3 4 21 5" xfId="26887"/>
    <cellStyle name="Note 2 3 4 21 6" xfId="38028"/>
    <cellStyle name="Note 2 3 4 21 7" xfId="49740"/>
    <cellStyle name="Note 2 3 4 22" xfId="3438"/>
    <cellStyle name="Note 2 3 4 22 2" xfId="11229"/>
    <cellStyle name="Note 2 3 4 22 3" xfId="18551"/>
    <cellStyle name="Note 2 3 4 22 4" xfId="26246"/>
    <cellStyle name="Note 2 3 4 22 5" xfId="34938"/>
    <cellStyle name="Note 2 3 4 22 6" xfId="40564"/>
    <cellStyle name="Note 2 3 4 22 7" xfId="53526"/>
    <cellStyle name="Note 2 3 4 23" xfId="3561"/>
    <cellStyle name="Note 2 3 4 23 2" xfId="11350"/>
    <cellStyle name="Note 2 3 4 23 3" xfId="18635"/>
    <cellStyle name="Note 2 3 4 23 4" xfId="20026"/>
    <cellStyle name="Note 2 3 4 23 5" xfId="27755"/>
    <cellStyle name="Note 2 3 4 23 6" xfId="37411"/>
    <cellStyle name="Note 2 3 4 23 7" xfId="48687"/>
    <cellStyle name="Note 2 3 4 24" xfId="3597"/>
    <cellStyle name="Note 2 3 4 24 2" xfId="11383"/>
    <cellStyle name="Note 2 3 4 24 3" xfId="18658"/>
    <cellStyle name="Note 2 3 4 24 4" xfId="25785"/>
    <cellStyle name="Note 2 3 4 24 5" xfId="34351"/>
    <cellStyle name="Note 2 3 4 24 6" xfId="36510"/>
    <cellStyle name="Note 2 3 4 24 7" xfId="52521"/>
    <cellStyle name="Note 2 3 4 25" xfId="3709"/>
    <cellStyle name="Note 2 3 4 25 2" xfId="11494"/>
    <cellStyle name="Note 2 3 4 25 3" xfId="18767"/>
    <cellStyle name="Note 2 3 4 25 4" xfId="20671"/>
    <cellStyle name="Note 2 3 4 25 5" xfId="27221"/>
    <cellStyle name="Note 2 3 4 25 6" xfId="38504"/>
    <cellStyle name="Note 2 3 4 25 7" xfId="47685"/>
    <cellStyle name="Note 2 3 4 26" xfId="3839"/>
    <cellStyle name="Note 2 3 4 26 2" xfId="11621"/>
    <cellStyle name="Note 2 3 4 26 3" xfId="18878"/>
    <cellStyle name="Note 2 3 4 26 4" xfId="20260"/>
    <cellStyle name="Note 2 3 4 26 5" xfId="26888"/>
    <cellStyle name="Note 2 3 4 26 6" xfId="38157"/>
    <cellStyle name="Note 2 3 4 26 7" xfId="49729"/>
    <cellStyle name="Note 2 3 4 27" xfId="3957"/>
    <cellStyle name="Note 2 3 4 27 2" xfId="11737"/>
    <cellStyle name="Note 2 3 4 27 3" xfId="18987"/>
    <cellStyle name="Note 2 3 4 27 4" xfId="26523"/>
    <cellStyle name="Note 2 3 4 27 5" xfId="35322"/>
    <cellStyle name="Note 2 3 4 27 6" xfId="40887"/>
    <cellStyle name="Note 2 3 4 27 7" xfId="54121"/>
    <cellStyle name="Note 2 3 4 28" xfId="3099"/>
    <cellStyle name="Note 2 3 4 28 2" xfId="10904"/>
    <cellStyle name="Note 2 3 4 28 3" xfId="20258"/>
    <cellStyle name="Note 2 3 4 28 4" xfId="28347"/>
    <cellStyle name="Note 2 3 4 28 5" xfId="34747"/>
    <cellStyle name="Note 2 3 4 28 6" xfId="42400"/>
    <cellStyle name="Note 2 3 4 28 7" xfId="50693"/>
    <cellStyle name="Note 2 3 4 29" xfId="4154"/>
    <cellStyle name="Note 2 3 4 29 2" xfId="11913"/>
    <cellStyle name="Note 2 3 4 29 3" xfId="20864"/>
    <cellStyle name="Note 2 3 4 29 4" xfId="29051"/>
    <cellStyle name="Note 2 3 4 29 5" xfId="27114"/>
    <cellStyle name="Note 2 3 4 29 6" xfId="42716"/>
    <cellStyle name="Note 2 3 4 29 7" xfId="48319"/>
    <cellStyle name="Note 2 3 4 3" xfId="811"/>
    <cellStyle name="Note 2 3 4 3 2" xfId="8635"/>
    <cellStyle name="Note 2 3 4 3 3" xfId="16063"/>
    <cellStyle name="Note 2 3 4 3 4" xfId="26297"/>
    <cellStyle name="Note 2 3 4 3 5" xfId="35012"/>
    <cellStyle name="Note 2 3 4 3 6" xfId="38245"/>
    <cellStyle name="Note 2 3 4 3 7" xfId="53638"/>
    <cellStyle name="Note 2 3 4 30" xfId="4202"/>
    <cellStyle name="Note 2 3 4 30 2" xfId="20912"/>
    <cellStyle name="Note 2 3 4 30 3" xfId="29099"/>
    <cellStyle name="Note 2 3 4 30 4" xfId="35609"/>
    <cellStyle name="Note 2 3 4 30 5" xfId="42764"/>
    <cellStyle name="Note 2 3 4 30 6" xfId="51541"/>
    <cellStyle name="Note 2 3 4 31" xfId="4351"/>
    <cellStyle name="Note 2 3 4 31 2" xfId="12068"/>
    <cellStyle name="Note 2 3 4 31 3" xfId="21061"/>
    <cellStyle name="Note 2 3 4 31 4" xfId="29248"/>
    <cellStyle name="Note 2 3 4 31 5" xfId="36114"/>
    <cellStyle name="Note 2 3 4 31 6" xfId="42913"/>
    <cellStyle name="Note 2 3 4 31 7" xfId="53951"/>
    <cellStyle name="Note 2 3 4 32" xfId="4474"/>
    <cellStyle name="Note 2 3 4 32 2" xfId="12191"/>
    <cellStyle name="Note 2 3 4 32 3" xfId="21184"/>
    <cellStyle name="Note 2 3 4 32 4" xfId="29371"/>
    <cellStyle name="Note 2 3 4 32 5" xfId="36173"/>
    <cellStyle name="Note 2 3 4 32 6" xfId="43036"/>
    <cellStyle name="Note 2 3 4 32 7" xfId="54263"/>
    <cellStyle name="Note 2 3 4 33" xfId="4588"/>
    <cellStyle name="Note 2 3 4 33 2" xfId="12305"/>
    <cellStyle name="Note 2 3 4 33 3" xfId="21298"/>
    <cellStyle name="Note 2 3 4 33 4" xfId="29485"/>
    <cellStyle name="Note 2 3 4 33 5" xfId="27786"/>
    <cellStyle name="Note 2 3 4 33 6" xfId="43150"/>
    <cellStyle name="Note 2 3 4 33 7" xfId="50837"/>
    <cellStyle name="Note 2 3 4 34" xfId="4701"/>
    <cellStyle name="Note 2 3 4 34 2" xfId="12418"/>
    <cellStyle name="Note 2 3 4 34 3" xfId="21411"/>
    <cellStyle name="Note 2 3 4 34 4" xfId="29598"/>
    <cellStyle name="Note 2 3 4 34 5" xfId="36195"/>
    <cellStyle name="Note 2 3 4 34 6" xfId="43263"/>
    <cellStyle name="Note 2 3 4 34 7" xfId="54343"/>
    <cellStyle name="Note 2 3 4 35" xfId="4812"/>
    <cellStyle name="Note 2 3 4 35 2" xfId="12529"/>
    <cellStyle name="Note 2 3 4 35 3" xfId="21522"/>
    <cellStyle name="Note 2 3 4 35 4" xfId="29709"/>
    <cellStyle name="Note 2 3 4 35 5" xfId="26850"/>
    <cellStyle name="Note 2 3 4 35 6" xfId="43374"/>
    <cellStyle name="Note 2 3 4 35 7" xfId="50528"/>
    <cellStyle name="Note 2 3 4 36" xfId="4921"/>
    <cellStyle name="Note 2 3 4 36 2" xfId="12638"/>
    <cellStyle name="Note 2 3 4 36 3" xfId="21631"/>
    <cellStyle name="Note 2 3 4 36 4" xfId="29818"/>
    <cellStyle name="Note 2 3 4 36 5" xfId="35181"/>
    <cellStyle name="Note 2 3 4 36 6" xfId="43483"/>
    <cellStyle name="Note 2 3 4 36 7" xfId="50741"/>
    <cellStyle name="Note 2 3 4 37" xfId="5032"/>
    <cellStyle name="Note 2 3 4 37 2" xfId="12749"/>
    <cellStyle name="Note 2 3 4 37 3" xfId="21742"/>
    <cellStyle name="Note 2 3 4 37 4" xfId="29929"/>
    <cellStyle name="Note 2 3 4 37 5" xfId="35061"/>
    <cellStyle name="Note 2 3 4 37 6" xfId="43594"/>
    <cellStyle name="Note 2 3 4 37 7" xfId="50170"/>
    <cellStyle name="Note 2 3 4 38" xfId="5411"/>
    <cellStyle name="Note 2 3 4 38 2" xfId="13128"/>
    <cellStyle name="Note 2 3 4 38 3" xfId="22121"/>
    <cellStyle name="Note 2 3 4 38 4" xfId="30308"/>
    <cellStyle name="Note 2 3 4 38 5" xfId="35006"/>
    <cellStyle name="Note 2 3 4 38 6" xfId="43973"/>
    <cellStyle name="Note 2 3 4 38 7" xfId="50237"/>
    <cellStyle name="Note 2 3 4 39" xfId="5531"/>
    <cellStyle name="Note 2 3 4 39 2" xfId="13248"/>
    <cellStyle name="Note 2 3 4 39 3" xfId="22241"/>
    <cellStyle name="Note 2 3 4 39 4" xfId="30428"/>
    <cellStyle name="Note 2 3 4 39 5" xfId="27579"/>
    <cellStyle name="Note 2 3 4 39 6" xfId="44093"/>
    <cellStyle name="Note 2 3 4 39 7" xfId="47804"/>
    <cellStyle name="Note 2 3 4 4" xfId="922"/>
    <cellStyle name="Note 2 3 4 4 2" xfId="8746"/>
    <cellStyle name="Note 2 3 4 4 3" xfId="16174"/>
    <cellStyle name="Note 2 3 4 4 4" xfId="25361"/>
    <cellStyle name="Note 2 3 4 4 5" xfId="33799"/>
    <cellStyle name="Note 2 3 4 4 6" xfId="37469"/>
    <cellStyle name="Note 2 3 4 4 7" xfId="51557"/>
    <cellStyle name="Note 2 3 4 40" xfId="5655"/>
    <cellStyle name="Note 2 3 4 40 2" xfId="13372"/>
    <cellStyle name="Note 2 3 4 40 3" xfId="22365"/>
    <cellStyle name="Note 2 3 4 40 4" xfId="30552"/>
    <cellStyle name="Note 2 3 4 40 5" xfId="35193"/>
    <cellStyle name="Note 2 3 4 40 6" xfId="44217"/>
    <cellStyle name="Note 2 3 4 40 7" xfId="46951"/>
    <cellStyle name="Note 2 3 4 41" xfId="5771"/>
    <cellStyle name="Note 2 3 4 41 2" xfId="13488"/>
    <cellStyle name="Note 2 3 4 41 3" xfId="22481"/>
    <cellStyle name="Note 2 3 4 41 4" xfId="30668"/>
    <cellStyle name="Note 2 3 4 41 5" xfId="34500"/>
    <cellStyle name="Note 2 3 4 41 6" xfId="44333"/>
    <cellStyle name="Note 2 3 4 41 7" xfId="50006"/>
    <cellStyle name="Note 2 3 4 42" xfId="5887"/>
    <cellStyle name="Note 2 3 4 42 2" xfId="13604"/>
    <cellStyle name="Note 2 3 4 42 3" xfId="22597"/>
    <cellStyle name="Note 2 3 4 42 4" xfId="30784"/>
    <cellStyle name="Note 2 3 4 42 5" xfId="35506"/>
    <cellStyle name="Note 2 3 4 42 6" xfId="44449"/>
    <cellStyle name="Note 2 3 4 42 7" xfId="50662"/>
    <cellStyle name="Note 2 3 4 43" xfId="6016"/>
    <cellStyle name="Note 2 3 4 43 2" xfId="13733"/>
    <cellStyle name="Note 2 3 4 43 3" xfId="22726"/>
    <cellStyle name="Note 2 3 4 43 4" xfId="30913"/>
    <cellStyle name="Note 2 3 4 43 5" xfId="35954"/>
    <cellStyle name="Note 2 3 4 43 6" xfId="44578"/>
    <cellStyle name="Note 2 3 4 43 7" xfId="52944"/>
    <cellStyle name="Note 2 3 4 44" xfId="6111"/>
    <cellStyle name="Note 2 3 4 44 2" xfId="13828"/>
    <cellStyle name="Note 2 3 4 44 3" xfId="22821"/>
    <cellStyle name="Note 2 3 4 44 4" xfId="31008"/>
    <cellStyle name="Note 2 3 4 44 5" xfId="34691"/>
    <cellStyle name="Note 2 3 4 44 6" xfId="44673"/>
    <cellStyle name="Note 2 3 4 44 7" xfId="49685"/>
    <cellStyle name="Note 2 3 4 45" xfId="6143"/>
    <cellStyle name="Note 2 3 4 45 2" xfId="13860"/>
    <cellStyle name="Note 2 3 4 45 3" xfId="22853"/>
    <cellStyle name="Note 2 3 4 45 4" xfId="31040"/>
    <cellStyle name="Note 2 3 4 45 5" xfId="36205"/>
    <cellStyle name="Note 2 3 4 45 6" xfId="44705"/>
    <cellStyle name="Note 2 3 4 45 7" xfId="54118"/>
    <cellStyle name="Note 2 3 4 46" xfId="6272"/>
    <cellStyle name="Note 2 3 4 46 2" xfId="13989"/>
    <cellStyle name="Note 2 3 4 46 3" xfId="22982"/>
    <cellStyle name="Note 2 3 4 46 4" xfId="31169"/>
    <cellStyle name="Note 2 3 4 46 5" xfId="27304"/>
    <cellStyle name="Note 2 3 4 46 6" xfId="44834"/>
    <cellStyle name="Note 2 3 4 46 7" xfId="47827"/>
    <cellStyle name="Note 2 3 4 47" xfId="6388"/>
    <cellStyle name="Note 2 3 4 47 2" xfId="14105"/>
    <cellStyle name="Note 2 3 4 47 3" xfId="23098"/>
    <cellStyle name="Note 2 3 4 47 4" xfId="31285"/>
    <cellStyle name="Note 2 3 4 47 5" xfId="28624"/>
    <cellStyle name="Note 2 3 4 47 6" xfId="44950"/>
    <cellStyle name="Note 2 3 4 47 7" xfId="51023"/>
    <cellStyle name="Note 2 3 4 48" xfId="6499"/>
    <cellStyle name="Note 2 3 4 48 2" xfId="14216"/>
    <cellStyle name="Note 2 3 4 48 3" xfId="23209"/>
    <cellStyle name="Note 2 3 4 48 4" xfId="31396"/>
    <cellStyle name="Note 2 3 4 48 5" xfId="33775"/>
    <cellStyle name="Note 2 3 4 48 6" xfId="45061"/>
    <cellStyle name="Note 2 3 4 48 7" xfId="54287"/>
    <cellStyle name="Note 2 3 4 49" xfId="5353"/>
    <cellStyle name="Note 2 3 4 49 2" xfId="13070"/>
    <cellStyle name="Note 2 3 4 49 3" xfId="22063"/>
    <cellStyle name="Note 2 3 4 49 4" xfId="30250"/>
    <cellStyle name="Note 2 3 4 49 5" xfId="35282"/>
    <cellStyle name="Note 2 3 4 49 6" xfId="43915"/>
    <cellStyle name="Note 2 3 4 49 7" xfId="48711"/>
    <cellStyle name="Note 2 3 4 5" xfId="1388"/>
    <cellStyle name="Note 2 3 4 5 2" xfId="9211"/>
    <cellStyle name="Note 2 3 4 5 3" xfId="16639"/>
    <cellStyle name="Note 2 3 4 5 4" xfId="25148"/>
    <cellStyle name="Note 2 3 4 5 5" xfId="33525"/>
    <cellStyle name="Note 2 3 4 5 6" xfId="37991"/>
    <cellStyle name="Note 2 3 4 5 7" xfId="51110"/>
    <cellStyle name="Note 2 3 4 50" xfId="6645"/>
    <cellStyle name="Note 2 3 4 50 2" xfId="14362"/>
    <cellStyle name="Note 2 3 4 50 3" xfId="23355"/>
    <cellStyle name="Note 2 3 4 50 4" xfId="31542"/>
    <cellStyle name="Note 2 3 4 50 5" xfId="36120"/>
    <cellStyle name="Note 2 3 4 50 6" xfId="45207"/>
    <cellStyle name="Note 2 3 4 50 7" xfId="53530"/>
    <cellStyle name="Note 2 3 4 51" xfId="6757"/>
    <cellStyle name="Note 2 3 4 51 2" xfId="14474"/>
    <cellStyle name="Note 2 3 4 51 3" xfId="23467"/>
    <cellStyle name="Note 2 3 4 51 4" xfId="31654"/>
    <cellStyle name="Note 2 3 4 51 5" xfId="28001"/>
    <cellStyle name="Note 2 3 4 51 6" xfId="45319"/>
    <cellStyle name="Note 2 3 4 51 7" xfId="49119"/>
    <cellStyle name="Note 2 3 4 52" xfId="6872"/>
    <cellStyle name="Note 2 3 4 52 2" xfId="14589"/>
    <cellStyle name="Note 2 3 4 52 3" xfId="23582"/>
    <cellStyle name="Note 2 3 4 52 4" xfId="31769"/>
    <cellStyle name="Note 2 3 4 52 5" xfId="33399"/>
    <cellStyle name="Note 2 3 4 52 6" xfId="45434"/>
    <cellStyle name="Note 2 3 4 52 7" xfId="46892"/>
    <cellStyle name="Note 2 3 4 53" xfId="6985"/>
    <cellStyle name="Note 2 3 4 53 2" xfId="14702"/>
    <cellStyle name="Note 2 3 4 53 3" xfId="23695"/>
    <cellStyle name="Note 2 3 4 53 4" xfId="31882"/>
    <cellStyle name="Note 2 3 4 53 5" xfId="35352"/>
    <cellStyle name="Note 2 3 4 53 6" xfId="45547"/>
    <cellStyle name="Note 2 3 4 53 7" xfId="54556"/>
    <cellStyle name="Note 2 3 4 54" xfId="7096"/>
    <cellStyle name="Note 2 3 4 54 2" xfId="14813"/>
    <cellStyle name="Note 2 3 4 54 3" xfId="23806"/>
    <cellStyle name="Note 2 3 4 54 4" xfId="31993"/>
    <cellStyle name="Note 2 3 4 54 5" xfId="33559"/>
    <cellStyle name="Note 2 3 4 54 6" xfId="45658"/>
    <cellStyle name="Note 2 3 4 54 7" xfId="47962"/>
    <cellStyle name="Note 2 3 4 55" xfId="7181"/>
    <cellStyle name="Note 2 3 4 55 2" xfId="14898"/>
    <cellStyle name="Note 2 3 4 55 3" xfId="23891"/>
    <cellStyle name="Note 2 3 4 55 4" xfId="32078"/>
    <cellStyle name="Note 2 3 4 55 5" xfId="36101"/>
    <cellStyle name="Note 2 3 4 55 6" xfId="45743"/>
    <cellStyle name="Note 2 3 4 55 7" xfId="53318"/>
    <cellStyle name="Note 2 3 4 56" xfId="7271"/>
    <cellStyle name="Note 2 3 4 56 2" xfId="14988"/>
    <cellStyle name="Note 2 3 4 56 3" xfId="23981"/>
    <cellStyle name="Note 2 3 4 56 4" xfId="32168"/>
    <cellStyle name="Note 2 3 4 56 5" xfId="35900"/>
    <cellStyle name="Note 2 3 4 56 6" xfId="45833"/>
    <cellStyle name="Note 2 3 4 56 7" xfId="52376"/>
    <cellStyle name="Note 2 3 4 57" xfId="7493"/>
    <cellStyle name="Note 2 3 4 57 2" xfId="15210"/>
    <cellStyle name="Note 2 3 4 57 3" xfId="24203"/>
    <cellStyle name="Note 2 3 4 57 4" xfId="32390"/>
    <cellStyle name="Note 2 3 4 57 5" xfId="35585"/>
    <cellStyle name="Note 2 3 4 57 6" xfId="46055"/>
    <cellStyle name="Note 2 3 4 57 7" xfId="50900"/>
    <cellStyle name="Note 2 3 4 58" xfId="7614"/>
    <cellStyle name="Note 2 3 4 58 2" xfId="15331"/>
    <cellStyle name="Note 2 3 4 58 3" xfId="24324"/>
    <cellStyle name="Note 2 3 4 58 4" xfId="32511"/>
    <cellStyle name="Note 2 3 4 58 5" xfId="27381"/>
    <cellStyle name="Note 2 3 4 58 6" xfId="46176"/>
    <cellStyle name="Note 2 3 4 58 7" xfId="48400"/>
    <cellStyle name="Note 2 3 4 59" xfId="7890"/>
    <cellStyle name="Note 2 3 4 59 2" xfId="15607"/>
    <cellStyle name="Note 2 3 4 59 3" xfId="24594"/>
    <cellStyle name="Note 2 3 4 59 4" xfId="32787"/>
    <cellStyle name="Note 2 3 4 59 5" xfId="35046"/>
    <cellStyle name="Note 2 3 4 59 6" xfId="46452"/>
    <cellStyle name="Note 2 3 4 59 7" xfId="54341"/>
    <cellStyle name="Note 2 3 4 6" xfId="1511"/>
    <cellStyle name="Note 2 3 4 6 2" xfId="9334"/>
    <cellStyle name="Note 2 3 4 6 3" xfId="16762"/>
    <cellStyle name="Note 2 3 4 6 4" xfId="25131"/>
    <cellStyle name="Note 2 3 4 6 5" xfId="33504"/>
    <cellStyle name="Note 2 3 4 6 6" xfId="40309"/>
    <cellStyle name="Note 2 3 4 6 7" xfId="51077"/>
    <cellStyle name="Note 2 3 4 60" xfId="7779"/>
    <cellStyle name="Note 2 3 4 60 2" xfId="15496"/>
    <cellStyle name="Note 2 3 4 60 3" xfId="24485"/>
    <cellStyle name="Note 2 3 4 60 4" xfId="32676"/>
    <cellStyle name="Note 2 3 4 60 5" xfId="35202"/>
    <cellStyle name="Note 2 3 4 60 6" xfId="46341"/>
    <cellStyle name="Note 2 3 4 60 7" xfId="49743"/>
    <cellStyle name="Note 2 3 4 61" xfId="8018"/>
    <cellStyle name="Note 2 3 4 61 2" xfId="15735"/>
    <cellStyle name="Note 2 3 4 61 3" xfId="24720"/>
    <cellStyle name="Note 2 3 4 61 4" xfId="32915"/>
    <cellStyle name="Note 2 3 4 61 5" xfId="35510"/>
    <cellStyle name="Note 2 3 4 61 6" xfId="46580"/>
    <cellStyle name="Note 2 3 4 61 7" xfId="50708"/>
    <cellStyle name="Note 2 3 4 62" xfId="7750"/>
    <cellStyle name="Note 2 3 4 62 2" xfId="15467"/>
    <cellStyle name="Note 2 3 4 62 3" xfId="24458"/>
    <cellStyle name="Note 2 3 4 62 4" xfId="32647"/>
    <cellStyle name="Note 2 3 4 62 5" xfId="36074"/>
    <cellStyle name="Note 2 3 4 62 6" xfId="46312"/>
    <cellStyle name="Note 2 3 4 62 7" xfId="48031"/>
    <cellStyle name="Note 2 3 4 63" xfId="8166"/>
    <cellStyle name="Note 2 3 4 63 2" xfId="15883"/>
    <cellStyle name="Note 2 3 4 63 3" xfId="33063"/>
    <cellStyle name="Note 2 3 4 63 4" xfId="35143"/>
    <cellStyle name="Note 2 3 4 63 5" xfId="46728"/>
    <cellStyle name="Note 2 3 4 63 6" xfId="50589"/>
    <cellStyle name="Note 2 3 4 64" xfId="26442"/>
    <cellStyle name="Note 2 3 4 65" xfId="35215"/>
    <cellStyle name="Note 2 3 4 66" xfId="36273"/>
    <cellStyle name="Note 2 3 4 67" xfId="53943"/>
    <cellStyle name="Note 2 3 4 7" xfId="1077"/>
    <cellStyle name="Note 2 3 4 7 2" xfId="8901"/>
    <cellStyle name="Note 2 3 4 7 3" xfId="16329"/>
    <cellStyle name="Note 2 3 4 7 4" xfId="19296"/>
    <cellStyle name="Note 2 3 4 7 5" xfId="27506"/>
    <cellStyle name="Note 2 3 4 7 6" xfId="36912"/>
    <cellStyle name="Note 2 3 4 7 7" xfId="49972"/>
    <cellStyle name="Note 2 3 4 8" xfId="1748"/>
    <cellStyle name="Note 2 3 4 8 2" xfId="9571"/>
    <cellStyle name="Note 2 3 4 8 3" xfId="16999"/>
    <cellStyle name="Note 2 3 4 8 4" xfId="19150"/>
    <cellStyle name="Note 2 3 4 8 5" xfId="27034"/>
    <cellStyle name="Note 2 3 4 8 6" xfId="39977"/>
    <cellStyle name="Note 2 3 4 8 7" xfId="49270"/>
    <cellStyle name="Note 2 3 4 9" xfId="1882"/>
    <cellStyle name="Note 2 3 4 9 2" xfId="9705"/>
    <cellStyle name="Note 2 3 4 9 3" xfId="17133"/>
    <cellStyle name="Note 2 3 4 9 4" xfId="19025"/>
    <cellStyle name="Note 2 3 4 9 5" xfId="27160"/>
    <cellStyle name="Note 2 3 4 9 6" xfId="38914"/>
    <cellStyle name="Note 2 3 4 9 7" xfId="49901"/>
    <cellStyle name="Note 2 3 40" xfId="3495"/>
    <cellStyle name="Note 2 3 40 2" xfId="11286"/>
    <cellStyle name="Note 2 3 40 3" xfId="20480"/>
    <cellStyle name="Note 2 3 40 4" xfId="28602"/>
    <cellStyle name="Note 2 3 40 5" xfId="35679"/>
    <cellStyle name="Note 2 3 40 6" xfId="42488"/>
    <cellStyle name="Note 2 3 40 7" xfId="51825"/>
    <cellStyle name="Note 2 3 41" xfId="4272"/>
    <cellStyle name="Note 2 3 41 2" xfId="11989"/>
    <cellStyle name="Note 2 3 41 3" xfId="20982"/>
    <cellStyle name="Note 2 3 41 4" xfId="29169"/>
    <cellStyle name="Note 2 3 41 5" xfId="27976"/>
    <cellStyle name="Note 2 3 41 6" xfId="42834"/>
    <cellStyle name="Note 2 3 41 7" xfId="47636"/>
    <cellStyle name="Note 2 3 42" xfId="4275"/>
    <cellStyle name="Note 2 3 42 2" xfId="11992"/>
    <cellStyle name="Note 2 3 42 3" xfId="20985"/>
    <cellStyle name="Note 2 3 42 4" xfId="29172"/>
    <cellStyle name="Note 2 3 42 5" xfId="35606"/>
    <cellStyle name="Note 2 3 42 6" xfId="42837"/>
    <cellStyle name="Note 2 3 42 7" xfId="51530"/>
    <cellStyle name="Note 2 3 43" xfId="5239"/>
    <cellStyle name="Note 2 3 43 2" xfId="12956"/>
    <cellStyle name="Note 2 3 43 3" xfId="21949"/>
    <cellStyle name="Note 2 3 43 4" xfId="30136"/>
    <cellStyle name="Note 2 3 43 5" xfId="35887"/>
    <cellStyle name="Note 2 3 43 6" xfId="43801"/>
    <cellStyle name="Note 2 3 43 7" xfId="52886"/>
    <cellStyle name="Note 2 3 44" xfId="5271"/>
    <cellStyle name="Note 2 3 44 2" xfId="12988"/>
    <cellStyle name="Note 2 3 44 3" xfId="21981"/>
    <cellStyle name="Note 2 3 44 4" xfId="30168"/>
    <cellStyle name="Note 2 3 44 5" xfId="27338"/>
    <cellStyle name="Note 2 3 44 6" xfId="43833"/>
    <cellStyle name="Note 2 3 44 7" xfId="47375"/>
    <cellStyle name="Note 2 3 45" xfId="5565"/>
    <cellStyle name="Note 2 3 45 2" xfId="13282"/>
    <cellStyle name="Note 2 3 45 3" xfId="22275"/>
    <cellStyle name="Note 2 3 45 4" xfId="30462"/>
    <cellStyle name="Note 2 3 45 5" xfId="33598"/>
    <cellStyle name="Note 2 3 45 6" xfId="44127"/>
    <cellStyle name="Note 2 3 45 7" xfId="46952"/>
    <cellStyle name="Note 2 3 46" xfId="5167"/>
    <cellStyle name="Note 2 3 46 2" xfId="12884"/>
    <cellStyle name="Note 2 3 46 3" xfId="21877"/>
    <cellStyle name="Note 2 3 46 4" xfId="30064"/>
    <cellStyle name="Note 2 3 46 5" xfId="35882"/>
    <cellStyle name="Note 2 3 46 6" xfId="43729"/>
    <cellStyle name="Note 2 3 46 7" xfId="52862"/>
    <cellStyle name="Note 2 3 47" xfId="5297"/>
    <cellStyle name="Note 2 3 47 2" xfId="13014"/>
    <cellStyle name="Note 2 3 47 3" xfId="22007"/>
    <cellStyle name="Note 2 3 47 4" xfId="30194"/>
    <cellStyle name="Note 2 3 47 5" xfId="36196"/>
    <cellStyle name="Note 2 3 47 6" xfId="43859"/>
    <cellStyle name="Note 2 3 47 7" xfId="54345"/>
    <cellStyle name="Note 2 3 48" xfId="5220"/>
    <cellStyle name="Note 2 3 48 2" xfId="12937"/>
    <cellStyle name="Note 2 3 48 3" xfId="21930"/>
    <cellStyle name="Note 2 3 48 4" xfId="30117"/>
    <cellStyle name="Note 2 3 48 5" xfId="27920"/>
    <cellStyle name="Note 2 3 48 6" xfId="43782"/>
    <cellStyle name="Note 2 3 48 7" xfId="48488"/>
    <cellStyle name="Note 2 3 49" xfId="5182"/>
    <cellStyle name="Note 2 3 49 2" xfId="12899"/>
    <cellStyle name="Note 2 3 49 3" xfId="21892"/>
    <cellStyle name="Note 2 3 49 4" xfId="30079"/>
    <cellStyle name="Note 2 3 49 5" xfId="33732"/>
    <cellStyle name="Note 2 3 49 6" xfId="43744"/>
    <cellStyle name="Note 2 3 49 7" xfId="51169"/>
    <cellStyle name="Note 2 3 5" xfId="493"/>
    <cellStyle name="Note 2 3 5 10" xfId="1940"/>
    <cellStyle name="Note 2 3 5 10 2" xfId="9763"/>
    <cellStyle name="Note 2 3 5 10 3" xfId="17191"/>
    <cellStyle name="Note 2 3 5 10 4" xfId="25951"/>
    <cellStyle name="Note 2 3 5 10 5" xfId="34556"/>
    <cellStyle name="Note 2 3 5 10 6" xfId="41495"/>
    <cellStyle name="Note 2 3 5 10 7" xfId="52888"/>
    <cellStyle name="Note 2 3 5 11" xfId="2058"/>
    <cellStyle name="Note 2 3 5 11 2" xfId="9881"/>
    <cellStyle name="Note 2 3 5 11 3" xfId="17309"/>
    <cellStyle name="Note 2 3 5 11 4" xfId="26036"/>
    <cellStyle name="Note 2 3 5 11 5" xfId="34668"/>
    <cellStyle name="Note 2 3 5 11 6" xfId="37410"/>
    <cellStyle name="Note 2 3 5 11 7" xfId="53066"/>
    <cellStyle name="Note 2 3 5 12" xfId="2171"/>
    <cellStyle name="Note 2 3 5 12 2" xfId="9994"/>
    <cellStyle name="Note 2 3 5 12 3" xfId="17422"/>
    <cellStyle name="Note 2 3 5 12 4" xfId="25010"/>
    <cellStyle name="Note 2 3 5 12 5" xfId="33362"/>
    <cellStyle name="Note 2 3 5 12 6" xfId="39522"/>
    <cellStyle name="Note 2 3 5 12 7" xfId="50816"/>
    <cellStyle name="Note 2 3 5 13" xfId="959"/>
    <cellStyle name="Note 2 3 5 13 2" xfId="8783"/>
    <cellStyle name="Note 2 3 5 13 3" xfId="16211"/>
    <cellStyle name="Note 2 3 5 13 4" xfId="25722"/>
    <cellStyle name="Note 2 3 5 13 5" xfId="34267"/>
    <cellStyle name="Note 2 3 5 13 6" xfId="37061"/>
    <cellStyle name="Note 2 3 5 13 7" xfId="52367"/>
    <cellStyle name="Note 2 3 5 14" xfId="1916"/>
    <cellStyle name="Note 2 3 5 14 2" xfId="9739"/>
    <cellStyle name="Note 2 3 5 14 3" xfId="17167"/>
    <cellStyle name="Note 2 3 5 14 4" xfId="19884"/>
    <cellStyle name="Note 2 3 5 14 5" xfId="27582"/>
    <cellStyle name="Note 2 3 5 14 6" xfId="39424"/>
    <cellStyle name="Note 2 3 5 14 7" xfId="47941"/>
    <cellStyle name="Note 2 3 5 15" xfId="2469"/>
    <cellStyle name="Note 2 3 5 15 2" xfId="10292"/>
    <cellStyle name="Note 2 3 5 15 3" xfId="17720"/>
    <cellStyle name="Note 2 3 5 15 4" xfId="26516"/>
    <cellStyle name="Note 2 3 5 15 5" xfId="35313"/>
    <cellStyle name="Note 2 3 5 15 6" xfId="39846"/>
    <cellStyle name="Note 2 3 5 15 7" xfId="54104"/>
    <cellStyle name="Note 2 3 5 16" xfId="2582"/>
    <cellStyle name="Note 2 3 5 16 2" xfId="10405"/>
    <cellStyle name="Note 2 3 5 16 3" xfId="17833"/>
    <cellStyle name="Note 2 3 5 16 4" xfId="25302"/>
    <cellStyle name="Note 2 3 5 16 5" xfId="33718"/>
    <cellStyle name="Note 2 3 5 16 6" xfId="37403"/>
    <cellStyle name="Note 2 3 5 16 7" xfId="51430"/>
    <cellStyle name="Note 2 3 5 17" xfId="1621"/>
    <cellStyle name="Note 2 3 5 17 2" xfId="9444"/>
    <cellStyle name="Note 2 3 5 17 3" xfId="16872"/>
    <cellStyle name="Note 2 3 5 17 4" xfId="25990"/>
    <cellStyle name="Note 2 3 5 17 5" xfId="34612"/>
    <cellStyle name="Note 2 3 5 17 6" xfId="37080"/>
    <cellStyle name="Note 2 3 5 17 7" xfId="52975"/>
    <cellStyle name="Note 2 3 5 18" xfId="2431"/>
    <cellStyle name="Note 2 3 5 18 2" xfId="10254"/>
    <cellStyle name="Note 2 3 5 18 3" xfId="17682"/>
    <cellStyle name="Note 2 3 5 18 4" xfId="24993"/>
    <cellStyle name="Note 2 3 5 18 5" xfId="33342"/>
    <cellStyle name="Note 2 3 5 18 6" xfId="37214"/>
    <cellStyle name="Note 2 3 5 18 7" xfId="50781"/>
    <cellStyle name="Note 2 3 5 19" xfId="2776"/>
    <cellStyle name="Note 2 3 5 19 2" xfId="10599"/>
    <cellStyle name="Note 2 3 5 19 3" xfId="18027"/>
    <cellStyle name="Note 2 3 5 19 4" xfId="26371"/>
    <cellStyle name="Note 2 3 5 19 5" xfId="35109"/>
    <cellStyle name="Note 2 3 5 19 6" xfId="39641"/>
    <cellStyle name="Note 2 3 5 19 7" xfId="53788"/>
    <cellStyle name="Note 2 3 5 2" xfId="644"/>
    <cellStyle name="Note 2 3 5 2 2" xfId="8468"/>
    <cellStyle name="Note 2 3 5 2 3" xfId="8292"/>
    <cellStyle name="Note 2 3 5 2 4" xfId="26107"/>
    <cellStyle name="Note 2 3 5 2 5" xfId="34763"/>
    <cellStyle name="Note 2 3 5 2 6" xfId="37955"/>
    <cellStyle name="Note 2 3 5 2 7" xfId="53225"/>
    <cellStyle name="Note 2 3 5 20" xfId="2883"/>
    <cellStyle name="Note 2 3 5 20 2" xfId="10706"/>
    <cellStyle name="Note 2 3 5 20 3" xfId="18134"/>
    <cellStyle name="Note 2 3 5 20 4" xfId="19590"/>
    <cellStyle name="Note 2 3 5 20 5" xfId="26781"/>
    <cellStyle name="Note 2 3 5 20 6" xfId="37154"/>
    <cellStyle name="Note 2 3 5 20 7" xfId="50359"/>
    <cellStyle name="Note 2 3 5 21" xfId="3259"/>
    <cellStyle name="Note 2 3 5 21 2" xfId="11052"/>
    <cellStyle name="Note 2 3 5 21 3" xfId="18381"/>
    <cellStyle name="Note 2 3 5 21 4" xfId="19578"/>
    <cellStyle name="Note 2 3 5 21 5" xfId="28670"/>
    <cellStyle name="Note 2 3 5 21 6" xfId="37075"/>
    <cellStyle name="Note 2 3 5 21 7" xfId="49567"/>
    <cellStyle name="Note 2 3 5 22" xfId="3379"/>
    <cellStyle name="Note 2 3 5 22 2" xfId="11170"/>
    <cellStyle name="Note 2 3 5 22 3" xfId="18492"/>
    <cellStyle name="Note 2 3 5 22 4" xfId="25737"/>
    <cellStyle name="Note 2 3 5 22 5" xfId="34286"/>
    <cellStyle name="Note 2 3 5 22 6" xfId="38959"/>
    <cellStyle name="Note 2 3 5 22 7" xfId="52406"/>
    <cellStyle name="Note 2 3 5 23" xfId="3513"/>
    <cellStyle name="Note 2 3 5 23 2" xfId="11304"/>
    <cellStyle name="Note 2 3 5 23 3" xfId="18602"/>
    <cellStyle name="Note 2 3 5 23 4" xfId="26236"/>
    <cellStyle name="Note 2 3 5 23 5" xfId="34925"/>
    <cellStyle name="Note 2 3 5 23 6" xfId="42041"/>
    <cellStyle name="Note 2 3 5 23 7" xfId="53496"/>
    <cellStyle name="Note 2 3 5 24" xfId="3585"/>
    <cellStyle name="Note 2 3 5 24 2" xfId="11373"/>
    <cellStyle name="Note 2 3 5 24 3" xfId="18649"/>
    <cellStyle name="Note 2 3 5 24 4" xfId="26313"/>
    <cellStyle name="Note 2 3 5 24 5" xfId="35032"/>
    <cellStyle name="Note 2 3 5 24 6" xfId="40767"/>
    <cellStyle name="Note 2 3 5 24 7" xfId="53668"/>
    <cellStyle name="Note 2 3 5 25" xfId="3649"/>
    <cellStyle name="Note 2 3 5 25 2" xfId="11434"/>
    <cellStyle name="Note 2 3 5 25 3" xfId="18707"/>
    <cellStyle name="Note 2 3 5 25 4" xfId="26684"/>
    <cellStyle name="Note 2 3 5 25 5" xfId="35533"/>
    <cellStyle name="Note 2 3 5 25 6" xfId="41507"/>
    <cellStyle name="Note 2 3 5 25 7" xfId="54461"/>
    <cellStyle name="Note 2 3 5 26" xfId="3780"/>
    <cellStyle name="Note 2 3 5 26 2" xfId="11562"/>
    <cellStyle name="Note 2 3 5 26 3" xfId="18819"/>
    <cellStyle name="Note 2 3 5 26 4" xfId="24849"/>
    <cellStyle name="Note 2 3 5 26 5" xfId="26771"/>
    <cellStyle name="Note 2 3 5 26 6" xfId="37255"/>
    <cellStyle name="Note 2 3 5 26 7" xfId="49779"/>
    <cellStyle name="Note 2 3 5 27" xfId="3897"/>
    <cellStyle name="Note 2 3 5 27 2" xfId="11677"/>
    <cellStyle name="Note 2 3 5 27 3" xfId="18928"/>
    <cellStyle name="Note 2 3 5 27 4" xfId="25499"/>
    <cellStyle name="Note 2 3 5 27 5" xfId="33975"/>
    <cellStyle name="Note 2 3 5 27 6" xfId="36511"/>
    <cellStyle name="Note 2 3 5 27 7" xfId="51867"/>
    <cellStyle name="Note 2 3 5 28" xfId="3087"/>
    <cellStyle name="Note 2 3 5 28 2" xfId="10894"/>
    <cellStyle name="Note 2 3 5 28 3" xfId="20248"/>
    <cellStyle name="Note 2 3 5 28 4" xfId="28338"/>
    <cellStyle name="Note 2 3 5 28 5" xfId="33350"/>
    <cellStyle name="Note 2 3 5 28 6" xfId="42394"/>
    <cellStyle name="Note 2 3 5 28 7" xfId="47632"/>
    <cellStyle name="Note 2 3 5 29" xfId="4094"/>
    <cellStyle name="Note 2 3 5 29 2" xfId="11854"/>
    <cellStyle name="Note 2 3 5 29 3" xfId="20804"/>
    <cellStyle name="Note 2 3 5 29 4" xfId="28991"/>
    <cellStyle name="Note 2 3 5 29 5" xfId="28138"/>
    <cellStyle name="Note 2 3 5 29 6" xfId="42656"/>
    <cellStyle name="Note 2 3 5 29 7" xfId="50786"/>
    <cellStyle name="Note 2 3 5 3" xfId="751"/>
    <cellStyle name="Note 2 3 5 3 2" xfId="8575"/>
    <cellStyle name="Note 2 3 5 3 3" xfId="16003"/>
    <cellStyle name="Note 2 3 5 3 4" xfId="19845"/>
    <cellStyle name="Note 2 3 5 3 5" xfId="28023"/>
    <cellStyle name="Note 2 3 5 3 6" xfId="37948"/>
    <cellStyle name="Note 2 3 5 3 7" xfId="48435"/>
    <cellStyle name="Note 2 3 5 30" xfId="3083"/>
    <cellStyle name="Note 2 3 5 30 2" xfId="20244"/>
    <cellStyle name="Note 2 3 5 30 3" xfId="28334"/>
    <cellStyle name="Note 2 3 5 30 4" xfId="35799"/>
    <cellStyle name="Note 2 3 5 30 5" xfId="42391"/>
    <cellStyle name="Note 2 3 5 30 6" xfId="52448"/>
    <cellStyle name="Note 2 3 5 31" xfId="4291"/>
    <cellStyle name="Note 2 3 5 31 2" xfId="12008"/>
    <cellStyle name="Note 2 3 5 31 3" xfId="21001"/>
    <cellStyle name="Note 2 3 5 31 4" xfId="29188"/>
    <cellStyle name="Note 2 3 5 31 5" xfId="34818"/>
    <cellStyle name="Note 2 3 5 31 6" xfId="42853"/>
    <cellStyle name="Note 2 3 5 31 7" xfId="50023"/>
    <cellStyle name="Note 2 3 5 32" xfId="4414"/>
    <cellStyle name="Note 2 3 5 32 2" xfId="12131"/>
    <cellStyle name="Note 2 3 5 32 3" xfId="21124"/>
    <cellStyle name="Note 2 3 5 32 4" xfId="29311"/>
    <cellStyle name="Note 2 3 5 32 5" xfId="36118"/>
    <cellStyle name="Note 2 3 5 32 6" xfId="42976"/>
    <cellStyle name="Note 2 3 5 32 7" xfId="53970"/>
    <cellStyle name="Note 2 3 5 33" xfId="4528"/>
    <cellStyle name="Note 2 3 5 33 2" xfId="12245"/>
    <cellStyle name="Note 2 3 5 33 3" xfId="21238"/>
    <cellStyle name="Note 2 3 5 33 4" xfId="29425"/>
    <cellStyle name="Note 2 3 5 33 5" xfId="28159"/>
    <cellStyle name="Note 2 3 5 33 6" xfId="43090"/>
    <cellStyle name="Note 2 3 5 33 7" xfId="48733"/>
    <cellStyle name="Note 2 3 5 34" xfId="4641"/>
    <cellStyle name="Note 2 3 5 34 2" xfId="12358"/>
    <cellStyle name="Note 2 3 5 34 3" xfId="21351"/>
    <cellStyle name="Note 2 3 5 34 4" xfId="29538"/>
    <cellStyle name="Note 2 3 5 34 5" xfId="26939"/>
    <cellStyle name="Note 2 3 5 34 6" xfId="43203"/>
    <cellStyle name="Note 2 3 5 34 7" xfId="48024"/>
    <cellStyle name="Note 2 3 5 35" xfId="4753"/>
    <cellStyle name="Note 2 3 5 35 2" xfId="12470"/>
    <cellStyle name="Note 2 3 5 35 3" xfId="21463"/>
    <cellStyle name="Note 2 3 5 35 4" xfId="29650"/>
    <cellStyle name="Note 2 3 5 35 5" xfId="35534"/>
    <cellStyle name="Note 2 3 5 35 6" xfId="43315"/>
    <cellStyle name="Note 2 3 5 35 7" xfId="48994"/>
    <cellStyle name="Note 2 3 5 36" xfId="4861"/>
    <cellStyle name="Note 2 3 5 36 2" xfId="12578"/>
    <cellStyle name="Note 2 3 5 36 3" xfId="21571"/>
    <cellStyle name="Note 2 3 5 36 4" xfId="29758"/>
    <cellStyle name="Note 2 3 5 36 5" xfId="35626"/>
    <cellStyle name="Note 2 3 5 36 6" xfId="43423"/>
    <cellStyle name="Note 2 3 5 36 7" xfId="51607"/>
    <cellStyle name="Note 2 3 5 37" xfId="4973"/>
    <cellStyle name="Note 2 3 5 37 2" xfId="12690"/>
    <cellStyle name="Note 2 3 5 37 3" xfId="21683"/>
    <cellStyle name="Note 2 3 5 37 4" xfId="29870"/>
    <cellStyle name="Note 2 3 5 37 5" xfId="35014"/>
    <cellStyle name="Note 2 3 5 37 6" xfId="43535"/>
    <cellStyle name="Note 2 3 5 37 7" xfId="50544"/>
    <cellStyle name="Note 2 3 5 38" xfId="5138"/>
    <cellStyle name="Note 2 3 5 38 2" xfId="12855"/>
    <cellStyle name="Note 2 3 5 38 3" xfId="21848"/>
    <cellStyle name="Note 2 3 5 38 4" xfId="30035"/>
    <cellStyle name="Note 2 3 5 38 5" xfId="36203"/>
    <cellStyle name="Note 2 3 5 38 6" xfId="43700"/>
    <cellStyle name="Note 2 3 5 38 7" xfId="54402"/>
    <cellStyle name="Note 2 3 5 39" xfId="5471"/>
    <cellStyle name="Note 2 3 5 39 2" xfId="13188"/>
    <cellStyle name="Note 2 3 5 39 3" xfId="22181"/>
    <cellStyle name="Note 2 3 5 39 4" xfId="30368"/>
    <cellStyle name="Note 2 3 5 39 5" xfId="35604"/>
    <cellStyle name="Note 2 3 5 39 6" xfId="44033"/>
    <cellStyle name="Note 2 3 5 39 7" xfId="51525"/>
    <cellStyle name="Note 2 3 5 4" xfId="863"/>
    <cellStyle name="Note 2 3 5 4 2" xfId="8687"/>
    <cellStyle name="Note 2 3 5 4 3" xfId="16115"/>
    <cellStyle name="Note 2 3 5 4 4" xfId="19323"/>
    <cellStyle name="Note 2 3 5 4 5" xfId="27201"/>
    <cellStyle name="Note 2 3 5 4 6" xfId="37932"/>
    <cellStyle name="Note 2 3 5 4 7" xfId="49352"/>
    <cellStyle name="Note 2 3 5 40" xfId="5596"/>
    <cellStyle name="Note 2 3 5 40 2" xfId="13313"/>
    <cellStyle name="Note 2 3 5 40 3" xfId="22306"/>
    <cellStyle name="Note 2 3 5 40 4" xfId="30493"/>
    <cellStyle name="Note 2 3 5 40 5" xfId="33714"/>
    <cellStyle name="Note 2 3 5 40 6" xfId="44158"/>
    <cellStyle name="Note 2 3 5 40 7" xfId="47143"/>
    <cellStyle name="Note 2 3 5 41" xfId="5711"/>
    <cellStyle name="Note 2 3 5 41 2" xfId="13428"/>
    <cellStyle name="Note 2 3 5 41 3" xfId="22421"/>
    <cellStyle name="Note 2 3 5 41 4" xfId="30608"/>
    <cellStyle name="Note 2 3 5 41 5" xfId="27751"/>
    <cellStyle name="Note 2 3 5 41 6" xfId="44273"/>
    <cellStyle name="Note 2 3 5 41 7" xfId="46924"/>
    <cellStyle name="Note 2 3 5 42" xfId="5828"/>
    <cellStyle name="Note 2 3 5 42 2" xfId="13545"/>
    <cellStyle name="Note 2 3 5 42 3" xfId="22538"/>
    <cellStyle name="Note 2 3 5 42 4" xfId="30725"/>
    <cellStyle name="Note 2 3 5 42 5" xfId="26906"/>
    <cellStyle name="Note 2 3 5 42 6" xfId="44390"/>
    <cellStyle name="Note 2 3 5 42 7" xfId="50425"/>
    <cellStyle name="Note 2 3 5 43" xfId="5956"/>
    <cellStyle name="Note 2 3 5 43 2" xfId="13673"/>
    <cellStyle name="Note 2 3 5 43 3" xfId="22666"/>
    <cellStyle name="Note 2 3 5 43 4" xfId="30853"/>
    <cellStyle name="Note 2 3 5 43 5" xfId="34341"/>
    <cellStyle name="Note 2 3 5 43 6" xfId="44518"/>
    <cellStyle name="Note 2 3 5 43 7" xfId="51915"/>
    <cellStyle name="Note 2 3 5 44" xfId="6069"/>
    <cellStyle name="Note 2 3 5 44 2" xfId="13786"/>
    <cellStyle name="Note 2 3 5 44 3" xfId="22779"/>
    <cellStyle name="Note 2 3 5 44 4" xfId="30966"/>
    <cellStyle name="Note 2 3 5 44 5" xfId="27367"/>
    <cellStyle name="Note 2 3 5 44 6" xfId="44631"/>
    <cellStyle name="Note 2 3 5 44 7" xfId="48292"/>
    <cellStyle name="Note 2 3 5 45" xfId="6093"/>
    <cellStyle name="Note 2 3 5 45 2" xfId="13810"/>
    <cellStyle name="Note 2 3 5 45 3" xfId="22803"/>
    <cellStyle name="Note 2 3 5 45 4" xfId="30990"/>
    <cellStyle name="Note 2 3 5 45 5" xfId="35800"/>
    <cellStyle name="Note 2 3 5 45 6" xfId="44655"/>
    <cellStyle name="Note 2 3 5 45 7" xfId="47634"/>
    <cellStyle name="Note 2 3 5 46" xfId="6212"/>
    <cellStyle name="Note 2 3 5 46 2" xfId="13929"/>
    <cellStyle name="Note 2 3 5 46 3" xfId="22922"/>
    <cellStyle name="Note 2 3 5 46 4" xfId="31109"/>
    <cellStyle name="Note 2 3 5 46 5" xfId="27420"/>
    <cellStyle name="Note 2 3 5 46 6" xfId="44774"/>
    <cellStyle name="Note 2 3 5 46 7" xfId="54369"/>
    <cellStyle name="Note 2 3 5 47" xfId="6329"/>
    <cellStyle name="Note 2 3 5 47 2" xfId="14046"/>
    <cellStyle name="Note 2 3 5 47 3" xfId="23039"/>
    <cellStyle name="Note 2 3 5 47 4" xfId="31226"/>
    <cellStyle name="Note 2 3 5 47 5" xfId="33680"/>
    <cellStyle name="Note 2 3 5 47 6" xfId="44891"/>
    <cellStyle name="Note 2 3 5 47 7" xfId="50921"/>
    <cellStyle name="Note 2 3 5 48" xfId="6439"/>
    <cellStyle name="Note 2 3 5 48 2" xfId="14156"/>
    <cellStyle name="Note 2 3 5 48 3" xfId="23149"/>
    <cellStyle name="Note 2 3 5 48 4" xfId="31336"/>
    <cellStyle name="Note 2 3 5 48 5" xfId="35847"/>
    <cellStyle name="Note 2 3 5 48 6" xfId="45001"/>
    <cellStyle name="Note 2 3 5 48 7" xfId="52298"/>
    <cellStyle name="Note 2 3 5 49" xfId="5890"/>
    <cellStyle name="Note 2 3 5 49 2" xfId="13607"/>
    <cellStyle name="Note 2 3 5 49 3" xfId="22600"/>
    <cellStyle name="Note 2 3 5 49 4" xfId="30787"/>
    <cellStyle name="Note 2 3 5 49 5" xfId="35438"/>
    <cellStyle name="Note 2 3 5 49 6" xfId="44452"/>
    <cellStyle name="Note 2 3 5 49 7" xfId="50367"/>
    <cellStyle name="Note 2 3 5 5" xfId="1328"/>
    <cellStyle name="Note 2 3 5 5 2" xfId="9151"/>
    <cellStyle name="Note 2 3 5 5 3" xfId="16579"/>
    <cellStyle name="Note 2 3 5 5 4" xfId="25167"/>
    <cellStyle name="Note 2 3 5 5 5" xfId="33547"/>
    <cellStyle name="Note 2 3 5 5 6" xfId="37801"/>
    <cellStyle name="Note 2 3 5 5 7" xfId="51149"/>
    <cellStyle name="Note 2 3 5 50" xfId="6586"/>
    <cellStyle name="Note 2 3 5 50 2" xfId="14303"/>
    <cellStyle name="Note 2 3 5 50 3" xfId="23296"/>
    <cellStyle name="Note 2 3 5 50 4" xfId="31483"/>
    <cellStyle name="Note 2 3 5 50 5" xfId="35893"/>
    <cellStyle name="Note 2 3 5 50 6" xfId="45148"/>
    <cellStyle name="Note 2 3 5 50 7" xfId="52578"/>
    <cellStyle name="Note 2 3 5 51" xfId="6697"/>
    <cellStyle name="Note 2 3 5 51 2" xfId="14414"/>
    <cellStyle name="Note 2 3 5 51 3" xfId="23407"/>
    <cellStyle name="Note 2 3 5 51 4" xfId="31594"/>
    <cellStyle name="Note 2 3 5 51 5" xfId="34864"/>
    <cellStyle name="Note 2 3 5 51 6" xfId="45259"/>
    <cellStyle name="Note 2 3 5 51 7" xfId="50863"/>
    <cellStyle name="Note 2 3 5 52" xfId="6812"/>
    <cellStyle name="Note 2 3 5 52 2" xfId="14529"/>
    <cellStyle name="Note 2 3 5 52 3" xfId="23522"/>
    <cellStyle name="Note 2 3 5 52 4" xfId="31709"/>
    <cellStyle name="Note 2 3 5 52 5" xfId="34803"/>
    <cellStyle name="Note 2 3 5 52 6" xfId="45374"/>
    <cellStyle name="Note 2 3 5 52 7" xfId="49672"/>
    <cellStyle name="Note 2 3 5 53" xfId="6925"/>
    <cellStyle name="Note 2 3 5 53 2" xfId="14642"/>
    <cellStyle name="Note 2 3 5 53 3" xfId="23635"/>
    <cellStyle name="Note 2 3 5 53 4" xfId="31822"/>
    <cellStyle name="Note 2 3 5 53 5" xfId="34646"/>
    <cellStyle name="Note 2 3 5 53 6" xfId="45487"/>
    <cellStyle name="Note 2 3 5 53 7" xfId="54520"/>
    <cellStyle name="Note 2 3 5 54" xfId="7037"/>
    <cellStyle name="Note 2 3 5 54 2" xfId="14754"/>
    <cellStyle name="Note 2 3 5 54 3" xfId="23747"/>
    <cellStyle name="Note 2 3 5 54 4" xfId="31934"/>
    <cellStyle name="Note 2 3 5 54 5" xfId="36239"/>
    <cellStyle name="Note 2 3 5 54 6" xfId="45599"/>
    <cellStyle name="Note 2 3 5 54 7" xfId="47000"/>
    <cellStyle name="Note 2 3 5 55" xfId="7237"/>
    <cellStyle name="Note 2 3 5 55 2" xfId="14954"/>
    <cellStyle name="Note 2 3 5 55 3" xfId="23947"/>
    <cellStyle name="Note 2 3 5 55 4" xfId="32134"/>
    <cellStyle name="Note 2 3 5 55 5" xfId="35664"/>
    <cellStyle name="Note 2 3 5 55 6" xfId="45799"/>
    <cellStyle name="Note 2 3 5 55 7" xfId="50747"/>
    <cellStyle name="Note 2 3 5 56" xfId="7397"/>
    <cellStyle name="Note 2 3 5 56 2" xfId="15114"/>
    <cellStyle name="Note 2 3 5 56 3" xfId="24107"/>
    <cellStyle name="Note 2 3 5 56 4" xfId="32294"/>
    <cellStyle name="Note 2 3 5 56 5" xfId="36192"/>
    <cellStyle name="Note 2 3 5 56 6" xfId="45959"/>
    <cellStyle name="Note 2 3 5 56 7" xfId="53605"/>
    <cellStyle name="Note 2 3 5 57" xfId="7434"/>
    <cellStyle name="Note 2 3 5 57 2" xfId="15151"/>
    <cellStyle name="Note 2 3 5 57 3" xfId="24144"/>
    <cellStyle name="Note 2 3 5 57 4" xfId="32331"/>
    <cellStyle name="Note 2 3 5 57 5" xfId="34073"/>
    <cellStyle name="Note 2 3 5 57 6" xfId="45996"/>
    <cellStyle name="Note 2 3 5 57 7" xfId="49543"/>
    <cellStyle name="Note 2 3 5 58" xfId="7555"/>
    <cellStyle name="Note 2 3 5 58 2" xfId="15272"/>
    <cellStyle name="Note 2 3 5 58 3" xfId="24265"/>
    <cellStyle name="Note 2 3 5 58 4" xfId="32452"/>
    <cellStyle name="Note 2 3 5 58 5" xfId="35796"/>
    <cellStyle name="Note 2 3 5 58 6" xfId="46117"/>
    <cellStyle name="Note 2 3 5 58 7" xfId="51980"/>
    <cellStyle name="Note 2 3 5 59" xfId="7831"/>
    <cellStyle name="Note 2 3 5 59 2" xfId="15548"/>
    <cellStyle name="Note 2 3 5 59 3" xfId="24535"/>
    <cellStyle name="Note 2 3 5 59 4" xfId="32728"/>
    <cellStyle name="Note 2 3 5 59 5" xfId="36016"/>
    <cellStyle name="Note 2 3 5 59 6" xfId="46393"/>
    <cellStyle name="Note 2 3 5 59 7" xfId="53080"/>
    <cellStyle name="Note 2 3 5 6" xfId="1451"/>
    <cellStyle name="Note 2 3 5 6 2" xfId="9274"/>
    <cellStyle name="Note 2 3 5 6 3" xfId="16702"/>
    <cellStyle name="Note 2 3 5 6 4" xfId="19689"/>
    <cellStyle name="Note 2 3 5 6 5" xfId="28110"/>
    <cellStyle name="Note 2 3 5 6 6" xfId="38686"/>
    <cellStyle name="Note 2 3 5 6 7" xfId="47551"/>
    <cellStyle name="Note 2 3 5 60" xfId="7677"/>
    <cellStyle name="Note 2 3 5 60 2" xfId="15394"/>
    <cellStyle name="Note 2 3 5 60 3" xfId="24385"/>
    <cellStyle name="Note 2 3 5 60 4" xfId="32574"/>
    <cellStyle name="Note 2 3 5 60 5" xfId="34218"/>
    <cellStyle name="Note 2 3 5 60 6" xfId="46239"/>
    <cellStyle name="Note 2 3 5 60 7" xfId="48215"/>
    <cellStyle name="Note 2 3 5 61" xfId="7657"/>
    <cellStyle name="Note 2 3 5 61 2" xfId="15374"/>
    <cellStyle name="Note 2 3 5 61 3" xfId="24366"/>
    <cellStyle name="Note 2 3 5 61 4" xfId="32554"/>
    <cellStyle name="Note 2 3 5 61 5" xfId="34088"/>
    <cellStyle name="Note 2 3 5 61 6" xfId="46219"/>
    <cellStyle name="Note 2 3 5 61 7" xfId="49635"/>
    <cellStyle name="Note 2 3 5 62" xfId="8060"/>
    <cellStyle name="Note 2 3 5 62 2" xfId="15777"/>
    <cellStyle name="Note 2 3 5 62 3" xfId="24762"/>
    <cellStyle name="Note 2 3 5 62 4" xfId="32957"/>
    <cellStyle name="Note 2 3 5 62 5" xfId="28446"/>
    <cellStyle name="Note 2 3 5 62 6" xfId="46622"/>
    <cellStyle name="Note 2 3 5 62 7" xfId="50826"/>
    <cellStyle name="Note 2 3 5 63" xfId="8107"/>
    <cellStyle name="Note 2 3 5 63 2" xfId="15824"/>
    <cellStyle name="Note 2 3 5 63 3" xfId="33004"/>
    <cellStyle name="Note 2 3 5 63 4" xfId="36108"/>
    <cellStyle name="Note 2 3 5 63 5" xfId="46669"/>
    <cellStyle name="Note 2 3 5 63 6" xfId="53348"/>
    <cellStyle name="Note 2 3 5 64" xfId="25369"/>
    <cellStyle name="Note 2 3 5 65" xfId="33813"/>
    <cellStyle name="Note 2 3 5 66" xfId="36635"/>
    <cellStyle name="Note 2 3 5 67" xfId="51585"/>
    <cellStyle name="Note 2 3 5 7" xfId="1167"/>
    <cellStyle name="Note 2 3 5 7 2" xfId="8990"/>
    <cellStyle name="Note 2 3 5 7 3" xfId="16418"/>
    <cellStyle name="Note 2 3 5 7 4" xfId="20684"/>
    <cellStyle name="Note 2 3 5 7 5" xfId="26956"/>
    <cellStyle name="Note 2 3 5 7 6" xfId="38255"/>
    <cellStyle name="Note 2 3 5 7 7" xfId="49067"/>
    <cellStyle name="Note 2 3 5 8" xfId="1688"/>
    <cellStyle name="Note 2 3 5 8 2" xfId="9511"/>
    <cellStyle name="Note 2 3 5 8 3" xfId="16939"/>
    <cellStyle name="Note 2 3 5 8 4" xfId="25379"/>
    <cellStyle name="Note 2 3 5 8 5" xfId="33827"/>
    <cellStyle name="Note 2 3 5 8 6" xfId="37452"/>
    <cellStyle name="Note 2 3 5 8 7" xfId="51605"/>
    <cellStyle name="Note 2 3 5 9" xfId="1822"/>
    <cellStyle name="Note 2 3 5 9 2" xfId="9645"/>
    <cellStyle name="Note 2 3 5 9 3" xfId="17073"/>
    <cellStyle name="Note 2 3 5 9 4" xfId="19688"/>
    <cellStyle name="Note 2 3 5 9 5" xfId="27898"/>
    <cellStyle name="Note 2 3 5 9 6" xfId="38632"/>
    <cellStyle name="Note 2 3 5 9 7" xfId="48832"/>
    <cellStyle name="Note 2 3 50" xfId="5273"/>
    <cellStyle name="Note 2 3 50 2" xfId="12990"/>
    <cellStyle name="Note 2 3 50 3" xfId="21983"/>
    <cellStyle name="Note 2 3 50 4" xfId="30170"/>
    <cellStyle name="Note 2 3 50 5" xfId="35373"/>
    <cellStyle name="Note 2 3 50 6" xfId="43835"/>
    <cellStyle name="Note 2 3 50 7" xfId="48273"/>
    <cellStyle name="Note 2 3 51" xfId="5340"/>
    <cellStyle name="Note 2 3 51 2" xfId="13057"/>
    <cellStyle name="Note 2 3 51 3" xfId="22050"/>
    <cellStyle name="Note 2 3 51 4" xfId="30237"/>
    <cellStyle name="Note 2 3 51 5" xfId="33587"/>
    <cellStyle name="Note 2 3 51 6" xfId="43902"/>
    <cellStyle name="Note 2 3 51 7" xfId="50100"/>
    <cellStyle name="Note 2 3 52" xfId="5453"/>
    <cellStyle name="Note 2 3 52 2" xfId="13170"/>
    <cellStyle name="Note 2 3 52 3" xfId="22163"/>
    <cellStyle name="Note 2 3 52 4" xfId="30350"/>
    <cellStyle name="Note 2 3 52 5" xfId="35986"/>
    <cellStyle name="Note 2 3 52 6" xfId="44015"/>
    <cellStyle name="Note 2 3 52 7" xfId="53357"/>
    <cellStyle name="Note 2 3 53" xfId="5675"/>
    <cellStyle name="Note 2 3 53 2" xfId="13392"/>
    <cellStyle name="Note 2 3 53 3" xfId="22385"/>
    <cellStyle name="Note 2 3 53 4" xfId="30572"/>
    <cellStyle name="Note 2 3 53 5" xfId="34523"/>
    <cellStyle name="Note 2 3 53 6" xfId="44237"/>
    <cellStyle name="Note 2 3 53 7" xfId="47098"/>
    <cellStyle name="Note 2 3 54" xfId="5336"/>
    <cellStyle name="Note 2 3 54 2" xfId="13053"/>
    <cellStyle name="Note 2 3 54 3" xfId="22046"/>
    <cellStyle name="Note 2 3 54 4" xfId="30233"/>
    <cellStyle name="Note 2 3 54 5" xfId="33945"/>
    <cellStyle name="Note 2 3 54 6" xfId="43898"/>
    <cellStyle name="Note 2 3 54 7" xfId="50460"/>
    <cellStyle name="Note 2 3 55" xfId="6124"/>
    <cellStyle name="Note 2 3 55 2" xfId="13841"/>
    <cellStyle name="Note 2 3 55 3" xfId="22834"/>
    <cellStyle name="Note 2 3 55 4" xfId="31021"/>
    <cellStyle name="Note 2 3 55 5" xfId="33816"/>
    <cellStyle name="Note 2 3 55 6" xfId="44686"/>
    <cellStyle name="Note 2 3 55 7" xfId="48762"/>
    <cellStyle name="Note 2 3 56" xfId="5931"/>
    <cellStyle name="Note 2 3 56 2" xfId="13648"/>
    <cellStyle name="Note 2 3 56 3" xfId="22641"/>
    <cellStyle name="Note 2 3 56 4" xfId="30828"/>
    <cellStyle name="Note 2 3 56 5" xfId="33653"/>
    <cellStyle name="Note 2 3 56 6" xfId="44493"/>
    <cellStyle name="Note 2 3 56 7" xfId="48221"/>
    <cellStyle name="Note 2 3 57" xfId="6063"/>
    <cellStyle name="Note 2 3 57 2" xfId="13780"/>
    <cellStyle name="Note 2 3 57 3" xfId="22773"/>
    <cellStyle name="Note 2 3 57 4" xfId="30960"/>
    <cellStyle name="Note 2 3 57 5" xfId="35662"/>
    <cellStyle name="Note 2 3 57 6" xfId="44625"/>
    <cellStyle name="Note 2 3 57 7" xfId="51660"/>
    <cellStyle name="Note 2 3 58" xfId="6684"/>
    <cellStyle name="Note 2 3 58 2" xfId="14401"/>
    <cellStyle name="Note 2 3 58 3" xfId="23394"/>
    <cellStyle name="Note 2 3 58 4" xfId="31581"/>
    <cellStyle name="Note 2 3 58 5" xfId="34681"/>
    <cellStyle name="Note 2 3 58 6" xfId="45246"/>
    <cellStyle name="Note 2 3 58 7" xfId="48964"/>
    <cellStyle name="Note 2 3 59" xfId="6799"/>
    <cellStyle name="Note 2 3 59 2" xfId="14516"/>
    <cellStyle name="Note 2 3 59 3" xfId="23509"/>
    <cellStyle name="Note 2 3 59 4" xfId="31696"/>
    <cellStyle name="Note 2 3 59 5" xfId="35717"/>
    <cellStyle name="Note 2 3 59 6" xfId="45361"/>
    <cellStyle name="Note 2 3 59 7" xfId="52209"/>
    <cellStyle name="Note 2 3 6" xfId="496"/>
    <cellStyle name="Note 2 3 6 10" xfId="1943"/>
    <cellStyle name="Note 2 3 6 10 2" xfId="9766"/>
    <cellStyle name="Note 2 3 6 10 3" xfId="17194"/>
    <cellStyle name="Note 2 3 6 10 4" xfId="25407"/>
    <cellStyle name="Note 2 3 6 10 5" xfId="33862"/>
    <cellStyle name="Note 2 3 6 10 6" xfId="41096"/>
    <cellStyle name="Note 2 3 6 10 7" xfId="51664"/>
    <cellStyle name="Note 2 3 6 11" xfId="2061"/>
    <cellStyle name="Note 2 3 6 11 2" xfId="9884"/>
    <cellStyle name="Note 2 3 6 11 3" xfId="17312"/>
    <cellStyle name="Note 2 3 6 11 4" xfId="25920"/>
    <cellStyle name="Note 2 3 6 11 5" xfId="34521"/>
    <cellStyle name="Note 2 3 6 11 6" xfId="37245"/>
    <cellStyle name="Note 2 3 6 11 7" xfId="52821"/>
    <cellStyle name="Note 2 3 6 12" xfId="2174"/>
    <cellStyle name="Note 2 3 6 12 2" xfId="9997"/>
    <cellStyle name="Note 2 3 6 12 3" xfId="17425"/>
    <cellStyle name="Note 2 3 6 12 4" xfId="20439"/>
    <cellStyle name="Note 2 3 6 12 5" xfId="27305"/>
    <cellStyle name="Note 2 3 6 12 6" xfId="40054"/>
    <cellStyle name="Note 2 3 6 12 7" xfId="47567"/>
    <cellStyle name="Note 2 3 6 13" xfId="1431"/>
    <cellStyle name="Note 2 3 6 13 2" xfId="9254"/>
    <cellStyle name="Note 2 3 6 13 3" xfId="16682"/>
    <cellStyle name="Note 2 3 6 13 4" xfId="26037"/>
    <cellStyle name="Note 2 3 6 13 5" xfId="34669"/>
    <cellStyle name="Note 2 3 6 13 6" xfId="40778"/>
    <cellStyle name="Note 2 3 6 13 7" xfId="53067"/>
    <cellStyle name="Note 2 3 6 14" xfId="2360"/>
    <cellStyle name="Note 2 3 6 14 2" xfId="10183"/>
    <cellStyle name="Note 2 3 6 14 3" xfId="17611"/>
    <cellStyle name="Note 2 3 6 14 4" xfId="19982"/>
    <cellStyle name="Note 2 3 6 14 5" xfId="27705"/>
    <cellStyle name="Note 2 3 6 14 6" xfId="36398"/>
    <cellStyle name="Note 2 3 6 14 7" xfId="46963"/>
    <cellStyle name="Note 2 3 6 15" xfId="2472"/>
    <cellStyle name="Note 2 3 6 15 2" xfId="10295"/>
    <cellStyle name="Note 2 3 6 15 3" xfId="17723"/>
    <cellStyle name="Note 2 3 6 15 4" xfId="26390"/>
    <cellStyle name="Note 2 3 6 15 5" xfId="35138"/>
    <cellStyle name="Note 2 3 6 15 6" xfId="39612"/>
    <cellStyle name="Note 2 3 6 15 7" xfId="53828"/>
    <cellStyle name="Note 2 3 6 16" xfId="2585"/>
    <cellStyle name="Note 2 3 6 16 2" xfId="10408"/>
    <cellStyle name="Note 2 3 6 16 3" xfId="17836"/>
    <cellStyle name="Note 2 3 6 16 4" xfId="25150"/>
    <cellStyle name="Note 2 3 6 16 5" xfId="33527"/>
    <cellStyle name="Note 2 3 6 16 6" xfId="37238"/>
    <cellStyle name="Note 2 3 6 16 7" xfId="51112"/>
    <cellStyle name="Note 2 3 6 17" xfId="1911"/>
    <cellStyle name="Note 2 3 6 17 2" xfId="9734"/>
    <cellStyle name="Note 2 3 6 17 3" xfId="17162"/>
    <cellStyle name="Note 2 3 6 17 4" xfId="19073"/>
    <cellStyle name="Note 2 3 6 17 5" xfId="33110"/>
    <cellStyle name="Note 2 3 6 17 6" xfId="42118"/>
    <cellStyle name="Note 2 3 6 17 7" xfId="49830"/>
    <cellStyle name="Note 2 3 6 18" xfId="2705"/>
    <cellStyle name="Note 2 3 6 18 2" xfId="10528"/>
    <cellStyle name="Note 2 3 6 18 3" xfId="17956"/>
    <cellStyle name="Note 2 3 6 18 4" xfId="25787"/>
    <cellStyle name="Note 2 3 6 18 5" xfId="34355"/>
    <cellStyle name="Note 2 3 6 18 6" xfId="39099"/>
    <cellStyle name="Note 2 3 6 18 7" xfId="52527"/>
    <cellStyle name="Note 2 3 6 19" xfId="2779"/>
    <cellStyle name="Note 2 3 6 19 2" xfId="10602"/>
    <cellStyle name="Note 2 3 6 19 3" xfId="18030"/>
    <cellStyle name="Note 2 3 6 19 4" xfId="26195"/>
    <cellStyle name="Note 2 3 6 19 5" xfId="34876"/>
    <cellStyle name="Note 2 3 6 19 6" xfId="39064"/>
    <cellStyle name="Note 2 3 6 19 7" xfId="53417"/>
    <cellStyle name="Note 2 3 6 2" xfId="647"/>
    <cellStyle name="Note 2 3 6 2 2" xfId="8471"/>
    <cellStyle name="Note 2 3 6 2 3" xfId="8287"/>
    <cellStyle name="Note 2 3 6 2 4" xfId="26009"/>
    <cellStyle name="Note 2 3 6 2 5" xfId="34635"/>
    <cellStyle name="Note 2 3 6 2 6" xfId="36441"/>
    <cellStyle name="Note 2 3 6 2 7" xfId="53015"/>
    <cellStyle name="Note 2 3 6 20" xfId="2886"/>
    <cellStyle name="Note 2 3 6 20 2" xfId="10709"/>
    <cellStyle name="Note 2 3 6 20 3" xfId="18137"/>
    <cellStyle name="Note 2 3 6 20 4" xfId="20038"/>
    <cellStyle name="Note 2 3 6 20 5" xfId="28791"/>
    <cellStyle name="Note 2 3 6 20 6" xfId="36714"/>
    <cellStyle name="Note 2 3 6 20 7" xfId="50110"/>
    <cellStyle name="Note 2 3 6 21" xfId="3262"/>
    <cellStyle name="Note 2 3 6 21 2" xfId="11055"/>
    <cellStyle name="Note 2 3 6 21 3" xfId="18384"/>
    <cellStyle name="Note 2 3 6 21 4" xfId="20163"/>
    <cellStyle name="Note 2 3 6 21 5" xfId="27358"/>
    <cellStyle name="Note 2 3 6 21 6" xfId="39452"/>
    <cellStyle name="Note 2 3 6 21 7" xfId="47744"/>
    <cellStyle name="Note 2 3 6 22" xfId="3382"/>
    <cellStyle name="Note 2 3 6 22 2" xfId="11173"/>
    <cellStyle name="Note 2 3 6 22 3" xfId="18495"/>
    <cellStyle name="Note 2 3 6 22 4" xfId="25586"/>
    <cellStyle name="Note 2 3 6 22 5" xfId="34093"/>
    <cellStyle name="Note 2 3 6 22 6" xfId="38624"/>
    <cellStyle name="Note 2 3 6 22 7" xfId="52066"/>
    <cellStyle name="Note 2 3 6 23" xfId="3516"/>
    <cellStyle name="Note 2 3 6 23 2" xfId="11307"/>
    <cellStyle name="Note 2 3 6 23 3" xfId="18604"/>
    <cellStyle name="Note 2 3 6 23 4" xfId="26088"/>
    <cellStyle name="Note 2 3 6 23 5" xfId="34738"/>
    <cellStyle name="Note 2 3 6 23 6" xfId="41294"/>
    <cellStyle name="Note 2 3 6 23 7" xfId="53183"/>
    <cellStyle name="Note 2 3 6 24" xfId="3504"/>
    <cellStyle name="Note 2 3 6 24 2" xfId="11295"/>
    <cellStyle name="Note 2 3 6 24 3" xfId="18594"/>
    <cellStyle name="Note 2 3 6 24 4" xfId="26491"/>
    <cellStyle name="Note 2 3 6 24 5" xfId="35281"/>
    <cellStyle name="Note 2 3 6 24 6" xfId="36388"/>
    <cellStyle name="Note 2 3 6 24 7" xfId="54056"/>
    <cellStyle name="Note 2 3 6 25" xfId="3652"/>
    <cellStyle name="Note 2 3 6 25 2" xfId="11437"/>
    <cellStyle name="Note 2 3 6 25 3" xfId="18710"/>
    <cellStyle name="Note 2 3 6 25 4" xfId="26604"/>
    <cellStyle name="Note 2 3 6 25 5" xfId="35431"/>
    <cellStyle name="Note 2 3 6 25 6" xfId="41010"/>
    <cellStyle name="Note 2 3 6 25 7" xfId="54295"/>
    <cellStyle name="Note 2 3 6 26" xfId="3783"/>
    <cellStyle name="Note 2 3 6 26 2" xfId="11565"/>
    <cellStyle name="Note 2 3 6 26 3" xfId="18822"/>
    <cellStyle name="Note 2 3 6 26 4" xfId="19091"/>
    <cellStyle name="Note 2 3 6 26 5" xfId="33113"/>
    <cellStyle name="Note 2 3 6 26 6" xfId="37078"/>
    <cellStyle name="Note 2 3 6 26 7" xfId="49856"/>
    <cellStyle name="Note 2 3 6 27" xfId="3900"/>
    <cellStyle name="Note 2 3 6 27 2" xfId="11680"/>
    <cellStyle name="Note 2 3 6 27 3" xfId="18931"/>
    <cellStyle name="Note 2 3 6 27 4" xfId="25243"/>
    <cellStyle name="Note 2 3 6 27 5" xfId="33647"/>
    <cellStyle name="Note 2 3 6 27 6" xfId="39215"/>
    <cellStyle name="Note 2 3 6 27 7" xfId="51303"/>
    <cellStyle name="Note 2 3 6 28" xfId="3533"/>
    <cellStyle name="Note 2 3 6 28 2" xfId="11323"/>
    <cellStyle name="Note 2 3 6 28 3" xfId="20504"/>
    <cellStyle name="Note 2 3 6 28 4" xfId="28629"/>
    <cellStyle name="Note 2 3 6 28 5" xfId="35590"/>
    <cellStyle name="Note 2 3 6 28 6" xfId="42501"/>
    <cellStyle name="Note 2 3 6 28 7" xfId="51457"/>
    <cellStyle name="Note 2 3 6 29" xfId="4097"/>
    <cellStyle name="Note 2 3 6 29 2" xfId="11857"/>
    <cellStyle name="Note 2 3 6 29 3" xfId="20807"/>
    <cellStyle name="Note 2 3 6 29 4" xfId="28994"/>
    <cellStyle name="Note 2 3 6 29 5" xfId="33220"/>
    <cellStyle name="Note 2 3 6 29 6" xfId="42659"/>
    <cellStyle name="Note 2 3 6 29 7" xfId="48485"/>
    <cellStyle name="Note 2 3 6 3" xfId="754"/>
    <cellStyle name="Note 2 3 6 3 2" xfId="8578"/>
    <cellStyle name="Note 2 3 6 3 3" xfId="16006"/>
    <cellStyle name="Note 2 3 6 3 4" xfId="20493"/>
    <cellStyle name="Note 2 3 6 3 5" xfId="27501"/>
    <cellStyle name="Note 2 3 6 3 6" xfId="36434"/>
    <cellStyle name="Note 2 3 6 3 7" xfId="48208"/>
    <cellStyle name="Note 2 3 6 30" xfId="3010"/>
    <cellStyle name="Note 2 3 6 30 2" xfId="20184"/>
    <cellStyle name="Note 2 3 6 30 3" xfId="28274"/>
    <cellStyle name="Note 2 3 6 30 4" xfId="35790"/>
    <cellStyle name="Note 2 3 6 30 5" xfId="42349"/>
    <cellStyle name="Note 2 3 6 30 6" xfId="52411"/>
    <cellStyle name="Note 2 3 6 31" xfId="4294"/>
    <cellStyle name="Note 2 3 6 31 2" xfId="12011"/>
    <cellStyle name="Note 2 3 6 31 3" xfId="21004"/>
    <cellStyle name="Note 2 3 6 31 4" xfId="29191"/>
    <cellStyle name="Note 2 3 6 31 5" xfId="34431"/>
    <cellStyle name="Note 2 3 6 31 6" xfId="42856"/>
    <cellStyle name="Note 2 3 6 31 7" xfId="47428"/>
    <cellStyle name="Note 2 3 6 32" xfId="4417"/>
    <cellStyle name="Note 2 3 6 32 2" xfId="12134"/>
    <cellStyle name="Note 2 3 6 32 3" xfId="21127"/>
    <cellStyle name="Note 2 3 6 32 4" xfId="29314"/>
    <cellStyle name="Note 2 3 6 32 5" xfId="36026"/>
    <cellStyle name="Note 2 3 6 32 6" xfId="42979"/>
    <cellStyle name="Note 2 3 6 32 7" xfId="53543"/>
    <cellStyle name="Note 2 3 6 33" xfId="4531"/>
    <cellStyle name="Note 2 3 6 33 2" xfId="12248"/>
    <cellStyle name="Note 2 3 6 33 3" xfId="21241"/>
    <cellStyle name="Note 2 3 6 33 4" xfId="29428"/>
    <cellStyle name="Note 2 3 6 33 5" xfId="36150"/>
    <cellStyle name="Note 2 3 6 33 6" xfId="43093"/>
    <cellStyle name="Note 2 3 6 33 7" xfId="54148"/>
    <cellStyle name="Note 2 3 6 34" xfId="4644"/>
    <cellStyle name="Note 2 3 6 34 2" xfId="12361"/>
    <cellStyle name="Note 2 3 6 34 3" xfId="21354"/>
    <cellStyle name="Note 2 3 6 34 4" xfId="29541"/>
    <cellStyle name="Note 2 3 6 34 5" xfId="35870"/>
    <cellStyle name="Note 2 3 6 34 6" xfId="43206"/>
    <cellStyle name="Note 2 3 6 34 7" xfId="52754"/>
    <cellStyle name="Note 2 3 6 35" xfId="4756"/>
    <cellStyle name="Note 2 3 6 35 2" xfId="12473"/>
    <cellStyle name="Note 2 3 6 35 3" xfId="21466"/>
    <cellStyle name="Note 2 3 6 35 4" xfId="29653"/>
    <cellStyle name="Note 2 3 6 35 5" xfId="33812"/>
    <cellStyle name="Note 2 3 6 35 6" xfId="43318"/>
    <cellStyle name="Note 2 3 6 35 7" xfId="48773"/>
    <cellStyle name="Note 2 3 6 36" xfId="4864"/>
    <cellStyle name="Note 2 3 6 36 2" xfId="12581"/>
    <cellStyle name="Note 2 3 6 36 3" xfId="21574"/>
    <cellStyle name="Note 2 3 6 36 4" xfId="29761"/>
    <cellStyle name="Note 2 3 6 36 5" xfId="35853"/>
    <cellStyle name="Note 2 3 6 36 6" xfId="43426"/>
    <cellStyle name="Note 2 3 6 36 7" xfId="52685"/>
    <cellStyle name="Note 2 3 6 37" xfId="4976"/>
    <cellStyle name="Note 2 3 6 37 2" xfId="12693"/>
    <cellStyle name="Note 2 3 6 37 3" xfId="21686"/>
    <cellStyle name="Note 2 3 6 37 4" xfId="29873"/>
    <cellStyle name="Note 2 3 6 37 5" xfId="27633"/>
    <cellStyle name="Note 2 3 6 37 6" xfId="43538"/>
    <cellStyle name="Note 2 3 6 37 7" xfId="50202"/>
    <cellStyle name="Note 2 3 6 38" xfId="5137"/>
    <cellStyle name="Note 2 3 6 38 2" xfId="12854"/>
    <cellStyle name="Note 2 3 6 38 3" xfId="21847"/>
    <cellStyle name="Note 2 3 6 38 4" xfId="30034"/>
    <cellStyle name="Note 2 3 6 38 5" xfId="27724"/>
    <cellStyle name="Note 2 3 6 38 6" xfId="43699"/>
    <cellStyle name="Note 2 3 6 38 7" xfId="47345"/>
    <cellStyle name="Note 2 3 6 39" xfId="5474"/>
    <cellStyle name="Note 2 3 6 39 2" xfId="13191"/>
    <cellStyle name="Note 2 3 6 39 3" xfId="22184"/>
    <cellStyle name="Note 2 3 6 39 4" xfId="30371"/>
    <cellStyle name="Note 2 3 6 39 5" xfId="34990"/>
    <cellStyle name="Note 2 3 6 39 6" xfId="44036"/>
    <cellStyle name="Note 2 3 6 39 7" xfId="51210"/>
    <cellStyle name="Note 2 3 6 4" xfId="866"/>
    <cellStyle name="Note 2 3 6 4 2" xfId="8690"/>
    <cellStyle name="Note 2 3 6 4 3" xfId="16118"/>
    <cellStyle name="Note 2 3 6 4 4" xfId="19196"/>
    <cellStyle name="Note 2 3 6 4 5" xfId="26926"/>
    <cellStyle name="Note 2 3 6 4 6" xfId="36419"/>
    <cellStyle name="Note 2 3 6 4 7" xfId="49129"/>
    <cellStyle name="Note 2 3 6 40" xfId="5599"/>
    <cellStyle name="Note 2 3 6 40 2" xfId="13316"/>
    <cellStyle name="Note 2 3 6 40 3" xfId="22309"/>
    <cellStyle name="Note 2 3 6 40 4" xfId="30496"/>
    <cellStyle name="Note 2 3 6 40 5" xfId="33999"/>
    <cellStyle name="Note 2 3 6 40 6" xfId="44161"/>
    <cellStyle name="Note 2 3 6 40 7" xfId="47142"/>
    <cellStyle name="Note 2 3 6 41" xfId="5714"/>
    <cellStyle name="Note 2 3 6 41 2" xfId="13431"/>
    <cellStyle name="Note 2 3 6 41 3" xfId="22424"/>
    <cellStyle name="Note 2 3 6 41 4" xfId="30611"/>
    <cellStyle name="Note 2 3 6 41 5" xfId="34339"/>
    <cellStyle name="Note 2 3 6 41 6" xfId="44276"/>
    <cellStyle name="Note 2 3 6 41 7" xfId="47073"/>
    <cellStyle name="Note 2 3 6 42" xfId="5831"/>
    <cellStyle name="Note 2 3 6 42 2" xfId="13548"/>
    <cellStyle name="Note 2 3 6 42 3" xfId="22541"/>
    <cellStyle name="Note 2 3 6 42 4" xfId="30728"/>
    <cellStyle name="Note 2 3 6 42 5" xfId="34817"/>
    <cellStyle name="Note 2 3 6 42 6" xfId="44393"/>
    <cellStyle name="Note 2 3 6 42 7" xfId="50046"/>
    <cellStyle name="Note 2 3 6 43" xfId="5959"/>
    <cellStyle name="Note 2 3 6 43 2" xfId="13676"/>
    <cellStyle name="Note 2 3 6 43 3" xfId="22669"/>
    <cellStyle name="Note 2 3 6 43 4" xfId="30856"/>
    <cellStyle name="Note 2 3 6 43 5" xfId="35690"/>
    <cellStyle name="Note 2 3 6 43 6" xfId="44521"/>
    <cellStyle name="Note 2 3 6 43 7" xfId="51351"/>
    <cellStyle name="Note 2 3 6 44" xfId="6072"/>
    <cellStyle name="Note 2 3 6 44 2" xfId="13789"/>
    <cellStyle name="Note 2 3 6 44 3" xfId="22782"/>
    <cellStyle name="Note 2 3 6 44 4" xfId="30969"/>
    <cellStyle name="Note 2 3 6 44 5" xfId="34147"/>
    <cellStyle name="Note 2 3 6 44 6" xfId="44634"/>
    <cellStyle name="Note 2 3 6 44 7" xfId="54037"/>
    <cellStyle name="Note 2 3 6 45" xfId="5193"/>
    <cellStyle name="Note 2 3 6 45 2" xfId="12910"/>
    <cellStyle name="Note 2 3 6 45 3" xfId="21903"/>
    <cellStyle name="Note 2 3 6 45 4" xfId="30090"/>
    <cellStyle name="Note 2 3 6 45 5" xfId="28536"/>
    <cellStyle name="Note 2 3 6 45 6" xfId="43755"/>
    <cellStyle name="Note 2 3 6 45 7" xfId="49769"/>
    <cellStyle name="Note 2 3 6 46" xfId="6215"/>
    <cellStyle name="Note 2 3 6 46 2" xfId="13932"/>
    <cellStyle name="Note 2 3 6 46 3" xfId="22925"/>
    <cellStyle name="Note 2 3 6 46 4" xfId="31112"/>
    <cellStyle name="Note 2 3 6 46 5" xfId="36199"/>
    <cellStyle name="Note 2 3 6 46 6" xfId="44777"/>
    <cellStyle name="Note 2 3 6 46 7" xfId="53937"/>
    <cellStyle name="Note 2 3 6 47" xfId="6332"/>
    <cellStyle name="Note 2 3 6 47 2" xfId="14049"/>
    <cellStyle name="Note 2 3 6 47 3" xfId="23042"/>
    <cellStyle name="Note 2 3 6 47 4" xfId="31229"/>
    <cellStyle name="Note 2 3 6 47 5" xfId="27255"/>
    <cellStyle name="Note 2 3 6 47 6" xfId="44894"/>
    <cellStyle name="Note 2 3 6 47 7" xfId="50733"/>
    <cellStyle name="Note 2 3 6 48" xfId="6442"/>
    <cellStyle name="Note 2 3 6 48 2" xfId="14159"/>
    <cellStyle name="Note 2 3 6 48 3" xfId="23152"/>
    <cellStyle name="Note 2 3 6 48 4" xfId="31339"/>
    <cellStyle name="Note 2 3 6 48 5" xfId="35762"/>
    <cellStyle name="Note 2 3 6 48 6" xfId="45004"/>
    <cellStyle name="Note 2 3 6 48 7" xfId="52079"/>
    <cellStyle name="Note 2 3 6 49" xfId="6195"/>
    <cellStyle name="Note 2 3 6 49 2" xfId="13912"/>
    <cellStyle name="Note 2 3 6 49 3" xfId="22905"/>
    <cellStyle name="Note 2 3 6 49 4" xfId="31092"/>
    <cellStyle name="Note 2 3 6 49 5" xfId="34977"/>
    <cellStyle name="Note 2 3 6 49 6" xfId="44757"/>
    <cellStyle name="Note 2 3 6 49 7" xfId="48593"/>
    <cellStyle name="Note 2 3 6 5" xfId="1331"/>
    <cellStyle name="Note 2 3 6 5 2" xfId="9154"/>
    <cellStyle name="Note 2 3 6 5 3" xfId="16582"/>
    <cellStyle name="Note 2 3 6 5 4" xfId="20036"/>
    <cellStyle name="Note 2 3 6 5 5" xfId="27385"/>
    <cellStyle name="Note 2 3 6 5 6" xfId="36380"/>
    <cellStyle name="Note 2 3 6 5 7" xfId="47573"/>
    <cellStyle name="Note 2 3 6 50" xfId="6589"/>
    <cellStyle name="Note 2 3 6 50 2" xfId="14306"/>
    <cellStyle name="Note 2 3 6 50 3" xfId="23299"/>
    <cellStyle name="Note 2 3 6 50 4" xfId="31486"/>
    <cellStyle name="Note 2 3 6 50 5" xfId="35835"/>
    <cellStyle name="Note 2 3 6 50 6" xfId="45151"/>
    <cellStyle name="Note 2 3 6 50 7" xfId="52227"/>
    <cellStyle name="Note 2 3 6 51" xfId="6700"/>
    <cellStyle name="Note 2 3 6 51 2" xfId="14417"/>
    <cellStyle name="Note 2 3 6 51 3" xfId="23410"/>
    <cellStyle name="Note 2 3 6 51 4" xfId="31597"/>
    <cellStyle name="Note 2 3 6 51 5" xfId="27848"/>
    <cellStyle name="Note 2 3 6 51 6" xfId="45262"/>
    <cellStyle name="Note 2 3 6 51 7" xfId="49600"/>
    <cellStyle name="Note 2 3 6 52" xfId="6815"/>
    <cellStyle name="Note 2 3 6 52 2" xfId="14532"/>
    <cellStyle name="Note 2 3 6 52 3" xfId="23525"/>
    <cellStyle name="Note 2 3 6 52 4" xfId="31712"/>
    <cellStyle name="Note 2 3 6 52 5" xfId="27655"/>
    <cellStyle name="Note 2 3 6 52 6" xfId="45377"/>
    <cellStyle name="Note 2 3 6 52 7" xfId="50501"/>
    <cellStyle name="Note 2 3 6 53" xfId="6928"/>
    <cellStyle name="Note 2 3 6 53 2" xfId="14645"/>
    <cellStyle name="Note 2 3 6 53 3" xfId="23638"/>
    <cellStyle name="Note 2 3 6 53 4" xfId="31825"/>
    <cellStyle name="Note 2 3 6 53 5" xfId="36227"/>
    <cellStyle name="Note 2 3 6 53 6" xfId="45490"/>
    <cellStyle name="Note 2 3 6 53 7" xfId="46942"/>
    <cellStyle name="Note 2 3 6 54" xfId="7040"/>
    <cellStyle name="Note 2 3 6 54 2" xfId="14757"/>
    <cellStyle name="Note 2 3 6 54 3" xfId="23750"/>
    <cellStyle name="Note 2 3 6 54 4" xfId="31937"/>
    <cellStyle name="Note 2 3 6 54 5" xfId="33854"/>
    <cellStyle name="Note 2 3 6 54 6" xfId="45602"/>
    <cellStyle name="Note 2 3 6 54 7" xfId="46937"/>
    <cellStyle name="Note 2 3 6 55" xfId="7220"/>
    <cellStyle name="Note 2 3 6 55 2" xfId="14937"/>
    <cellStyle name="Note 2 3 6 55 3" xfId="23930"/>
    <cellStyle name="Note 2 3 6 55 4" xfId="32117"/>
    <cellStyle name="Note 2 3 6 55 5" xfId="35294"/>
    <cellStyle name="Note 2 3 6 55 6" xfId="45782"/>
    <cellStyle name="Note 2 3 6 55 7" xfId="49216"/>
    <cellStyle name="Note 2 3 6 56" xfId="7390"/>
    <cellStyle name="Note 2 3 6 56 2" xfId="15107"/>
    <cellStyle name="Note 2 3 6 56 3" xfId="24100"/>
    <cellStyle name="Note 2 3 6 56 4" xfId="32287"/>
    <cellStyle name="Note 2 3 6 56 5" xfId="35472"/>
    <cellStyle name="Note 2 3 6 56 6" xfId="45952"/>
    <cellStyle name="Note 2 3 6 56 7" xfId="54469"/>
    <cellStyle name="Note 2 3 6 57" xfId="7437"/>
    <cellStyle name="Note 2 3 6 57 2" xfId="15154"/>
    <cellStyle name="Note 2 3 6 57 3" xfId="24147"/>
    <cellStyle name="Note 2 3 6 57 4" xfId="32334"/>
    <cellStyle name="Note 2 3 6 57 5" xfId="34196"/>
    <cellStyle name="Note 2 3 6 57 6" xfId="45999"/>
    <cellStyle name="Note 2 3 6 57 7" xfId="49364"/>
    <cellStyle name="Note 2 3 6 58" xfId="7558"/>
    <cellStyle name="Note 2 3 6 58 2" xfId="15275"/>
    <cellStyle name="Note 2 3 6 58 3" xfId="24268"/>
    <cellStyle name="Note 2 3 6 58 4" xfId="32455"/>
    <cellStyle name="Note 2 3 6 58 5" xfId="34894"/>
    <cellStyle name="Note 2 3 6 58 6" xfId="46120"/>
    <cellStyle name="Note 2 3 6 58 7" xfId="51410"/>
    <cellStyle name="Note 2 3 6 59" xfId="7834"/>
    <cellStyle name="Note 2 3 6 59 2" xfId="15551"/>
    <cellStyle name="Note 2 3 6 59 3" xfId="24538"/>
    <cellStyle name="Note 2 3 6 59 4" xfId="32731"/>
    <cellStyle name="Note 2 3 6 59 5" xfId="27078"/>
    <cellStyle name="Note 2 3 6 59 6" xfId="46396"/>
    <cellStyle name="Note 2 3 6 59 7" xfId="52835"/>
    <cellStyle name="Note 2 3 6 6" xfId="1454"/>
    <cellStyle name="Note 2 3 6 6 2" xfId="9277"/>
    <cellStyle name="Note 2 3 6 6 3" xfId="16705"/>
    <cellStyle name="Note 2 3 6 6 4" xfId="19919"/>
    <cellStyle name="Note 2 3 6 6 5" xfId="26882"/>
    <cellStyle name="Note 2 3 6 6 6" xfId="36458"/>
    <cellStyle name="Note 2 3 6 6 7" xfId="49757"/>
    <cellStyle name="Note 2 3 6 60" xfId="7935"/>
    <cellStyle name="Note 2 3 6 60 2" xfId="15652"/>
    <cellStyle name="Note 2 3 6 60 3" xfId="24639"/>
    <cellStyle name="Note 2 3 6 60 4" xfId="32832"/>
    <cellStyle name="Note 2 3 6 60 5" xfId="34800"/>
    <cellStyle name="Note 2 3 6 60 6" xfId="46497"/>
    <cellStyle name="Note 2 3 6 60 7" xfId="47899"/>
    <cellStyle name="Note 2 3 6 61" xfId="7704"/>
    <cellStyle name="Note 2 3 6 61 2" xfId="15421"/>
    <cellStyle name="Note 2 3 6 61 3" xfId="24412"/>
    <cellStyle name="Note 2 3 6 61 4" xfId="32601"/>
    <cellStyle name="Note 2 3 6 61 5" xfId="33467"/>
    <cellStyle name="Note 2 3 6 61 6" xfId="46266"/>
    <cellStyle name="Note 2 3 6 61 7" xfId="51450"/>
    <cellStyle name="Note 2 3 6 62" xfId="8072"/>
    <cellStyle name="Note 2 3 6 62 2" xfId="15789"/>
    <cellStyle name="Note 2 3 6 62 3" xfId="24774"/>
    <cellStyle name="Note 2 3 6 62 4" xfId="32969"/>
    <cellStyle name="Note 2 3 6 62 5" xfId="35257"/>
    <cellStyle name="Note 2 3 6 62 6" xfId="46634"/>
    <cellStyle name="Note 2 3 6 62 7" xfId="47372"/>
    <cellStyle name="Note 2 3 6 63" xfId="8110"/>
    <cellStyle name="Note 2 3 6 63 2" xfId="15827"/>
    <cellStyle name="Note 2 3 6 63 3" xfId="33007"/>
    <cellStyle name="Note 2 3 6 63 4" xfId="36059"/>
    <cellStyle name="Note 2 3 6 63 5" xfId="46672"/>
    <cellStyle name="Note 2 3 6 63 6" xfId="53137"/>
    <cellStyle name="Note 2 3 6 64" xfId="25843"/>
    <cellStyle name="Note 2 3 6 65" xfId="34429"/>
    <cellStyle name="Note 2 3 6 66" xfId="37033"/>
    <cellStyle name="Note 2 3 6 67" xfId="52658"/>
    <cellStyle name="Note 2 3 6 7" xfId="1560"/>
    <cellStyle name="Note 2 3 6 7 2" xfId="9383"/>
    <cellStyle name="Note 2 3 6 7 3" xfId="16811"/>
    <cellStyle name="Note 2 3 6 7 4" xfId="19860"/>
    <cellStyle name="Note 2 3 6 7 5" xfId="28636"/>
    <cellStyle name="Note 2 3 6 7 6" xfId="37013"/>
    <cellStyle name="Note 2 3 6 7 7" xfId="48162"/>
    <cellStyle name="Note 2 3 6 8" xfId="1691"/>
    <cellStyle name="Note 2 3 6 8 2" xfId="9514"/>
    <cellStyle name="Note 2 3 6 8 3" xfId="16942"/>
    <cellStyle name="Note 2 3 6 8 4" xfId="25573"/>
    <cellStyle name="Note 2 3 6 8 5" xfId="34075"/>
    <cellStyle name="Note 2 3 6 8 6" xfId="37273"/>
    <cellStyle name="Note 2 3 6 8 7" xfId="52031"/>
    <cellStyle name="Note 2 3 6 9" xfId="1825"/>
    <cellStyle name="Note 2 3 6 9 2" xfId="9648"/>
    <cellStyle name="Note 2 3 6 9 3" xfId="17076"/>
    <cellStyle name="Note 2 3 6 9 4" xfId="19515"/>
    <cellStyle name="Note 2 3 6 9 5" xfId="28797"/>
    <cellStyle name="Note 2 3 6 9 6" xfId="38440"/>
    <cellStyle name="Note 2 3 6 9 7" xfId="47247"/>
    <cellStyle name="Note 2 3 60" xfId="7314"/>
    <cellStyle name="Note 2 3 60 2" xfId="15031"/>
    <cellStyle name="Note 2 3 60 3" xfId="24024"/>
    <cellStyle name="Note 2 3 60 4" xfId="32211"/>
    <cellStyle name="Note 2 3 60 5" xfId="35811"/>
    <cellStyle name="Note 2 3 60 6" xfId="45876"/>
    <cellStyle name="Note 2 3 60 7" xfId="51709"/>
    <cellStyle name="Note 2 3 61" xfId="7412"/>
    <cellStyle name="Note 2 3 61 2" xfId="15129"/>
    <cellStyle name="Note 2 3 61 3" xfId="24122"/>
    <cellStyle name="Note 2 3 61 4" xfId="32309"/>
    <cellStyle name="Note 2 3 61 5" xfId="35874"/>
    <cellStyle name="Note 2 3 61 6" xfId="45974"/>
    <cellStyle name="Note 2 3 61 7" xfId="52218"/>
    <cellStyle name="Note 2 3 62" xfId="7287"/>
    <cellStyle name="Note 2 3 62 2" xfId="15004"/>
    <cellStyle name="Note 2 3 62 3" xfId="23997"/>
    <cellStyle name="Note 2 3 62 4" xfId="32184"/>
    <cellStyle name="Note 2 3 62 5" xfId="27228"/>
    <cellStyle name="Note 2 3 62 6" xfId="45849"/>
    <cellStyle name="Note 2 3 62 7" xfId="50336"/>
    <cellStyle name="Note 2 3 63" xfId="7533"/>
    <cellStyle name="Note 2 3 63 2" xfId="15250"/>
    <cellStyle name="Note 2 3 63 3" xfId="24243"/>
    <cellStyle name="Note 2 3 63 4" xfId="32430"/>
    <cellStyle name="Note 2 3 63 5" xfId="35094"/>
    <cellStyle name="Note 2 3 63 6" xfId="46095"/>
    <cellStyle name="Note 2 3 63 7" xfId="54322"/>
    <cellStyle name="Note 2 3 64" xfId="7734"/>
    <cellStyle name="Note 2 3 64 2" xfId="15451"/>
    <cellStyle name="Note 2 3 64 3" xfId="24442"/>
    <cellStyle name="Note 2 3 64 4" xfId="32631"/>
    <cellStyle name="Note 2 3 64 5" xfId="34994"/>
    <cellStyle name="Note 2 3 64 6" xfId="46296"/>
    <cellStyle name="Note 2 3 64 7" xfId="53749"/>
    <cellStyle name="Note 2 3 65" xfId="7671"/>
    <cellStyle name="Note 2 3 65 2" xfId="15388"/>
    <cellStyle name="Note 2 3 65 3" xfId="24380"/>
    <cellStyle name="Note 2 3 65 4" xfId="32568"/>
    <cellStyle name="Note 2 3 65 5" xfId="26959"/>
    <cellStyle name="Note 2 3 65 6" xfId="46233"/>
    <cellStyle name="Note 2 3 65 7" xfId="48637"/>
    <cellStyle name="Note 2 3 66" xfId="7965"/>
    <cellStyle name="Note 2 3 66 2" xfId="15682"/>
    <cellStyle name="Note 2 3 66 3" xfId="24668"/>
    <cellStyle name="Note 2 3 66 4" xfId="32862"/>
    <cellStyle name="Note 2 3 66 5" xfId="36182"/>
    <cellStyle name="Note 2 3 66 6" xfId="46527"/>
    <cellStyle name="Note 2 3 66 7" xfId="53572"/>
    <cellStyle name="Note 2 3 67" xfId="7663"/>
    <cellStyle name="Note 2 3 67 2" xfId="15380"/>
    <cellStyle name="Note 2 3 67 3" xfId="24372"/>
    <cellStyle name="Note 2 3 67 4" xfId="32560"/>
    <cellStyle name="Note 2 3 67 5" xfId="33739"/>
    <cellStyle name="Note 2 3 67 6" xfId="46225"/>
    <cellStyle name="Note 2 3 67 7" xfId="49383"/>
    <cellStyle name="Note 2 3 68" xfId="7675"/>
    <cellStyle name="Note 2 3 68 2" xfId="15392"/>
    <cellStyle name="Note 2 3 68 3" xfId="32572"/>
    <cellStyle name="Note 2 3 68 4" xfId="34373"/>
    <cellStyle name="Note 2 3 68 5" xfId="46237"/>
    <cellStyle name="Note 2 3 68 6" xfId="48007"/>
    <cellStyle name="Note 2 3 69" xfId="26536"/>
    <cellStyle name="Note 2 3 7" xfId="601"/>
    <cellStyle name="Note 2 3 7 2" xfId="8425"/>
    <cellStyle name="Note 2 3 7 3" xfId="11334"/>
    <cellStyle name="Note 2 3 7 4" xfId="20696"/>
    <cellStyle name="Note 2 3 7 5" xfId="27330"/>
    <cellStyle name="Note 2 3 7 6" xfId="36578"/>
    <cellStyle name="Note 2 3 7 7" xfId="48863"/>
    <cellStyle name="Note 2 3 70" xfId="35336"/>
    <cellStyle name="Note 2 3 71" xfId="36656"/>
    <cellStyle name="Note 2 3 72" xfId="54143"/>
    <cellStyle name="Note 2 3 8" xfId="212"/>
    <cellStyle name="Note 2 3 8 2" xfId="8317"/>
    <cellStyle name="Note 2 3 8 3" xfId="11962"/>
    <cellStyle name="Note 2 3 8 4" xfId="20341"/>
    <cellStyle name="Note 2 3 8 5" xfId="28803"/>
    <cellStyle name="Note 2 3 8 6" xfId="37144"/>
    <cellStyle name="Note 2 3 8 7" xfId="47610"/>
    <cellStyle name="Note 2 3 9" xfId="231"/>
    <cellStyle name="Note 2 3 9 2" xfId="8335"/>
    <cellStyle name="Note 2 3 9 3" xfId="8369"/>
    <cellStyle name="Note 2 3 9 4" xfId="20397"/>
    <cellStyle name="Note 2 3 9 5" xfId="27519"/>
    <cellStyle name="Note 2 3 9 6" xfId="36477"/>
    <cellStyle name="Note 2 3 9 7" xfId="49997"/>
    <cellStyle name="Note 2 30" xfId="6182"/>
    <cellStyle name="Note 2 30 2" xfId="13899"/>
    <cellStyle name="Note 2 30 3" xfId="22892"/>
    <cellStyle name="Note 2 30 4" xfId="31079"/>
    <cellStyle name="Note 2 30 5" xfId="28032"/>
    <cellStyle name="Note 2 30 6" xfId="44744"/>
    <cellStyle name="Note 2 30 7" xfId="49964"/>
    <cellStyle name="Note 2 31" xfId="6057"/>
    <cellStyle name="Note 2 31 2" xfId="13774"/>
    <cellStyle name="Note 2 31 3" xfId="22767"/>
    <cellStyle name="Note 2 31 4" xfId="30954"/>
    <cellStyle name="Note 2 31 5" xfId="34619"/>
    <cellStyle name="Note 2 31 6" xfId="44619"/>
    <cellStyle name="Note 2 31 7" xfId="52359"/>
    <cellStyle name="Note 2 32" xfId="7263"/>
    <cellStyle name="Note 2 32 2" xfId="14980"/>
    <cellStyle name="Note 2 32 3" xfId="23973"/>
    <cellStyle name="Note 2 32 4" xfId="32160"/>
    <cellStyle name="Note 2 32 5" xfId="36063"/>
    <cellStyle name="Note 2 32 6" xfId="45825"/>
    <cellStyle name="Note 2 32 7" xfId="53194"/>
    <cellStyle name="Note 2 33" xfId="7213"/>
    <cellStyle name="Note 2 33 2" xfId="14930"/>
    <cellStyle name="Note 2 33 3" xfId="23923"/>
    <cellStyle name="Note 2 33 4" xfId="32110"/>
    <cellStyle name="Note 2 33 5" xfId="27773"/>
    <cellStyle name="Note 2 33 6" xfId="45775"/>
    <cellStyle name="Note 2 33 7" xfId="49979"/>
    <cellStyle name="Note 2 34" xfId="7815"/>
    <cellStyle name="Note 2 34 2" xfId="15532"/>
    <cellStyle name="Note 2 34 3" xfId="24519"/>
    <cellStyle name="Note 2 34 4" xfId="32712"/>
    <cellStyle name="Note 2 34 5" xfId="36191"/>
    <cellStyle name="Note 2 34 6" xfId="46377"/>
    <cellStyle name="Note 2 34 7" xfId="48451"/>
    <cellStyle name="Note 2 35" xfId="7664"/>
    <cellStyle name="Note 2 35 2" xfId="15381"/>
    <cellStyle name="Note 2 35 3" xfId="24373"/>
    <cellStyle name="Note 2 35 4" xfId="32561"/>
    <cellStyle name="Note 2 35 5" xfId="26851"/>
    <cellStyle name="Note 2 35 6" xfId="46226"/>
    <cellStyle name="Note 2 35 7" xfId="49359"/>
    <cellStyle name="Note 2 36" xfId="7811"/>
    <cellStyle name="Note 2 36 2" xfId="15528"/>
    <cellStyle name="Note 2 36 3" xfId="24515"/>
    <cellStyle name="Note 2 36 4" xfId="32708"/>
    <cellStyle name="Note 2 36 5" xfId="27911"/>
    <cellStyle name="Note 2 36 6" xfId="46373"/>
    <cellStyle name="Note 2 36 7" xfId="54069"/>
    <cellStyle name="Note 2 37" xfId="25270"/>
    <cellStyle name="Note 2 38" xfId="33679"/>
    <cellStyle name="Note 2 39" xfId="37409"/>
    <cellStyle name="Note 2 4" xfId="513"/>
    <cellStyle name="Note 2 4 10" xfId="1960"/>
    <cellStyle name="Note 2 4 10 2" xfId="9783"/>
    <cellStyle name="Note 2 4 10 3" xfId="17211"/>
    <cellStyle name="Note 2 4 10 4" xfId="24954"/>
    <cellStyle name="Note 2 4 10 5" xfId="33290"/>
    <cellStyle name="Note 2 4 10 6" xfId="39372"/>
    <cellStyle name="Note 2 4 10 7" xfId="50678"/>
    <cellStyle name="Note 2 4 11" xfId="2078"/>
    <cellStyle name="Note 2 4 11 2" xfId="9901"/>
    <cellStyle name="Note 2 4 11 3" xfId="17329"/>
    <cellStyle name="Note 2 4 11 4" xfId="20262"/>
    <cellStyle name="Note 2 4 11 5" xfId="28126"/>
    <cellStyle name="Note 2 4 11 6" xfId="42306"/>
    <cellStyle name="Note 2 4 11 7" xfId="47550"/>
    <cellStyle name="Note 2 4 12" xfId="2191"/>
    <cellStyle name="Note 2 4 12 2" xfId="10014"/>
    <cellStyle name="Note 2 4 12 3" xfId="17442"/>
    <cellStyle name="Note 2 4 12 4" xfId="26461"/>
    <cellStyle name="Note 2 4 12 5" xfId="35239"/>
    <cellStyle name="Note 2 4 12 6" xfId="38230"/>
    <cellStyle name="Note 2 4 12 7" xfId="53986"/>
    <cellStyle name="Note 2 4 13" xfId="1074"/>
    <cellStyle name="Note 2 4 13 2" xfId="8898"/>
    <cellStyle name="Note 2 4 13 3" xfId="16326"/>
    <cellStyle name="Note 2 4 13 4" xfId="19844"/>
    <cellStyle name="Note 2 4 13 5" xfId="26786"/>
    <cellStyle name="Note 2 4 13 6" xfId="36620"/>
    <cellStyle name="Note 2 4 13 7" xfId="50350"/>
    <cellStyle name="Note 2 4 14" xfId="2361"/>
    <cellStyle name="Note 2 4 14 2" xfId="10184"/>
    <cellStyle name="Note 2 4 14 3" xfId="17612"/>
    <cellStyle name="Note 2 4 14 4" xfId="19144"/>
    <cellStyle name="Note 2 4 14 5" xfId="26872"/>
    <cellStyle name="Note 2 4 14 6" xfId="37523"/>
    <cellStyle name="Note 2 4 14 7" xfId="49798"/>
    <cellStyle name="Note 2 4 15" xfId="2489"/>
    <cellStyle name="Note 2 4 15 2" xfId="10312"/>
    <cellStyle name="Note 2 4 15 3" xfId="17740"/>
    <cellStyle name="Note 2 4 15 4" xfId="19404"/>
    <cellStyle name="Note 2 4 15 5" xfId="27685"/>
    <cellStyle name="Note 2 4 15 6" xfId="37933"/>
    <cellStyle name="Note 2 4 15 7" xfId="47628"/>
    <cellStyle name="Note 2 4 16" xfId="2602"/>
    <cellStyle name="Note 2 4 16 2" xfId="10425"/>
    <cellStyle name="Note 2 4 16 3" xfId="17853"/>
    <cellStyle name="Note 2 4 16 4" xfId="19790"/>
    <cellStyle name="Note 2 4 16 5" xfId="27200"/>
    <cellStyle name="Note 2 4 16 6" xfId="42314"/>
    <cellStyle name="Note 2 4 16 7" xfId="48992"/>
    <cellStyle name="Note 2 4 17" xfId="2682"/>
    <cellStyle name="Note 2 4 17 2" xfId="10505"/>
    <cellStyle name="Note 2 4 17 3" xfId="17933"/>
    <cellStyle name="Note 2 4 17 4" xfId="20239"/>
    <cellStyle name="Note 2 4 17 5" xfId="27210"/>
    <cellStyle name="Note 2 4 17 6" xfId="41573"/>
    <cellStyle name="Note 2 4 17 7" xfId="48393"/>
    <cellStyle name="Note 2 4 18" xfId="2695"/>
    <cellStyle name="Note 2 4 18 2" xfId="10518"/>
    <cellStyle name="Note 2 4 18 3" xfId="17946"/>
    <cellStyle name="Note 2 4 18 4" xfId="26161"/>
    <cellStyle name="Note 2 4 18 5" xfId="34830"/>
    <cellStyle name="Note 2 4 18 6" xfId="40293"/>
    <cellStyle name="Note 2 4 18 7" xfId="53339"/>
    <cellStyle name="Note 2 4 19" xfId="2796"/>
    <cellStyle name="Note 2 4 19 2" xfId="10619"/>
    <cellStyle name="Note 2 4 19 3" xfId="18047"/>
    <cellStyle name="Note 2 4 19 4" xfId="25531"/>
    <cellStyle name="Note 2 4 19 5" xfId="34017"/>
    <cellStyle name="Note 2 4 19 6" xfId="36435"/>
    <cellStyle name="Note 2 4 19 7" xfId="51946"/>
    <cellStyle name="Note 2 4 2" xfId="664"/>
    <cellStyle name="Note 2 4 2 2" xfId="8488"/>
    <cellStyle name="Note 2 4 2 3" xfId="8272"/>
    <cellStyle name="Note 2 4 2 4" xfId="25129"/>
    <cellStyle name="Note 2 4 2 5" xfId="33502"/>
    <cellStyle name="Note 2 4 2 6" xfId="36523"/>
    <cellStyle name="Note 2 4 2 7" xfId="51074"/>
    <cellStyle name="Note 2 4 20" xfId="2903"/>
    <cellStyle name="Note 2 4 20 2" xfId="10726"/>
    <cellStyle name="Note 2 4 20 3" xfId="18154"/>
    <cellStyle name="Note 2 4 20 4" xfId="25497"/>
    <cellStyle name="Note 2 4 20 5" xfId="33973"/>
    <cellStyle name="Note 2 4 20 6" xfId="37829"/>
    <cellStyle name="Note 2 4 20 7" xfId="51862"/>
    <cellStyle name="Note 2 4 21" xfId="3279"/>
    <cellStyle name="Note 2 4 21 2" xfId="11072"/>
    <cellStyle name="Note 2 4 21 3" xfId="18401"/>
    <cellStyle name="Note 2 4 21 4" xfId="20006"/>
    <cellStyle name="Note 2 4 21 5" xfId="27122"/>
    <cellStyle name="Note 2 4 21 6" xfId="42018"/>
    <cellStyle name="Note 2 4 21 7" xfId="48158"/>
    <cellStyle name="Note 2 4 22" xfId="3399"/>
    <cellStyle name="Note 2 4 22 2" xfId="11190"/>
    <cellStyle name="Note 2 4 22 3" xfId="18512"/>
    <cellStyle name="Note 2 4 22 4" xfId="20592"/>
    <cellStyle name="Note 2 4 22 5" xfId="28853"/>
    <cellStyle name="Note 2 4 22 6" xfId="37466"/>
    <cellStyle name="Note 2 4 22 7" xfId="50230"/>
    <cellStyle name="Note 2 4 23" xfId="3528"/>
    <cellStyle name="Note 2 4 23 2" xfId="11319"/>
    <cellStyle name="Note 2 4 23 3" xfId="18614"/>
    <cellStyle name="Note 2 4 23 4" xfId="25627"/>
    <cellStyle name="Note 2 4 23 5" xfId="34141"/>
    <cellStyle name="Note 2 4 23 6" xfId="40365"/>
    <cellStyle name="Note 2 4 23 7" xfId="52145"/>
    <cellStyle name="Note 2 4 24" xfId="3018"/>
    <cellStyle name="Note 2 4 24 2" xfId="10834"/>
    <cellStyle name="Note 2 4 24 3" xfId="18251"/>
    <cellStyle name="Note 2 4 24 4" xfId="25276"/>
    <cellStyle name="Note 2 4 24 5" xfId="33688"/>
    <cellStyle name="Note 2 4 24 6" xfId="38631"/>
    <cellStyle name="Note 2 4 24 7" xfId="51383"/>
    <cellStyle name="Note 2 4 25" xfId="3669"/>
    <cellStyle name="Note 2 4 25 2" xfId="11454"/>
    <cellStyle name="Note 2 4 25 3" xfId="18727"/>
    <cellStyle name="Note 2 4 25 4" xfId="25577"/>
    <cellStyle name="Note 2 4 25 5" xfId="34080"/>
    <cellStyle name="Note 2 4 25 6" xfId="39243"/>
    <cellStyle name="Note 2 4 25 7" xfId="52040"/>
    <cellStyle name="Note 2 4 26" xfId="3800"/>
    <cellStyle name="Note 2 4 26 2" xfId="11582"/>
    <cellStyle name="Note 2 4 26 3" xfId="18839"/>
    <cellStyle name="Note 2 4 26 4" xfId="26681"/>
    <cellStyle name="Note 2 4 26 5" xfId="35528"/>
    <cellStyle name="Note 2 4 26 6" xfId="41806"/>
    <cellStyle name="Note 2 4 26 7" xfId="54451"/>
    <cellStyle name="Note 2 4 27" xfId="3917"/>
    <cellStyle name="Note 2 4 27 2" xfId="11697"/>
    <cellStyle name="Note 2 4 27 3" xfId="18948"/>
    <cellStyle name="Note 2 4 27 4" xfId="19248"/>
    <cellStyle name="Note 2 4 27 5" xfId="27946"/>
    <cellStyle name="Note 2 4 27 6" xfId="37847"/>
    <cellStyle name="Note 2 4 27 7" xfId="47410"/>
    <cellStyle name="Note 2 4 28" xfId="3164"/>
    <cellStyle name="Note 2 4 28 2" xfId="10966"/>
    <cellStyle name="Note 2 4 28 3" xfId="20298"/>
    <cellStyle name="Note 2 4 28 4" xfId="28388"/>
    <cellStyle name="Note 2 4 28 5" xfId="35434"/>
    <cellStyle name="Note 2 4 28 6" xfId="42417"/>
    <cellStyle name="Note 2 4 28 7" xfId="48076"/>
    <cellStyle name="Note 2 4 29" xfId="4114"/>
    <cellStyle name="Note 2 4 29 2" xfId="11874"/>
    <cellStyle name="Note 2 4 29 3" xfId="20824"/>
    <cellStyle name="Note 2 4 29 4" xfId="29011"/>
    <cellStyle name="Note 2 4 29 5" xfId="35907"/>
    <cellStyle name="Note 2 4 29 6" xfId="42676"/>
    <cellStyle name="Note 2 4 29 7" xfId="52990"/>
    <cellStyle name="Note 2 4 3" xfId="771"/>
    <cellStyle name="Note 2 4 3 2" xfId="8595"/>
    <cellStyle name="Note 2 4 3 3" xfId="16023"/>
    <cellStyle name="Note 2 4 3 4" xfId="25870"/>
    <cellStyle name="Note 2 4 3 5" xfId="34459"/>
    <cellStyle name="Note 2 4 3 6" xfId="36820"/>
    <cellStyle name="Note 2 4 3 7" xfId="52713"/>
    <cellStyle name="Note 2 4 30" xfId="2979"/>
    <cellStyle name="Note 2 4 30 2" xfId="20169"/>
    <cellStyle name="Note 2 4 30 3" xfId="28251"/>
    <cellStyle name="Note 2 4 30 4" xfId="33575"/>
    <cellStyle name="Note 2 4 30 5" xfId="42340"/>
    <cellStyle name="Note 2 4 30 6" xfId="50770"/>
    <cellStyle name="Note 2 4 31" xfId="4311"/>
    <cellStyle name="Note 2 4 31 2" xfId="12028"/>
    <cellStyle name="Note 2 4 31 3" xfId="21021"/>
    <cellStyle name="Note 2 4 31 4" xfId="29208"/>
    <cellStyle name="Note 2 4 31 5" xfId="34186"/>
    <cellStyle name="Note 2 4 31 6" xfId="42873"/>
    <cellStyle name="Note 2 4 31 7" xfId="47952"/>
    <cellStyle name="Note 2 4 32" xfId="4434"/>
    <cellStyle name="Note 2 4 32 2" xfId="12151"/>
    <cellStyle name="Note 2 4 32 3" xfId="21144"/>
    <cellStyle name="Note 2 4 32 4" xfId="29331"/>
    <cellStyle name="Note 2 4 32 5" xfId="33796"/>
    <cellStyle name="Note 2 4 32 6" xfId="42996"/>
    <cellStyle name="Note 2 4 32 7" xfId="47656"/>
    <cellStyle name="Note 2 4 33" xfId="4548"/>
    <cellStyle name="Note 2 4 33 2" xfId="12265"/>
    <cellStyle name="Note 2 4 33 3" xfId="21258"/>
    <cellStyle name="Note 2 4 33 4" xfId="29445"/>
    <cellStyle name="Note 2 4 33 5" xfId="36072"/>
    <cellStyle name="Note 2 4 33 6" xfId="43110"/>
    <cellStyle name="Note 2 4 33 7" xfId="53767"/>
    <cellStyle name="Note 2 4 34" xfId="4661"/>
    <cellStyle name="Note 2 4 34 2" xfId="12378"/>
    <cellStyle name="Note 2 4 34 3" xfId="21371"/>
    <cellStyle name="Note 2 4 34 4" xfId="29558"/>
    <cellStyle name="Note 2 4 34 5" xfId="35210"/>
    <cellStyle name="Note 2 4 34 6" xfId="43223"/>
    <cellStyle name="Note 2 4 34 7" xfId="50834"/>
    <cellStyle name="Note 2 4 35" xfId="4773"/>
    <cellStyle name="Note 2 4 35 2" xfId="12490"/>
    <cellStyle name="Note 2 4 35 3" xfId="21483"/>
    <cellStyle name="Note 2 4 35 4" xfId="29670"/>
    <cellStyle name="Note 2 4 35 5" xfId="36143"/>
    <cellStyle name="Note 2 4 35 6" xfId="43335"/>
    <cellStyle name="Note 2 4 35 7" xfId="54087"/>
    <cellStyle name="Note 2 4 36" xfId="4881"/>
    <cellStyle name="Note 2 4 36 2" xfId="12598"/>
    <cellStyle name="Note 2 4 36 3" xfId="21591"/>
    <cellStyle name="Note 2 4 36 4" xfId="29778"/>
    <cellStyle name="Note 2 4 36 5" xfId="35348"/>
    <cellStyle name="Note 2 4 36 6" xfId="43443"/>
    <cellStyle name="Note 2 4 36 7" xfId="50610"/>
    <cellStyle name="Note 2 4 37" xfId="4993"/>
    <cellStyle name="Note 2 4 37 2" xfId="12710"/>
    <cellStyle name="Note 2 4 37 3" xfId="21703"/>
    <cellStyle name="Note 2 4 37 4" xfId="29890"/>
    <cellStyle name="Note 2 4 37 5" xfId="35311"/>
    <cellStyle name="Note 2 4 37 6" xfId="43555"/>
    <cellStyle name="Note 2 4 37 7" xfId="48490"/>
    <cellStyle name="Note 2 4 38" xfId="5118"/>
    <cellStyle name="Note 2 4 38 2" xfId="12835"/>
    <cellStyle name="Note 2 4 38 3" xfId="21828"/>
    <cellStyle name="Note 2 4 38 4" xfId="30015"/>
    <cellStyle name="Note 2 4 38 5" xfId="27393"/>
    <cellStyle name="Note 2 4 38 6" xfId="43680"/>
    <cellStyle name="Note 2 4 38 7" xfId="49131"/>
    <cellStyle name="Note 2 4 39" xfId="5491"/>
    <cellStyle name="Note 2 4 39 2" xfId="13208"/>
    <cellStyle name="Note 2 4 39 3" xfId="22201"/>
    <cellStyle name="Note 2 4 39 4" xfId="30388"/>
    <cellStyle name="Note 2 4 39 5" xfId="34038"/>
    <cellStyle name="Note 2 4 39 6" xfId="44053"/>
    <cellStyle name="Note 2 4 39 7" xfId="49440"/>
    <cellStyle name="Note 2 4 4" xfId="883"/>
    <cellStyle name="Note 2 4 4 2" xfId="8707"/>
    <cellStyle name="Note 2 4 4 3" xfId="16135"/>
    <cellStyle name="Note 2 4 4 4" xfId="20041"/>
    <cellStyle name="Note 2 4 4 5" xfId="28464"/>
    <cellStyle name="Note 2 4 4 6" xfId="36543"/>
    <cellStyle name="Note 2 4 4 7" xfId="47510"/>
    <cellStyle name="Note 2 4 40" xfId="5616"/>
    <cellStyle name="Note 2 4 40 2" xfId="13333"/>
    <cellStyle name="Note 2 4 40 3" xfId="22326"/>
    <cellStyle name="Note 2 4 40 4" xfId="30513"/>
    <cellStyle name="Note 2 4 40 5" xfId="34194"/>
    <cellStyle name="Note 2 4 40 6" xfId="44178"/>
    <cellStyle name="Note 2 4 40 7" xfId="54532"/>
    <cellStyle name="Note 2 4 41" xfId="5731"/>
    <cellStyle name="Note 2 4 41 2" xfId="13448"/>
    <cellStyle name="Note 2 4 41 3" xfId="22441"/>
    <cellStyle name="Note 2 4 41 4" xfId="30628"/>
    <cellStyle name="Note 2 4 41 5" xfId="28615"/>
    <cellStyle name="Note 2 4 41 6" xfId="44293"/>
    <cellStyle name="Note 2 4 41 7" xfId="54408"/>
    <cellStyle name="Note 2 4 42" xfId="5848"/>
    <cellStyle name="Note 2 4 42 2" xfId="13565"/>
    <cellStyle name="Note 2 4 42 3" xfId="22558"/>
    <cellStyle name="Note 2 4 42 4" xfId="30745"/>
    <cellStyle name="Note 2 4 42 5" xfId="34293"/>
    <cellStyle name="Note 2 4 42 6" xfId="44410"/>
    <cellStyle name="Note 2 4 42 7" xfId="48508"/>
    <cellStyle name="Note 2 4 43" xfId="5976"/>
    <cellStyle name="Note 2 4 43 2" xfId="13693"/>
    <cellStyle name="Note 2 4 43 3" xfId="22686"/>
    <cellStyle name="Note 2 4 43 4" xfId="30873"/>
    <cellStyle name="Note 2 4 43 5" xfId="27781"/>
    <cellStyle name="Note 2 4 43 6" xfId="44538"/>
    <cellStyle name="Note 2 4 43 7" xfId="49475"/>
    <cellStyle name="Note 2 4 44" xfId="6082"/>
    <cellStyle name="Note 2 4 44 2" xfId="13799"/>
    <cellStyle name="Note 2 4 44 3" xfId="22792"/>
    <cellStyle name="Note 2 4 44 4" xfId="30979"/>
    <cellStyle name="Note 2 4 44 5" xfId="36008"/>
    <cellStyle name="Note 2 4 44 6" xfId="44644"/>
    <cellStyle name="Note 2 4 44 7" xfId="48072"/>
    <cellStyle name="Note 2 4 45" xfId="5332"/>
    <cellStyle name="Note 2 4 45 2" xfId="13049"/>
    <cellStyle name="Note 2 4 45 3" xfId="22042"/>
    <cellStyle name="Note 2 4 45 4" xfId="30229"/>
    <cellStyle name="Note 2 4 45 5" xfId="27995"/>
    <cellStyle name="Note 2 4 45 6" xfId="43894"/>
    <cellStyle name="Note 2 4 45 7" xfId="50167"/>
    <cellStyle name="Note 2 4 46" xfId="6232"/>
    <cellStyle name="Note 2 4 46 2" xfId="13949"/>
    <cellStyle name="Note 2 4 46 3" xfId="22942"/>
    <cellStyle name="Note 2 4 46 4" xfId="31129"/>
    <cellStyle name="Note 2 4 46 5" xfId="35715"/>
    <cellStyle name="Note 2 4 46 6" xfId="44794"/>
    <cellStyle name="Note 2 4 46 7" xfId="52208"/>
    <cellStyle name="Note 2 4 47" xfId="6349"/>
    <cellStyle name="Note 2 4 47 2" xfId="14066"/>
    <cellStyle name="Note 2 4 47 3" xfId="23059"/>
    <cellStyle name="Note 2 4 47 4" xfId="31246"/>
    <cellStyle name="Note 2 4 47 5" xfId="34044"/>
    <cellStyle name="Note 2 4 47 6" xfId="44911"/>
    <cellStyle name="Note 2 4 47 7" xfId="48907"/>
    <cellStyle name="Note 2 4 48" xfId="6459"/>
    <cellStyle name="Note 2 4 48 2" xfId="14176"/>
    <cellStyle name="Note 2 4 48 3" xfId="23169"/>
    <cellStyle name="Note 2 4 48 4" xfId="31356"/>
    <cellStyle name="Note 2 4 48 5" xfId="28610"/>
    <cellStyle name="Note 2 4 48 6" xfId="45021"/>
    <cellStyle name="Note 2 4 48 7" xfId="49767"/>
    <cellStyle name="Note 2 4 49" xfId="5208"/>
    <cellStyle name="Note 2 4 49 2" xfId="12925"/>
    <cellStyle name="Note 2 4 49 3" xfId="21918"/>
    <cellStyle name="Note 2 4 49 4" xfId="30105"/>
    <cellStyle name="Note 2 4 49 5" xfId="33848"/>
    <cellStyle name="Note 2 4 49 6" xfId="43770"/>
    <cellStyle name="Note 2 4 49 7" xfId="48607"/>
    <cellStyle name="Note 2 4 5" xfId="1348"/>
    <cellStyle name="Note 2 4 5 2" xfId="9171"/>
    <cellStyle name="Note 2 4 5 3" xfId="16599"/>
    <cellStyle name="Note 2 4 5 4" xfId="20028"/>
    <cellStyle name="Note 2 4 5 5" xfId="27634"/>
    <cellStyle name="Note 2 4 5 6" xfId="36813"/>
    <cellStyle name="Note 2 4 5 7" xfId="47695"/>
    <cellStyle name="Note 2 4 50" xfId="6606"/>
    <cellStyle name="Note 2 4 50 2" xfId="14323"/>
    <cellStyle name="Note 2 4 50 3" xfId="23316"/>
    <cellStyle name="Note 2 4 50 4" xfId="31503"/>
    <cellStyle name="Note 2 4 50 5" xfId="28745"/>
    <cellStyle name="Note 2 4 50 6" xfId="45168"/>
    <cellStyle name="Note 2 4 50 7" xfId="50407"/>
    <cellStyle name="Note 2 4 51" xfId="6717"/>
    <cellStyle name="Note 2 4 51 2" xfId="14434"/>
    <cellStyle name="Note 2 4 51 3" xfId="23427"/>
    <cellStyle name="Note 2 4 51 4" xfId="31614"/>
    <cellStyle name="Note 2 4 51 5" xfId="36047"/>
    <cellStyle name="Note 2 4 51 6" xfId="45279"/>
    <cellStyle name="Note 2 4 51 7" xfId="53326"/>
    <cellStyle name="Note 2 4 52" xfId="6832"/>
    <cellStyle name="Note 2 4 52 2" xfId="14549"/>
    <cellStyle name="Note 2 4 52 3" xfId="23542"/>
    <cellStyle name="Note 2 4 52 4" xfId="31729"/>
    <cellStyle name="Note 2 4 52 5" xfId="28566"/>
    <cellStyle name="Note 2 4 52 6" xfId="45394"/>
    <cellStyle name="Note 2 4 52 7" xfId="48641"/>
    <cellStyle name="Note 2 4 53" xfId="6945"/>
    <cellStyle name="Note 2 4 53 2" xfId="14662"/>
    <cellStyle name="Note 2 4 53 3" xfId="23655"/>
    <cellStyle name="Note 2 4 53 4" xfId="31842"/>
    <cellStyle name="Note 2 4 53 5" xfId="27631"/>
    <cellStyle name="Note 2 4 53 6" xfId="45507"/>
    <cellStyle name="Note 2 4 53 7" xfId="47015"/>
    <cellStyle name="Note 2 4 54" xfId="7057"/>
    <cellStyle name="Note 2 4 54 2" xfId="14774"/>
    <cellStyle name="Note 2 4 54 3" xfId="23767"/>
    <cellStyle name="Note 2 4 54 4" xfId="31954"/>
    <cellStyle name="Note 2 4 54 5" xfId="36186"/>
    <cellStyle name="Note 2 4 54 6" xfId="45619"/>
    <cellStyle name="Note 2 4 54 7" xfId="53563"/>
    <cellStyle name="Note 2 4 55" xfId="7219"/>
    <cellStyle name="Note 2 4 55 2" xfId="14936"/>
    <cellStyle name="Note 2 4 55 3" xfId="23929"/>
    <cellStyle name="Note 2 4 55 4" xfId="32116"/>
    <cellStyle name="Note 2 4 55 5" xfId="26743"/>
    <cellStyle name="Note 2 4 55 6" xfId="45781"/>
    <cellStyle name="Note 2 4 55 7" xfId="49299"/>
    <cellStyle name="Note 2 4 56" xfId="7242"/>
    <cellStyle name="Note 2 4 56 2" xfId="14959"/>
    <cellStyle name="Note 2 4 56 3" xfId="23952"/>
    <cellStyle name="Note 2 4 56 4" xfId="32139"/>
    <cellStyle name="Note 2 4 56 5" xfId="27622"/>
    <cellStyle name="Note 2 4 56 6" xfId="45804"/>
    <cellStyle name="Note 2 4 56 7" xfId="54054"/>
    <cellStyle name="Note 2 4 57" xfId="7454"/>
    <cellStyle name="Note 2 4 57 2" xfId="15171"/>
    <cellStyle name="Note 2 4 57 3" xfId="24164"/>
    <cellStyle name="Note 2 4 57 4" xfId="32351"/>
    <cellStyle name="Note 2 4 57 5" xfId="26741"/>
    <cellStyle name="Note 2 4 57 6" xfId="46016"/>
    <cellStyle name="Note 2 4 57 7" xfId="49658"/>
    <cellStyle name="Note 2 4 58" xfId="7575"/>
    <cellStyle name="Note 2 4 58 2" xfId="15292"/>
    <cellStyle name="Note 2 4 58 3" xfId="24285"/>
    <cellStyle name="Note 2 4 58 4" xfId="32472"/>
    <cellStyle name="Note 2 4 58 5" xfId="33911"/>
    <cellStyle name="Note 2 4 58 6" xfId="46137"/>
    <cellStyle name="Note 2 4 58 7" xfId="47413"/>
    <cellStyle name="Note 2 4 59" xfId="7851"/>
    <cellStyle name="Note 2 4 59 2" xfId="15568"/>
    <cellStyle name="Note 2 4 59 3" xfId="24555"/>
    <cellStyle name="Note 2 4 59 4" xfId="32748"/>
    <cellStyle name="Note 2 4 59 5" xfId="34576"/>
    <cellStyle name="Note 2 4 59 6" xfId="46413"/>
    <cellStyle name="Note 2 4 59 7" xfId="47564"/>
    <cellStyle name="Note 2 4 6" xfId="1471"/>
    <cellStyle name="Note 2 4 6 2" xfId="9294"/>
    <cellStyle name="Note 2 4 6 3" xfId="16722"/>
    <cellStyle name="Note 2 4 6 4" xfId="24829"/>
    <cellStyle name="Note 2 4 6 5" xfId="27574"/>
    <cellStyle name="Note 2 4 6 6" xfId="37287"/>
    <cellStyle name="Note 2 4 6 7" xfId="48784"/>
    <cellStyle name="Note 2 4 60" xfId="7934"/>
    <cellStyle name="Note 2 4 60 2" xfId="15651"/>
    <cellStyle name="Note 2 4 60 3" xfId="24638"/>
    <cellStyle name="Note 2 4 60 4" xfId="32831"/>
    <cellStyle name="Note 2 4 60 5" xfId="28527"/>
    <cellStyle name="Note 2 4 60 6" xfId="46496"/>
    <cellStyle name="Note 2 4 60 7" xfId="49354"/>
    <cellStyle name="Note 2 4 61" xfId="7976"/>
    <cellStyle name="Note 2 4 61 2" xfId="15693"/>
    <cellStyle name="Note 2 4 61 3" xfId="24678"/>
    <cellStyle name="Note 2 4 61 4" xfId="32873"/>
    <cellStyle name="Note 2 4 61 5" xfId="35914"/>
    <cellStyle name="Note 2 4 61 6" xfId="46538"/>
    <cellStyle name="Note 2 4 61 7" xfId="51716"/>
    <cellStyle name="Note 2 4 62" xfId="8071"/>
    <cellStyle name="Note 2 4 62 2" xfId="15788"/>
    <cellStyle name="Note 2 4 62 3" xfId="24773"/>
    <cellStyle name="Note 2 4 62 4" xfId="32968"/>
    <cellStyle name="Note 2 4 62 5" xfId="34559"/>
    <cellStyle name="Note 2 4 62 6" xfId="46633"/>
    <cellStyle name="Note 2 4 62 7" xfId="49488"/>
    <cellStyle name="Note 2 4 63" xfId="8127"/>
    <cellStyle name="Note 2 4 63 2" xfId="15844"/>
    <cellStyle name="Note 2 4 63 3" xfId="33024"/>
    <cellStyle name="Note 2 4 63 4" xfId="35702"/>
    <cellStyle name="Note 2 4 63 5" xfId="46689"/>
    <cellStyle name="Note 2 4 63 6" xfId="51201"/>
    <cellStyle name="Note 2 4 64" xfId="19346"/>
    <cellStyle name="Note 2 4 65" xfId="27333"/>
    <cellStyle name="Note 2 4 66" xfId="37507"/>
    <cellStyle name="Note 2 4 67" xfId="49678"/>
    <cellStyle name="Note 2 4 7" xfId="1561"/>
    <cellStyle name="Note 2 4 7 2" xfId="9384"/>
    <cellStyle name="Note 2 4 7 3" xfId="16812"/>
    <cellStyle name="Note 2 4 7 4" xfId="26644"/>
    <cellStyle name="Note 2 4 7 5" xfId="35483"/>
    <cellStyle name="Note 2 4 7 6" xfId="36942"/>
    <cellStyle name="Note 2 4 7 7" xfId="54378"/>
    <cellStyle name="Note 2 4 8" xfId="1708"/>
    <cellStyle name="Note 2 4 8 2" xfId="9531"/>
    <cellStyle name="Note 2 4 8 3" xfId="16959"/>
    <cellStyle name="Note 2 4 8 4" xfId="26226"/>
    <cellStyle name="Note 2 4 8 5" xfId="34912"/>
    <cellStyle name="Note 2 4 8 6" xfId="38342"/>
    <cellStyle name="Note 2 4 8 7" xfId="53475"/>
    <cellStyle name="Note 2 4 9" xfId="1842"/>
    <cellStyle name="Note 2 4 9 2" xfId="9665"/>
    <cellStyle name="Note 2 4 9 3" xfId="17093"/>
    <cellStyle name="Note 2 4 9 4" xfId="26588"/>
    <cellStyle name="Note 2 4 9 5" xfId="35409"/>
    <cellStyle name="Note 2 4 9 6" xfId="37129"/>
    <cellStyle name="Note 2 4 9 7" xfId="54254"/>
    <cellStyle name="Note 2 40" xfId="51371"/>
    <cellStyle name="Note 2 5" xfId="566"/>
    <cellStyle name="Note 2 5 10" xfId="2013"/>
    <cellStyle name="Note 2 5 10 2" xfId="9836"/>
    <cellStyle name="Note 2 5 10 3" xfId="17264"/>
    <cellStyle name="Note 2 5 10 4" xfId="25251"/>
    <cellStyle name="Note 2 5 10 5" xfId="33656"/>
    <cellStyle name="Note 2 5 10 6" xfId="41311"/>
    <cellStyle name="Note 2 5 10 7" xfId="51325"/>
    <cellStyle name="Note 2 5 11" xfId="2130"/>
    <cellStyle name="Note 2 5 11 2" xfId="9953"/>
    <cellStyle name="Note 2 5 11 3" xfId="17381"/>
    <cellStyle name="Note 2 5 11 4" xfId="20630"/>
    <cellStyle name="Note 2 5 11 5" xfId="27147"/>
    <cellStyle name="Note 2 5 11 6" xfId="37477"/>
    <cellStyle name="Note 2 5 11 7" xfId="47608"/>
    <cellStyle name="Note 2 5 12" xfId="2244"/>
    <cellStyle name="Note 2 5 12 2" xfId="10067"/>
    <cellStyle name="Note 2 5 12 3" xfId="17495"/>
    <cellStyle name="Note 2 5 12 4" xfId="26312"/>
    <cellStyle name="Note 2 5 12 5" xfId="35031"/>
    <cellStyle name="Note 2 5 12 6" xfId="39790"/>
    <cellStyle name="Note 2 5 12 7" xfId="53667"/>
    <cellStyle name="Note 2 5 13" xfId="1612"/>
    <cellStyle name="Note 2 5 13 2" xfId="9435"/>
    <cellStyle name="Note 2 5 13 3" xfId="16863"/>
    <cellStyle name="Note 2 5 13 4" xfId="19680"/>
    <cellStyle name="Note 2 5 13 5" xfId="27593"/>
    <cellStyle name="Note 2 5 13 6" xfId="37532"/>
    <cellStyle name="Note 2 5 13 7" xfId="48843"/>
    <cellStyle name="Note 2 5 14" xfId="997"/>
    <cellStyle name="Note 2 5 14 2" xfId="8821"/>
    <cellStyle name="Note 2 5 14 3" xfId="16249"/>
    <cellStyle name="Note 2 5 14 4" xfId="25071"/>
    <cellStyle name="Note 2 5 14 5" xfId="33431"/>
    <cellStyle name="Note 2 5 14 6" xfId="37890"/>
    <cellStyle name="Note 2 5 14 7" xfId="50951"/>
    <cellStyle name="Note 2 5 15" xfId="2541"/>
    <cellStyle name="Note 2 5 15 2" xfId="10364"/>
    <cellStyle name="Note 2 5 15 3" xfId="17792"/>
    <cellStyle name="Note 2 5 15 4" xfId="19558"/>
    <cellStyle name="Note 2 5 15 5" xfId="28698"/>
    <cellStyle name="Note 2 5 15 6" xfId="41049"/>
    <cellStyle name="Note 2 5 15 7" xfId="47922"/>
    <cellStyle name="Note 2 5 16" xfId="2655"/>
    <cellStyle name="Note 2 5 16 2" xfId="10478"/>
    <cellStyle name="Note 2 5 16 3" xfId="17906"/>
    <cellStyle name="Note 2 5 16 4" xfId="24885"/>
    <cellStyle name="Note 2 5 16 5" xfId="33199"/>
    <cellStyle name="Note 2 5 16 6" xfId="37415"/>
    <cellStyle name="Note 2 5 16 7" xfId="50531"/>
    <cellStyle name="Note 2 5 17" xfId="2146"/>
    <cellStyle name="Note 2 5 17 2" xfId="9969"/>
    <cellStyle name="Note 2 5 17 3" xfId="17397"/>
    <cellStyle name="Note 2 5 17 4" xfId="19470"/>
    <cellStyle name="Note 2 5 17 5" xfId="26772"/>
    <cellStyle name="Note 2 5 17 6" xfId="37766"/>
    <cellStyle name="Note 2 5 17 7" xfId="50373"/>
    <cellStyle name="Note 2 5 18" xfId="2337"/>
    <cellStyle name="Note 2 5 18 2" xfId="10160"/>
    <cellStyle name="Note 2 5 18 3" xfId="17588"/>
    <cellStyle name="Note 2 5 18 4" xfId="26094"/>
    <cellStyle name="Note 2 5 18 5" xfId="34744"/>
    <cellStyle name="Note 2 5 18 6" xfId="39810"/>
    <cellStyle name="Note 2 5 18 7" xfId="53195"/>
    <cellStyle name="Note 2 5 19" xfId="2846"/>
    <cellStyle name="Note 2 5 19 2" xfId="10669"/>
    <cellStyle name="Note 2 5 19 3" xfId="18097"/>
    <cellStyle name="Note 2 5 19 4" xfId="20590"/>
    <cellStyle name="Note 2 5 19 5" xfId="27708"/>
    <cellStyle name="Note 2 5 19 6" xfId="39863"/>
    <cellStyle name="Note 2 5 19 7" xfId="48148"/>
    <cellStyle name="Note 2 5 2" xfId="714"/>
    <cellStyle name="Note 2 5 2 2" xfId="8538"/>
    <cellStyle name="Note 2 5 2 3" xfId="15966"/>
    <cellStyle name="Note 2 5 2 4" xfId="25683"/>
    <cellStyle name="Note 2 5 2 5" xfId="34219"/>
    <cellStyle name="Note 2 5 2 6" xfId="37021"/>
    <cellStyle name="Note 2 5 2 7" xfId="52275"/>
    <cellStyle name="Note 2 5 20" xfId="2953"/>
    <cellStyle name="Note 2 5 20 2" xfId="10776"/>
    <cellStyle name="Note 2 5 20 3" xfId="18204"/>
    <cellStyle name="Note 2 5 20 4" xfId="24964"/>
    <cellStyle name="Note 2 5 20 5" xfId="33302"/>
    <cellStyle name="Note 2 5 20 6" xfId="38837"/>
    <cellStyle name="Note 2 5 20 7" xfId="50705"/>
    <cellStyle name="Note 2 5 21" xfId="3330"/>
    <cellStyle name="Note 2 5 21 2" xfId="11123"/>
    <cellStyle name="Note 2 5 21 3" xfId="18451"/>
    <cellStyle name="Note 2 5 21 4" xfId="20569"/>
    <cellStyle name="Note 2 5 21 5" xfId="27258"/>
    <cellStyle name="Note 2 5 21 6" xfId="37231"/>
    <cellStyle name="Note 2 5 21 7" xfId="48289"/>
    <cellStyle name="Note 2 5 22" xfId="3449"/>
    <cellStyle name="Note 2 5 22 2" xfId="11240"/>
    <cellStyle name="Note 2 5 22 3" xfId="18562"/>
    <cellStyle name="Note 2 5 22 4" xfId="25875"/>
    <cellStyle name="Note 2 5 22 5" xfId="34464"/>
    <cellStyle name="Note 2 5 22 6" xfId="39256"/>
    <cellStyle name="Note 2 5 22 7" xfId="52724"/>
    <cellStyle name="Note 2 5 23" xfId="3571"/>
    <cellStyle name="Note 2 5 23 2" xfId="11360"/>
    <cellStyle name="Note 2 5 23 3" xfId="18642"/>
    <cellStyle name="Note 2 5 23 4" xfId="19886"/>
    <cellStyle name="Note 2 5 23 5" xfId="26834"/>
    <cellStyle name="Note 2 5 23 6" xfId="42222"/>
    <cellStyle name="Note 2 5 23 7" xfId="49758"/>
    <cellStyle name="Note 2 5 24" xfId="3609"/>
    <cellStyle name="Note 2 5 24 2" xfId="11395"/>
    <cellStyle name="Note 2 5 24 3" xfId="18669"/>
    <cellStyle name="Note 2 5 24 4" xfId="25128"/>
    <cellStyle name="Note 2 5 24 5" xfId="33501"/>
    <cellStyle name="Note 2 5 24 6" xfId="38366"/>
    <cellStyle name="Note 2 5 24 7" xfId="51071"/>
    <cellStyle name="Note 2 5 25" xfId="3722"/>
    <cellStyle name="Note 2 5 25 2" xfId="11507"/>
    <cellStyle name="Note 2 5 25 3" xfId="18779"/>
    <cellStyle name="Note 2 5 25 4" xfId="25483"/>
    <cellStyle name="Note 2 5 25 5" xfId="33957"/>
    <cellStyle name="Note 2 5 25 6" xfId="37011"/>
    <cellStyle name="Note 2 5 25 7" xfId="51838"/>
    <cellStyle name="Note 2 5 26" xfId="3851"/>
    <cellStyle name="Note 2 5 26 2" xfId="11633"/>
    <cellStyle name="Note 2 5 26 3" xfId="18889"/>
    <cellStyle name="Note 2 5 26 4" xfId="19161"/>
    <cellStyle name="Note 2 5 26 5" xfId="27918"/>
    <cellStyle name="Note 2 5 26 6" xfId="37359"/>
    <cellStyle name="Note 2 5 26 7" xfId="49239"/>
    <cellStyle name="Note 2 5 27" xfId="3970"/>
    <cellStyle name="Note 2 5 27 2" xfId="11749"/>
    <cellStyle name="Note 2 5 27 3" xfId="18998"/>
    <cellStyle name="Note 2 5 27 4" xfId="25490"/>
    <cellStyle name="Note 2 5 27 5" xfId="33965"/>
    <cellStyle name="Note 2 5 27 6" xfId="36519"/>
    <cellStyle name="Note 2 5 27 7" xfId="51850"/>
    <cellStyle name="Note 2 5 28" xfId="3468"/>
    <cellStyle name="Note 2 5 28 2" xfId="11259"/>
    <cellStyle name="Note 2 5 28 3" xfId="20462"/>
    <cellStyle name="Note 2 5 28 4" xfId="28581"/>
    <cellStyle name="Note 2 5 28 5" xfId="35490"/>
    <cellStyle name="Note 2 5 28 6" xfId="42475"/>
    <cellStyle name="Note 2 5 28 7" xfId="50726"/>
    <cellStyle name="Note 2 5 29" xfId="4166"/>
    <cellStyle name="Note 2 5 29 2" xfId="11925"/>
    <cellStyle name="Note 2 5 29 3" xfId="20876"/>
    <cellStyle name="Note 2 5 29 4" xfId="29063"/>
    <cellStyle name="Note 2 5 29 5" xfId="33219"/>
    <cellStyle name="Note 2 5 29 6" xfId="42728"/>
    <cellStyle name="Note 2 5 29 7" xfId="49669"/>
    <cellStyle name="Note 2 5 3" xfId="823"/>
    <cellStyle name="Note 2 5 3 2" xfId="8647"/>
    <cellStyle name="Note 2 5 3 3" xfId="16075"/>
    <cellStyle name="Note 2 5 3 4" xfId="26287"/>
    <cellStyle name="Note 2 5 3 5" xfId="34996"/>
    <cellStyle name="Note 2 5 3 6" xfId="37386"/>
    <cellStyle name="Note 2 5 3 7" xfId="53617"/>
    <cellStyle name="Note 2 5 30" xfId="4026"/>
    <cellStyle name="Note 2 5 30 2" xfId="20736"/>
    <cellStyle name="Note 2 5 30 3" xfId="28923"/>
    <cellStyle name="Note 2 5 30 4" xfId="28645"/>
    <cellStyle name="Note 2 5 30 5" xfId="42588"/>
    <cellStyle name="Note 2 5 30 6" xfId="47810"/>
    <cellStyle name="Note 2 5 31" xfId="4364"/>
    <cellStyle name="Note 2 5 31 2" xfId="12081"/>
    <cellStyle name="Note 2 5 31 3" xfId="21074"/>
    <cellStyle name="Note 2 5 31 4" xfId="29261"/>
    <cellStyle name="Note 2 5 31 5" xfId="35857"/>
    <cellStyle name="Note 2 5 31 6" xfId="42926"/>
    <cellStyle name="Note 2 5 31 7" xfId="52696"/>
    <cellStyle name="Note 2 5 32" xfId="4486"/>
    <cellStyle name="Note 2 5 32 2" xfId="12203"/>
    <cellStyle name="Note 2 5 32 3" xfId="21196"/>
    <cellStyle name="Note 2 5 32 4" xfId="29383"/>
    <cellStyle name="Note 2 5 32 5" xfId="27259"/>
    <cellStyle name="Note 2 5 32 6" xfId="43048"/>
    <cellStyle name="Note 2 5 32 7" xfId="48044"/>
    <cellStyle name="Note 2 5 33" xfId="4600"/>
    <cellStyle name="Note 2 5 33 2" xfId="12317"/>
    <cellStyle name="Note 2 5 33 3" xfId="21310"/>
    <cellStyle name="Note 2 5 33 4" xfId="29497"/>
    <cellStyle name="Note 2 5 33 5" xfId="27864"/>
    <cellStyle name="Note 2 5 33 6" xfId="43162"/>
    <cellStyle name="Note 2 5 33 7" xfId="49499"/>
    <cellStyle name="Note 2 5 34" xfId="4713"/>
    <cellStyle name="Note 2 5 34 2" xfId="12430"/>
    <cellStyle name="Note 2 5 34 3" xfId="21423"/>
    <cellStyle name="Note 2 5 34 4" xfId="29610"/>
    <cellStyle name="Note 2 5 34 5" xfId="35923"/>
    <cellStyle name="Note 2 5 34 6" xfId="43275"/>
    <cellStyle name="Note 2 5 34 7" xfId="53055"/>
    <cellStyle name="Note 2 5 35" xfId="4823"/>
    <cellStyle name="Note 2 5 35 2" xfId="12540"/>
    <cellStyle name="Note 2 5 35 3" xfId="21533"/>
    <cellStyle name="Note 2 5 35 4" xfId="29720"/>
    <cellStyle name="Note 2 5 35 5" xfId="27581"/>
    <cellStyle name="Note 2 5 35 6" xfId="43385"/>
    <cellStyle name="Note 2 5 35 7" xfId="49087"/>
    <cellStyle name="Note 2 5 36" xfId="4933"/>
    <cellStyle name="Note 2 5 36 2" xfId="12650"/>
    <cellStyle name="Note 2 5 36 3" xfId="21643"/>
    <cellStyle name="Note 2 5 36 4" xfId="29830"/>
    <cellStyle name="Note 2 5 36 5" xfId="36223"/>
    <cellStyle name="Note 2 5 36 6" xfId="43495"/>
    <cellStyle name="Note 2 5 36 7" xfId="54501"/>
    <cellStyle name="Note 2 5 37" xfId="5043"/>
    <cellStyle name="Note 2 5 37 2" xfId="12760"/>
    <cellStyle name="Note 2 5 37 3" xfId="21753"/>
    <cellStyle name="Note 2 5 37 4" xfId="29940"/>
    <cellStyle name="Note 2 5 37 5" xfId="34634"/>
    <cellStyle name="Note 2 5 37 6" xfId="43605"/>
    <cellStyle name="Note 2 5 37 7" xfId="49493"/>
    <cellStyle name="Note 2 5 38" xfId="5423"/>
    <cellStyle name="Note 2 5 38 2" xfId="13140"/>
    <cellStyle name="Note 2 5 38 3" xfId="22133"/>
    <cellStyle name="Note 2 5 38 4" xfId="30320"/>
    <cellStyle name="Note 2 5 38 5" xfId="27445"/>
    <cellStyle name="Note 2 5 38 6" xfId="43985"/>
    <cellStyle name="Note 2 5 38 7" xfId="49010"/>
    <cellStyle name="Note 2 5 39" xfId="5543"/>
    <cellStyle name="Note 2 5 39 2" xfId="13260"/>
    <cellStyle name="Note 2 5 39 3" xfId="22253"/>
    <cellStyle name="Note 2 5 39 4" xfId="30440"/>
    <cellStyle name="Note 2 5 39 5" xfId="28649"/>
    <cellStyle name="Note 2 5 39 6" xfId="44105"/>
    <cellStyle name="Note 2 5 39 7" xfId="46852"/>
    <cellStyle name="Note 2 5 4" xfId="933"/>
    <cellStyle name="Note 2 5 4 2" xfId="8757"/>
    <cellStyle name="Note 2 5 4 3" xfId="16185"/>
    <cellStyle name="Note 2 5 4 4" xfId="24891"/>
    <cellStyle name="Note 2 5 4 5" xfId="33207"/>
    <cellStyle name="Note 2 5 4 6" xfId="36824"/>
    <cellStyle name="Note 2 5 4 7" xfId="50542"/>
    <cellStyle name="Note 2 5 40" xfId="5667"/>
    <cellStyle name="Note 2 5 40 2" xfId="13384"/>
    <cellStyle name="Note 2 5 40 3" xfId="22377"/>
    <cellStyle name="Note 2 5 40 4" xfId="30564"/>
    <cellStyle name="Note 2 5 40 5" xfId="33809"/>
    <cellStyle name="Note 2 5 40 6" xfId="44229"/>
    <cellStyle name="Note 2 5 40 7" xfId="47104"/>
    <cellStyle name="Note 2 5 41" xfId="5783"/>
    <cellStyle name="Note 2 5 41 2" xfId="13500"/>
    <cellStyle name="Note 2 5 41 3" xfId="22493"/>
    <cellStyle name="Note 2 5 41 4" xfId="30680"/>
    <cellStyle name="Note 2 5 41 5" xfId="35148"/>
    <cellStyle name="Note 2 5 41 6" xfId="44345"/>
    <cellStyle name="Note 2 5 41 7" xfId="48747"/>
    <cellStyle name="Note 2 5 42" xfId="5900"/>
    <cellStyle name="Note 2 5 42 2" xfId="13617"/>
    <cellStyle name="Note 2 5 42 3" xfId="22610"/>
    <cellStyle name="Note 2 5 42 4" xfId="30797"/>
    <cellStyle name="Note 2 5 42 5" xfId="28080"/>
    <cellStyle name="Note 2 5 42 6" xfId="44462"/>
    <cellStyle name="Note 2 5 42 7" xfId="49226"/>
    <cellStyle name="Note 2 5 43" xfId="6028"/>
    <cellStyle name="Note 2 5 43 2" xfId="13745"/>
    <cellStyle name="Note 2 5 43 3" xfId="22738"/>
    <cellStyle name="Note 2 5 43 4" xfId="30925"/>
    <cellStyle name="Note 2 5 43 5" xfId="35714"/>
    <cellStyle name="Note 2 5 43 6" xfId="44590"/>
    <cellStyle name="Note 2 5 43 7" xfId="51461"/>
    <cellStyle name="Note 2 5 44" xfId="6120"/>
    <cellStyle name="Note 2 5 44 2" xfId="13837"/>
    <cellStyle name="Note 2 5 44 3" xfId="22830"/>
    <cellStyle name="Note 2 5 44 4" xfId="31017"/>
    <cellStyle name="Note 2 5 44 5" xfId="33304"/>
    <cellStyle name="Note 2 5 44 6" xfId="44682"/>
    <cellStyle name="Note 2 5 44 7" xfId="49153"/>
    <cellStyle name="Note 2 5 45" xfId="6155"/>
    <cellStyle name="Note 2 5 45 2" xfId="13872"/>
    <cellStyle name="Note 2 5 45 3" xfId="22865"/>
    <cellStyle name="Note 2 5 45 4" xfId="31052"/>
    <cellStyle name="Note 2 5 45 5" xfId="34142"/>
    <cellStyle name="Note 2 5 45 6" xfId="44717"/>
    <cellStyle name="Note 2 5 45 7" xfId="52942"/>
    <cellStyle name="Note 2 5 46" xfId="6284"/>
    <cellStyle name="Note 2 5 46 2" xfId="14001"/>
    <cellStyle name="Note 2 5 46 3" xfId="22994"/>
    <cellStyle name="Note 2 5 46 4" xfId="31181"/>
    <cellStyle name="Note 2 5 46 5" xfId="27679"/>
    <cellStyle name="Note 2 5 46 6" xfId="44846"/>
    <cellStyle name="Note 2 5 46 7" xfId="48262"/>
    <cellStyle name="Note 2 5 47" xfId="6399"/>
    <cellStyle name="Note 2 5 47 2" xfId="14116"/>
    <cellStyle name="Note 2 5 47 3" xfId="23109"/>
    <cellStyle name="Note 2 5 47 4" xfId="31296"/>
    <cellStyle name="Note 2 5 47 5" xfId="27075"/>
    <cellStyle name="Note 2 5 47 6" xfId="44961"/>
    <cellStyle name="Note 2 5 47 7" xfId="49932"/>
    <cellStyle name="Note 2 5 48" xfId="6511"/>
    <cellStyle name="Note 2 5 48 2" xfId="14228"/>
    <cellStyle name="Note 2 5 48 3" xfId="23221"/>
    <cellStyle name="Note 2 5 48 4" xfId="31408"/>
    <cellStyle name="Note 2 5 48 5" xfId="35955"/>
    <cellStyle name="Note 2 5 48 6" xfId="45073"/>
    <cellStyle name="Note 2 5 48 7" xfId="52961"/>
    <cellStyle name="Note 2 5 49" xfId="5276"/>
    <cellStyle name="Note 2 5 49 2" xfId="12993"/>
    <cellStyle name="Note 2 5 49 3" xfId="21986"/>
    <cellStyle name="Note 2 5 49 4" xfId="30173"/>
    <cellStyle name="Note 2 5 49 5" xfId="33685"/>
    <cellStyle name="Note 2 5 49 6" xfId="43838"/>
    <cellStyle name="Note 2 5 49 7" xfId="49100"/>
    <cellStyle name="Note 2 5 5" xfId="1401"/>
    <cellStyle name="Note 2 5 5 2" xfId="9224"/>
    <cellStyle name="Note 2 5 5 3" xfId="16652"/>
    <cellStyle name="Note 2 5 5 4" xfId="20165"/>
    <cellStyle name="Note 2 5 5 5" xfId="27932"/>
    <cellStyle name="Note 2 5 5 6" xfId="37137"/>
    <cellStyle name="Note 2 5 5 7" xfId="49549"/>
    <cellStyle name="Note 2 5 50" xfId="6658"/>
    <cellStyle name="Note 2 5 50 2" xfId="14375"/>
    <cellStyle name="Note 2 5 50 3" xfId="23368"/>
    <cellStyle name="Note 2 5 50 4" xfId="31555"/>
    <cellStyle name="Note 2 5 50 5" xfId="35864"/>
    <cellStyle name="Note 2 5 50 6" xfId="45220"/>
    <cellStyle name="Note 2 5 50 7" xfId="52366"/>
    <cellStyle name="Note 2 5 51" xfId="6769"/>
    <cellStyle name="Note 2 5 51 2" xfId="14486"/>
    <cellStyle name="Note 2 5 51 3" xfId="23479"/>
    <cellStyle name="Note 2 5 51 4" xfId="31666"/>
    <cellStyle name="Note 2 5 51 5" xfId="33844"/>
    <cellStyle name="Note 2 5 51 6" xfId="45331"/>
    <cellStyle name="Note 2 5 51 7" xfId="49380"/>
    <cellStyle name="Note 2 5 52" xfId="6884"/>
    <cellStyle name="Note 2 5 52 2" xfId="14601"/>
    <cellStyle name="Note 2 5 52 3" xfId="23594"/>
    <cellStyle name="Note 2 5 52 4" xfId="31781"/>
    <cellStyle name="Note 2 5 52 5" xfId="26898"/>
    <cellStyle name="Note 2 5 52 6" xfId="45446"/>
    <cellStyle name="Note 2 5 52 7" xfId="47061"/>
    <cellStyle name="Note 2 5 53" xfId="6997"/>
    <cellStyle name="Note 2 5 53 2" xfId="14714"/>
    <cellStyle name="Note 2 5 53 3" xfId="23707"/>
    <cellStyle name="Note 2 5 53 4" xfId="31894"/>
    <cellStyle name="Note 2 5 53 5" xfId="36241"/>
    <cellStyle name="Note 2 5 53 6" xfId="45559"/>
    <cellStyle name="Note 2 5 53 7" xfId="47213"/>
    <cellStyle name="Note 2 5 54" xfId="7107"/>
    <cellStyle name="Note 2 5 54 2" xfId="14824"/>
    <cellStyle name="Note 2 5 54 3" xfId="23817"/>
    <cellStyle name="Note 2 5 54 4" xfId="32004"/>
    <cellStyle name="Note 2 5 54 5" xfId="27357"/>
    <cellStyle name="Note 2 5 54 6" xfId="45669"/>
    <cellStyle name="Note 2 5 54 7" xfId="48443"/>
    <cellStyle name="Note 2 5 55" xfId="7171"/>
    <cellStyle name="Note 2 5 55 2" xfId="14888"/>
    <cellStyle name="Note 2 5 55 3" xfId="23881"/>
    <cellStyle name="Note 2 5 55 4" xfId="32068"/>
    <cellStyle name="Note 2 5 55 5" xfId="36188"/>
    <cellStyle name="Note 2 5 55 6" xfId="45733"/>
    <cellStyle name="Note 2 5 55 7" xfId="54430"/>
    <cellStyle name="Note 2 5 56" xfId="7369"/>
    <cellStyle name="Note 2 5 56 2" xfId="15086"/>
    <cellStyle name="Note 2 5 56 3" xfId="24079"/>
    <cellStyle name="Note 2 5 56 4" xfId="32266"/>
    <cellStyle name="Note 2 5 56 5" xfId="33355"/>
    <cellStyle name="Note 2 5 56 6" xfId="45931"/>
    <cellStyle name="Note 2 5 56 7" xfId="49300"/>
    <cellStyle name="Note 2 5 57" xfId="7504"/>
    <cellStyle name="Note 2 5 57 2" xfId="15221"/>
    <cellStyle name="Note 2 5 57 3" xfId="24214"/>
    <cellStyle name="Note 2 5 57 4" xfId="32401"/>
    <cellStyle name="Note 2 5 57 5" xfId="26962"/>
    <cellStyle name="Note 2 5 57 6" xfId="46066"/>
    <cellStyle name="Note 2 5 57 7" xfId="49560"/>
    <cellStyle name="Note 2 5 58" xfId="7625"/>
    <cellStyle name="Note 2 5 58 2" xfId="15342"/>
    <cellStyle name="Note 2 5 58 3" xfId="24335"/>
    <cellStyle name="Note 2 5 58 4" xfId="32522"/>
    <cellStyle name="Note 2 5 58 5" xfId="36160"/>
    <cellStyle name="Note 2 5 58 6" xfId="46187"/>
    <cellStyle name="Note 2 5 58 7" xfId="53449"/>
    <cellStyle name="Note 2 5 59" xfId="7902"/>
    <cellStyle name="Note 2 5 59 2" xfId="15619"/>
    <cellStyle name="Note 2 5 59 3" xfId="24606"/>
    <cellStyle name="Note 2 5 59 4" xfId="32799"/>
    <cellStyle name="Note 2 5 59 5" xfId="35990"/>
    <cellStyle name="Note 2 5 59 6" xfId="46464"/>
    <cellStyle name="Note 2 5 59 7" xfId="52730"/>
    <cellStyle name="Note 2 5 6" xfId="1524"/>
    <cellStyle name="Note 2 5 6 2" xfId="9347"/>
    <cellStyle name="Note 2 5 6 3" xfId="16775"/>
    <cellStyle name="Note 2 5 6 4" xfId="19740"/>
    <cellStyle name="Note 2 5 6 5" xfId="28153"/>
    <cellStyle name="Note 2 5 6 6" xfId="38735"/>
    <cellStyle name="Note 2 5 6 7" xfId="49517"/>
    <cellStyle name="Note 2 5 60" xfId="7669"/>
    <cellStyle name="Note 2 5 60 2" xfId="15386"/>
    <cellStyle name="Note 2 5 60 3" xfId="24378"/>
    <cellStyle name="Note 2 5 60 4" xfId="32566"/>
    <cellStyle name="Note 2 5 60 5" xfId="28397"/>
    <cellStyle name="Note 2 5 60 6" xfId="46231"/>
    <cellStyle name="Note 2 5 60 7" xfId="48854"/>
    <cellStyle name="Note 2 5 61" xfId="8030"/>
    <cellStyle name="Note 2 5 61 2" xfId="15747"/>
    <cellStyle name="Note 2 5 61 3" xfId="24732"/>
    <cellStyle name="Note 2 5 61 4" xfId="32927"/>
    <cellStyle name="Note 2 5 61 5" xfId="34882"/>
    <cellStyle name="Note 2 5 61 6" xfId="46592"/>
    <cellStyle name="Note 2 5 61 7" xfId="54311"/>
    <cellStyle name="Note 2 5 62" xfId="7708"/>
    <cellStyle name="Note 2 5 62 2" xfId="15425"/>
    <cellStyle name="Note 2 5 62 3" xfId="24416"/>
    <cellStyle name="Note 2 5 62 4" xfId="32605"/>
    <cellStyle name="Note 2 5 62 5" xfId="35611"/>
    <cellStyle name="Note 2 5 62 6" xfId="46270"/>
    <cellStyle name="Note 2 5 62 7" xfId="51025"/>
    <cellStyle name="Note 2 5 63" xfId="8177"/>
    <cellStyle name="Note 2 5 63 2" xfId="15894"/>
    <cellStyle name="Note 2 5 63 3" xfId="33074"/>
    <cellStyle name="Note 2 5 63 4" xfId="27112"/>
    <cellStyle name="Note 2 5 63 5" xfId="46739"/>
    <cellStyle name="Note 2 5 63 6" xfId="46879"/>
    <cellStyle name="Note 2 5 64" xfId="25859"/>
    <cellStyle name="Note 2 5 65" xfId="34447"/>
    <cellStyle name="Note 2 5 66" xfId="36255"/>
    <cellStyle name="Note 2 5 67" xfId="52688"/>
    <cellStyle name="Note 2 5 7" xfId="1312"/>
    <cellStyle name="Note 2 5 7 2" xfId="9135"/>
    <cellStyle name="Note 2 5 7 3" xfId="16563"/>
    <cellStyle name="Note 2 5 7 4" xfId="25792"/>
    <cellStyle name="Note 2 5 7 5" xfId="34362"/>
    <cellStyle name="Note 2 5 7 6" xfId="37379"/>
    <cellStyle name="Note 2 5 7 7" xfId="52538"/>
    <cellStyle name="Note 2 5 8" xfId="1761"/>
    <cellStyle name="Note 2 5 8 2" xfId="9584"/>
    <cellStyle name="Note 2 5 8 3" xfId="17012"/>
    <cellStyle name="Note 2 5 8 4" xfId="24926"/>
    <cellStyle name="Note 2 5 8 5" xfId="33256"/>
    <cellStyle name="Note 2 5 8 6" xfId="36482"/>
    <cellStyle name="Note 2 5 8 7" xfId="50625"/>
    <cellStyle name="Note 2 5 9" xfId="1894"/>
    <cellStyle name="Note 2 5 9 2" xfId="9717"/>
    <cellStyle name="Note 2 5 9 3" xfId="17145"/>
    <cellStyle name="Note 2 5 9 4" xfId="24830"/>
    <cellStyle name="Note 2 5 9 5" xfId="27121"/>
    <cellStyle name="Note 2 5 9 6" xfId="38000"/>
    <cellStyle name="Note 2 5 9 7" xfId="48644"/>
    <cellStyle name="Note 2 6" xfId="545"/>
    <cellStyle name="Note 2 6 10" xfId="1992"/>
    <cellStyle name="Note 2 6 10 2" xfId="9815"/>
    <cellStyle name="Note 2 6 10 3" xfId="17243"/>
    <cellStyle name="Note 2 6 10 4" xfId="26261"/>
    <cellStyle name="Note 2 6 10 5" xfId="34959"/>
    <cellStyle name="Note 2 6 10 6" xfId="40961"/>
    <cellStyle name="Note 2 6 10 7" xfId="53560"/>
    <cellStyle name="Note 2 6 11" xfId="2110"/>
    <cellStyle name="Note 2 6 11 2" xfId="9933"/>
    <cellStyle name="Note 2 6 11 3" xfId="17361"/>
    <cellStyle name="Note 2 6 11 4" xfId="26512"/>
    <cellStyle name="Note 2 6 11 5" xfId="35308"/>
    <cellStyle name="Note 2 6 11 6" xfId="38978"/>
    <cellStyle name="Note 2 6 11 7" xfId="54096"/>
    <cellStyle name="Note 2 6 12" xfId="2223"/>
    <cellStyle name="Note 2 6 12 2" xfId="10046"/>
    <cellStyle name="Note 2 6 12 3" xfId="17474"/>
    <cellStyle name="Note 2 6 12 4" xfId="19614"/>
    <cellStyle name="Note 2 6 12 5" xfId="27566"/>
    <cellStyle name="Note 2 6 12 6" xfId="36734"/>
    <cellStyle name="Note 2 6 12 7" xfId="50095"/>
    <cellStyle name="Note 2 6 13" xfId="972"/>
    <cellStyle name="Note 2 6 13 2" xfId="8796"/>
    <cellStyle name="Note 2 6 13 3" xfId="16224"/>
    <cellStyle name="Note 2 6 13 4" xfId="26308"/>
    <cellStyle name="Note 2 6 13 5" xfId="35027"/>
    <cellStyle name="Note 2 6 13 6" xfId="37631"/>
    <cellStyle name="Note 2 6 13 7" xfId="53660"/>
    <cellStyle name="Note 2 6 14" xfId="1181"/>
    <cellStyle name="Note 2 6 14 2" xfId="9004"/>
    <cellStyle name="Note 2 6 14 3" xfId="16432"/>
    <cellStyle name="Note 2 6 14 4" xfId="26392"/>
    <cellStyle name="Note 2 6 14 5" xfId="35140"/>
    <cellStyle name="Note 2 6 14 6" xfId="37109"/>
    <cellStyle name="Note 2 6 14 7" xfId="53830"/>
    <cellStyle name="Note 2 6 15" xfId="2521"/>
    <cellStyle name="Note 2 6 15 2" xfId="10344"/>
    <cellStyle name="Note 2 6 15 3" xfId="17772"/>
    <cellStyle name="Note 2 6 15 4" xfId="19625"/>
    <cellStyle name="Note 2 6 15 5" xfId="28834"/>
    <cellStyle name="Note 2 6 15 6" xfId="41875"/>
    <cellStyle name="Note 2 6 15 7" xfId="48645"/>
    <cellStyle name="Note 2 6 16" xfId="2634"/>
    <cellStyle name="Note 2 6 16 2" xfId="10457"/>
    <cellStyle name="Note 2 6 16 3" xfId="17885"/>
    <cellStyle name="Note 2 6 16 4" xfId="25869"/>
    <cellStyle name="Note 2 6 16 5" xfId="34458"/>
    <cellStyle name="Note 2 6 16 6" xfId="38988"/>
    <cellStyle name="Note 2 6 16 7" xfId="52712"/>
    <cellStyle name="Note 2 6 17" xfId="1629"/>
    <cellStyle name="Note 2 6 17 2" xfId="9452"/>
    <cellStyle name="Note 2 6 17 3" xfId="16880"/>
    <cellStyle name="Note 2 6 17 4" xfId="26679"/>
    <cellStyle name="Note 2 6 17 5" xfId="35526"/>
    <cellStyle name="Note 2 6 17 6" xfId="36929"/>
    <cellStyle name="Note 2 6 17 7" xfId="54448"/>
    <cellStyle name="Note 2 6 18" xfId="2702"/>
    <cellStyle name="Note 2 6 18 2" xfId="10525"/>
    <cellStyle name="Note 2 6 18 3" xfId="17953"/>
    <cellStyle name="Note 2 6 18 4" xfId="25901"/>
    <cellStyle name="Note 2 6 18 5" xfId="34496"/>
    <cellStyle name="Note 2 6 18 6" xfId="39686"/>
    <cellStyle name="Note 2 6 18 7" xfId="52781"/>
    <cellStyle name="Note 2 6 19" xfId="2827"/>
    <cellStyle name="Note 2 6 19 2" xfId="10650"/>
    <cellStyle name="Note 2 6 19 3" xfId="18078"/>
    <cellStyle name="Note 2 6 19 4" xfId="19950"/>
    <cellStyle name="Note 2 6 19 5" xfId="27544"/>
    <cellStyle name="Note 2 6 19 6" xfId="41744"/>
    <cellStyle name="Note 2 6 19 7" xfId="48603"/>
    <cellStyle name="Note 2 6 2" xfId="695"/>
    <cellStyle name="Note 2 6 2 2" xfId="8519"/>
    <cellStyle name="Note 2 6 2 3" xfId="15947"/>
    <cellStyle name="Note 2 6 2 4" xfId="26619"/>
    <cellStyle name="Note 2 6 2 5" xfId="35451"/>
    <cellStyle name="Note 2 6 2 6" xfId="38235"/>
    <cellStyle name="Note 2 6 2 7" xfId="54326"/>
    <cellStyle name="Note 2 6 20" xfId="2934"/>
    <cellStyle name="Note 2 6 20 2" xfId="10757"/>
    <cellStyle name="Note 2 6 20 3" xfId="18185"/>
    <cellStyle name="Note 2 6 20 4" xfId="25865"/>
    <cellStyle name="Note 2 6 20 5" xfId="34453"/>
    <cellStyle name="Note 2 6 20 6" xfId="40820"/>
    <cellStyle name="Note 2 6 20 7" xfId="52703"/>
    <cellStyle name="Note 2 6 21" xfId="3310"/>
    <cellStyle name="Note 2 6 21 2" xfId="11103"/>
    <cellStyle name="Note 2 6 21 3" xfId="18432"/>
    <cellStyle name="Note 2 6 21 4" xfId="25025"/>
    <cellStyle name="Note 2 6 21 5" xfId="33380"/>
    <cellStyle name="Note 2 6 21 6" xfId="38475"/>
    <cellStyle name="Note 2 6 21 7" xfId="50853"/>
    <cellStyle name="Note 2 6 22" xfId="3430"/>
    <cellStyle name="Note 2 6 22 2" xfId="11221"/>
    <cellStyle name="Note 2 6 22 3" xfId="18543"/>
    <cellStyle name="Note 2 6 22 4" xfId="26703"/>
    <cellStyle name="Note 2 6 22 5" xfId="35556"/>
    <cellStyle name="Note 2 6 22 6" xfId="41237"/>
    <cellStyle name="Note 2 6 22 7" xfId="54500"/>
    <cellStyle name="Note 2 6 23" xfId="3554"/>
    <cellStyle name="Note 2 6 23 2" xfId="11343"/>
    <cellStyle name="Note 2 6 23 3" xfId="18629"/>
    <cellStyle name="Note 2 6 23 4" xfId="20089"/>
    <cellStyle name="Note 2 6 23 5" xfId="26951"/>
    <cellStyle name="Note 2 6 23 6" xfId="37893"/>
    <cellStyle name="Note 2 6 23 7" xfId="49077"/>
    <cellStyle name="Note 2 6 24" xfId="3226"/>
    <cellStyle name="Note 2 6 24 2" xfId="11022"/>
    <cellStyle name="Note 2 6 24 3" xfId="18359"/>
    <cellStyle name="Note 2 6 24 4" xfId="26038"/>
    <cellStyle name="Note 2 6 24 5" xfId="34671"/>
    <cellStyle name="Note 2 6 24 6" xfId="39815"/>
    <cellStyle name="Note 2 6 24 7" xfId="53069"/>
    <cellStyle name="Note 2 6 25" xfId="3701"/>
    <cellStyle name="Note 2 6 25 2" xfId="11486"/>
    <cellStyle name="Note 2 6 25 3" xfId="18759"/>
    <cellStyle name="Note 2 6 25 4" xfId="19046"/>
    <cellStyle name="Note 2 6 25 5" xfId="27437"/>
    <cellStyle name="Note 2 6 25 6" xfId="39986"/>
    <cellStyle name="Note 2 6 25 7" xfId="49249"/>
    <cellStyle name="Note 2 6 26" xfId="3831"/>
    <cellStyle name="Note 2 6 26 2" xfId="11613"/>
    <cellStyle name="Note 2 6 26 3" xfId="18870"/>
    <cellStyle name="Note 2 6 26 4" xfId="25241"/>
    <cellStyle name="Note 2 6 26 5" xfId="33645"/>
    <cellStyle name="Note 2 6 26 6" xfId="38782"/>
    <cellStyle name="Note 2 6 26 7" xfId="51300"/>
    <cellStyle name="Note 2 6 27" xfId="3949"/>
    <cellStyle name="Note 2 6 27 2" xfId="11729"/>
    <cellStyle name="Note 2 6 27 3" xfId="18979"/>
    <cellStyle name="Note 2 6 27 4" xfId="26290"/>
    <cellStyle name="Note 2 6 27 5" xfId="34999"/>
    <cellStyle name="Note 2 6 27 6" xfId="41972"/>
    <cellStyle name="Note 2 6 27 7" xfId="53620"/>
    <cellStyle name="Note 2 6 28" xfId="3138"/>
    <cellStyle name="Note 2 6 28 2" xfId="10943"/>
    <cellStyle name="Note 2 6 28 3" xfId="20276"/>
    <cellStyle name="Note 2 6 28 4" xfId="28371"/>
    <cellStyle name="Note 2 6 28 5" xfId="28257"/>
    <cellStyle name="Note 2 6 28 6" xfId="42407"/>
    <cellStyle name="Note 2 6 28 7" xfId="47731"/>
    <cellStyle name="Note 2 6 29" xfId="4146"/>
    <cellStyle name="Note 2 6 29 2" xfId="11905"/>
    <cellStyle name="Note 2 6 29 3" xfId="20856"/>
    <cellStyle name="Note 2 6 29 4" xfId="29043"/>
    <cellStyle name="Note 2 6 29 5" xfId="27032"/>
    <cellStyle name="Note 2 6 29 6" xfId="42708"/>
    <cellStyle name="Note 2 6 29 7" xfId="49853"/>
    <cellStyle name="Note 2 6 3" xfId="803"/>
    <cellStyle name="Note 2 6 3 2" xfId="8627"/>
    <cellStyle name="Note 2 6 3 3" xfId="16055"/>
    <cellStyle name="Note 2 6 3 4" xfId="19180"/>
    <cellStyle name="Note 2 6 3 5" xfId="26915"/>
    <cellStyle name="Note 2 6 3 6" xfId="36911"/>
    <cellStyle name="Note 2 6 3 7" xfId="49173"/>
    <cellStyle name="Note 2 6 30" xfId="3038"/>
    <cellStyle name="Note 2 6 30 2" xfId="20206"/>
    <cellStyle name="Note 2 6 30 3" xfId="28297"/>
    <cellStyle name="Note 2 6 30 4" xfId="35198"/>
    <cellStyle name="Note 2 6 30 5" xfId="42365"/>
    <cellStyle name="Note 2 6 30 6" xfId="49082"/>
    <cellStyle name="Note 2 6 31" xfId="4343"/>
    <cellStyle name="Note 2 6 31 2" xfId="12060"/>
    <cellStyle name="Note 2 6 31 3" xfId="21053"/>
    <cellStyle name="Note 2 6 31 4" xfId="29240"/>
    <cellStyle name="Note 2 6 31 5" xfId="27464"/>
    <cellStyle name="Note 2 6 31 6" xfId="42905"/>
    <cellStyle name="Note 2 6 31 7" xfId="48417"/>
    <cellStyle name="Note 2 6 32" xfId="4466"/>
    <cellStyle name="Note 2 6 32 2" xfId="12183"/>
    <cellStyle name="Note 2 6 32 3" xfId="21176"/>
    <cellStyle name="Note 2 6 32 4" xfId="29363"/>
    <cellStyle name="Note 2 6 32 5" xfId="33490"/>
    <cellStyle name="Note 2 6 32 6" xfId="43028"/>
    <cellStyle name="Note 2 6 32 7" xfId="48675"/>
    <cellStyle name="Note 2 6 33" xfId="4580"/>
    <cellStyle name="Note 2 6 33 2" xfId="12297"/>
    <cellStyle name="Note 2 6 33 3" xfId="21290"/>
    <cellStyle name="Note 2 6 33 4" xfId="29477"/>
    <cellStyle name="Note 2 6 33 5" xfId="35696"/>
    <cellStyle name="Note 2 6 33 6" xfId="43142"/>
    <cellStyle name="Note 2 6 33 7" xfId="51948"/>
    <cellStyle name="Note 2 6 34" xfId="4693"/>
    <cellStyle name="Note 2 6 34 2" xfId="12410"/>
    <cellStyle name="Note 2 6 34 3" xfId="21403"/>
    <cellStyle name="Note 2 6 34 4" xfId="29590"/>
    <cellStyle name="Note 2 6 34 5" xfId="34775"/>
    <cellStyle name="Note 2 6 34 6" xfId="43255"/>
    <cellStyle name="Note 2 6 34 7" xfId="50821"/>
    <cellStyle name="Note 2 6 35" xfId="4804"/>
    <cellStyle name="Note 2 6 35 2" xfId="12521"/>
    <cellStyle name="Note 2 6 35 3" xfId="21514"/>
    <cellStyle name="Note 2 6 35 4" xfId="29701"/>
    <cellStyle name="Note 2 6 35 5" xfId="33797"/>
    <cellStyle name="Note 2 6 35 6" xfId="43366"/>
    <cellStyle name="Note 2 6 35 7" xfId="51229"/>
    <cellStyle name="Note 2 6 36" xfId="4913"/>
    <cellStyle name="Note 2 6 36 2" xfId="12630"/>
    <cellStyle name="Note 2 6 36 3" xfId="21623"/>
    <cellStyle name="Note 2 6 36 4" xfId="29810"/>
    <cellStyle name="Note 2 6 36 5" xfId="34590"/>
    <cellStyle name="Note 2 6 36 6" xfId="43475"/>
    <cellStyle name="Note 2 6 36 7" xfId="47890"/>
    <cellStyle name="Note 2 6 37" xfId="5024"/>
    <cellStyle name="Note 2 6 37 2" xfId="12741"/>
    <cellStyle name="Note 2 6 37 3" xfId="21734"/>
    <cellStyle name="Note 2 6 37 4" xfId="29921"/>
    <cellStyle name="Note 2 6 37 5" xfId="35636"/>
    <cellStyle name="Note 2 6 37 6" xfId="43586"/>
    <cellStyle name="Note 2 6 37 7" xfId="51643"/>
    <cellStyle name="Note 2 6 38" xfId="5403"/>
    <cellStyle name="Note 2 6 38 2" xfId="13120"/>
    <cellStyle name="Note 2 6 38 3" xfId="22113"/>
    <cellStyle name="Note 2 6 38 4" xfId="30300"/>
    <cellStyle name="Note 2 6 38 5" xfId="33970"/>
    <cellStyle name="Note 2 6 38 6" xfId="43965"/>
    <cellStyle name="Note 2 6 38 7" xfId="50960"/>
    <cellStyle name="Note 2 6 39" xfId="5523"/>
    <cellStyle name="Note 2 6 39 2" xfId="13240"/>
    <cellStyle name="Note 2 6 39 3" xfId="22233"/>
    <cellStyle name="Note 2 6 39 4" xfId="30420"/>
    <cellStyle name="Note 2 6 39 5" xfId="34114"/>
    <cellStyle name="Note 2 6 39 6" xfId="44085"/>
    <cellStyle name="Note 2 6 39 7" xfId="46917"/>
    <cellStyle name="Note 2 6 4" xfId="914"/>
    <cellStyle name="Note 2 6 4 2" xfId="8738"/>
    <cellStyle name="Note 2 6 4 3" xfId="16166"/>
    <cellStyle name="Note 2 6 4 4" xfId="25818"/>
    <cellStyle name="Note 2 6 4 5" xfId="34399"/>
    <cellStyle name="Note 2 6 4 6" xfId="38064"/>
    <cellStyle name="Note 2 6 4 7" xfId="52601"/>
    <cellStyle name="Note 2 6 40" xfId="5647"/>
    <cellStyle name="Note 2 6 40 2" xfId="13364"/>
    <cellStyle name="Note 2 6 40 3" xfId="22357"/>
    <cellStyle name="Note 2 6 40 4" xfId="30544"/>
    <cellStyle name="Note 2 6 40 5" xfId="27082"/>
    <cellStyle name="Note 2 6 40 6" xfId="44209"/>
    <cellStyle name="Note 2 6 40 7" xfId="47199"/>
    <cellStyle name="Note 2 6 41" xfId="5763"/>
    <cellStyle name="Note 2 6 41 2" xfId="13480"/>
    <cellStyle name="Note 2 6 41 3" xfId="22473"/>
    <cellStyle name="Note 2 6 41 4" xfId="30660"/>
    <cellStyle name="Note 2 6 41 5" xfId="35260"/>
    <cellStyle name="Note 2 6 41 6" xfId="44325"/>
    <cellStyle name="Note 2 6 41 7" xfId="47514"/>
    <cellStyle name="Note 2 6 42" xfId="5879"/>
    <cellStyle name="Note 2 6 42 2" xfId="13596"/>
    <cellStyle name="Note 2 6 42 3" xfId="22589"/>
    <cellStyle name="Note 2 6 42 4" xfId="30776"/>
    <cellStyle name="Note 2 6 42 5" xfId="35697"/>
    <cellStyle name="Note 2 6 42 6" xfId="44441"/>
    <cellStyle name="Note 2 6 42 7" xfId="51390"/>
    <cellStyle name="Note 2 6 43" xfId="6008"/>
    <cellStyle name="Note 2 6 43 2" xfId="13725"/>
    <cellStyle name="Note 2 6 43 3" xfId="22718"/>
    <cellStyle name="Note 2 6 43 4" xfId="30905"/>
    <cellStyle name="Note 2 6 43 5" xfId="36121"/>
    <cellStyle name="Note 2 6 43 6" xfId="44570"/>
    <cellStyle name="Note 2 6 43 7" xfId="53732"/>
    <cellStyle name="Note 2 6 44" xfId="6104"/>
    <cellStyle name="Note 2 6 44 2" xfId="13821"/>
    <cellStyle name="Note 2 6 44 3" xfId="22814"/>
    <cellStyle name="Note 2 6 44 4" xfId="31001"/>
    <cellStyle name="Note 2 6 44 5" xfId="28070"/>
    <cellStyle name="Note 2 6 44 6" xfId="44666"/>
    <cellStyle name="Note 2 6 44 7" xfId="47529"/>
    <cellStyle name="Note 2 6 45" xfId="5348"/>
    <cellStyle name="Note 2 6 45 2" xfId="13065"/>
    <cellStyle name="Note 2 6 45 3" xfId="22058"/>
    <cellStyle name="Note 2 6 45 4" xfId="30245"/>
    <cellStyle name="Note 2 6 45 5" xfId="26768"/>
    <cellStyle name="Note 2 6 45 6" xfId="43910"/>
    <cellStyle name="Note 2 6 45 7" xfId="49208"/>
    <cellStyle name="Note 2 6 46" xfId="6264"/>
    <cellStyle name="Note 2 6 46 2" xfId="13981"/>
    <cellStyle name="Note 2 6 46 3" xfId="22974"/>
    <cellStyle name="Note 2 6 46 4" xfId="31161"/>
    <cellStyle name="Note 2 6 46 5" xfId="33597"/>
    <cellStyle name="Note 2 6 46 6" xfId="44826"/>
    <cellStyle name="Note 2 6 46 7" xfId="48751"/>
    <cellStyle name="Note 2 6 47" xfId="6380"/>
    <cellStyle name="Note 2 6 47 2" xfId="14097"/>
    <cellStyle name="Note 2 6 47 3" xfId="23090"/>
    <cellStyle name="Note 2 6 47 4" xfId="31277"/>
    <cellStyle name="Note 2 6 47 5" xfId="35772"/>
    <cellStyle name="Note 2 6 47 6" xfId="44942"/>
    <cellStyle name="Note 2 6 47 7" xfId="52135"/>
    <cellStyle name="Note 2 6 48" xfId="6491"/>
    <cellStyle name="Note 2 6 48 2" xfId="14208"/>
    <cellStyle name="Note 2 6 48 3" xfId="23201"/>
    <cellStyle name="Note 2 6 48 4" xfId="31388"/>
    <cellStyle name="Note 2 6 48 5" xfId="36202"/>
    <cellStyle name="Note 2 6 48 6" xfId="45053"/>
    <cellStyle name="Note 2 6 48 7" xfId="54071"/>
    <cellStyle name="Note 2 6 49" xfId="6083"/>
    <cellStyle name="Note 2 6 49 2" xfId="13800"/>
    <cellStyle name="Note 2 6 49 3" xfId="22793"/>
    <cellStyle name="Note 2 6 49 4" xfId="30980"/>
    <cellStyle name="Note 2 6 49 5" xfId="35987"/>
    <cellStyle name="Note 2 6 49 6" xfId="44645"/>
    <cellStyle name="Note 2 6 49 7" xfId="53149"/>
    <cellStyle name="Note 2 6 5" xfId="1380"/>
    <cellStyle name="Note 2 6 5 2" xfId="9203"/>
    <cellStyle name="Note 2 6 5 3" xfId="16631"/>
    <cellStyle name="Note 2 6 5 4" xfId="20387"/>
    <cellStyle name="Note 2 6 5 5" xfId="28567"/>
    <cellStyle name="Note 2 6 5 6" xfId="37832"/>
    <cellStyle name="Note 2 6 5 7" xfId="47639"/>
    <cellStyle name="Note 2 6 50" xfId="6637"/>
    <cellStyle name="Note 2 6 50 2" xfId="14354"/>
    <cellStyle name="Note 2 6 50 3" xfId="23347"/>
    <cellStyle name="Note 2 6 50 4" xfId="31534"/>
    <cellStyle name="Note 2 6 50 5" xfId="26875"/>
    <cellStyle name="Note 2 6 50 6" xfId="45199"/>
    <cellStyle name="Note 2 6 50 7" xfId="54505"/>
    <cellStyle name="Note 2 6 51" xfId="6749"/>
    <cellStyle name="Note 2 6 51 2" xfId="14466"/>
    <cellStyle name="Note 2 6 51 3" xfId="23459"/>
    <cellStyle name="Note 2 6 51 4" xfId="31646"/>
    <cellStyle name="Note 2 6 51 5" xfId="26832"/>
    <cellStyle name="Note 2 6 51 6" xfId="45311"/>
    <cellStyle name="Note 2 6 51 7" xfId="49987"/>
    <cellStyle name="Note 2 6 52" xfId="6864"/>
    <cellStyle name="Note 2 6 52 2" xfId="14581"/>
    <cellStyle name="Note 2 6 52 3" xfId="23574"/>
    <cellStyle name="Note 2 6 52 4" xfId="31761"/>
    <cellStyle name="Note 2 6 52 5" xfId="36231"/>
    <cellStyle name="Note 2 6 52 6" xfId="45426"/>
    <cellStyle name="Note 2 6 52 7" xfId="47070"/>
    <cellStyle name="Note 2 6 53" xfId="6977"/>
    <cellStyle name="Note 2 6 53 2" xfId="14694"/>
    <cellStyle name="Note 2 6 53 3" xfId="23687"/>
    <cellStyle name="Note 2 6 53 4" xfId="31874"/>
    <cellStyle name="Note 2 6 53 5" xfId="34987"/>
    <cellStyle name="Note 2 6 53 6" xfId="45539"/>
    <cellStyle name="Note 2 6 53 7" xfId="47027"/>
    <cellStyle name="Note 2 6 54" xfId="7088"/>
    <cellStyle name="Note 2 6 54 2" xfId="14805"/>
    <cellStyle name="Note 2 6 54 3" xfId="23798"/>
    <cellStyle name="Note 2 6 54 4" xfId="31985"/>
    <cellStyle name="Note 2 6 54 5" xfId="35060"/>
    <cellStyle name="Note 2 6 54 6" xfId="45650"/>
    <cellStyle name="Note 2 6 54 7" xfId="50400"/>
    <cellStyle name="Note 2 6 55" xfId="7189"/>
    <cellStyle name="Note 2 6 55 2" xfId="14906"/>
    <cellStyle name="Note 2 6 55 3" xfId="23899"/>
    <cellStyle name="Note 2 6 55 4" xfId="32086"/>
    <cellStyle name="Note 2 6 55 5" xfId="35936"/>
    <cellStyle name="Note 2 6 55 6" xfId="45751"/>
    <cellStyle name="Note 2 6 55 7" xfId="52651"/>
    <cellStyle name="Note 2 6 56" xfId="7406"/>
    <cellStyle name="Note 2 6 56 2" xfId="15123"/>
    <cellStyle name="Note 2 6 56 3" xfId="24116"/>
    <cellStyle name="Note 2 6 56 4" xfId="32303"/>
    <cellStyle name="Note 2 6 56 5" xfId="35963"/>
    <cellStyle name="Note 2 6 56 6" xfId="45968"/>
    <cellStyle name="Note 2 6 56 7" xfId="52904"/>
    <cellStyle name="Note 2 6 57" xfId="7485"/>
    <cellStyle name="Note 2 6 57 2" xfId="15202"/>
    <cellStyle name="Note 2 6 57 3" xfId="24195"/>
    <cellStyle name="Note 2 6 57 4" xfId="32382"/>
    <cellStyle name="Note 2 6 57 5" xfId="35802"/>
    <cellStyle name="Note 2 6 57 6" xfId="46047"/>
    <cellStyle name="Note 2 6 57 7" xfId="52010"/>
    <cellStyle name="Note 2 6 58" xfId="7606"/>
    <cellStyle name="Note 2 6 58 2" xfId="15323"/>
    <cellStyle name="Note 2 6 58 3" xfId="24316"/>
    <cellStyle name="Note 2 6 58 4" xfId="32503"/>
    <cellStyle name="Note 2 6 58 5" xfId="35184"/>
    <cellStyle name="Note 2 6 58 6" xfId="46168"/>
    <cellStyle name="Note 2 6 58 7" xfId="48340"/>
    <cellStyle name="Note 2 6 59" xfId="7882"/>
    <cellStyle name="Note 2 6 59 2" xfId="15599"/>
    <cellStyle name="Note 2 6 59 3" xfId="24586"/>
    <cellStyle name="Note 2 6 59 4" xfId="32779"/>
    <cellStyle name="Note 2 6 59 5" xfId="35778"/>
    <cellStyle name="Note 2 6 59 6" xfId="46444"/>
    <cellStyle name="Note 2 6 59 7" xfId="52634"/>
    <cellStyle name="Note 2 6 6" xfId="1503"/>
    <cellStyle name="Note 2 6 6 2" xfId="9326"/>
    <cellStyle name="Note 2 6 6 3" xfId="16754"/>
    <cellStyle name="Note 2 6 6 4" xfId="20676"/>
    <cellStyle name="Note 2 6 6 5" xfId="27204"/>
    <cellStyle name="Note 2 6 6 6" xfId="40933"/>
    <cellStyle name="Note 2 6 6 7" xfId="47607"/>
    <cellStyle name="Note 2 6 60" xfId="7775"/>
    <cellStyle name="Note 2 6 60 2" xfId="15492"/>
    <cellStyle name="Note 2 6 60 3" xfId="24481"/>
    <cellStyle name="Note 2 6 60 4" xfId="32672"/>
    <cellStyle name="Note 2 6 60 5" xfId="33585"/>
    <cellStyle name="Note 2 6 60 6" xfId="46337"/>
    <cellStyle name="Note 2 6 60 7" xfId="49633"/>
    <cellStyle name="Note 2 6 61" xfId="8010"/>
    <cellStyle name="Note 2 6 61 2" xfId="15727"/>
    <cellStyle name="Note 2 6 61 3" xfId="24712"/>
    <cellStyle name="Note 2 6 61 4" xfId="32907"/>
    <cellStyle name="Note 2 6 61 5" xfId="34332"/>
    <cellStyle name="Note 2 6 61 6" xfId="46572"/>
    <cellStyle name="Note 2 6 61 7" xfId="48850"/>
    <cellStyle name="Note 2 6 62" xfId="7691"/>
    <cellStyle name="Note 2 6 62 2" xfId="15408"/>
    <cellStyle name="Note 2 6 62 3" xfId="24399"/>
    <cellStyle name="Note 2 6 62 4" xfId="32588"/>
    <cellStyle name="Note 2 6 62 5" xfId="35994"/>
    <cellStyle name="Note 2 6 62 6" xfId="46253"/>
    <cellStyle name="Note 2 6 62 7" xfId="51747"/>
    <cellStyle name="Note 2 6 63" xfId="8158"/>
    <cellStyle name="Note 2 6 63 2" xfId="15875"/>
    <cellStyle name="Note 2 6 63 3" xfId="33055"/>
    <cellStyle name="Note 2 6 63 4" xfId="28282"/>
    <cellStyle name="Note 2 6 63 5" xfId="46720"/>
    <cellStyle name="Note 2 6 63 6" xfId="47710"/>
    <cellStyle name="Note 2 6 64" xfId="20392"/>
    <cellStyle name="Note 2 6 65" xfId="27362"/>
    <cellStyle name="Note 2 6 66" xfId="36308"/>
    <cellStyle name="Note 2 6 67" xfId="48535"/>
    <cellStyle name="Note 2 6 7" xfId="1147"/>
    <cellStyle name="Note 2 6 7 2" xfId="8970"/>
    <cellStyle name="Note 2 6 7 3" xfId="16398"/>
    <cellStyle name="Note 2 6 7 4" xfId="19236"/>
    <cellStyle name="Note 2 6 7 5" xfId="27110"/>
    <cellStyle name="Note 2 6 7 6" xfId="40337"/>
    <cellStyle name="Note 2 6 7 7" xfId="49983"/>
    <cellStyle name="Note 2 6 8" xfId="1740"/>
    <cellStyle name="Note 2 6 8 2" xfId="9563"/>
    <cellStyle name="Note 2 6 8 3" xfId="16991"/>
    <cellStyle name="Note 2 6 8 4" xfId="19429"/>
    <cellStyle name="Note 2 6 8 5" xfId="27444"/>
    <cellStyle name="Note 2 6 8 6" xfId="40395"/>
    <cellStyle name="Note 2 6 8 7" xfId="50182"/>
    <cellStyle name="Note 2 6 9" xfId="1874"/>
    <cellStyle name="Note 2 6 9 2" xfId="9697"/>
    <cellStyle name="Note 2 6 9 3" xfId="17125"/>
    <cellStyle name="Note 2 6 9 4" xfId="24979"/>
    <cellStyle name="Note 2 6 9 5" xfId="33322"/>
    <cellStyle name="Note 2 6 9 6" xfId="39944"/>
    <cellStyle name="Note 2 6 9 7" xfId="50743"/>
    <cellStyle name="Note 2 7" xfId="623"/>
    <cellStyle name="Note 2 7 2" xfId="8447"/>
    <cellStyle name="Note 2 7 3" xfId="11965"/>
    <cellStyle name="Note 2 7 4" xfId="20516"/>
    <cellStyle name="Note 2 7 5" xfId="28437"/>
    <cellStyle name="Note 2 7 6" xfId="37506"/>
    <cellStyle name="Note 2 7 7" xfId="48570"/>
    <cellStyle name="Note 2 8" xfId="610"/>
    <cellStyle name="Note 2 8 2" xfId="8434"/>
    <cellStyle name="Note 2 8 3" xfId="8305"/>
    <cellStyle name="Note 2 8 4" xfId="19494"/>
    <cellStyle name="Note 2 8 5" xfId="27281"/>
    <cellStyle name="Note 2 8 6" xfId="36842"/>
    <cellStyle name="Note 2 8 7" xfId="47747"/>
    <cellStyle name="Note 2 9" xfId="1072"/>
    <cellStyle name="Note 2 9 2" xfId="8896"/>
    <cellStyle name="Note 2 9 3" xfId="16324"/>
    <cellStyle name="Note 2 9 4" xfId="19384"/>
    <cellStyle name="Note 2 9 5" xfId="27716"/>
    <cellStyle name="Note 2 9 6" xfId="37321"/>
    <cellStyle name="Note 2 9 7" xfId="50125"/>
    <cellStyle name="Note 3" xfId="157"/>
    <cellStyle name="Note 3 10" xfId="1241"/>
    <cellStyle name="Note 3 10 2" xfId="9064"/>
    <cellStyle name="Note 3 10 3" xfId="16492"/>
    <cellStyle name="Note 3 10 4" xfId="19849"/>
    <cellStyle name="Note 3 10 5" xfId="28866"/>
    <cellStyle name="Note 3 10 6" xfId="36628"/>
    <cellStyle name="Note 3 10 7" xfId="47845"/>
    <cellStyle name="Note 3 11" xfId="1151"/>
    <cellStyle name="Note 3 11 2" xfId="8974"/>
    <cellStyle name="Note 3 11 3" xfId="16402"/>
    <cellStyle name="Note 3 11 4" xfId="19584"/>
    <cellStyle name="Note 3 11 5" xfId="28017"/>
    <cellStyle name="Note 3 11 6" xfId="39980"/>
    <cellStyle name="Note 3 11 7" xfId="49405"/>
    <cellStyle name="Note 3 12" xfId="1150"/>
    <cellStyle name="Note 3 12 2" xfId="8973"/>
    <cellStyle name="Note 3 12 3" xfId="16401"/>
    <cellStyle name="Note 3 12 4" xfId="19624"/>
    <cellStyle name="Note 3 12 5" xfId="27230"/>
    <cellStyle name="Note 3 12 6" xfId="40093"/>
    <cellStyle name="Note 3 12 7" xfId="47390"/>
    <cellStyle name="Note 3 13" xfId="2300"/>
    <cellStyle name="Note 3 13 2" xfId="10123"/>
    <cellStyle name="Note 3 13 3" xfId="17551"/>
    <cellStyle name="Note 3 13 4" xfId="20591"/>
    <cellStyle name="Note 3 13 5" xfId="28180"/>
    <cellStyle name="Note 3 13 6" xfId="38340"/>
    <cellStyle name="Note 3 13 7" xfId="49572"/>
    <cellStyle name="Note 3 14" xfId="2416"/>
    <cellStyle name="Note 3 14 2" xfId="10239"/>
    <cellStyle name="Note 3 14 3" xfId="17667"/>
    <cellStyle name="Note 3 14 4" xfId="25765"/>
    <cellStyle name="Note 3 14 5" xfId="34321"/>
    <cellStyle name="Note 3 14 6" xfId="38176"/>
    <cellStyle name="Note 3 14 7" xfId="52465"/>
    <cellStyle name="Note 3 15" xfId="2412"/>
    <cellStyle name="Note 3 15 2" xfId="10235"/>
    <cellStyle name="Note 3 15 3" xfId="17663"/>
    <cellStyle name="Note 3 15 4" xfId="25966"/>
    <cellStyle name="Note 3 15 5" xfId="34575"/>
    <cellStyle name="Note 3 15 6" xfId="36471"/>
    <cellStyle name="Note 3 15 7" xfId="52920"/>
    <cellStyle name="Note 3 16" xfId="3096"/>
    <cellStyle name="Note 3 16 2" xfId="10902"/>
    <cellStyle name="Note 3 16 3" xfId="18285"/>
    <cellStyle name="Note 3 16 4" xfId="25040"/>
    <cellStyle name="Note 3 16 5" xfId="33398"/>
    <cellStyle name="Note 3 16 6" xfId="37490"/>
    <cellStyle name="Note 3 16 7" xfId="50880"/>
    <cellStyle name="Note 3 17" xfId="3492"/>
    <cellStyle name="Note 3 17 2" xfId="11283"/>
    <cellStyle name="Note 3 17 3" xfId="18590"/>
    <cellStyle name="Note 3 17 4" xfId="25425"/>
    <cellStyle name="Note 3 17 5" xfId="33881"/>
    <cellStyle name="Note 3 17 6" xfId="39436"/>
    <cellStyle name="Note 3 17 7" xfId="51696"/>
    <cellStyle name="Note 3 18" xfId="3635"/>
    <cellStyle name="Note 3 18 2" xfId="11420"/>
    <cellStyle name="Note 3 18 3" xfId="18693"/>
    <cellStyle name="Note 3 18 4" xfId="19442"/>
    <cellStyle name="Note 3 18 5" xfId="28554"/>
    <cellStyle name="Note 3 18 6" xfId="41513"/>
    <cellStyle name="Note 3 18 7" xfId="47250"/>
    <cellStyle name="Note 3 19" xfId="3228"/>
    <cellStyle name="Note 3 19 2" xfId="11024"/>
    <cellStyle name="Note 3 19 3" xfId="20348"/>
    <cellStyle name="Note 3 19 4" xfId="28438"/>
    <cellStyle name="Note 3 19 5" xfId="35680"/>
    <cellStyle name="Note 3 19 6" xfId="42453"/>
    <cellStyle name="Note 3 19 7" xfId="51829"/>
    <cellStyle name="Note 3 2" xfId="204"/>
    <cellStyle name="Note 3 2 10" xfId="1423"/>
    <cellStyle name="Note 3 2 10 2" xfId="9246"/>
    <cellStyle name="Note 3 2 10 3" xfId="16674"/>
    <cellStyle name="Note 3 2 10 4" xfId="26404"/>
    <cellStyle name="Note 3 2 10 5" xfId="35156"/>
    <cellStyle name="Note 3 2 10 6" xfId="41704"/>
    <cellStyle name="Note 3 2 10 7" xfId="53855"/>
    <cellStyle name="Note 3 2 11" xfId="1231"/>
    <cellStyle name="Note 3 2 11 2" xfId="9054"/>
    <cellStyle name="Note 3 2 11 3" xfId="16482"/>
    <cellStyle name="Note 3 2 11 4" xfId="19672"/>
    <cellStyle name="Note 3 2 11 5" xfId="27265"/>
    <cellStyle name="Note 3 2 11 6" xfId="38200"/>
    <cellStyle name="Note 3 2 11 7" xfId="47280"/>
    <cellStyle name="Note 3 2 12" xfId="1594"/>
    <cellStyle name="Note 3 2 12 2" xfId="9417"/>
    <cellStyle name="Note 3 2 12 3" xfId="16845"/>
    <cellStyle name="Note 3 2 12 4" xfId="19353"/>
    <cellStyle name="Note 3 2 12 5" xfId="28151"/>
    <cellStyle name="Note 3 2 12 6" xfId="39013"/>
    <cellStyle name="Note 3 2 12 7" xfId="49623"/>
    <cellStyle name="Note 3 2 13" xfId="2358"/>
    <cellStyle name="Note 3 2 13 2" xfId="10181"/>
    <cellStyle name="Note 3 2 13 3" xfId="17609"/>
    <cellStyle name="Note 3 2 13 4" xfId="25063"/>
    <cellStyle name="Note 3 2 13 5" xfId="33423"/>
    <cellStyle name="Note 3 2 13 6" xfId="37845"/>
    <cellStyle name="Note 3 2 13 7" xfId="50934"/>
    <cellStyle name="Note 3 2 14" xfId="2320"/>
    <cellStyle name="Note 3 2 14 2" xfId="10143"/>
    <cellStyle name="Note 3 2 14 3" xfId="17571"/>
    <cellStyle name="Note 3 2 14 4" xfId="25411"/>
    <cellStyle name="Note 3 2 14 5" xfId="33867"/>
    <cellStyle name="Note 3 2 14 6" xfId="41419"/>
    <cellStyle name="Note 3 2 14 7" xfId="51673"/>
    <cellStyle name="Note 3 2 15" xfId="3160"/>
    <cellStyle name="Note 3 2 15 2" xfId="10962"/>
    <cellStyle name="Note 3 2 15 3" xfId="18332"/>
    <cellStyle name="Note 3 2 15 4" xfId="26170"/>
    <cellStyle name="Note 3 2 15 5" xfId="34841"/>
    <cellStyle name="Note 3 2 15 6" xfId="38899"/>
    <cellStyle name="Note 3 2 15 7" xfId="53364"/>
    <cellStyle name="Note 3 2 16" xfId="3588"/>
    <cellStyle name="Note 3 2 16 2" xfId="11374"/>
    <cellStyle name="Note 3 2 16 3" xfId="18650"/>
    <cellStyle name="Note 3 2 16 4" xfId="26106"/>
    <cellStyle name="Note 3 2 16 5" xfId="34761"/>
    <cellStyle name="Note 3 2 16 6" xfId="40627"/>
    <cellStyle name="Note 3 2 16 7" xfId="53222"/>
    <cellStyle name="Note 3 2 17" xfId="3240"/>
    <cellStyle name="Note 3 2 17 2" xfId="11033"/>
    <cellStyle name="Note 3 2 17 3" xfId="18364"/>
    <cellStyle name="Note 3 2 17 4" xfId="25518"/>
    <cellStyle name="Note 3 2 17 5" xfId="33996"/>
    <cellStyle name="Note 3 2 17 6" xfId="37717"/>
    <cellStyle name="Note 3 2 17 7" xfId="51906"/>
    <cellStyle name="Note 3 2 18" xfId="4074"/>
    <cellStyle name="Note 3 2 18 2" xfId="11836"/>
    <cellStyle name="Note 3 2 18 3" xfId="20784"/>
    <cellStyle name="Note 3 2 18 4" xfId="28971"/>
    <cellStyle name="Note 3 2 18 5" xfId="34252"/>
    <cellStyle name="Note 3 2 18 6" xfId="42636"/>
    <cellStyle name="Note 3 2 18 7" xfId="49584"/>
    <cellStyle name="Note 3 2 19" xfId="4011"/>
    <cellStyle name="Note 3 2 19 2" xfId="11790"/>
    <cellStyle name="Note 3 2 19 3" xfId="20721"/>
    <cellStyle name="Note 3 2 19 4" xfId="28908"/>
    <cellStyle name="Note 3 2 19 5" xfId="28046"/>
    <cellStyle name="Note 3 2 19 6" xfId="42573"/>
    <cellStyle name="Note 3 2 19 7" xfId="48780"/>
    <cellStyle name="Note 3 2 2" xfId="274"/>
    <cellStyle name="Note 3 2 2 10" xfId="1142"/>
    <cellStyle name="Note 3 2 2 10 2" xfId="8965"/>
    <cellStyle name="Note 3 2 2 10 3" xfId="16393"/>
    <cellStyle name="Note 3 2 2 10 4" xfId="19134"/>
    <cellStyle name="Note 3 2 2 10 5" xfId="33116"/>
    <cellStyle name="Note 3 2 2 10 6" xfId="36784"/>
    <cellStyle name="Note 3 2 2 10 7" xfId="49848"/>
    <cellStyle name="Note 3 2 2 11" xfId="1313"/>
    <cellStyle name="Note 3 2 2 11 2" xfId="9136"/>
    <cellStyle name="Note 3 2 2 11 3" xfId="16564"/>
    <cellStyle name="Note 3 2 2 11 4" xfId="25979"/>
    <cellStyle name="Note 3 2 2 11 5" xfId="34596"/>
    <cellStyle name="Note 3 2 2 11 6" xfId="37307"/>
    <cellStyle name="Note 3 2 2 11 7" xfId="52950"/>
    <cellStyle name="Note 3 2 2 12" xfId="1255"/>
    <cellStyle name="Note 3 2 2 12 2" xfId="9078"/>
    <cellStyle name="Note 3 2 2 12 3" xfId="16506"/>
    <cellStyle name="Note 3 2 2 12 4" xfId="19423"/>
    <cellStyle name="Note 3 2 2 12 5" xfId="27793"/>
    <cellStyle name="Note 3 2 2 12 6" xfId="40755"/>
    <cellStyle name="Note 3 2 2 12 7" xfId="46913"/>
    <cellStyle name="Note 3 2 2 13" xfId="1288"/>
    <cellStyle name="Note 3 2 2 13 2" xfId="9111"/>
    <cellStyle name="Note 3 2 2 13 3" xfId="16539"/>
    <cellStyle name="Note 3 2 2 13 4" xfId="19937"/>
    <cellStyle name="Note 3 2 2 13 5" xfId="27118"/>
    <cellStyle name="Note 3 2 2 13 6" xfId="39244"/>
    <cellStyle name="Note 3 2 2 13 7" xfId="47186"/>
    <cellStyle name="Note 3 2 2 14" xfId="1251"/>
    <cellStyle name="Note 3 2 2 14 2" xfId="9074"/>
    <cellStyle name="Note 3 2 2 14 3" xfId="16502"/>
    <cellStyle name="Note 3 2 2 14 4" xfId="20289"/>
    <cellStyle name="Note 3 2 2 14 5" xfId="28794"/>
    <cellStyle name="Note 3 2 2 14 6" xfId="41884"/>
    <cellStyle name="Note 3 2 2 14 7" xfId="48276"/>
    <cellStyle name="Note 3 2 2 15" xfId="1808"/>
    <cellStyle name="Note 3 2 2 15 2" xfId="9631"/>
    <cellStyle name="Note 3 2 2 15 3" xfId="17059"/>
    <cellStyle name="Note 3 2 2 15 4" xfId="20656"/>
    <cellStyle name="Note 3 2 2 15 5" xfId="26778"/>
    <cellStyle name="Note 3 2 2 15 6" xfId="40320"/>
    <cellStyle name="Note 3 2 2 15 7" xfId="50363"/>
    <cellStyle name="Note 3 2 2 16" xfId="2031"/>
    <cellStyle name="Note 3 2 2 16 2" xfId="9854"/>
    <cellStyle name="Note 3 2 2 16 3" xfId="17282"/>
    <cellStyle name="Note 3 2 2 16 4" xfId="19912"/>
    <cellStyle name="Note 3 2 2 16 5" xfId="28082"/>
    <cellStyle name="Note 3 2 2 16 6" xfId="36557"/>
    <cellStyle name="Note 3 2 2 16 7" xfId="49313"/>
    <cellStyle name="Note 3 2 2 17" xfId="2088"/>
    <cellStyle name="Note 3 2 2 17 2" xfId="9911"/>
    <cellStyle name="Note 3 2 2 17 3" xfId="17339"/>
    <cellStyle name="Note 3 2 2 17 4" xfId="19459"/>
    <cellStyle name="Note 3 2 2 17 5" xfId="28867"/>
    <cellStyle name="Note 3 2 2 17 6" xfId="41279"/>
    <cellStyle name="Note 3 2 2 17 7" xfId="49564"/>
    <cellStyle name="Note 3 2 2 18" xfId="1923"/>
    <cellStyle name="Note 3 2 2 18 2" xfId="9746"/>
    <cellStyle name="Note 3 2 2 18 3" xfId="17174"/>
    <cellStyle name="Note 3 2 2 18 4" xfId="19880"/>
    <cellStyle name="Note 3 2 2 18 5" xfId="27332"/>
    <cellStyle name="Note 3 2 2 18 6" xfId="41931"/>
    <cellStyle name="Note 3 2 2 18 7" xfId="48302"/>
    <cellStyle name="Note 3 2 2 19" xfId="1435"/>
    <cellStyle name="Note 3 2 2 19 2" xfId="9258"/>
    <cellStyle name="Note 3 2 2 19 3" xfId="16686"/>
    <cellStyle name="Note 3 2 2 19 4" xfId="25872"/>
    <cellStyle name="Note 3 2 2 19 5" xfId="34461"/>
    <cellStyle name="Note 3 2 2 19 6" xfId="40532"/>
    <cellStyle name="Note 3 2 2 19 7" xfId="52715"/>
    <cellStyle name="Note 3 2 2 2" xfId="544"/>
    <cellStyle name="Note 3 2 2 2 10" xfId="1991"/>
    <cellStyle name="Note 3 2 2 2 10 2" xfId="9814"/>
    <cellStyle name="Note 3 2 2 2 10 3" xfId="17242"/>
    <cellStyle name="Note 3 2 2 2 10 4" xfId="26353"/>
    <cellStyle name="Note 3 2 2 2 10 5" xfId="35082"/>
    <cellStyle name="Note 3 2 2 2 10 6" xfId="36318"/>
    <cellStyle name="Note 3 2 2 2 10 7" xfId="53741"/>
    <cellStyle name="Note 3 2 2 2 11" xfId="2109"/>
    <cellStyle name="Note 3 2 2 2 11 2" xfId="9932"/>
    <cellStyle name="Note 3 2 2 2 11 3" xfId="17360"/>
    <cellStyle name="Note 3 2 2 2 11 4" xfId="26540"/>
    <cellStyle name="Note 3 2 2 2 11 5" xfId="35340"/>
    <cellStyle name="Note 3 2 2 2 11 6" xfId="39084"/>
    <cellStyle name="Note 3 2 2 2 11 7" xfId="54147"/>
    <cellStyle name="Note 3 2 2 2 12" xfId="2222"/>
    <cellStyle name="Note 3 2 2 2 12 2" xfId="10045"/>
    <cellStyle name="Note 3 2 2 2 12 3" xfId="17473"/>
    <cellStyle name="Note 3 2 2 2 12 4" xfId="24976"/>
    <cellStyle name="Note 3 2 2 2 12 5" xfId="33319"/>
    <cellStyle name="Note 3 2 2 2 12 6" xfId="36959"/>
    <cellStyle name="Note 3 2 2 2 12 7" xfId="50736"/>
    <cellStyle name="Note 3 2 2 2 13" xfId="1000"/>
    <cellStyle name="Note 3 2 2 2 13 2" xfId="8824"/>
    <cellStyle name="Note 3 2 2 2 13 3" xfId="16252"/>
    <cellStyle name="Note 3 2 2 2 13 4" xfId="19067"/>
    <cellStyle name="Note 3 2 2 2 13 5" xfId="33160"/>
    <cellStyle name="Note 3 2 2 2 13 6" xfId="37571"/>
    <cellStyle name="Note 3 2 2 2 13 7" xfId="50451"/>
    <cellStyle name="Note 3 2 2 2 14" xfId="2348"/>
    <cellStyle name="Note 3 2 2 2 14 2" xfId="10171"/>
    <cellStyle name="Note 3 2 2 2 14 3" xfId="17599"/>
    <cellStyle name="Note 3 2 2 2 14 4" xfId="25496"/>
    <cellStyle name="Note 3 2 2 2 14 5" xfId="33972"/>
    <cellStyle name="Note 3 2 2 2 14 6" xfId="38487"/>
    <cellStyle name="Note 3 2 2 2 14 7" xfId="51861"/>
    <cellStyle name="Note 3 2 2 2 15" xfId="2520"/>
    <cellStyle name="Note 3 2 2 2 15 2" xfId="10343"/>
    <cellStyle name="Note 3 2 2 2 15 3" xfId="17771"/>
    <cellStyle name="Note 3 2 2 2 15 4" xfId="19383"/>
    <cellStyle name="Note 3 2 2 2 15 5" xfId="27424"/>
    <cellStyle name="Note 3 2 2 2 15 6" xfId="41877"/>
    <cellStyle name="Note 3 2 2 2 15 7" xfId="48756"/>
    <cellStyle name="Note 3 2 2 2 16" xfId="2633"/>
    <cellStyle name="Note 3 2 2 2 16 2" xfId="10456"/>
    <cellStyle name="Note 3 2 2 2 16 3" xfId="17884"/>
    <cellStyle name="Note 3 2 2 2 16 4" xfId="25918"/>
    <cellStyle name="Note 3 2 2 2 16 5" xfId="34519"/>
    <cellStyle name="Note 3 2 2 2 16 6" xfId="39093"/>
    <cellStyle name="Note 3 2 2 2 16 7" xfId="52819"/>
    <cellStyle name="Note 3 2 2 2 17" xfId="2429"/>
    <cellStyle name="Note 3 2 2 2 17 2" xfId="10252"/>
    <cellStyle name="Note 3 2 2 2 17 3" xfId="17680"/>
    <cellStyle name="Note 3 2 2 2 17 4" xfId="25048"/>
    <cellStyle name="Note 3 2 2 2 17 5" xfId="33407"/>
    <cellStyle name="Note 3 2 2 2 17 6" xfId="36808"/>
    <cellStyle name="Note 3 2 2 2 17 7" xfId="50898"/>
    <cellStyle name="Note 3 2 2 2 18" xfId="1270"/>
    <cellStyle name="Note 3 2 2 2 18 2" xfId="9093"/>
    <cellStyle name="Note 3 2 2 2 18 3" xfId="16521"/>
    <cellStyle name="Note 3 2 2 2 18 4" xfId="20048"/>
    <cellStyle name="Note 3 2 2 2 18 5" xfId="27563"/>
    <cellStyle name="Note 3 2 2 2 18 6" xfId="41119"/>
    <cellStyle name="Note 3 2 2 2 18 7" xfId="46911"/>
    <cellStyle name="Note 3 2 2 2 19" xfId="2826"/>
    <cellStyle name="Note 3 2 2 2 19 2" xfId="10649"/>
    <cellStyle name="Note 3 2 2 2 19 3" xfId="18077"/>
    <cellStyle name="Note 3 2 2 2 19 4" xfId="20022"/>
    <cellStyle name="Note 3 2 2 2 19 5" xfId="28339"/>
    <cellStyle name="Note 3 2 2 2 19 6" xfId="42009"/>
    <cellStyle name="Note 3 2 2 2 19 7" xfId="48714"/>
    <cellStyle name="Note 3 2 2 2 2" xfId="694"/>
    <cellStyle name="Note 3 2 2 2 2 2" xfId="8518"/>
    <cellStyle name="Note 3 2 2 2 2 3" xfId="15946"/>
    <cellStyle name="Note 3 2 2 2 2 4" xfId="19997"/>
    <cellStyle name="Note 3 2 2 2 2 5" xfId="28784"/>
    <cellStyle name="Note 3 2 2 2 2 6" xfId="36467"/>
    <cellStyle name="Note 3 2 2 2 2 7" xfId="48133"/>
    <cellStyle name="Note 3 2 2 2 20" xfId="2933"/>
    <cellStyle name="Note 3 2 2 2 20 2" xfId="10756"/>
    <cellStyle name="Note 3 2 2 2 20 3" xfId="18184"/>
    <cellStyle name="Note 3 2 2 2 20 4" xfId="25914"/>
    <cellStyle name="Note 3 2 2 2 20 5" xfId="34515"/>
    <cellStyle name="Note 3 2 2 2 20 6" xfId="40926"/>
    <cellStyle name="Note 3 2 2 2 20 7" xfId="52811"/>
    <cellStyle name="Note 3 2 2 2 21" xfId="3309"/>
    <cellStyle name="Note 3 2 2 2 21 2" xfId="11102"/>
    <cellStyle name="Note 3 2 2 2 21 3" xfId="18431"/>
    <cellStyle name="Note 3 2 2 2 21 4" xfId="25080"/>
    <cellStyle name="Note 3 2 2 2 21 5" xfId="33441"/>
    <cellStyle name="Note 3 2 2 2 21 6" xfId="38618"/>
    <cellStyle name="Note 3 2 2 2 21 7" xfId="50968"/>
    <cellStyle name="Note 3 2 2 2 22" xfId="3429"/>
    <cellStyle name="Note 3 2 2 2 22 2" xfId="11220"/>
    <cellStyle name="Note 3 2 2 2 22 3" xfId="18542"/>
    <cellStyle name="Note 3 2 2 2 22 4" xfId="19244"/>
    <cellStyle name="Note 3 2 2 2 22 5" xfId="27899"/>
    <cellStyle name="Note 3 2 2 2 22 6" xfId="41359"/>
    <cellStyle name="Note 3 2 2 2 22 7" xfId="47812"/>
    <cellStyle name="Note 3 2 2 2 23" xfId="3553"/>
    <cellStyle name="Note 3 2 2 2 23 2" xfId="11342"/>
    <cellStyle name="Note 3 2 2 2 23 3" xfId="18628"/>
    <cellStyle name="Note 3 2 2 2 23 4" xfId="20045"/>
    <cellStyle name="Note 3 2 2 2 23 5" xfId="27507"/>
    <cellStyle name="Note 3 2 2 2 23 6" xfId="37960"/>
    <cellStyle name="Note 3 2 2 2 23 7" xfId="49337"/>
    <cellStyle name="Note 3 2 2 2 24" xfId="3213"/>
    <cellStyle name="Note 3 2 2 2 24 2" xfId="11010"/>
    <cellStyle name="Note 3 2 2 2 24 3" xfId="18350"/>
    <cellStyle name="Note 3 2 2 2 24 4" xfId="26592"/>
    <cellStyle name="Note 3 2 2 2 24 5" xfId="35414"/>
    <cellStyle name="Note 3 2 2 2 24 6" xfId="40985"/>
    <cellStyle name="Note 3 2 2 2 24 7" xfId="54261"/>
    <cellStyle name="Note 3 2 2 2 25" xfId="3700"/>
    <cellStyle name="Note 3 2 2 2 25 2" xfId="11485"/>
    <cellStyle name="Note 3 2 2 2 25 3" xfId="18758"/>
    <cellStyle name="Note 3 2 2 2 25 4" xfId="20339"/>
    <cellStyle name="Note 3 2 2 2 25 5" xfId="27736"/>
    <cellStyle name="Note 3 2 2 2 25 6" xfId="39499"/>
    <cellStyle name="Note 3 2 2 2 25 7" xfId="48124"/>
    <cellStyle name="Note 3 2 2 2 26" xfId="3830"/>
    <cellStyle name="Note 3 2 2 2 26 2" xfId="11612"/>
    <cellStyle name="Note 3 2 2 2 26 3" xfId="18869"/>
    <cellStyle name="Note 3 2 2 2 26 4" xfId="25290"/>
    <cellStyle name="Note 3 2 2 2 26 5" xfId="33702"/>
    <cellStyle name="Note 3 2 2 2 26 6" xfId="38890"/>
    <cellStyle name="Note 3 2 2 2 26 7" xfId="51403"/>
    <cellStyle name="Note 3 2 2 2 27" xfId="3948"/>
    <cellStyle name="Note 3 2 2 2 27 2" xfId="11728"/>
    <cellStyle name="Note 3 2 2 2 27 3" xfId="18978"/>
    <cellStyle name="Note 3 2 2 2 27 4" xfId="26359"/>
    <cellStyle name="Note 3 2 2 2 27 5" xfId="35091"/>
    <cellStyle name="Note 3 2 2 2 27 6" xfId="36819"/>
    <cellStyle name="Note 3 2 2 2 27 7" xfId="53755"/>
    <cellStyle name="Note 3 2 2 2 28" xfId="3141"/>
    <cellStyle name="Note 3 2 2 2 28 2" xfId="10946"/>
    <cellStyle name="Note 3 2 2 2 28 3" xfId="20279"/>
    <cellStyle name="Note 3 2 2 2 28 4" xfId="28374"/>
    <cellStyle name="Note 3 2 2 2 28 5" xfId="28362"/>
    <cellStyle name="Note 3 2 2 2 28 6" xfId="42409"/>
    <cellStyle name="Note 3 2 2 2 28 7" xfId="47728"/>
    <cellStyle name="Note 3 2 2 2 29" xfId="4145"/>
    <cellStyle name="Note 3 2 2 2 29 2" xfId="11904"/>
    <cellStyle name="Note 3 2 2 2 29 3" xfId="20855"/>
    <cellStyle name="Note 3 2 2 2 29 4" xfId="29042"/>
    <cellStyle name="Note 3 2 2 2 29 5" xfId="34566"/>
    <cellStyle name="Note 3 2 2 2 29 6" xfId="42707"/>
    <cellStyle name="Note 3 2 2 2 29 7" xfId="49966"/>
    <cellStyle name="Note 3 2 2 2 3" xfId="802"/>
    <cellStyle name="Note 3 2 2 2 3 2" xfId="8626"/>
    <cellStyle name="Note 3 2 2 2 3 3" xfId="16054"/>
    <cellStyle name="Note 3 2 2 2 3 4" xfId="19097"/>
    <cellStyle name="Note 3 2 2 2 3 5" xfId="28783"/>
    <cellStyle name="Note 3 2 2 2 3 6" xfId="36870"/>
    <cellStyle name="Note 3 2 2 2 3 7" xfId="49278"/>
    <cellStyle name="Note 3 2 2 2 30" xfId="3587"/>
    <cellStyle name="Note 3 2 2 2 30 2" xfId="20541"/>
    <cellStyle name="Note 3 2 2 2 30 3" xfId="28666"/>
    <cellStyle name="Note 3 2 2 2 30 4" xfId="35978"/>
    <cellStyle name="Note 3 2 2 2 30 5" xfId="42520"/>
    <cellStyle name="Note 3 2 2 2 30 6" xfId="53327"/>
    <cellStyle name="Note 3 2 2 2 31" xfId="4342"/>
    <cellStyle name="Note 3 2 2 2 31 2" xfId="12059"/>
    <cellStyle name="Note 3 2 2 2 31 3" xfId="21052"/>
    <cellStyle name="Note 3 2 2 2 31 4" xfId="29239"/>
    <cellStyle name="Note 3 2 2 2 31 5" xfId="34084"/>
    <cellStyle name="Note 3 2 2 2 31 6" xfId="42904"/>
    <cellStyle name="Note 3 2 2 2 31 7" xfId="48543"/>
    <cellStyle name="Note 3 2 2 2 32" xfId="4465"/>
    <cellStyle name="Note 3 2 2 2 32 2" xfId="12182"/>
    <cellStyle name="Note 3 2 2 2 32 3" xfId="21175"/>
    <cellStyle name="Note 3 2 2 2 32 4" xfId="29362"/>
    <cellStyle name="Note 3 2 2 2 32 5" xfId="26807"/>
    <cellStyle name="Note 3 2 2 2 32 6" xfId="43027"/>
    <cellStyle name="Note 3 2 2 2 32 7" xfId="48785"/>
    <cellStyle name="Note 3 2 2 2 33" xfId="4579"/>
    <cellStyle name="Note 3 2 2 2 33 2" xfId="12296"/>
    <cellStyle name="Note 3 2 2 2 33 3" xfId="21289"/>
    <cellStyle name="Note 3 2 2 2 33 4" xfId="29476"/>
    <cellStyle name="Note 3 2 2 2 33 5" xfId="28718"/>
    <cellStyle name="Note 3 2 2 2 33 6" xfId="43141"/>
    <cellStyle name="Note 3 2 2 2 33 7" xfId="47589"/>
    <cellStyle name="Note 3 2 2 2 34" xfId="4692"/>
    <cellStyle name="Note 3 2 2 2 34 2" xfId="12409"/>
    <cellStyle name="Note 3 2 2 2 34 3" xfId="21402"/>
    <cellStyle name="Note 3 2 2 2 34 4" xfId="29589"/>
    <cellStyle name="Note 3 2 2 2 34 5" xfId="35655"/>
    <cellStyle name="Note 3 2 2 2 34 6" xfId="43254"/>
    <cellStyle name="Note 3 2 2 2 34 7" xfId="51734"/>
    <cellStyle name="Note 3 2 2 2 35" xfId="4803"/>
    <cellStyle name="Note 3 2 2 2 35 2" xfId="12520"/>
    <cellStyle name="Note 3 2 2 2 35 3" xfId="21513"/>
    <cellStyle name="Note 3 2 2 2 35 4" xfId="29700"/>
    <cellStyle name="Note 3 2 2 2 35 5" xfId="35227"/>
    <cellStyle name="Note 3 2 2 2 35 6" xfId="43365"/>
    <cellStyle name="Note 3 2 2 2 35 7" xfId="51334"/>
    <cellStyle name="Note 3 2 2 2 36" xfId="4912"/>
    <cellStyle name="Note 3 2 2 2 36 2" xfId="12629"/>
    <cellStyle name="Note 3 2 2 2 36 3" xfId="21622"/>
    <cellStyle name="Note 3 2 2 2 36 4" xfId="29809"/>
    <cellStyle name="Note 3 2 2 2 36 5" xfId="28550"/>
    <cellStyle name="Note 3 2 2 2 36 6" xfId="43474"/>
    <cellStyle name="Note 3 2 2 2 36 7" xfId="47779"/>
    <cellStyle name="Note 3 2 2 2 37" xfId="5023"/>
    <cellStyle name="Note 3 2 2 2 37 2" xfId="12740"/>
    <cellStyle name="Note 3 2 2 2 37 3" xfId="21733"/>
    <cellStyle name="Note 3 2 2 2 37 4" xfId="29920"/>
    <cellStyle name="Note 3 2 2 2 37 5" xfId="35695"/>
    <cellStyle name="Note 3 2 2 2 37 6" xfId="43585"/>
    <cellStyle name="Note 3 2 2 2 37 7" xfId="51942"/>
    <cellStyle name="Note 3 2 2 2 38" xfId="5402"/>
    <cellStyle name="Note 3 2 2 2 38 2" xfId="13119"/>
    <cellStyle name="Note 3 2 2 2 38 3" xfId="22112"/>
    <cellStyle name="Note 3 2 2 2 38 4" xfId="30299"/>
    <cellStyle name="Note 3 2 2 2 38 5" xfId="26920"/>
    <cellStyle name="Note 3 2 2 2 38 6" xfId="43964"/>
    <cellStyle name="Note 3 2 2 2 38 7" xfId="51067"/>
    <cellStyle name="Note 3 2 2 2 39" xfId="5522"/>
    <cellStyle name="Note 3 2 2 2 39 2" xfId="13239"/>
    <cellStyle name="Note 3 2 2 2 39 3" xfId="22232"/>
    <cellStyle name="Note 3 2 2 2 39 4" xfId="30419"/>
    <cellStyle name="Note 3 2 2 2 39 5" xfId="34772"/>
    <cellStyle name="Note 3 2 2 2 39 6" xfId="44084"/>
    <cellStyle name="Note 3 2 2 2 39 7" xfId="47701"/>
    <cellStyle name="Note 3 2 2 2 4" xfId="913"/>
    <cellStyle name="Note 3 2 2 2 4 2" xfId="8737"/>
    <cellStyle name="Note 3 2 2 2 4 3" xfId="16165"/>
    <cellStyle name="Note 3 2 2 2 4 4" xfId="25874"/>
    <cellStyle name="Note 3 2 2 2 4 5" xfId="34463"/>
    <cellStyle name="Note 3 2 2 2 4 6" xfId="38123"/>
    <cellStyle name="Note 3 2 2 2 4 7" xfId="52723"/>
    <cellStyle name="Note 3 2 2 2 40" xfId="5646"/>
    <cellStyle name="Note 3 2 2 2 40 2" xfId="13363"/>
    <cellStyle name="Note 3 2 2 2 40 3" xfId="22356"/>
    <cellStyle name="Note 3 2 2 2 40 4" xfId="30543"/>
    <cellStyle name="Note 3 2 2 2 40 5" xfId="36235"/>
    <cellStyle name="Note 3 2 2 2 40 6" xfId="44208"/>
    <cellStyle name="Note 3 2 2 2 40 7" xfId="54527"/>
    <cellStyle name="Note 3 2 2 2 41" xfId="5762"/>
    <cellStyle name="Note 3 2 2 2 41 2" xfId="13479"/>
    <cellStyle name="Note 3 2 2 2 41 3" xfId="22472"/>
    <cellStyle name="Note 3 2 2 2 41 4" xfId="30659"/>
    <cellStyle name="Note 3 2 2 2 41 5" xfId="34683"/>
    <cellStyle name="Note 3 2 2 2 41 6" xfId="44324"/>
    <cellStyle name="Note 3 2 2 2 41 7" xfId="50867"/>
    <cellStyle name="Note 3 2 2 2 42" xfId="5878"/>
    <cellStyle name="Note 3 2 2 2 42 2" xfId="13595"/>
    <cellStyle name="Note 3 2 2 2 42 3" xfId="22588"/>
    <cellStyle name="Note 3 2 2 2 42 4" xfId="30775"/>
    <cellStyle name="Note 3 2 2 2 42 5" xfId="35721"/>
    <cellStyle name="Note 3 2 2 2 42 6" xfId="44440"/>
    <cellStyle name="Note 3 2 2 2 42 7" xfId="51496"/>
    <cellStyle name="Note 3 2 2 2 43" xfId="6007"/>
    <cellStyle name="Note 3 2 2 2 43 2" xfId="13724"/>
    <cellStyle name="Note 3 2 2 2 43 3" xfId="22717"/>
    <cellStyle name="Note 3 2 2 2 43 4" xfId="30904"/>
    <cellStyle name="Note 3 2 2 2 43 5" xfId="36172"/>
    <cellStyle name="Note 3 2 2 2 43 6" xfId="44569"/>
    <cellStyle name="Note 3 2 2 2 43 7" xfId="53711"/>
    <cellStyle name="Note 3 2 2 2 44" xfId="6103"/>
    <cellStyle name="Note 3 2 2 2 44 2" xfId="13820"/>
    <cellStyle name="Note 3 2 2 2 44 3" xfId="22813"/>
    <cellStyle name="Note 3 2 2 2 44 4" xfId="31000"/>
    <cellStyle name="Note 3 2 2 2 44 5" xfId="34748"/>
    <cellStyle name="Note 3 2 2 2 44 6" xfId="44665"/>
    <cellStyle name="Note 3 2 2 2 44 7" xfId="50882"/>
    <cellStyle name="Note 3 2 2 2 45" xfId="5215"/>
    <cellStyle name="Note 3 2 2 2 45 2" xfId="12932"/>
    <cellStyle name="Note 3 2 2 2 45 3" xfId="21925"/>
    <cellStyle name="Note 3 2 2 2 45 4" xfId="30112"/>
    <cellStyle name="Note 3 2 2 2 45 5" xfId="35675"/>
    <cellStyle name="Note 3 2 2 2 45 6" xfId="43777"/>
    <cellStyle name="Note 3 2 2 2 45 7" xfId="51801"/>
    <cellStyle name="Note 3 2 2 2 46" xfId="6263"/>
    <cellStyle name="Note 3 2 2 2 46 2" xfId="13980"/>
    <cellStyle name="Note 3 2 2 2 46 3" xfId="22973"/>
    <cellStyle name="Note 3 2 2 2 46 4" xfId="31160"/>
    <cellStyle name="Note 3 2 2 2 46 5" xfId="35238"/>
    <cellStyle name="Note 3 2 2 2 46 6" xfId="44825"/>
    <cellStyle name="Note 3 2 2 2 46 7" xfId="48857"/>
    <cellStyle name="Note 3 2 2 2 47" xfId="6379"/>
    <cellStyle name="Note 3 2 2 2 47 2" xfId="14096"/>
    <cellStyle name="Note 3 2 2 2 47 3" xfId="23089"/>
    <cellStyle name="Note 3 2 2 2 47 4" xfId="31276"/>
    <cellStyle name="Note 3 2 2 2 47 5" xfId="35803"/>
    <cellStyle name="Note 3 2 2 2 47 6" xfId="44941"/>
    <cellStyle name="Note 3 2 2 2 47 7" xfId="47658"/>
    <cellStyle name="Note 3 2 2 2 48" xfId="6490"/>
    <cellStyle name="Note 3 2 2 2 48 2" xfId="14207"/>
    <cellStyle name="Note 3 2 2 2 48 3" xfId="23200"/>
    <cellStyle name="Note 3 2 2 2 48 4" xfId="31387"/>
    <cellStyle name="Note 3 2 2 2 48 5" xfId="35374"/>
    <cellStyle name="Note 3 2 2 2 48 6" xfId="45052"/>
    <cellStyle name="Note 3 2 2 2 48 7" xfId="54284"/>
    <cellStyle name="Note 3 2 2 2 49" xfId="5180"/>
    <cellStyle name="Note 3 2 2 2 49 2" xfId="12897"/>
    <cellStyle name="Note 3 2 2 2 49 3" xfId="21890"/>
    <cellStyle name="Note 3 2 2 2 49 4" xfId="30077"/>
    <cellStyle name="Note 3 2 2 2 49 5" xfId="27803"/>
    <cellStyle name="Note 3 2 2 2 49 6" xfId="43742"/>
    <cellStyle name="Note 3 2 2 2 49 7" xfId="51379"/>
    <cellStyle name="Note 3 2 2 2 5" xfId="1379"/>
    <cellStyle name="Note 3 2 2 2 5 2" xfId="9202"/>
    <cellStyle name="Note 3 2 2 2 5 3" xfId="16630"/>
    <cellStyle name="Note 3 2 2 2 5 4" xfId="25661"/>
    <cellStyle name="Note 3 2 2 2 5 5" xfId="34188"/>
    <cellStyle name="Note 3 2 2 2 5 6" xfId="38562"/>
    <cellStyle name="Note 3 2 2 2 5 7" xfId="52224"/>
    <cellStyle name="Note 3 2 2 2 50" xfId="6636"/>
    <cellStyle name="Note 3 2 2 2 50 2" xfId="14353"/>
    <cellStyle name="Note 3 2 2 2 50 3" xfId="23346"/>
    <cellStyle name="Note 3 2 2 2 50 4" xfId="31533"/>
    <cellStyle name="Note 3 2 2 2 50 5" xfId="34455"/>
    <cellStyle name="Note 3 2 2 2 50 6" xfId="45198"/>
    <cellStyle name="Note 3 2 2 2 50 7" xfId="47819"/>
    <cellStyle name="Note 3 2 2 2 51" xfId="6748"/>
    <cellStyle name="Note 3 2 2 2 51 2" xfId="14465"/>
    <cellStyle name="Note 3 2 2 2 51 3" xfId="23458"/>
    <cellStyle name="Note 3 2 2 2 51 4" xfId="31645"/>
    <cellStyle name="Note 3 2 2 2 51 5" xfId="35159"/>
    <cellStyle name="Note 3 2 2 2 51 6" xfId="45310"/>
    <cellStyle name="Note 3 2 2 2 51 7" xfId="49615"/>
    <cellStyle name="Note 3 2 2 2 52" xfId="6863"/>
    <cellStyle name="Note 3 2 2 2 52 2" xfId="14580"/>
    <cellStyle name="Note 3 2 2 2 52 3" xfId="23573"/>
    <cellStyle name="Note 3 2 2 2 52 4" xfId="31760"/>
    <cellStyle name="Note 3 2 2 2 52 5" xfId="36234"/>
    <cellStyle name="Note 3 2 2 2 52 6" xfId="45425"/>
    <cellStyle name="Note 3 2 2 2 52 7" xfId="47071"/>
    <cellStyle name="Note 3 2 2 2 53" xfId="6976"/>
    <cellStyle name="Note 3 2 2 2 53 2" xfId="14693"/>
    <cellStyle name="Note 3 2 2 2 53 3" xfId="23686"/>
    <cellStyle name="Note 3 2 2 2 53 4" xfId="31873"/>
    <cellStyle name="Note 3 2 2 2 53 5" xfId="27889"/>
    <cellStyle name="Note 3 2 2 2 53 6" xfId="45538"/>
    <cellStyle name="Note 3 2 2 2 53 7" xfId="54519"/>
    <cellStyle name="Note 3 2 2 2 54" xfId="7087"/>
    <cellStyle name="Note 3 2 2 2 54 2" xfId="14804"/>
    <cellStyle name="Note 3 2 2 2 54 3" xfId="23797"/>
    <cellStyle name="Note 3 2 2 2 54 4" xfId="31984"/>
    <cellStyle name="Note 3 2 2 2 54 5" xfId="34862"/>
    <cellStyle name="Note 3 2 2 2 54 6" xfId="45649"/>
    <cellStyle name="Note 3 2 2 2 54 7" xfId="50512"/>
    <cellStyle name="Note 3 2 2 2 55" xfId="7192"/>
    <cellStyle name="Note 3 2 2 2 55 2" xfId="14909"/>
    <cellStyle name="Note 3 2 2 2 55 3" xfId="23902"/>
    <cellStyle name="Note 3 2 2 2 55 4" xfId="32089"/>
    <cellStyle name="Note 3 2 2 2 55 5" xfId="35883"/>
    <cellStyle name="Note 3 2 2 2 55 6" xfId="45754"/>
    <cellStyle name="Note 3 2 2 2 55 7" xfId="52287"/>
    <cellStyle name="Note 3 2 2 2 56" xfId="7343"/>
    <cellStyle name="Note 3 2 2 2 56 2" xfId="15060"/>
    <cellStyle name="Note 3 2 2 2 56 3" xfId="24053"/>
    <cellStyle name="Note 3 2 2 2 56 4" xfId="32240"/>
    <cellStyle name="Note 3 2 2 2 56 5" xfId="35867"/>
    <cellStyle name="Note 3 2 2 2 56 6" xfId="45905"/>
    <cellStyle name="Note 3 2 2 2 56 7" xfId="47673"/>
    <cellStyle name="Note 3 2 2 2 57" xfId="7484"/>
    <cellStyle name="Note 3 2 2 2 57 2" xfId="15201"/>
    <cellStyle name="Note 3 2 2 2 57 3" xfId="24194"/>
    <cellStyle name="Note 3 2 2 2 57 4" xfId="32381"/>
    <cellStyle name="Note 3 2 2 2 57 5" xfId="35838"/>
    <cellStyle name="Note 3 2 2 2 57 6" xfId="46046"/>
    <cellStyle name="Note 3 2 2 2 57 7" xfId="52127"/>
    <cellStyle name="Note 3 2 2 2 58" xfId="7605"/>
    <cellStyle name="Note 3 2 2 2 58 2" xfId="15322"/>
    <cellStyle name="Note 3 2 2 2 58 3" xfId="24315"/>
    <cellStyle name="Note 3 2 2 2 58 4" xfId="32502"/>
    <cellStyle name="Note 3 2 2 2 58 5" xfId="33921"/>
    <cellStyle name="Note 3 2 2 2 58 6" xfId="46167"/>
    <cellStyle name="Note 3 2 2 2 58 7" xfId="47863"/>
    <cellStyle name="Note 3 2 2 2 59" xfId="7881"/>
    <cellStyle name="Note 3 2 2 2 59 2" xfId="15598"/>
    <cellStyle name="Note 3 2 2 2 59 3" xfId="24585"/>
    <cellStyle name="Note 3 2 2 2 59 4" xfId="32778"/>
    <cellStyle name="Note 3 2 2 2 59 5" xfId="35833"/>
    <cellStyle name="Note 3 2 2 2 59 6" xfId="46443"/>
    <cellStyle name="Note 3 2 2 2 59 7" xfId="51831"/>
    <cellStyle name="Note 3 2 2 2 6" xfId="1502"/>
    <cellStyle name="Note 3 2 2 2 6 2" xfId="9325"/>
    <cellStyle name="Note 3 2 2 2 6 3" xfId="16753"/>
    <cellStyle name="Note 3 2 2 2 6 4" xfId="25644"/>
    <cellStyle name="Note 3 2 2 2 6 5" xfId="34165"/>
    <cellStyle name="Note 3 2 2 2 6 6" xfId="41041"/>
    <cellStyle name="Note 3 2 2 2 6 7" xfId="52192"/>
    <cellStyle name="Note 3 2 2 2 60" xfId="7773"/>
    <cellStyle name="Note 3 2 2 2 60 2" xfId="15490"/>
    <cellStyle name="Note 3 2 2 2 60 3" xfId="24479"/>
    <cellStyle name="Note 3 2 2 2 60 4" xfId="32670"/>
    <cellStyle name="Note 3 2 2 2 60 5" xfId="28111"/>
    <cellStyle name="Note 3 2 2 2 60 6" xfId="46335"/>
    <cellStyle name="Note 3 2 2 2 60 7" xfId="49789"/>
    <cellStyle name="Note 3 2 2 2 61" xfId="7986"/>
    <cellStyle name="Note 3 2 2 2 61 2" xfId="15703"/>
    <cellStyle name="Note 3 2 2 2 61 3" xfId="24688"/>
    <cellStyle name="Note 3 2 2 2 61 4" xfId="32883"/>
    <cellStyle name="Note 3 2 2 2 61 5" xfId="35722"/>
    <cellStyle name="Note 3 2 2 2 61 6" xfId="46548"/>
    <cellStyle name="Note 3 2 2 2 61 7" xfId="51301"/>
    <cellStyle name="Note 3 2 2 2 62" xfId="7726"/>
    <cellStyle name="Note 3 2 2 2 62 2" xfId="15443"/>
    <cellStyle name="Note 3 2 2 2 62 3" xfId="24434"/>
    <cellStyle name="Note 3 2 2 2 62 4" xfId="32623"/>
    <cellStyle name="Note 3 2 2 2 62 5" xfId="35284"/>
    <cellStyle name="Note 3 2 2 2 62 6" xfId="46288"/>
    <cellStyle name="Note 3 2 2 2 62 7" xfId="49180"/>
    <cellStyle name="Note 3 2 2 2 63" xfId="8157"/>
    <cellStyle name="Note 3 2 2 2 63 2" xfId="15874"/>
    <cellStyle name="Note 3 2 2 2 63 3" xfId="33054"/>
    <cellStyle name="Note 3 2 2 2 63 4" xfId="34383"/>
    <cellStyle name="Note 3 2 2 2 63 5" xfId="46719"/>
    <cellStyle name="Note 3 2 2 2 63 6" xfId="47808"/>
    <cellStyle name="Note 3 2 2 2 64" xfId="20634"/>
    <cellStyle name="Note 3 2 2 2 65" xfId="28140"/>
    <cellStyle name="Note 3 2 2 2 66" xfId="36306"/>
    <cellStyle name="Note 3 2 2 2 67" xfId="48325"/>
    <cellStyle name="Note 3 2 2 2 7" xfId="979"/>
    <cellStyle name="Note 3 2 2 2 7 2" xfId="8803"/>
    <cellStyle name="Note 3 2 2 2 7 3" xfId="16231"/>
    <cellStyle name="Note 3 2 2 2 7 4" xfId="26001"/>
    <cellStyle name="Note 3 2 2 2 7 5" xfId="34625"/>
    <cellStyle name="Note 3 2 2 2 7 6" xfId="36686"/>
    <cellStyle name="Note 3 2 2 2 7 7" xfId="52999"/>
    <cellStyle name="Note 3 2 2 2 8" xfId="1739"/>
    <cellStyle name="Note 3 2 2 2 8 2" xfId="9562"/>
    <cellStyle name="Note 3 2 2 2 8 3" xfId="16990"/>
    <cellStyle name="Note 3 2 2 2 8 4" xfId="20644"/>
    <cellStyle name="Note 3 2 2 2 8 5" xfId="27663"/>
    <cellStyle name="Note 3 2 2 2 8 6" xfId="36781"/>
    <cellStyle name="Note 3 2 2 2 8 7" xfId="50287"/>
    <cellStyle name="Note 3 2 2 2 9" xfId="1873"/>
    <cellStyle name="Note 3 2 2 2 9 2" xfId="9696"/>
    <cellStyle name="Note 3 2 2 2 9 3" xfId="17124"/>
    <cellStyle name="Note 3 2 2 2 9 4" xfId="19394"/>
    <cellStyle name="Note 3 2 2 2 9 5" xfId="27704"/>
    <cellStyle name="Note 3 2 2 2 9 6" xfId="40058"/>
    <cellStyle name="Note 3 2 2 2 9 7" xfId="47522"/>
    <cellStyle name="Note 3 2 2 20" xfId="1283"/>
    <cellStyle name="Note 3 2 2 20 2" xfId="9106"/>
    <cellStyle name="Note 3 2 2 20 3" xfId="16534"/>
    <cellStyle name="Note 3 2 2 20 4" xfId="20094"/>
    <cellStyle name="Note 3 2 2 20 5" xfId="28454"/>
    <cellStyle name="Note 3 2 2 20 6" xfId="39953"/>
    <cellStyle name="Note 3 2 2 20 7" xfId="46794"/>
    <cellStyle name="Note 3 2 2 21" xfId="2560"/>
    <cellStyle name="Note 3 2 2 21 2" xfId="10383"/>
    <cellStyle name="Note 3 2 2 21 3" xfId="17811"/>
    <cellStyle name="Note 3 2 2 21 4" xfId="26354"/>
    <cellStyle name="Note 3 2 2 21 5" xfId="35083"/>
    <cellStyle name="Note 3 2 2 21 6" xfId="39068"/>
    <cellStyle name="Note 3 2 2 21 7" xfId="53742"/>
    <cellStyle name="Note 3 2 2 22" xfId="1798"/>
    <cellStyle name="Note 3 2 2 22 2" xfId="9621"/>
    <cellStyle name="Note 3 2 2 22 3" xfId="17049"/>
    <cellStyle name="Note 3 2 2 22 4" xfId="25229"/>
    <cellStyle name="Note 3 2 2 22 5" xfId="33631"/>
    <cellStyle name="Note 3 2 2 22 6" xfId="41162"/>
    <cellStyle name="Note 3 2 2 22 7" xfId="51283"/>
    <cellStyle name="Note 3 2 2 23" xfId="2706"/>
    <cellStyle name="Note 3 2 2 23 2" xfId="10529"/>
    <cellStyle name="Note 3 2 2 23 3" xfId="17957"/>
    <cellStyle name="Note 3 2 2 23 4" xfId="25750"/>
    <cellStyle name="Note 3 2 2 23 5" xfId="34301"/>
    <cellStyle name="Note 3 2 2 23 6" xfId="38995"/>
    <cellStyle name="Note 3 2 2 23 7" xfId="52429"/>
    <cellStyle name="Note 3 2 2 24" xfId="2693"/>
    <cellStyle name="Note 3 2 2 24 2" xfId="10516"/>
    <cellStyle name="Note 3 2 2 24 3" xfId="17944"/>
    <cellStyle name="Note 3 2 2 24 4" xfId="26340"/>
    <cellStyle name="Note 3 2 2 24 5" xfId="35066"/>
    <cellStyle name="Note 3 2 2 24 6" xfId="40516"/>
    <cellStyle name="Note 3 2 2 24 7" xfId="53719"/>
    <cellStyle name="Note 3 2 2 25" xfId="2863"/>
    <cellStyle name="Note 3 2 2 25 2" xfId="10686"/>
    <cellStyle name="Note 3 2 2 25 3" xfId="18114"/>
    <cellStyle name="Note 3 2 2 25 4" xfId="25784"/>
    <cellStyle name="Note 3 2 2 25 5" xfId="34348"/>
    <cellStyle name="Note 3 2 2 25 6" xfId="38107"/>
    <cellStyle name="Note 3 2 2 25 7" xfId="52517"/>
    <cellStyle name="Note 3 2 2 26" xfId="3121"/>
    <cellStyle name="Note 3 2 2 26 2" xfId="10926"/>
    <cellStyle name="Note 3 2 2 26 3" xfId="18304"/>
    <cellStyle name="Note 3 2 2 26 4" xfId="20422"/>
    <cellStyle name="Note 3 2 2 26 5" xfId="27584"/>
    <cellStyle name="Note 3 2 2 26 6" xfId="41676"/>
    <cellStyle name="Note 3 2 2 26 7" xfId="48951"/>
    <cellStyle name="Note 3 2 2 27" xfId="3347"/>
    <cellStyle name="Note 3 2 2 27 2" xfId="11140"/>
    <cellStyle name="Note 3 2 2 27 3" xfId="18467"/>
    <cellStyle name="Note 3 2 2 27 4" xfId="26616"/>
    <cellStyle name="Note 3 2 2 27 5" xfId="35446"/>
    <cellStyle name="Note 3 2 2 27 6" xfId="42286"/>
    <cellStyle name="Note 3 2 2 27 7" xfId="54319"/>
    <cellStyle name="Note 3 2 2 28" xfId="3147"/>
    <cellStyle name="Note 3 2 2 28 2" xfId="10951"/>
    <cellStyle name="Note 3 2 2 28 3" xfId="18323"/>
    <cellStyle name="Note 3 2 2 28 4" xfId="20677"/>
    <cellStyle name="Note 3 2 2 28 5" xfId="27508"/>
    <cellStyle name="Note 3 2 2 28 6" xfId="40413"/>
    <cellStyle name="Note 3 2 2 28 7" xfId="48418"/>
    <cellStyle name="Note 3 2 2 29" xfId="3227"/>
    <cellStyle name="Note 3 2 2 29 2" xfId="11023"/>
    <cellStyle name="Note 3 2 2 29 3" xfId="18360"/>
    <cellStyle name="Note 3 2 2 29 4" xfId="19532"/>
    <cellStyle name="Note 3 2 2 29 5" xfId="27524"/>
    <cellStyle name="Note 3 2 2 29 6" xfId="36512"/>
    <cellStyle name="Note 3 2 2 29 7" xfId="48097"/>
    <cellStyle name="Note 3 2 2 3" xfId="557"/>
    <cellStyle name="Note 3 2 2 3 10" xfId="2004"/>
    <cellStyle name="Note 3 2 2 3 10 2" xfId="9827"/>
    <cellStyle name="Note 3 2 2 3 10 3" xfId="17255"/>
    <cellStyle name="Note 3 2 2 3 10 4" xfId="25761"/>
    <cellStyle name="Note 3 2 2 3 10 5" xfId="34315"/>
    <cellStyle name="Note 3 2 2 3 10 6" xfId="36645"/>
    <cellStyle name="Note 3 2 2 3 10 7" xfId="52456"/>
    <cellStyle name="Note 3 2 2 3 11" xfId="2121"/>
    <cellStyle name="Note 3 2 2 3 11 2" xfId="9944"/>
    <cellStyle name="Note 3 2 2 3 11 3" xfId="17372"/>
    <cellStyle name="Note 3 2 2 3 11 4" xfId="26012"/>
    <cellStyle name="Note 3 2 2 3 11 5" xfId="34639"/>
    <cellStyle name="Note 3 2 2 3 11 6" xfId="38072"/>
    <cellStyle name="Note 3 2 2 3 11 7" xfId="53019"/>
    <cellStyle name="Note 3 2 2 3 12" xfId="2235"/>
    <cellStyle name="Note 3 2 2 3 12 2" xfId="10058"/>
    <cellStyle name="Note 3 2 2 3 12 3" xfId="17486"/>
    <cellStyle name="Note 3 2 2 3 12 4" xfId="19330"/>
    <cellStyle name="Note 3 2 2 3 12 5" xfId="27500"/>
    <cellStyle name="Note 3 2 2 3 12 6" xfId="41131"/>
    <cellStyle name="Note 3 2 2 3 12 7" xfId="49298"/>
    <cellStyle name="Note 3 2 2 3 13" xfId="1012"/>
    <cellStyle name="Note 3 2 2 3 13 2" xfId="8836"/>
    <cellStyle name="Note 3 2 2 3 13 3" xfId="16264"/>
    <cellStyle name="Note 3 2 2 3 13 4" xfId="24808"/>
    <cellStyle name="Note 3 2 2 3 13 5" xfId="27604"/>
    <cellStyle name="Note 3 2 2 3 13 6" xfId="36923"/>
    <cellStyle name="Note 3 2 2 3 13 7" xfId="49348"/>
    <cellStyle name="Note 3 2 2 3 14" xfId="2328"/>
    <cellStyle name="Note 3 2 2 3 14 2" xfId="10151"/>
    <cellStyle name="Note 3 2 2 3 14 3" xfId="17579"/>
    <cellStyle name="Note 3 2 2 3 14 4" xfId="26534"/>
    <cellStyle name="Note 3 2 2 3 14 5" xfId="35334"/>
    <cellStyle name="Note 3 2 2 3 14 6" xfId="40691"/>
    <cellStyle name="Note 3 2 2 3 14 7" xfId="54141"/>
    <cellStyle name="Note 3 2 2 3 15" xfId="2532"/>
    <cellStyle name="Note 3 2 2 3 15 2" xfId="10355"/>
    <cellStyle name="Note 3 2 2 3 15 3" xfId="17783"/>
    <cellStyle name="Note 3 2 2 3 15 4" xfId="19929"/>
    <cellStyle name="Note 3 2 2 3 15 5" xfId="27205"/>
    <cellStyle name="Note 3 2 2 3 15 6" xfId="41916"/>
    <cellStyle name="Note 3 2 2 3 15 7" xfId="47843"/>
    <cellStyle name="Note 3 2 2 3 16" xfId="2646"/>
    <cellStyle name="Note 3 2 2 3 16 2" xfId="10469"/>
    <cellStyle name="Note 3 2 2 3 16 3" xfId="17897"/>
    <cellStyle name="Note 3 2 2 3 16 4" xfId="25257"/>
    <cellStyle name="Note 3 2 2 3 16 5" xfId="33663"/>
    <cellStyle name="Note 3 2 2 3 16 6" xfId="38053"/>
    <cellStyle name="Note 3 2 2 3 16 7" xfId="51337"/>
    <cellStyle name="Note 3 2 2 3 17" xfId="1048"/>
    <cellStyle name="Note 3 2 2 3 17 2" xfId="8872"/>
    <cellStyle name="Note 3 2 2 3 17 3" xfId="16300"/>
    <cellStyle name="Note 3 2 2 3 17 4" xfId="26047"/>
    <cellStyle name="Note 3 2 2 3 17 5" xfId="34687"/>
    <cellStyle name="Note 3 2 2 3 17 6" xfId="38119"/>
    <cellStyle name="Note 3 2 2 3 17 7" xfId="53100"/>
    <cellStyle name="Note 3 2 2 3 18" xfId="2393"/>
    <cellStyle name="Note 3 2 2 3 18 2" xfId="10216"/>
    <cellStyle name="Note 3 2 2 3 18 3" xfId="17644"/>
    <cellStyle name="Note 3 2 2 3 18 4" xfId="20069"/>
    <cellStyle name="Note 3 2 2 3 18 5" xfId="27318"/>
    <cellStyle name="Note 3 2 2 3 18 6" xfId="40553"/>
    <cellStyle name="Note 3 2 2 3 18 7" xfId="48555"/>
    <cellStyle name="Note 3 2 2 3 19" xfId="2837"/>
    <cellStyle name="Note 3 2 2 3 19 2" xfId="10660"/>
    <cellStyle name="Note 3 2 2 3 19 3" xfId="18088"/>
    <cellStyle name="Note 3 2 2 3 19 4" xfId="25790"/>
    <cellStyle name="Note 3 2 2 3 19 5" xfId="34360"/>
    <cellStyle name="Note 3 2 2 3 19 6" xfId="39416"/>
    <cellStyle name="Note 3 2 2 3 19 7" xfId="52535"/>
    <cellStyle name="Note 3 2 2 3 2" xfId="705"/>
    <cellStyle name="Note 3 2 2 3 2 2" xfId="8529"/>
    <cellStyle name="Note 3 2 2 3 2 3" xfId="15957"/>
    <cellStyle name="Note 3 2 2 3 2 4" xfId="19941"/>
    <cellStyle name="Note 3 2 2 3 2 5" xfId="26998"/>
    <cellStyle name="Note 3 2 2 3 2 6" xfId="37259"/>
    <cellStyle name="Note 3 2 2 3 2 7" xfId="48018"/>
    <cellStyle name="Note 3 2 2 3 20" xfId="2944"/>
    <cellStyle name="Note 3 2 2 3 20 2" xfId="10767"/>
    <cellStyle name="Note 3 2 2 3 20 3" xfId="18195"/>
    <cellStyle name="Note 3 2 2 3 20 4" xfId="25352"/>
    <cellStyle name="Note 3 2 2 3 20 5" xfId="33787"/>
    <cellStyle name="Note 3 2 2 3 20 6" xfId="39976"/>
    <cellStyle name="Note 3 2 2 3 20 7" xfId="51538"/>
    <cellStyle name="Note 3 2 2 3 21" xfId="3321"/>
    <cellStyle name="Note 3 2 2 3 21 2" xfId="11114"/>
    <cellStyle name="Note 3 2 2 3 21 3" xfId="18442"/>
    <cellStyle name="Note 3 2 2 3 21 4" xfId="19031"/>
    <cellStyle name="Note 3 2 2 3 21 5" xfId="28340"/>
    <cellStyle name="Note 3 2 2 3 21 6" xfId="37616"/>
    <cellStyle name="Note 3 2 2 3 21 7" xfId="49879"/>
    <cellStyle name="Note 3 2 2 3 22" xfId="3440"/>
    <cellStyle name="Note 3 2 2 3 22 2" xfId="11231"/>
    <cellStyle name="Note 3 2 2 3 22 3" xfId="18553"/>
    <cellStyle name="Note 3 2 2 3 22 4" xfId="26235"/>
    <cellStyle name="Note 3 2 2 3 22 5" xfId="34923"/>
    <cellStyle name="Note 3 2 2 3 22 6" xfId="39555"/>
    <cellStyle name="Note 3 2 2 3 22 7" xfId="53493"/>
    <cellStyle name="Note 3 2 2 3 23" xfId="3564"/>
    <cellStyle name="Note 3 2 2 3 23 2" xfId="11353"/>
    <cellStyle name="Note 3 2 2 3 23 3" xfId="18636"/>
    <cellStyle name="Note 3 2 2 3 23 4" xfId="20632"/>
    <cellStyle name="Note 3 2 2 3 23 5" xfId="28461"/>
    <cellStyle name="Note 3 2 2 3 23 6" xfId="37246"/>
    <cellStyle name="Note 3 2 2 3 23 7" xfId="50161"/>
    <cellStyle name="Note 3 2 2 3 24" xfId="3600"/>
    <cellStyle name="Note 3 2 2 3 24 2" xfId="11386"/>
    <cellStyle name="Note 3 2 2 3 24 3" xfId="18660"/>
    <cellStyle name="Note 3 2 2 3 24 4" xfId="25641"/>
    <cellStyle name="Note 3 2 2 3 24 5" xfId="34160"/>
    <cellStyle name="Note 3 2 2 3 24 6" xfId="39213"/>
    <cellStyle name="Note 3 2 2 3 24 7" xfId="52186"/>
    <cellStyle name="Note 3 2 2 3 25" xfId="3713"/>
    <cellStyle name="Note 3 2 2 3 25 2" xfId="11498"/>
    <cellStyle name="Note 3 2 2 3 25 3" xfId="18770"/>
    <cellStyle name="Note 3 2 2 3 25 4" xfId="19544"/>
    <cellStyle name="Note 3 2 2 3 25 5" xfId="27851"/>
    <cellStyle name="Note 3 2 2 3 25 6" xfId="42202"/>
    <cellStyle name="Note 3 2 2 3 25 7" xfId="48201"/>
    <cellStyle name="Note 3 2 2 3 26" xfId="3842"/>
    <cellStyle name="Note 3 2 2 3 26 2" xfId="11624"/>
    <cellStyle name="Note 3 2 2 3 26 3" xfId="18880"/>
    <cellStyle name="Note 3 2 2 3 26 4" xfId="20663"/>
    <cellStyle name="Note 3 2 2 3 26 5" xfId="27395"/>
    <cellStyle name="Note 3 2 2 3 26 6" xfId="37985"/>
    <cellStyle name="Note 3 2 2 3 26 7" xfId="50255"/>
    <cellStyle name="Note 3 2 2 3 27" xfId="3961"/>
    <cellStyle name="Note 3 2 2 3 27 2" xfId="11740"/>
    <cellStyle name="Note 3 2 2 3 27 3" xfId="18989"/>
    <cellStyle name="Note 3 2 2 3 27 4" xfId="26400"/>
    <cellStyle name="Note 3 2 2 3 27 5" xfId="35152"/>
    <cellStyle name="Note 3 2 2 3 27 6" xfId="40641"/>
    <cellStyle name="Note 3 2 2 3 27 7" xfId="53851"/>
    <cellStyle name="Note 3 2 2 3 28" xfId="3057"/>
    <cellStyle name="Note 3 2 2 3 28 2" xfId="10867"/>
    <cellStyle name="Note 3 2 2 3 28 3" xfId="20223"/>
    <cellStyle name="Note 3 2 2 3 28 4" xfId="28315"/>
    <cellStyle name="Note 3 2 2 3 28 5" xfId="27539"/>
    <cellStyle name="Note 3 2 2 3 28 6" xfId="42380"/>
    <cellStyle name="Note 3 2 2 3 28 7" xfId="48945"/>
    <cellStyle name="Note 3 2 2 3 29" xfId="4157"/>
    <cellStyle name="Note 3 2 2 3 29 2" xfId="11916"/>
    <cellStyle name="Note 3 2 2 3 29 3" xfId="20867"/>
    <cellStyle name="Note 3 2 2 3 29 4" xfId="29054"/>
    <cellStyle name="Note 3 2 2 3 29 5" xfId="34058"/>
    <cellStyle name="Note 3 2 2 3 29 6" xfId="42719"/>
    <cellStyle name="Note 3 2 2 3 29 7" xfId="48706"/>
    <cellStyle name="Note 3 2 2 3 3" xfId="814"/>
    <cellStyle name="Note 3 2 2 3 3 2" xfId="8638"/>
    <cellStyle name="Note 3 2 2 3 3 3" xfId="16066"/>
    <cellStyle name="Note 3 2 2 3 3 4" xfId="20673"/>
    <cellStyle name="Note 3 2 2 3 3 5" xfId="27389"/>
    <cellStyle name="Note 3 2 2 3 3 6" xfId="37643"/>
    <cellStyle name="Note 3 2 2 3 3 7" xfId="48390"/>
    <cellStyle name="Note 3 2 2 3 30" xfId="4250"/>
    <cellStyle name="Note 3 2 2 3 30 2" xfId="20960"/>
    <cellStyle name="Note 3 2 2 3 30 3" xfId="29147"/>
    <cellStyle name="Note 3 2 2 3 30 4" xfId="35531"/>
    <cellStyle name="Note 3 2 2 3 30 5" xfId="42812"/>
    <cellStyle name="Note 3 2 2 3 30 6" xfId="48189"/>
    <cellStyle name="Note 3 2 2 3 31" xfId="4355"/>
    <cellStyle name="Note 3 2 2 3 31 2" xfId="12072"/>
    <cellStyle name="Note 3 2 2 3 31 3" xfId="21065"/>
    <cellStyle name="Note 3 2 2 3 31 4" xfId="29252"/>
    <cellStyle name="Note 3 2 2 3 31 5" xfId="36009"/>
    <cellStyle name="Note 3 2 2 3 31 6" xfId="42917"/>
    <cellStyle name="Note 3 2 2 3 31 7" xfId="53466"/>
    <cellStyle name="Note 3 2 2 3 32" xfId="4477"/>
    <cellStyle name="Note 3 2 2 3 32 2" xfId="12194"/>
    <cellStyle name="Note 3 2 2 3 32 3" xfId="21187"/>
    <cellStyle name="Note 3 2 2 3 32 4" xfId="29374"/>
    <cellStyle name="Note 3 2 2 3 32 5" xfId="36104"/>
    <cellStyle name="Note 3 2 2 3 32 6" xfId="43039"/>
    <cellStyle name="Note 3 2 2 3 32 7" xfId="53921"/>
    <cellStyle name="Note 3 2 2 3 33" xfId="4591"/>
    <cellStyle name="Note 3 2 2 3 33 2" xfId="12308"/>
    <cellStyle name="Note 3 2 2 3 33 3" xfId="21301"/>
    <cellStyle name="Note 3 2 2 3 33 4" xfId="29488"/>
    <cellStyle name="Note 3 2 2 3 33 5" xfId="34974"/>
    <cellStyle name="Note 3 2 2 3 33 6" xfId="43153"/>
    <cellStyle name="Note 3 2 2 3 33 7" xfId="50649"/>
    <cellStyle name="Note 3 2 2 3 34" xfId="4704"/>
    <cellStyle name="Note 3 2 2 3 34 2" xfId="12421"/>
    <cellStyle name="Note 3 2 2 3 34 3" xfId="21414"/>
    <cellStyle name="Note 3 2 2 3 34 4" xfId="29601"/>
    <cellStyle name="Note 3 2 2 3 34 5" xfId="36167"/>
    <cellStyle name="Note 3 2 2 3 34 6" xfId="43266"/>
    <cellStyle name="Note 3 2 2 3 34 7" xfId="54223"/>
    <cellStyle name="Note 3 2 2 3 35" xfId="4814"/>
    <cellStyle name="Note 3 2 2 3 35 2" xfId="12531"/>
    <cellStyle name="Note 3 2 2 3 35 3" xfId="21524"/>
    <cellStyle name="Note 3 2 2 3 35 4" xfId="29711"/>
    <cellStyle name="Note 3 2 2 3 35 5" xfId="34913"/>
    <cellStyle name="Note 3 2 2 3 35 6" xfId="43376"/>
    <cellStyle name="Note 3 2 2 3 35 7" xfId="50292"/>
    <cellStyle name="Note 3 2 2 3 36" xfId="4924"/>
    <cellStyle name="Note 3 2 2 3 36 2" xfId="12641"/>
    <cellStyle name="Note 3 2 2 3 36 3" xfId="21634"/>
    <cellStyle name="Note 3 2 2 3 36 4" xfId="29821"/>
    <cellStyle name="Note 3 2 2 3 36 5" xfId="28795"/>
    <cellStyle name="Note 3 2 2 3 36 6" xfId="43486"/>
    <cellStyle name="Note 3 2 2 3 36 7" xfId="49596"/>
    <cellStyle name="Note 3 2 2 3 37" xfId="5034"/>
    <cellStyle name="Note 3 2 2 3 37 2" xfId="12751"/>
    <cellStyle name="Note 3 2 2 3 37 3" xfId="21744"/>
    <cellStyle name="Note 3 2 2 3 37 4" xfId="29931"/>
    <cellStyle name="Note 3 2 2 3 37 5" xfId="33488"/>
    <cellStyle name="Note 3 2 2 3 37 6" xfId="43596"/>
    <cellStyle name="Note 3 2 2 3 37 7" xfId="50643"/>
    <cellStyle name="Note 3 2 2 3 38" xfId="5414"/>
    <cellStyle name="Note 3 2 2 3 38 2" xfId="13131"/>
    <cellStyle name="Note 3 2 2 3 38 3" xfId="22124"/>
    <cellStyle name="Note 3 2 2 3 38 4" xfId="30311"/>
    <cellStyle name="Note 3 2 2 3 38 5" xfId="33203"/>
    <cellStyle name="Note 3 2 2 3 38 6" xfId="43976"/>
    <cellStyle name="Note 3 2 2 3 38 7" xfId="49984"/>
    <cellStyle name="Note 3 2 2 3 39" xfId="5534"/>
    <cellStyle name="Note 3 2 2 3 39 2" xfId="13251"/>
    <cellStyle name="Note 3 2 2 3 39 3" xfId="22244"/>
    <cellStyle name="Note 3 2 2 3 39 4" xfId="30431"/>
    <cellStyle name="Note 3 2 2 3 39 5" xfId="33947"/>
    <cellStyle name="Note 3 2 2 3 39 6" xfId="44096"/>
    <cellStyle name="Note 3 2 2 3 39 7" xfId="46908"/>
    <cellStyle name="Note 3 2 2 3 4" xfId="924"/>
    <cellStyle name="Note 3 2 2 3 4 2" xfId="8748"/>
    <cellStyle name="Note 3 2 2 3 4 3" xfId="16176"/>
    <cellStyle name="Note 3 2 2 3 4 4" xfId="25263"/>
    <cellStyle name="Note 3 2 2 3 4 5" xfId="33670"/>
    <cellStyle name="Note 3 2 2 3 4 6" xfId="36728"/>
    <cellStyle name="Note 3 2 2 3 4 7" xfId="51348"/>
    <cellStyle name="Note 3 2 2 3 40" xfId="5658"/>
    <cellStyle name="Note 3 2 2 3 40 2" xfId="13375"/>
    <cellStyle name="Note 3 2 2 3 40 3" xfId="22368"/>
    <cellStyle name="Note 3 2 2 3 40 4" xfId="30555"/>
    <cellStyle name="Note 3 2 2 3 40 5" xfId="34514"/>
    <cellStyle name="Note 3 2 2 3 40 6" xfId="44220"/>
    <cellStyle name="Note 3 2 2 3 40 7" xfId="47106"/>
    <cellStyle name="Note 3 2 2 3 41" xfId="5774"/>
    <cellStyle name="Note 3 2 2 3 41 2" xfId="13491"/>
    <cellStyle name="Note 3 2 2 3 41 3" xfId="22484"/>
    <cellStyle name="Note 3 2 2 3 41 4" xfId="30671"/>
    <cellStyle name="Note 3 2 2 3 41 5" xfId="34591"/>
    <cellStyle name="Note 3 2 2 3 41 6" xfId="44336"/>
    <cellStyle name="Note 3 2 2 3 41 7" xfId="47411"/>
    <cellStyle name="Note 3 2 2 3 42" xfId="5891"/>
    <cellStyle name="Note 3 2 2 3 42 2" xfId="13608"/>
    <cellStyle name="Note 3 2 2 3 42 3" xfId="22601"/>
    <cellStyle name="Note 3 2 2 3 42 4" xfId="30788"/>
    <cellStyle name="Note 3 2 2 3 42 5" xfId="34648"/>
    <cellStyle name="Note 3 2 2 3 42 6" xfId="44453"/>
    <cellStyle name="Note 3 2 2 3 42 7" xfId="50242"/>
    <cellStyle name="Note 3 2 2 3 43" xfId="6019"/>
    <cellStyle name="Note 3 2 2 3 43 2" xfId="13736"/>
    <cellStyle name="Note 3 2 2 3 43 3" xfId="22729"/>
    <cellStyle name="Note 3 2 2 3 43 4" xfId="30916"/>
    <cellStyle name="Note 3 2 2 3 43 5" xfId="35899"/>
    <cellStyle name="Note 3 2 2 3 43 6" xfId="44581"/>
    <cellStyle name="Note 3 2 2 3 43 7" xfId="52609"/>
    <cellStyle name="Note 3 2 2 3 44" xfId="6114"/>
    <cellStyle name="Note 3 2 2 3 44 2" xfId="13831"/>
    <cellStyle name="Note 3 2 2 3 44 3" xfId="22824"/>
    <cellStyle name="Note 3 2 2 3 44 4" xfId="31011"/>
    <cellStyle name="Note 3 2 2 3 44 5" xfId="28510"/>
    <cellStyle name="Note 3 2 2 3 44 6" xfId="44676"/>
    <cellStyle name="Note 3 2 2 3 44 7" xfId="49544"/>
    <cellStyle name="Note 3 2 2 3 45" xfId="6146"/>
    <cellStyle name="Note 3 2 2 3 45 2" xfId="13863"/>
    <cellStyle name="Note 3 2 2 3 45 3" xfId="22856"/>
    <cellStyle name="Note 3 2 2 3 45 4" xfId="31043"/>
    <cellStyle name="Note 3 2 2 3 45 5" xfId="36148"/>
    <cellStyle name="Note 3 2 2 3 45 6" xfId="44708"/>
    <cellStyle name="Note 3 2 2 3 45 7" xfId="53777"/>
    <cellStyle name="Note 3 2 2 3 46" xfId="6275"/>
    <cellStyle name="Note 3 2 2 3 46 2" xfId="13992"/>
    <cellStyle name="Note 3 2 2 3 46 3" xfId="22985"/>
    <cellStyle name="Note 3 2 2 3 46 4" xfId="31172"/>
    <cellStyle name="Note 3 2 2 3 46 5" xfId="34211"/>
    <cellStyle name="Note 3 2 2 3 46 6" xfId="44837"/>
    <cellStyle name="Note 3 2 2 3 46 7" xfId="47893"/>
    <cellStyle name="Note 3 2 2 3 47" xfId="6390"/>
    <cellStyle name="Note 3 2 2 3 47 2" xfId="14107"/>
    <cellStyle name="Note 3 2 2 3 47 3" xfId="23100"/>
    <cellStyle name="Note 3 2 2 3 47 4" xfId="31287"/>
    <cellStyle name="Note 3 2 2 3 47 5" xfId="27334"/>
    <cellStyle name="Note 3 2 2 3 47 6" xfId="44952"/>
    <cellStyle name="Note 3 2 2 3 47 7" xfId="47554"/>
    <cellStyle name="Note 3 2 2 3 48" xfId="6502"/>
    <cellStyle name="Note 3 2 2 3 48 2" xfId="14219"/>
    <cellStyle name="Note 3 2 2 3 48 3" xfId="23212"/>
    <cellStyle name="Note 3 2 2 3 48 4" xfId="31399"/>
    <cellStyle name="Note 3 2 2 3 48 5" xfId="36180"/>
    <cellStyle name="Note 3 2 2 3 48 6" xfId="45064"/>
    <cellStyle name="Note 3 2 2 3 48 7" xfId="53891"/>
    <cellStyle name="Note 3 2 2 3 49" xfId="6106"/>
    <cellStyle name="Note 3 2 2 3 49 2" xfId="13823"/>
    <cellStyle name="Note 3 2 2 3 49 3" xfId="22816"/>
    <cellStyle name="Note 3 2 2 3 49 4" xfId="31003"/>
    <cellStyle name="Note 3 2 2 3 49 5" xfId="35484"/>
    <cellStyle name="Note 3 2 2 3 49 6" xfId="44668"/>
    <cellStyle name="Note 3 2 2 3 49 7" xfId="50695"/>
    <cellStyle name="Note 3 2 2 3 5" xfId="1392"/>
    <cellStyle name="Note 3 2 2 3 5 2" xfId="9215"/>
    <cellStyle name="Note 3 2 2 3 5 3" xfId="16643"/>
    <cellStyle name="Note 3 2 2 3 5 4" xfId="24996"/>
    <cellStyle name="Note 3 2 2 3 5 5" xfId="33345"/>
    <cellStyle name="Note 3 2 2 3 5 6" xfId="36402"/>
    <cellStyle name="Note 3 2 2 3 5 7" xfId="50784"/>
    <cellStyle name="Note 3 2 2 3 50" xfId="6649"/>
    <cellStyle name="Note 3 2 2 3 50 2" xfId="14366"/>
    <cellStyle name="Note 3 2 2 3 50 3" xfId="23359"/>
    <cellStyle name="Note 3 2 2 3 50 4" xfId="31546"/>
    <cellStyle name="Note 3 2 2 3 50 5" xfId="36017"/>
    <cellStyle name="Note 3 2 2 3 50 6" xfId="45211"/>
    <cellStyle name="Note 3 2 2 3 50 7" xfId="48109"/>
    <cellStyle name="Note 3 2 2 3 51" xfId="6760"/>
    <cellStyle name="Note 3 2 2 3 51 2" xfId="14477"/>
    <cellStyle name="Note 3 2 2 3 51 3" xfId="23470"/>
    <cellStyle name="Note 3 2 2 3 51 4" xfId="31657"/>
    <cellStyle name="Note 3 2 2 3 51 5" xfId="27036"/>
    <cellStyle name="Note 3 2 2 3 51 6" xfId="45322"/>
    <cellStyle name="Note 3 2 2 3 51 7" xfId="48834"/>
    <cellStyle name="Note 3 2 2 3 52" xfId="6875"/>
    <cellStyle name="Note 3 2 2 3 52 2" xfId="14592"/>
    <cellStyle name="Note 3 2 2 3 52 3" xfId="23585"/>
    <cellStyle name="Note 3 2 2 3 52 4" xfId="31772"/>
    <cellStyle name="Note 3 2 2 3 52 5" xfId="36243"/>
    <cellStyle name="Note 3 2 2 3 52 6" xfId="45437"/>
    <cellStyle name="Note 3 2 2 3 52 7" xfId="46891"/>
    <cellStyle name="Note 3 2 2 3 53" xfId="6988"/>
    <cellStyle name="Note 3 2 2 3 53 2" xfId="14705"/>
    <cellStyle name="Note 3 2 2 3 53 3" xfId="23698"/>
    <cellStyle name="Note 3 2 2 3 53 4" xfId="31885"/>
    <cellStyle name="Note 3 2 2 3 53 5" xfId="35477"/>
    <cellStyle name="Note 3 2 2 3 53 6" xfId="45550"/>
    <cellStyle name="Note 3 2 2 3 53 7" xfId="47207"/>
    <cellStyle name="Note 3 2 2 3 54" xfId="7098"/>
    <cellStyle name="Note 3 2 2 3 54 2" xfId="14815"/>
    <cellStyle name="Note 3 2 2 3 54 3" xfId="23808"/>
    <cellStyle name="Note 3 2 2 3 54 4" xfId="31995"/>
    <cellStyle name="Note 3 2 2 3 54 5" xfId="28467"/>
    <cellStyle name="Note 3 2 2 3 54 6" xfId="45660"/>
    <cellStyle name="Note 3 2 2 3 54 7" xfId="49259"/>
    <cellStyle name="Note 3 2 2 3 55" xfId="7178"/>
    <cellStyle name="Note 3 2 2 3 55 2" xfId="14895"/>
    <cellStyle name="Note 3 2 2 3 55 3" xfId="23888"/>
    <cellStyle name="Note 3 2 2 3 55 4" xfId="32075"/>
    <cellStyle name="Note 3 2 2 3 55 5" xfId="36200"/>
    <cellStyle name="Note 3 2 2 3 55 6" xfId="45740"/>
    <cellStyle name="Note 3 2 2 3 55 7" xfId="53633"/>
    <cellStyle name="Note 3 2 2 3 56" xfId="7244"/>
    <cellStyle name="Note 3 2 2 3 56 2" xfId="14961"/>
    <cellStyle name="Note 3 2 2 3 56 3" xfId="23954"/>
    <cellStyle name="Note 3 2 2 3 56 4" xfId="32141"/>
    <cellStyle name="Note 3 2 2 3 56 5" xfId="28428"/>
    <cellStyle name="Note 3 2 2 3 56 6" xfId="45806"/>
    <cellStyle name="Note 3 2 2 3 56 7" xfId="54068"/>
    <cellStyle name="Note 3 2 2 3 57" xfId="7495"/>
    <cellStyle name="Note 3 2 2 3 57 2" xfId="15212"/>
    <cellStyle name="Note 3 2 2 3 57 3" xfId="24205"/>
    <cellStyle name="Note 3 2 2 3 57 4" xfId="32392"/>
    <cellStyle name="Note 3 2 2 3 57 5" xfId="27905"/>
    <cellStyle name="Note 3 2 2 3 57 6" xfId="46057"/>
    <cellStyle name="Note 3 2 2 3 57 7" xfId="50791"/>
    <cellStyle name="Note 3 2 2 3 58" xfId="7616"/>
    <cellStyle name="Note 3 2 2 3 58 2" xfId="15333"/>
    <cellStyle name="Note 3 2 2 3 58 3" xfId="24326"/>
    <cellStyle name="Note 3 2 2 3 58 4" xfId="32513"/>
    <cellStyle name="Note 3 2 2 3 58 5" xfId="33515"/>
    <cellStyle name="Note 3 2 2 3 58 6" xfId="46178"/>
    <cellStyle name="Note 3 2 2 3 58 7" xfId="54456"/>
    <cellStyle name="Note 3 2 2 3 59" xfId="7893"/>
    <cellStyle name="Note 3 2 2 3 59 2" xfId="15610"/>
    <cellStyle name="Note 3 2 2 3 59 3" xfId="24597"/>
    <cellStyle name="Note 3 2 2 3 59 4" xfId="32790"/>
    <cellStyle name="Note 3 2 2 3 59 5" xfId="28785"/>
    <cellStyle name="Note 3 2 2 3 59 6" xfId="46455"/>
    <cellStyle name="Note 3 2 2 3 59 7" xfId="53843"/>
    <cellStyle name="Note 3 2 2 3 6" xfId="1515"/>
    <cellStyle name="Note 3 2 2 3 6 2" xfId="9338"/>
    <cellStyle name="Note 3 2 2 3 6 3" xfId="16766"/>
    <cellStyle name="Note 3 2 2 3 6 4" xfId="20434"/>
    <cellStyle name="Note 3 2 2 3 6 5" xfId="26793"/>
    <cellStyle name="Note 3 2 2 3 6 6" xfId="39871"/>
    <cellStyle name="Note 3 2 2 3 6 7" xfId="50340"/>
    <cellStyle name="Note 3 2 2 3 60" xfId="7780"/>
    <cellStyle name="Note 3 2 2 3 60 2" xfId="15497"/>
    <cellStyle name="Note 3 2 2 3 60 3" xfId="24486"/>
    <cellStyle name="Note 3 2 2 3 60 4" xfId="32677"/>
    <cellStyle name="Note 3 2 2 3 60 5" xfId="28044"/>
    <cellStyle name="Note 3 2 2 3 60 6" xfId="46342"/>
    <cellStyle name="Note 3 2 2 3 60 7" xfId="49980"/>
    <cellStyle name="Note 3 2 2 3 61" xfId="8021"/>
    <cellStyle name="Note 3 2 2 3 61 2" xfId="15738"/>
    <cellStyle name="Note 3 2 2 3 61 3" xfId="24723"/>
    <cellStyle name="Note 3 2 2 3 61 4" xfId="32918"/>
    <cellStyle name="Note 3 2 2 3 61 5" xfId="28061"/>
    <cellStyle name="Note 3 2 2 3 61 6" xfId="46583"/>
    <cellStyle name="Note 3 2 2 3 61 7" xfId="49771"/>
    <cellStyle name="Note 3 2 2 3 62" xfId="7721"/>
    <cellStyle name="Note 3 2 2 3 62 2" xfId="15438"/>
    <cellStyle name="Note 3 2 2 3 62 3" xfId="24429"/>
    <cellStyle name="Note 3 2 2 3 62 4" xfId="32618"/>
    <cellStyle name="Note 3 2 2 3 62 5" xfId="35574"/>
    <cellStyle name="Note 3 2 2 3 62 6" xfId="46283"/>
    <cellStyle name="Note 3 2 2 3 62 7" xfId="47452"/>
    <cellStyle name="Note 3 2 2 3 63" xfId="8168"/>
    <cellStyle name="Note 3 2 2 3 63 2" xfId="15885"/>
    <cellStyle name="Note 3 2 2 3 63 3" xfId="33065"/>
    <cellStyle name="Note 3 2 2 3 63 4" xfId="35195"/>
    <cellStyle name="Note 3 2 2 3 63 5" xfId="46730"/>
    <cellStyle name="Note 3 2 2 3 63 6" xfId="50574"/>
    <cellStyle name="Note 3 2 2 3 64" xfId="26217"/>
    <cellStyle name="Note 3 2 2 3 65" xfId="34902"/>
    <cellStyle name="Note 3 2 2 3 66" xfId="36262"/>
    <cellStyle name="Note 3 2 2 3 67" xfId="53458"/>
    <cellStyle name="Note 3 2 2 3 7" xfId="1268"/>
    <cellStyle name="Note 3 2 2 3 7 2" xfId="9091"/>
    <cellStyle name="Note 3 2 2 3 7 3" xfId="16519"/>
    <cellStyle name="Note 3 2 2 3 7 4" xfId="19251"/>
    <cellStyle name="Note 3 2 2 3 7 5" xfId="27303"/>
    <cellStyle name="Note 3 2 2 3 7 6" xfId="41514"/>
    <cellStyle name="Note 3 2 2 3 7 7" xfId="46916"/>
    <cellStyle name="Note 3 2 2 3 8" xfId="1752"/>
    <cellStyle name="Note 3 2 2 3 8 2" xfId="9575"/>
    <cellStyle name="Note 3 2 2 3 8 3" xfId="17003"/>
    <cellStyle name="Note 3 2 2 3 8 4" xfId="19864"/>
    <cellStyle name="Note 3 2 2 3 8 5" xfId="28701"/>
    <cellStyle name="Note 3 2 2 3 8 6" xfId="39631"/>
    <cellStyle name="Note 3 2 2 3 8 7" xfId="48880"/>
    <cellStyle name="Note 3 2 2 3 9" xfId="1885"/>
    <cellStyle name="Note 3 2 2 3 9 2" xfId="9708"/>
    <cellStyle name="Note 3 2 2 3 9 3" xfId="17136"/>
    <cellStyle name="Note 3 2 2 3 9 4" xfId="20637"/>
    <cellStyle name="Note 3 2 2 3 9 5" xfId="27327"/>
    <cellStyle name="Note 3 2 2 3 9 6" xfId="38579"/>
    <cellStyle name="Note 3 2 2 3 9 7" xfId="49436"/>
    <cellStyle name="Note 3 2 2 30" xfId="3027"/>
    <cellStyle name="Note 3 2 2 30 2" xfId="10842"/>
    <cellStyle name="Note 3 2 2 30 3" xfId="18255"/>
    <cellStyle name="Note 3 2 2 30 4" xfId="24899"/>
    <cellStyle name="Note 3 2 2 30 5" xfId="33215"/>
    <cellStyle name="Note 3 2 2 30 6" xfId="38037"/>
    <cellStyle name="Note 3 2 2 30 7" xfId="50559"/>
    <cellStyle name="Note 3 2 2 31" xfId="3570"/>
    <cellStyle name="Note 3 2 2 31 2" xfId="11359"/>
    <cellStyle name="Note 3 2 2 31 3" xfId="18641"/>
    <cellStyle name="Note 3 2 2 31 4" xfId="19229"/>
    <cellStyle name="Note 3 2 2 31 5" xfId="26881"/>
    <cellStyle name="Note 3 2 2 31 6" xfId="36695"/>
    <cellStyle name="Note 3 2 2 31 7" xfId="49759"/>
    <cellStyle name="Note 3 2 2 32" xfId="3869"/>
    <cellStyle name="Note 3 2 2 32 2" xfId="11651"/>
    <cellStyle name="Note 3 2 2 32 3" xfId="18906"/>
    <cellStyle name="Note 3 2 2 32 4" xfId="26683"/>
    <cellStyle name="Note 3 2 2 32 5" xfId="35530"/>
    <cellStyle name="Note 3 2 2 32 6" xfId="36936"/>
    <cellStyle name="Note 3 2 2 32 7" xfId="54454"/>
    <cellStyle name="Note 3 2 2 33" xfId="3059"/>
    <cellStyle name="Note 3 2 2 33 2" xfId="10869"/>
    <cellStyle name="Note 3 2 2 33 3" xfId="20225"/>
    <cellStyle name="Note 3 2 2 33 4" xfId="28317"/>
    <cellStyle name="Note 3 2 2 33 5" xfId="28016"/>
    <cellStyle name="Note 3 2 2 33 6" xfId="42382"/>
    <cellStyle name="Note 3 2 2 33 7" xfId="48412"/>
    <cellStyle name="Note 3 2 2 34" xfId="3525"/>
    <cellStyle name="Note 3 2 2 34 2" xfId="11316"/>
    <cellStyle name="Note 3 2 2 34 3" xfId="20497"/>
    <cellStyle name="Note 3 2 2 34 4" xfId="28622"/>
    <cellStyle name="Note 3 2 2 34 5" xfId="35806"/>
    <cellStyle name="Note 3 2 2 34 6" xfId="42495"/>
    <cellStyle name="Note 3 2 2 34 7" xfId="52484"/>
    <cellStyle name="Note 3 2 2 35" xfId="2992"/>
    <cellStyle name="Note 3 2 2 35 2" xfId="20175"/>
    <cellStyle name="Note 3 2 2 35 3" xfId="28261"/>
    <cellStyle name="Note 3 2 2 35 4" xfId="28107"/>
    <cellStyle name="Note 3 2 2 35 5" xfId="42343"/>
    <cellStyle name="Note 3 2 2 35 6" xfId="48149"/>
    <cellStyle name="Note 3 2 2 36" xfId="3012"/>
    <cellStyle name="Note 3 2 2 36 2" xfId="10830"/>
    <cellStyle name="Note 3 2 2 36 3" xfId="20186"/>
    <cellStyle name="Note 3 2 2 36 4" xfId="28276"/>
    <cellStyle name="Note 3 2 2 36 5" xfId="35740"/>
    <cellStyle name="Note 3 2 2 36 6" xfId="42351"/>
    <cellStyle name="Note 3 2 2 36 7" xfId="52180"/>
    <cellStyle name="Note 3 2 2 37" xfId="3223"/>
    <cellStyle name="Note 3 2 2 37 2" xfId="11019"/>
    <cellStyle name="Note 3 2 2 37 3" xfId="20346"/>
    <cellStyle name="Note 3 2 2 37 4" xfId="28434"/>
    <cellStyle name="Note 3 2 2 37 5" xfId="35992"/>
    <cellStyle name="Note 3 2 2 37 6" xfId="42452"/>
    <cellStyle name="Note 3 2 2 37 7" xfId="53384"/>
    <cellStyle name="Note 3 2 2 38" xfId="3205"/>
    <cellStyle name="Note 3 2 2 38 2" xfId="11005"/>
    <cellStyle name="Note 3 2 2 38 3" xfId="20331"/>
    <cellStyle name="Note 3 2 2 38 4" xfId="28422"/>
    <cellStyle name="Note 3 2 2 38 5" xfId="26919"/>
    <cellStyle name="Note 3 2 2 38 6" xfId="42442"/>
    <cellStyle name="Note 3 2 2 38 7" xfId="48872"/>
    <cellStyle name="Note 3 2 2 39" xfId="3491"/>
    <cellStyle name="Note 3 2 2 39 2" xfId="11282"/>
    <cellStyle name="Note 3 2 2 39 3" xfId="20477"/>
    <cellStyle name="Note 3 2 2 39 4" xfId="28599"/>
    <cellStyle name="Note 3 2 2 39 5" xfId="35621"/>
    <cellStyle name="Note 3 2 2 39 6" xfId="42486"/>
    <cellStyle name="Note 3 2 2 39 7" xfId="51590"/>
    <cellStyle name="Note 3 2 2 4" xfId="483"/>
    <cellStyle name="Note 3 2 2 4 10" xfId="1930"/>
    <cellStyle name="Note 3 2 2 4 10 2" xfId="9753"/>
    <cellStyle name="Note 3 2 2 4 10 3" xfId="17181"/>
    <cellStyle name="Note 3 2 2 4 10 4" xfId="26386"/>
    <cellStyle name="Note 3 2 2 4 10 5" xfId="35132"/>
    <cellStyle name="Note 3 2 2 4 10 6" xfId="36939"/>
    <cellStyle name="Note 3 2 2 4 10 7" xfId="53817"/>
    <cellStyle name="Note 3 2 2 4 11" xfId="2048"/>
    <cellStyle name="Note 3 2 2 4 11 2" xfId="9871"/>
    <cellStyle name="Note 3 2 2 4 11 3" xfId="17299"/>
    <cellStyle name="Note 3 2 2 4 11 4" xfId="26579"/>
    <cellStyle name="Note 3 2 2 4 11 5" xfId="35398"/>
    <cellStyle name="Note 3 2 2 4 11 6" xfId="38070"/>
    <cellStyle name="Note 3 2 2 4 11 7" xfId="54233"/>
    <cellStyle name="Note 3 2 2 4 12" xfId="2161"/>
    <cellStyle name="Note 3 2 2 4 12 2" xfId="9984"/>
    <cellStyle name="Note 3 2 2 4 12 3" xfId="17412"/>
    <cellStyle name="Note 3 2 2 4 12 4" xfId="20419"/>
    <cellStyle name="Note 3 2 2 4 12 5" xfId="28003"/>
    <cellStyle name="Note 3 2 2 4 12 6" xfId="41213"/>
    <cellStyle name="Note 3 2 2 4 12 7" xfId="48735"/>
    <cellStyle name="Note 3 2 2 4 13" xfId="1091"/>
    <cellStyle name="Note 3 2 2 4 13 2" xfId="8915"/>
    <cellStyle name="Note 3 2 2 4 13 3" xfId="16343"/>
    <cellStyle name="Note 3 2 2 4 13 4" xfId="19945"/>
    <cellStyle name="Note 3 2 2 4 13 5" xfId="27941"/>
    <cellStyle name="Note 3 2 2 4 13 6" xfId="37516"/>
    <cellStyle name="Note 3 2 2 4 13 7" xfId="47234"/>
    <cellStyle name="Note 3 2 2 4 14" xfId="1637"/>
    <cellStyle name="Note 3 2 2 4 14 2" xfId="9460"/>
    <cellStyle name="Note 3 2 2 4 14 3" xfId="16888"/>
    <cellStyle name="Note 3 2 2 4 14 4" xfId="26347"/>
    <cellStyle name="Note 3 2 2 4 14 5" xfId="35073"/>
    <cellStyle name="Note 3 2 2 4 14 6" xfId="42199"/>
    <cellStyle name="Note 3 2 2 4 14 7" xfId="53729"/>
    <cellStyle name="Note 3 2 2 4 15" xfId="2459"/>
    <cellStyle name="Note 3 2 2 4 15 2" xfId="10282"/>
    <cellStyle name="Note 3 2 2 4 15 3" xfId="17710"/>
    <cellStyle name="Note 3 2 2 4 15 4" xfId="20140"/>
    <cellStyle name="Note 3 2 2 4 15 5" xfId="27284"/>
    <cellStyle name="Note 3 2 2 4 15 6" xfId="36771"/>
    <cellStyle name="Note 3 2 2 4 15 7" xfId="49039"/>
    <cellStyle name="Note 3 2 2 4 16" xfId="2572"/>
    <cellStyle name="Note 3 2 2 4 16 2" xfId="10395"/>
    <cellStyle name="Note 3 2 2 4 16 3" xfId="17823"/>
    <cellStyle name="Note 3 2 2 4 16 4" xfId="25805"/>
    <cellStyle name="Note 3 2 2 4 16 5" xfId="34382"/>
    <cellStyle name="Note 3 2 2 4 16 6" xfId="38062"/>
    <cellStyle name="Note 3 2 2 4 16 7" xfId="52577"/>
    <cellStyle name="Note 3 2 2 4 17" xfId="1672"/>
    <cellStyle name="Note 3 2 2 4 17 2" xfId="9495"/>
    <cellStyle name="Note 3 2 2 4 17 3" xfId="16923"/>
    <cellStyle name="Note 3 2 2 4 17 4" xfId="19035"/>
    <cellStyle name="Note 3 2 2 4 17 5" xfId="27870"/>
    <cellStyle name="Note 3 2 2 4 17 6" xfId="38313"/>
    <cellStyle name="Note 3 2 2 4 17 7" xfId="49886"/>
    <cellStyle name="Note 3 2 2 4 18" xfId="1027"/>
    <cellStyle name="Note 3 2 2 4 18 2" xfId="8851"/>
    <cellStyle name="Note 3 2 2 4 18 3" xfId="16279"/>
    <cellStyle name="Note 3 2 2 4 18 4" xfId="25563"/>
    <cellStyle name="Note 3 2 2 4 18 5" xfId="34060"/>
    <cellStyle name="Note 3 2 2 4 18 6" xfId="37257"/>
    <cellStyle name="Note 3 2 2 4 18 7" xfId="52006"/>
    <cellStyle name="Note 3 2 2 4 19" xfId="2766"/>
    <cellStyle name="Note 3 2 2 4 19 2" xfId="10589"/>
    <cellStyle name="Note 3 2 2 4 19 3" xfId="18017"/>
    <cellStyle name="Note 3 2 2 4 19 4" xfId="19413"/>
    <cellStyle name="Note 3 2 2 4 19 5" xfId="28377"/>
    <cellStyle name="Note 3 2 2 4 19 6" xfId="40584"/>
    <cellStyle name="Note 3 2 2 4 19 7" xfId="48494"/>
    <cellStyle name="Note 3 2 2 4 2" xfId="634"/>
    <cellStyle name="Note 3 2 2 4 2 2" xfId="8458"/>
    <cellStyle name="Note 3 2 2 4 2 3" xfId="8302"/>
    <cellStyle name="Note 3 2 2 4 2 4" xfId="20044"/>
    <cellStyle name="Note 3 2 2 4 2 5" xfId="27182"/>
    <cellStyle name="Note 3 2 2 4 2 6" xfId="36982"/>
    <cellStyle name="Note 3 2 2 4 2 7" xfId="48157"/>
    <cellStyle name="Note 3 2 2 4 20" xfId="2873"/>
    <cellStyle name="Note 3 2 2 4 20 2" xfId="10696"/>
    <cellStyle name="Note 3 2 2 4 20 3" xfId="18124"/>
    <cellStyle name="Note 3 2 2 4 20 4" xfId="25227"/>
    <cellStyle name="Note 3 2 2 4 20 5" xfId="33628"/>
    <cellStyle name="Note 3 2 2 4 20 6" xfId="37453"/>
    <cellStyle name="Note 3 2 2 4 20 7" xfId="51279"/>
    <cellStyle name="Note 3 2 2 4 21" xfId="3249"/>
    <cellStyle name="Note 3 2 2 4 21 2" xfId="11042"/>
    <cellStyle name="Note 3 2 2 4 21 3" xfId="18371"/>
    <cellStyle name="Note 3 2 2 4 21 4" xfId="19536"/>
    <cellStyle name="Note 3 2 2 4 21 5" xfId="27985"/>
    <cellStyle name="Note 3 2 2 4 21 6" xfId="36401"/>
    <cellStyle name="Note 3 2 2 4 21 7" xfId="47553"/>
    <cellStyle name="Note 3 2 2 4 22" xfId="3369"/>
    <cellStyle name="Note 3 2 2 4 22 2" xfId="11160"/>
    <cellStyle name="Note 3 2 2 4 22 3" xfId="18482"/>
    <cellStyle name="Note 3 2 2 4 22 4" xfId="26101"/>
    <cellStyle name="Note 3 2 2 4 22 5" xfId="34754"/>
    <cellStyle name="Note 3 2 2 4 22 6" xfId="40226"/>
    <cellStyle name="Note 3 2 2 4 22 7" xfId="53212"/>
    <cellStyle name="Note 3 2 2 4 23" xfId="3505"/>
    <cellStyle name="Note 3 2 2 4 23 2" xfId="11296"/>
    <cellStyle name="Note 3 2 2 4 23 3" xfId="18595"/>
    <cellStyle name="Note 3 2 2 4 23 4" xfId="26640"/>
    <cellStyle name="Note 3 2 2 4 23 5" xfId="35476"/>
    <cellStyle name="Note 3 2 2 4 23 6" xfId="37057"/>
    <cellStyle name="Note 3 2 2 4 23 7" xfId="54366"/>
    <cellStyle name="Note 3 2 2 4 24" xfId="3593"/>
    <cellStyle name="Note 3 2 2 4 24 2" xfId="11379"/>
    <cellStyle name="Note 3 2 2 4 24 3" xfId="18654"/>
    <cellStyle name="Note 3 2 2 4 24 4" xfId="25941"/>
    <cellStyle name="Note 3 2 2 4 24 5" xfId="34546"/>
    <cellStyle name="Note 3 2 2 4 24 6" xfId="40160"/>
    <cellStyle name="Note 3 2 2 4 24 7" xfId="52872"/>
    <cellStyle name="Note 3 2 2 4 25" xfId="3639"/>
    <cellStyle name="Note 3 2 2 4 25 2" xfId="11424"/>
    <cellStyle name="Note 3 2 2 4 25 3" xfId="18697"/>
    <cellStyle name="Note 3 2 2 4 25 4" xfId="20025"/>
    <cellStyle name="Note 3 2 2 4 25 5" xfId="26836"/>
    <cellStyle name="Note 3 2 2 4 25 6" xfId="36586"/>
    <cellStyle name="Note 3 2 2 4 25 7" xfId="49719"/>
    <cellStyle name="Note 3 2 2 4 26" xfId="3770"/>
    <cellStyle name="Note 3 2 2 4 26 2" xfId="11552"/>
    <cellStyle name="Note 3 2 2 4 26 3" xfId="18809"/>
    <cellStyle name="Note 3 2 2 4 26 4" xfId="25118"/>
    <cellStyle name="Note 3 2 2 4 26 5" xfId="33489"/>
    <cellStyle name="Note 3 2 2 4 26 6" xfId="37917"/>
    <cellStyle name="Note 3 2 2 4 26 7" xfId="51052"/>
    <cellStyle name="Note 3 2 2 4 27" xfId="3887"/>
    <cellStyle name="Note 3 2 2 4 27 2" xfId="11667"/>
    <cellStyle name="Note 3 2 2 4 27 3" xfId="18918"/>
    <cellStyle name="Note 3 2 2 4 27 4" xfId="25904"/>
    <cellStyle name="Note 3 2 2 4 27 5" xfId="34499"/>
    <cellStyle name="Note 3 2 2 4 27 6" xfId="40022"/>
    <cellStyle name="Note 3 2 2 4 27 7" xfId="52785"/>
    <cellStyle name="Note 3 2 2 4 28" xfId="3558"/>
    <cellStyle name="Note 3 2 2 4 28 2" xfId="11347"/>
    <cellStyle name="Note 3 2 2 4 28 3" xfId="20519"/>
    <cellStyle name="Note 3 2 2 4 28 4" xfId="28646"/>
    <cellStyle name="Note 3 2 2 4 28 5" xfId="33245"/>
    <cellStyle name="Note 3 2 2 4 28 6" xfId="42508"/>
    <cellStyle name="Note 3 2 2 4 28 7" xfId="48349"/>
    <cellStyle name="Note 3 2 2 4 29" xfId="4084"/>
    <cellStyle name="Note 3 2 2 4 29 2" xfId="11844"/>
    <cellStyle name="Note 3 2 2 4 29 3" xfId="20794"/>
    <cellStyle name="Note 3 2 2 4 29 4" xfId="28981"/>
    <cellStyle name="Note 3 2 2 4 29 5" xfId="28380"/>
    <cellStyle name="Note 3 2 2 4 29 6" xfId="42646"/>
    <cellStyle name="Note 3 2 2 4 29 7" xfId="48804"/>
    <cellStyle name="Note 3 2 2 4 3" xfId="741"/>
    <cellStyle name="Note 3 2 2 4 3 2" xfId="8565"/>
    <cellStyle name="Note 3 2 2 4 3 3" xfId="15993"/>
    <cellStyle name="Note 3 2 2 4 3 4" xfId="19573"/>
    <cellStyle name="Note 3 2 2 4 3 5" xfId="27668"/>
    <cellStyle name="Note 3 2 2 4 3 6" xfId="36974"/>
    <cellStyle name="Note 3 2 2 4 3 7" xfId="47791"/>
    <cellStyle name="Note 3 2 2 4 30" xfId="4012"/>
    <cellStyle name="Note 3 2 2 4 30 2" xfId="20722"/>
    <cellStyle name="Note 3 2 2 4 30 3" xfId="28909"/>
    <cellStyle name="Note 3 2 2 4 30 4" xfId="26908"/>
    <cellStyle name="Note 3 2 2 4 30 5" xfId="42574"/>
    <cellStyle name="Note 3 2 2 4 30 6" xfId="48670"/>
    <cellStyle name="Note 3 2 2 4 31" xfId="4281"/>
    <cellStyle name="Note 3 2 2 4 31 2" xfId="11998"/>
    <cellStyle name="Note 3 2 2 4 31 3" xfId="20991"/>
    <cellStyle name="Note 3 2 2 4 31 4" xfId="29178"/>
    <cellStyle name="Note 3 2 2 4 31 5" xfId="33159"/>
    <cellStyle name="Note 3 2 2 4 31 6" xfId="42843"/>
    <cellStyle name="Note 3 2 2 4 31 7" xfId="50884"/>
    <cellStyle name="Note 3 2 2 4 32" xfId="4404"/>
    <cellStyle name="Note 3 2 2 4 32 2" xfId="12121"/>
    <cellStyle name="Note 3 2 2 4 32 3" xfId="21114"/>
    <cellStyle name="Note 3 2 2 4 32 4" xfId="29301"/>
    <cellStyle name="Note 3 2 2 4 32 5" xfId="34077"/>
    <cellStyle name="Note 3 2 2 4 32 6" xfId="42966"/>
    <cellStyle name="Note 3 2 2 4 32 7" xfId="47287"/>
    <cellStyle name="Note 3 2 2 4 33" xfId="4518"/>
    <cellStyle name="Note 3 2 2 4 33 2" xfId="12235"/>
    <cellStyle name="Note 3 2 2 4 33 3" xfId="21228"/>
    <cellStyle name="Note 3 2 2 4 33 4" xfId="29415"/>
    <cellStyle name="Note 3 2 2 4 33 5" xfId="34654"/>
    <cellStyle name="Note 3 2 2 4 33 6" xfId="43080"/>
    <cellStyle name="Note 3 2 2 4 33 7" xfId="49516"/>
    <cellStyle name="Note 3 2 2 4 34" xfId="4631"/>
    <cellStyle name="Note 3 2 2 4 34 2" xfId="12348"/>
    <cellStyle name="Note 3 2 2 4 34 3" xfId="21341"/>
    <cellStyle name="Note 3 2 2 4 34 4" xfId="29528"/>
    <cellStyle name="Note 3 2 2 4 34 5" xfId="36156"/>
    <cellStyle name="Note 3 2 2 4 34 6" xfId="43193"/>
    <cellStyle name="Note 3 2 2 4 34 7" xfId="54165"/>
    <cellStyle name="Note 3 2 2 4 35" xfId="4743"/>
    <cellStyle name="Note 3 2 2 4 35 2" xfId="12460"/>
    <cellStyle name="Note 3 2 2 4 35 3" xfId="21453"/>
    <cellStyle name="Note 3 2 2 4 35 4" xfId="29640"/>
    <cellStyle name="Note 3 2 2 4 35 5" xfId="33863"/>
    <cellStyle name="Note 3 2 2 4 35 6" xfId="43305"/>
    <cellStyle name="Note 3 2 2 4 35 7" xfId="50145"/>
    <cellStyle name="Note 3 2 2 4 36" xfId="4851"/>
    <cellStyle name="Note 3 2 2 4 36 2" xfId="12568"/>
    <cellStyle name="Note 3 2 2 4 36 3" xfId="21561"/>
    <cellStyle name="Note 3 2 2 4 36 4" xfId="29748"/>
    <cellStyle name="Note 3 2 2 4 36 5" xfId="36110"/>
    <cellStyle name="Note 3 2 2 4 36 6" xfId="43413"/>
    <cellStyle name="Note 3 2 2 4 36 7" xfId="53940"/>
    <cellStyle name="Note 3 2 2 4 37" xfId="4963"/>
    <cellStyle name="Note 3 2 2 4 37 2" xfId="12680"/>
    <cellStyle name="Note 3 2 2 4 37 3" xfId="21673"/>
    <cellStyle name="Note 3 2 2 4 37 4" xfId="29860"/>
    <cellStyle name="Note 3 2 2 4 37 5" xfId="35588"/>
    <cellStyle name="Note 3 2 2 4 37 6" xfId="43525"/>
    <cellStyle name="Note 3 2 2 4 37 7" xfId="51455"/>
    <cellStyle name="Note 3 2 2 4 38" xfId="5148"/>
    <cellStyle name="Note 3 2 2 4 38 2" xfId="12865"/>
    <cellStyle name="Note 3 2 2 4 38 3" xfId="21858"/>
    <cellStyle name="Note 3 2 2 4 38 4" xfId="30045"/>
    <cellStyle name="Note 3 2 2 4 38 5" xfId="34605"/>
    <cellStyle name="Note 3 2 2 4 38 6" xfId="43710"/>
    <cellStyle name="Note 3 2 2 4 38 7" xfId="48372"/>
    <cellStyle name="Note 3 2 2 4 39" xfId="5461"/>
    <cellStyle name="Note 3 2 2 4 39 2" xfId="13178"/>
    <cellStyle name="Note 3 2 2 4 39 3" xfId="22171"/>
    <cellStyle name="Note 3 2 2 4 39 4" xfId="30358"/>
    <cellStyle name="Note 3 2 2 4 39 5" xfId="35854"/>
    <cellStyle name="Note 3 2 2 4 39 6" xfId="44023"/>
    <cellStyle name="Note 3 2 2 4 39 7" xfId="52690"/>
    <cellStyle name="Note 3 2 2 4 4" xfId="853"/>
    <cellStyle name="Note 3 2 2 4 4 2" xfId="8677"/>
    <cellStyle name="Note 3 2 2 4 4 3" xfId="16105"/>
    <cellStyle name="Note 3 2 2 4 4 4" xfId="20040"/>
    <cellStyle name="Note 3 2 2 4 4 5" xfId="27983"/>
    <cellStyle name="Note 3 2 2 4 4 6" xfId="36957"/>
    <cellStyle name="Note 3 2 2 4 4 7" xfId="49663"/>
    <cellStyle name="Note 3 2 2 4 40" xfId="5586"/>
    <cellStyle name="Note 3 2 2 4 40 2" xfId="13303"/>
    <cellStyle name="Note 3 2 2 4 40 3" xfId="22296"/>
    <cellStyle name="Note 3 2 2 4 40 4" xfId="30483"/>
    <cellStyle name="Note 3 2 2 4 40 5" xfId="33770"/>
    <cellStyle name="Note 3 2 2 4 40 6" xfId="44148"/>
    <cellStyle name="Note 3 2 2 4 40 7" xfId="47152"/>
    <cellStyle name="Note 3 2 2 4 41" xfId="5701"/>
    <cellStyle name="Note 3 2 2 4 41 2" xfId="13418"/>
    <cellStyle name="Note 3 2 2 4 41 3" xfId="22411"/>
    <cellStyle name="Note 3 2 2 4 41 4" xfId="30598"/>
    <cellStyle name="Note 3 2 2 4 41 5" xfId="34732"/>
    <cellStyle name="Note 3 2 2 4 41 6" xfId="44263"/>
    <cellStyle name="Note 3 2 2 4 41 7" xfId="47079"/>
    <cellStyle name="Note 3 2 2 4 42" xfId="5818"/>
    <cellStyle name="Note 3 2 2 4 42 2" xfId="13535"/>
    <cellStyle name="Note 3 2 2 4 42 3" xfId="22528"/>
    <cellStyle name="Note 3 2 2 4 42 4" xfId="30715"/>
    <cellStyle name="Note 3 2 2 4 42 5" xfId="35689"/>
    <cellStyle name="Note 3 2 2 4 42 6" xfId="44380"/>
    <cellStyle name="Note 3 2 2 4 42 7" xfId="51344"/>
    <cellStyle name="Note 3 2 2 4 43" xfId="5946"/>
    <cellStyle name="Note 3 2 2 4 43 2" xfId="13663"/>
    <cellStyle name="Note 3 2 2 4 43 3" xfId="22656"/>
    <cellStyle name="Note 3 2 2 4 43 4" xfId="30843"/>
    <cellStyle name="Note 3 2 2 4 43 5" xfId="35951"/>
    <cellStyle name="Note 3 2 2 4 43 6" xfId="44508"/>
    <cellStyle name="Note 3 2 2 4 43 7" xfId="52938"/>
    <cellStyle name="Note 3 2 2 4 44" xfId="6059"/>
    <cellStyle name="Note 3 2 2 4 44 2" xfId="13776"/>
    <cellStyle name="Note 3 2 2 4 44 3" xfId="22769"/>
    <cellStyle name="Note 3 2 2 4 44 4" xfId="30956"/>
    <cellStyle name="Note 3 2 2 4 44 5" xfId="33241"/>
    <cellStyle name="Note 3 2 2 4 44 6" xfId="44621"/>
    <cellStyle name="Note 3 2 2 4 44 7" xfId="51708"/>
    <cellStyle name="Note 3 2 2 4 45" xfId="6092"/>
    <cellStyle name="Note 3 2 2 4 45 2" xfId="13809"/>
    <cellStyle name="Note 3 2 2 4 45 3" xfId="22802"/>
    <cellStyle name="Note 3 2 2 4 45 4" xfId="30989"/>
    <cellStyle name="Note 3 2 2 4 45 5" xfId="35617"/>
    <cellStyle name="Note 3 2 2 4 45 6" xfId="44654"/>
    <cellStyle name="Note 3 2 2 4 45 7" xfId="52219"/>
    <cellStyle name="Note 3 2 2 4 46" xfId="6202"/>
    <cellStyle name="Note 3 2 2 4 46 2" xfId="13919"/>
    <cellStyle name="Note 3 2 2 4 46 3" xfId="22912"/>
    <cellStyle name="Note 3 2 2 4 46 4" xfId="31099"/>
    <cellStyle name="Note 3 2 2 4 46 5" xfId="34282"/>
    <cellStyle name="Note 3 2 2 4 46 6" xfId="44764"/>
    <cellStyle name="Note 3 2 2 4 46 7" xfId="48941"/>
    <cellStyle name="Note 3 2 2 4 47" xfId="6319"/>
    <cellStyle name="Note 3 2 2 4 47 2" xfId="14036"/>
    <cellStyle name="Note 3 2 2 4 47 3" xfId="23029"/>
    <cellStyle name="Note 3 2 2 4 47 4" xfId="31216"/>
    <cellStyle name="Note 3 2 2 4 47 5" xfId="35808"/>
    <cellStyle name="Note 3 2 2 4 47 6" xfId="44881"/>
    <cellStyle name="Note 3 2 2 4 47 7" xfId="47670"/>
    <cellStyle name="Note 3 2 2 4 48" xfId="6429"/>
    <cellStyle name="Note 3 2 2 4 48 2" xfId="14146"/>
    <cellStyle name="Note 3 2 2 4 48 3" xfId="23139"/>
    <cellStyle name="Note 3 2 2 4 48 4" xfId="31326"/>
    <cellStyle name="Note 3 2 2 4 48 5" xfId="36039"/>
    <cellStyle name="Note 3 2 2 4 48 6" xfId="44991"/>
    <cellStyle name="Note 3 2 2 4 48 7" xfId="53224"/>
    <cellStyle name="Note 3 2 2 4 49" xfId="5939"/>
    <cellStyle name="Note 3 2 2 4 49 2" xfId="13656"/>
    <cellStyle name="Note 3 2 2 4 49 3" xfId="22649"/>
    <cellStyle name="Note 3 2 2 4 49 4" xfId="30836"/>
    <cellStyle name="Note 3 2 2 4 49 5" xfId="36092"/>
    <cellStyle name="Note 3 2 2 4 49 6" xfId="44501"/>
    <cellStyle name="Note 3 2 2 4 49 7" xfId="53495"/>
    <cellStyle name="Note 3 2 2 4 5" xfId="1318"/>
    <cellStyle name="Note 3 2 2 4 5 2" xfId="9141"/>
    <cellStyle name="Note 3 2 2 4 5 3" xfId="16569"/>
    <cellStyle name="Note 3 2 2 4 5 4" xfId="25725"/>
    <cellStyle name="Note 3 2 2 4 5 5" xfId="34271"/>
    <cellStyle name="Note 3 2 2 4 5 6" xfId="36333"/>
    <cellStyle name="Note 3 2 2 4 5 7" xfId="52375"/>
    <cellStyle name="Note 3 2 2 4 50" xfId="6576"/>
    <cellStyle name="Note 3 2 2 4 50 2" xfId="14293"/>
    <cellStyle name="Note 3 2 2 4 50 3" xfId="23286"/>
    <cellStyle name="Note 3 2 2 4 50 4" xfId="31473"/>
    <cellStyle name="Note 3 2 2 4 50 5" xfId="36086"/>
    <cellStyle name="Note 3 2 2 4 50 6" xfId="45138"/>
    <cellStyle name="Note 3 2 2 4 50 7" xfId="53471"/>
    <cellStyle name="Note 3 2 2 4 51" xfId="6687"/>
    <cellStyle name="Note 3 2 2 4 51 2" xfId="14404"/>
    <cellStyle name="Note 3 2 2 4 51 3" xfId="23397"/>
    <cellStyle name="Note 3 2 2 4 51 4" xfId="31584"/>
    <cellStyle name="Note 3 2 2 4 51 5" xfId="26976"/>
    <cellStyle name="Note 3 2 2 4 51 6" xfId="45249"/>
    <cellStyle name="Note 3 2 2 4 51 7" xfId="49190"/>
    <cellStyle name="Note 3 2 2 4 52" xfId="6802"/>
    <cellStyle name="Note 3 2 2 4 52 2" xfId="14519"/>
    <cellStyle name="Note 3 2 2 4 52 3" xfId="23512"/>
    <cellStyle name="Note 3 2 2 4 52 4" xfId="31699"/>
    <cellStyle name="Note 3 2 2 4 52 5" xfId="35743"/>
    <cellStyle name="Note 3 2 2 4 52 6" xfId="45364"/>
    <cellStyle name="Note 3 2 2 4 52 7" xfId="51983"/>
    <cellStyle name="Note 3 2 2 4 53" xfId="6915"/>
    <cellStyle name="Note 3 2 2 4 53 2" xfId="14632"/>
    <cellStyle name="Note 3 2 2 4 53 3" xfId="23625"/>
    <cellStyle name="Note 3 2 2 4 53 4" xfId="31812"/>
    <cellStyle name="Note 3 2 2 4 53 5" xfId="28574"/>
    <cellStyle name="Note 3 2 2 4 53 6" xfId="45477"/>
    <cellStyle name="Note 3 2 2 4 53 7" xfId="46819"/>
    <cellStyle name="Note 3 2 2 4 54" xfId="7027"/>
    <cellStyle name="Note 3 2 2 4 54 2" xfId="14744"/>
    <cellStyle name="Note 3 2 2 4 54 3" xfId="23737"/>
    <cellStyle name="Note 3 2 2 4 54 4" xfId="31924"/>
    <cellStyle name="Note 3 2 2 4 54 5" xfId="36242"/>
    <cellStyle name="Note 3 2 2 4 54 6" xfId="45589"/>
    <cellStyle name="Note 3 2 2 4 54 7" xfId="46997"/>
    <cellStyle name="Note 3 2 2 4 55" xfId="7234"/>
    <cellStyle name="Note 3 2 2 4 55 2" xfId="14951"/>
    <cellStyle name="Note 3 2 2 4 55 3" xfId="23944"/>
    <cellStyle name="Note 3 2 2 4 55 4" xfId="32131"/>
    <cellStyle name="Note 3 2 2 4 55 5" xfId="36020"/>
    <cellStyle name="Note 3 2 2 4 55 6" xfId="45796"/>
    <cellStyle name="Note 3 2 2 4 55 7" xfId="51714"/>
    <cellStyle name="Note 3 2 2 4 56" xfId="7352"/>
    <cellStyle name="Note 3 2 2 4 56 2" xfId="15069"/>
    <cellStyle name="Note 3 2 2 4 56 3" xfId="24062"/>
    <cellStyle name="Note 3 2 2 4 56 4" xfId="32249"/>
    <cellStyle name="Note 3 2 2 4 56 5" xfId="35615"/>
    <cellStyle name="Note 3 2 2 4 56 6" xfId="45914"/>
    <cellStyle name="Note 3 2 2 4 56 7" xfId="51038"/>
    <cellStyle name="Note 3 2 2 4 57" xfId="7424"/>
    <cellStyle name="Note 3 2 2 4 57 2" xfId="15141"/>
    <cellStyle name="Note 3 2 2 4 57 3" xfId="24134"/>
    <cellStyle name="Note 3 2 2 4 57 4" xfId="32321"/>
    <cellStyle name="Note 3 2 2 4 57 5" xfId="35266"/>
    <cellStyle name="Note 3 2 2 4 57 6" xfId="45986"/>
    <cellStyle name="Note 3 2 2 4 57 7" xfId="47528"/>
    <cellStyle name="Note 3 2 2 4 58" xfId="7545"/>
    <cellStyle name="Note 3 2 2 4 58 2" xfId="15262"/>
    <cellStyle name="Note 3 2 2 4 58 3" xfId="24255"/>
    <cellStyle name="Note 3 2 2 4 58 4" xfId="32442"/>
    <cellStyle name="Note 3 2 2 4 58 5" xfId="35982"/>
    <cellStyle name="Note 3 2 2 4 58 6" xfId="46107"/>
    <cellStyle name="Note 3 2 2 4 58 7" xfId="52985"/>
    <cellStyle name="Note 3 2 2 4 59" xfId="7821"/>
    <cellStyle name="Note 3 2 2 4 59 2" xfId="15538"/>
    <cellStyle name="Note 3 2 2 4 59 3" xfId="24525"/>
    <cellStyle name="Note 3 2 2 4 59 4" xfId="32718"/>
    <cellStyle name="Note 3 2 2 4 59 5" xfId="28253"/>
    <cellStyle name="Note 3 2 2 4 59 6" xfId="46383"/>
    <cellStyle name="Note 3 2 2 4 59 7" xfId="54247"/>
    <cellStyle name="Note 3 2 2 4 6" xfId="1441"/>
    <cellStyle name="Note 3 2 2 4 6 2" xfId="9264"/>
    <cellStyle name="Note 3 2 2 4 6 3" xfId="16692"/>
    <cellStyle name="Note 3 2 2 4 6 4" xfId="25622"/>
    <cellStyle name="Note 3 2 2 4 6 5" xfId="34136"/>
    <cellStyle name="Note 3 2 2 4 6 6" xfId="39933"/>
    <cellStyle name="Note 3 2 2 4 6 7" xfId="52132"/>
    <cellStyle name="Note 3 2 2 4 60" xfId="7697"/>
    <cellStyle name="Note 3 2 2 4 60 2" xfId="15414"/>
    <cellStyle name="Note 3 2 2 4 60 3" xfId="24405"/>
    <cellStyle name="Note 3 2 2 4 60 4" xfId="32594"/>
    <cellStyle name="Note 3 2 2 4 60 5" xfId="35897"/>
    <cellStyle name="Note 3 2 2 4 60 6" xfId="46259"/>
    <cellStyle name="Note 3 2 2 4 60 7" xfId="52356"/>
    <cellStyle name="Note 3 2 2 4 61" xfId="7651"/>
    <cellStyle name="Note 3 2 2 4 61 2" xfId="15368"/>
    <cellStyle name="Note 3 2 2 4 61 3" xfId="24361"/>
    <cellStyle name="Note 3 2 2 4 61 4" xfId="32548"/>
    <cellStyle name="Note 3 2 2 4 61 5" xfId="33763"/>
    <cellStyle name="Note 3 2 2 4 61 6" xfId="46213"/>
    <cellStyle name="Note 3 2 2 4 61 7" xfId="49661"/>
    <cellStyle name="Note 3 2 2 4 62" xfId="7817"/>
    <cellStyle name="Note 3 2 2 4 62 2" xfId="15534"/>
    <cellStyle name="Note 3 2 2 4 62 3" xfId="24521"/>
    <cellStyle name="Note 3 2 2 4 62 4" xfId="32714"/>
    <cellStyle name="Note 3 2 2 4 62 5" xfId="36096"/>
    <cellStyle name="Note 3 2 2 4 62 6" xfId="46379"/>
    <cellStyle name="Note 3 2 2 4 62 7" xfId="54504"/>
    <cellStyle name="Note 3 2 2 4 63" xfId="8097"/>
    <cellStyle name="Note 3 2 2 4 63 2" xfId="15814"/>
    <cellStyle name="Note 3 2 2 4 63 3" xfId="32994"/>
    <cellStyle name="Note 3 2 2 4 63 4" xfId="33810"/>
    <cellStyle name="Note 3 2 2 4 63 5" xfId="46659"/>
    <cellStyle name="Note 3 2 2 4 63 6" xfId="54458"/>
    <cellStyle name="Note 3 2 2 4 64" xfId="26427"/>
    <cellStyle name="Note 3 2 2 4 65" xfId="35192"/>
    <cellStyle name="Note 3 2 2 4 66" xfId="37142"/>
    <cellStyle name="Note 3 2 2 4 67" xfId="53914"/>
    <cellStyle name="Note 3 2 2 4 7" xfId="1001"/>
    <cellStyle name="Note 3 2 2 4 7 2" xfId="8825"/>
    <cellStyle name="Note 3 2 2 4 7 3" xfId="16253"/>
    <cellStyle name="Note 3 2 2 4 7 4" xfId="24935"/>
    <cellStyle name="Note 3 2 2 4 7 5" xfId="33268"/>
    <cellStyle name="Note 3 2 2 4 7 6" xfId="36693"/>
    <cellStyle name="Note 3 2 2 4 7 7" xfId="50648"/>
    <cellStyle name="Note 3 2 2 4 8" xfId="1678"/>
    <cellStyle name="Note 3 2 2 4 8 2" xfId="9501"/>
    <cellStyle name="Note 3 2 2 4 8 3" xfId="16929"/>
    <cellStyle name="Note 3 2 2 4 8 4" xfId="19164"/>
    <cellStyle name="Note 3 2 2 4 8 5" xfId="28124"/>
    <cellStyle name="Note 3 2 2 4 8 6" xfId="38106"/>
    <cellStyle name="Note 3 2 2 4 8 7" xfId="49235"/>
    <cellStyle name="Note 3 2 2 4 9" xfId="1812"/>
    <cellStyle name="Note 3 2 2 4 9 2" xfId="9635"/>
    <cellStyle name="Note 3 2 2 4 9 3" xfId="17063"/>
    <cellStyle name="Note 3 2 2 4 9 4" xfId="19039"/>
    <cellStyle name="Note 3 2 2 4 9 5" xfId="27483"/>
    <cellStyle name="Note 3 2 2 4 9 6" xfId="39885"/>
    <cellStyle name="Note 3 2 2 4 9 7" xfId="49872"/>
    <cellStyle name="Note 3 2 2 40" xfId="4042"/>
    <cellStyle name="Note 3 2 2 40 2" xfId="11813"/>
    <cellStyle name="Note 3 2 2 40 3" xfId="20752"/>
    <cellStyle name="Note 3 2 2 40 4" xfId="28939"/>
    <cellStyle name="Note 3 2 2 40 5" xfId="34094"/>
    <cellStyle name="Note 3 2 2 40 6" xfId="42604"/>
    <cellStyle name="Note 3 2 2 40 7" xfId="48118"/>
    <cellStyle name="Note 3 2 2 41" xfId="4840"/>
    <cellStyle name="Note 3 2 2 41 2" xfId="12557"/>
    <cellStyle name="Note 3 2 2 41 3" xfId="21550"/>
    <cellStyle name="Note 3 2 2 41 4" xfId="29737"/>
    <cellStyle name="Note 3 2 2 41 5" xfId="28024"/>
    <cellStyle name="Note 3 2 2 41 6" xfId="43402"/>
    <cellStyle name="Note 3 2 2 41 7" xfId="47821"/>
    <cellStyle name="Note 3 2 2 42" xfId="4239"/>
    <cellStyle name="Note 3 2 2 42 2" xfId="11971"/>
    <cellStyle name="Note 3 2 2 42 3" xfId="20949"/>
    <cellStyle name="Note 3 2 2 42 4" xfId="29136"/>
    <cellStyle name="Note 3 2 2 42 5" xfId="33271"/>
    <cellStyle name="Note 3 2 2 42 6" xfId="42801"/>
    <cellStyle name="Note 3 2 2 42 7" xfId="49328"/>
    <cellStyle name="Note 3 2 2 43" xfId="5343"/>
    <cellStyle name="Note 3 2 2 43 2" xfId="13060"/>
    <cellStyle name="Note 3 2 2 43 3" xfId="22053"/>
    <cellStyle name="Note 3 2 2 43 4" xfId="30240"/>
    <cellStyle name="Note 3 2 2 43 5" xfId="27841"/>
    <cellStyle name="Note 3 2 2 43 6" xfId="43905"/>
    <cellStyle name="Note 3 2 2 43 7" xfId="49494"/>
    <cellStyle name="Note 3 2 2 44" xfId="5164"/>
    <cellStyle name="Note 3 2 2 44 2" xfId="12881"/>
    <cellStyle name="Note 3 2 2 44 3" xfId="21874"/>
    <cellStyle name="Note 3 2 2 44 4" xfId="30061"/>
    <cellStyle name="Note 3 2 2 44 5" xfId="35909"/>
    <cellStyle name="Note 3 2 2 44 6" xfId="43726"/>
    <cellStyle name="Note 3 2 2 44 7" xfId="53002"/>
    <cellStyle name="Note 3 2 2 45" xfId="5328"/>
    <cellStyle name="Note 3 2 2 45 2" xfId="13045"/>
    <cellStyle name="Note 3 2 2 45 3" xfId="22038"/>
    <cellStyle name="Note 3 2 2 45 4" xfId="30225"/>
    <cellStyle name="Note 3 2 2 45 5" xfId="28176"/>
    <cellStyle name="Note 3 2 2 45 6" xfId="43890"/>
    <cellStyle name="Note 3 2 2 45 7" xfId="51162"/>
    <cellStyle name="Note 3 2 2 46" xfId="5686"/>
    <cellStyle name="Note 3 2 2 46 2" xfId="13403"/>
    <cellStyle name="Note 3 2 2 46 3" xfId="22396"/>
    <cellStyle name="Note 3 2 2 46 4" xfId="30583"/>
    <cellStyle name="Note 3 2 2 46 5" xfId="27660"/>
    <cellStyle name="Note 3 2 2 46 6" xfId="44248"/>
    <cellStyle name="Note 3 2 2 46 7" xfId="47090"/>
    <cellStyle name="Note 3 2 2 47" xfId="5272"/>
    <cellStyle name="Note 3 2 2 47 2" xfId="12989"/>
    <cellStyle name="Note 3 2 2 47 3" xfId="21982"/>
    <cellStyle name="Note 3 2 2 47 4" xfId="30169"/>
    <cellStyle name="Note 3 2 2 47 5" xfId="28212"/>
    <cellStyle name="Note 3 2 2 47 6" xfId="43834"/>
    <cellStyle name="Note 3 2 2 47 7" xfId="49390"/>
    <cellStyle name="Note 3 2 2 48" xfId="5301"/>
    <cellStyle name="Note 3 2 2 48 2" xfId="13018"/>
    <cellStyle name="Note 3 2 2 48 3" xfId="22011"/>
    <cellStyle name="Note 3 2 2 48 4" xfId="30198"/>
    <cellStyle name="Note 3 2 2 48 5" xfId="36155"/>
    <cellStyle name="Note 3 2 2 48 6" xfId="43863"/>
    <cellStyle name="Note 3 2 2 48 7" xfId="54163"/>
    <cellStyle name="Note 3 2 2 49" xfId="6045"/>
    <cellStyle name="Note 3 2 2 49 2" xfId="13762"/>
    <cellStyle name="Note 3 2 2 49 3" xfId="22755"/>
    <cellStyle name="Note 3 2 2 49 4" xfId="30942"/>
    <cellStyle name="Note 3 2 2 49 5" xfId="35267"/>
    <cellStyle name="Note 3 2 2 49 6" xfId="44607"/>
    <cellStyle name="Note 3 2 2 49 7" xfId="47463"/>
    <cellStyle name="Note 3 2 2 5" xfId="592"/>
    <cellStyle name="Note 3 2 2 5 10" xfId="2038"/>
    <cellStyle name="Note 3 2 2 5 10 2" xfId="9861"/>
    <cellStyle name="Note 3 2 2 5 10 3" xfId="17289"/>
    <cellStyle name="Note 3 2 2 5 10 4" xfId="19452"/>
    <cellStyle name="Note 3 2 2 5 10 5" xfId="28168"/>
    <cellStyle name="Note 3 2 2 5 10 6" xfId="38865"/>
    <cellStyle name="Note 3 2 2 5 10 7" xfId="48768"/>
    <cellStyle name="Note 3 2 2 5 11" xfId="2152"/>
    <cellStyle name="Note 3 2 2 5 11 2" xfId="9975"/>
    <cellStyle name="Note 3 2 2 5 11 3" xfId="17403"/>
    <cellStyle name="Note 3 2 2 5 11 4" xfId="20121"/>
    <cellStyle name="Note 3 2 2 5 11 5" xfId="27133"/>
    <cellStyle name="Note 3 2 2 5 11 6" xfId="41851"/>
    <cellStyle name="Note 3 2 2 5 11 7" xfId="47401"/>
    <cellStyle name="Note 3 2 2 5 12" xfId="2269"/>
    <cellStyle name="Note 3 2 2 5 12 2" xfId="10092"/>
    <cellStyle name="Note 3 2 2 5 12 3" xfId="17520"/>
    <cellStyle name="Note 3 2 2 5 12 4" xfId="26085"/>
    <cellStyle name="Note 3 2 2 5 12 5" xfId="34733"/>
    <cellStyle name="Note 3 2 2 5 12 6" xfId="37934"/>
    <cellStyle name="Note 3 2 2 5 12 7" xfId="53178"/>
    <cellStyle name="Note 3 2 2 5 13" xfId="1574"/>
    <cellStyle name="Note 3 2 2 5 13 2" xfId="9397"/>
    <cellStyle name="Note 3 2 2 5 13 3" xfId="16825"/>
    <cellStyle name="Note 3 2 2 5 13 4" xfId="25978"/>
    <cellStyle name="Note 3 2 2 5 13 5" xfId="34595"/>
    <cellStyle name="Note 3 2 2 5 13 6" xfId="41101"/>
    <cellStyle name="Note 3 2 2 5 13 7" xfId="52948"/>
    <cellStyle name="Note 3 2 2 5 14" xfId="1263"/>
    <cellStyle name="Note 3 2 2 5 14 2" xfId="9086"/>
    <cellStyle name="Note 3 2 2 5 14 3" xfId="16514"/>
    <cellStyle name="Note 3 2 2 5 14 4" xfId="19693"/>
    <cellStyle name="Note 3 2 2 5 14 5" xfId="28195"/>
    <cellStyle name="Note 3 2 2 5 14 6" xfId="36828"/>
    <cellStyle name="Note 3 2 2 5 14 7" xfId="47193"/>
    <cellStyle name="Note 3 2 2 5 15" xfId="2565"/>
    <cellStyle name="Note 3 2 2 5 15 2" xfId="10388"/>
    <cellStyle name="Note 3 2 2 5 15 3" xfId="17816"/>
    <cellStyle name="Note 3 2 2 5 15 4" xfId="26074"/>
    <cellStyle name="Note 3 2 2 5 15 5" xfId="34720"/>
    <cellStyle name="Note 3 2 2 5 15 6" xfId="38491"/>
    <cellStyle name="Note 3 2 2 5 15 7" xfId="53156"/>
    <cellStyle name="Note 3 2 2 5 16" xfId="2679"/>
    <cellStyle name="Note 3 2 2 5 16 2" xfId="10502"/>
    <cellStyle name="Note 3 2 2 5 16 3" xfId="17930"/>
    <cellStyle name="Note 3 2 2 5 16 4" xfId="26363"/>
    <cellStyle name="Note 3 2 2 5 16 5" xfId="35098"/>
    <cellStyle name="Note 3 2 2 5 16 6" xfId="36809"/>
    <cellStyle name="Note 3 2 2 5 16 7" xfId="53768"/>
    <cellStyle name="Note 3 2 2 5 17" xfId="1596"/>
    <cellStyle name="Note 3 2 2 5 17 2" xfId="9419"/>
    <cellStyle name="Note 3 2 2 5 17 3" xfId="16847"/>
    <cellStyle name="Note 3 2 2 5 17 4" xfId="24895"/>
    <cellStyle name="Note 3 2 2 5 17 5" xfId="33211"/>
    <cellStyle name="Note 3 2 2 5 17 6" xfId="38796"/>
    <cellStyle name="Note 3 2 2 5 17 7" xfId="50551"/>
    <cellStyle name="Note 3 2 2 5 18" xfId="2287"/>
    <cellStyle name="Note 3 2 2 5 18 2" xfId="10110"/>
    <cellStyle name="Note 3 2 2 5 18 3" xfId="17538"/>
    <cellStyle name="Note 3 2 2 5 18 4" xfId="25161"/>
    <cellStyle name="Note 3 2 2 5 18 5" xfId="33538"/>
    <cellStyle name="Note 3 2 2 5 18 6" xfId="36907"/>
    <cellStyle name="Note 3 2 2 5 18 7" xfId="51134"/>
    <cellStyle name="Note 3 2 2 5 19" xfId="2868"/>
    <cellStyle name="Note 3 2 2 5 19 2" xfId="10691"/>
    <cellStyle name="Note 3 2 2 5 19 3" xfId="18119"/>
    <cellStyle name="Note 3 2 2 5 19 4" xfId="19510"/>
    <cellStyle name="Note 3 2 2 5 19 5" xfId="28048"/>
    <cellStyle name="Note 3 2 2 5 19 6" xfId="37609"/>
    <cellStyle name="Note 3 2 2 5 19 7" xfId="47594"/>
    <cellStyle name="Note 3 2 2 5 2" xfId="735"/>
    <cellStyle name="Note 3 2 2 5 2 2" xfId="8559"/>
    <cellStyle name="Note 3 2 2 5 2 3" xfId="15987"/>
    <cellStyle name="Note 3 2 2 5 2 4" xfId="19335"/>
    <cellStyle name="Note 3 2 2 5 2 5" xfId="27522"/>
    <cellStyle name="Note 3 2 2 5 2 6" xfId="37066"/>
    <cellStyle name="Note 3 2 2 5 2 7" xfId="49967"/>
    <cellStyle name="Note 3 2 2 5 20" xfId="2974"/>
    <cellStyle name="Note 3 2 2 5 20 2" xfId="10797"/>
    <cellStyle name="Note 3 2 2 5 20 3" xfId="18225"/>
    <cellStyle name="Note 3 2 2 5 20 4" xfId="19434"/>
    <cellStyle name="Note 3 2 2 5 20 5" xfId="26840"/>
    <cellStyle name="Note 3 2 2 5 20 6" xfId="36680"/>
    <cellStyle name="Note 3 2 2 5 20 7" xfId="47294"/>
    <cellStyle name="Note 3 2 2 5 21" xfId="3355"/>
    <cellStyle name="Note 3 2 2 5 21 2" xfId="11148"/>
    <cellStyle name="Note 3 2 2 5 21 3" xfId="18474"/>
    <cellStyle name="Note 3 2 2 5 21 4" xfId="20134"/>
    <cellStyle name="Note 3 2 2 5 21 5" xfId="28634"/>
    <cellStyle name="Note 3 2 2 5 21 6" xfId="41535"/>
    <cellStyle name="Note 3 2 2 5 21 7" xfId="48371"/>
    <cellStyle name="Note 3 2 2 5 22" xfId="3474"/>
    <cellStyle name="Note 3 2 2 5 22 2" xfId="11265"/>
    <cellStyle name="Note 3 2 2 5 22 3" xfId="18584"/>
    <cellStyle name="Note 3 2 2 5 22 4" xfId="20436"/>
    <cellStyle name="Note 3 2 2 5 22 5" xfId="28145"/>
    <cellStyle name="Note 3 2 2 5 22 6" xfId="36721"/>
    <cellStyle name="Note 3 2 2 5 22 7" xfId="50164"/>
    <cellStyle name="Note 3 2 2 5 23" xfId="3591"/>
    <cellStyle name="Note 3 2 2 5 23 2" xfId="11377"/>
    <cellStyle name="Note 3 2 2 5 23 3" xfId="18652"/>
    <cellStyle name="Note 3 2 2 5 23 4" xfId="20182"/>
    <cellStyle name="Note 3 2 2 5 23 5" xfId="28481"/>
    <cellStyle name="Note 3 2 2 5 23 6" xfId="40326"/>
    <cellStyle name="Note 3 2 2 5 23 7" xfId="48039"/>
    <cellStyle name="Note 3 2 2 5 24" xfId="3632"/>
    <cellStyle name="Note 3 2 2 5 24 2" xfId="11417"/>
    <cellStyle name="Note 3 2 2 5 24 3" xfId="18690"/>
    <cellStyle name="Note 3 2 2 5 24 4" xfId="19516"/>
    <cellStyle name="Note 3 2 2 5 24 5" xfId="27962"/>
    <cellStyle name="Note 3 2 2 5 24 6" xfId="42128"/>
    <cellStyle name="Note 3 2 2 5 24 7" xfId="48835"/>
    <cellStyle name="Note 3 2 2 5 25" xfId="3747"/>
    <cellStyle name="Note 3 2 2 5 25 2" xfId="11532"/>
    <cellStyle name="Note 3 2 2 5 25 3" xfId="18802"/>
    <cellStyle name="Note 3 2 2 5 25 4" xfId="26193"/>
    <cellStyle name="Note 3 2 2 5 25 5" xfId="34872"/>
    <cellStyle name="Note 3 2 2 5 25 6" xfId="40168"/>
    <cellStyle name="Note 3 2 2 5 25 7" xfId="53412"/>
    <cellStyle name="Note 3 2 2 5 26" xfId="3876"/>
    <cellStyle name="Note 3 2 2 5 26 2" xfId="11657"/>
    <cellStyle name="Note 3 2 2 5 26 3" xfId="18911"/>
    <cellStyle name="Note 3 2 2 5 26 4" xfId="26387"/>
    <cellStyle name="Note 3 2 2 5 26 5" xfId="35133"/>
    <cellStyle name="Note 3 2 2 5 26 6" xfId="41961"/>
    <cellStyle name="Note 3 2 2 5 26 7" xfId="53818"/>
    <cellStyle name="Note 3 2 2 5 27" xfId="3995"/>
    <cellStyle name="Note 3 2 2 5 27 2" xfId="11774"/>
    <cellStyle name="Note 3 2 2 5 27 3" xfId="19019"/>
    <cellStyle name="Note 3 2 2 5 27 4" xfId="19803"/>
    <cellStyle name="Note 3 2 2 5 27 5" xfId="33143"/>
    <cellStyle name="Note 3 2 2 5 27 6" xfId="37485"/>
    <cellStyle name="Note 3 2 2 5 27 7" xfId="50417"/>
    <cellStyle name="Note 3 2 2 5 28" xfId="3589"/>
    <cellStyle name="Note 3 2 2 5 28 2" xfId="11375"/>
    <cellStyle name="Note 3 2 2 5 28 3" xfId="20542"/>
    <cellStyle name="Note 3 2 2 5 28 4" xfId="28667"/>
    <cellStyle name="Note 3 2 2 5 28 5" xfId="35937"/>
    <cellStyle name="Note 3 2 2 5 28 6" xfId="42521"/>
    <cellStyle name="Note 3 2 2 5 28 7" xfId="53116"/>
    <cellStyle name="Note 3 2 2 5 29" xfId="4189"/>
    <cellStyle name="Note 3 2 2 5 29 2" xfId="11948"/>
    <cellStyle name="Note 3 2 2 5 29 3" xfId="20899"/>
    <cellStyle name="Note 3 2 2 5 29 4" xfId="29086"/>
    <cellStyle name="Note 3 2 2 5 29 5" xfId="35827"/>
    <cellStyle name="Note 3 2 2 5 29 6" xfId="42751"/>
    <cellStyle name="Note 3 2 2 5 29 7" xfId="52547"/>
    <cellStyle name="Note 3 2 2 5 3" xfId="846"/>
    <cellStyle name="Note 3 2 2 5 3 2" xfId="8670"/>
    <cellStyle name="Note 3 2 2 5 3 3" xfId="16098"/>
    <cellStyle name="Note 3 2 2 5 3 4" xfId="25188"/>
    <cellStyle name="Note 3 2 2 5 3 5" xfId="33571"/>
    <cellStyle name="Note 3 2 2 5 3 6" xfId="36740"/>
    <cellStyle name="Note 3 2 2 5 3 7" xfId="51189"/>
    <cellStyle name="Note 3 2 2 5 30" xfId="4205"/>
    <cellStyle name="Note 3 2 2 5 30 2" xfId="20915"/>
    <cellStyle name="Note 3 2 2 5 30 3" xfId="29102"/>
    <cellStyle name="Note 3 2 2 5 30 4" xfId="27853"/>
    <cellStyle name="Note 3 2 2 5 30 5" xfId="42767"/>
    <cellStyle name="Note 3 2 2 5 30 6" xfId="51227"/>
    <cellStyle name="Note 3 2 2 5 31" xfId="4390"/>
    <cellStyle name="Note 3 2 2 5 31 2" xfId="12107"/>
    <cellStyle name="Note 3 2 2 5 31 3" xfId="21100"/>
    <cellStyle name="Note 3 2 2 5 31 4" xfId="29287"/>
    <cellStyle name="Note 3 2 2 5 31 5" xfId="34599"/>
    <cellStyle name="Note 3 2 2 5 31 6" xfId="42952"/>
    <cellStyle name="Note 3 2 2 5 31 7" xfId="50024"/>
    <cellStyle name="Note 3 2 2 5 32" xfId="4509"/>
    <cellStyle name="Note 3 2 2 5 32 2" xfId="12226"/>
    <cellStyle name="Note 3 2 2 5 32 3" xfId="21219"/>
    <cellStyle name="Note 3 2 2 5 32 4" xfId="29406"/>
    <cellStyle name="Note 3 2 2 5 32 5" xfId="34220"/>
    <cellStyle name="Note 3 2 2 5 32 6" xfId="43071"/>
    <cellStyle name="Note 3 2 2 5 32 7" xfId="50666"/>
    <cellStyle name="Note 3 2 2 5 33" xfId="4623"/>
    <cellStyle name="Note 3 2 2 5 33 2" xfId="12340"/>
    <cellStyle name="Note 3 2 2 5 33 3" xfId="21333"/>
    <cellStyle name="Note 3 2 2 5 33 4" xfId="29520"/>
    <cellStyle name="Note 3 2 2 5 33 5" xfId="33458"/>
    <cellStyle name="Note 3 2 2 5 33 6" xfId="43185"/>
    <cellStyle name="Note 3 2 2 5 33 7" xfId="48493"/>
    <cellStyle name="Note 3 2 2 5 34" xfId="4736"/>
    <cellStyle name="Note 3 2 2 5 34 2" xfId="12453"/>
    <cellStyle name="Note 3 2 2 5 34 3" xfId="21446"/>
    <cellStyle name="Note 3 2 2 5 34 4" xfId="29633"/>
    <cellStyle name="Note 3 2 2 5 34 5" xfId="33753"/>
    <cellStyle name="Note 3 2 2 5 34 6" xfId="43298"/>
    <cellStyle name="Note 3 2 2 5 34 7" xfId="47540"/>
    <cellStyle name="Note 3 2 2 5 35" xfId="4845"/>
    <cellStyle name="Note 3 2 2 5 35 2" xfId="12562"/>
    <cellStyle name="Note 3 2 2 5 35 3" xfId="21555"/>
    <cellStyle name="Note 3 2 2 5 35 4" xfId="29742"/>
    <cellStyle name="Note 3 2 2 5 35 5" xfId="36215"/>
    <cellStyle name="Note 3 2 2 5 35 6" xfId="43407"/>
    <cellStyle name="Note 3 2 2 5 35 7" xfId="54462"/>
    <cellStyle name="Note 3 2 2 5 36" xfId="4956"/>
    <cellStyle name="Note 3 2 2 5 36 2" xfId="12673"/>
    <cellStyle name="Note 3 2 2 5 36 3" xfId="21666"/>
    <cellStyle name="Note 3 2 2 5 36 4" xfId="29853"/>
    <cellStyle name="Note 3 2 2 5 36 5" xfId="35775"/>
    <cellStyle name="Note 3 2 2 5 36 6" xfId="43518"/>
    <cellStyle name="Note 3 2 2 5 36 7" xfId="52362"/>
    <cellStyle name="Note 3 2 2 5 37" xfId="5064"/>
    <cellStyle name="Note 3 2 2 5 37 2" xfId="12781"/>
    <cellStyle name="Note 3 2 2 5 37 3" xfId="21774"/>
    <cellStyle name="Note 3 2 2 5 37 4" xfId="29961"/>
    <cellStyle name="Note 3 2 2 5 37 5" xfId="35353"/>
    <cellStyle name="Note 3 2 2 5 37 6" xfId="43626"/>
    <cellStyle name="Note 3 2 2 5 37 7" xfId="47709"/>
    <cellStyle name="Note 3 2 2 5 38" xfId="5447"/>
    <cellStyle name="Note 3 2 2 5 38 2" xfId="13164"/>
    <cellStyle name="Note 3 2 2 5 38 3" xfId="22157"/>
    <cellStyle name="Note 3 2 2 5 38 4" xfId="30344"/>
    <cellStyle name="Note 3 2 2 5 38 5" xfId="36163"/>
    <cellStyle name="Note 3 2 2 5 38 6" xfId="44009"/>
    <cellStyle name="Note 3 2 2 5 38 7" xfId="54209"/>
    <cellStyle name="Note 3 2 2 5 39" xfId="5566"/>
    <cellStyle name="Note 3 2 2 5 39 2" xfId="13283"/>
    <cellStyle name="Note 3 2 2 5 39 3" xfId="22276"/>
    <cellStyle name="Note 3 2 2 5 39 4" xfId="30463"/>
    <cellStyle name="Note 3 2 2 5 39 5" xfId="28805"/>
    <cellStyle name="Note 3 2 2 5 39 6" xfId="44128"/>
    <cellStyle name="Note 3 2 2 5 39 7" xfId="47167"/>
    <cellStyle name="Note 3 2 2 5 4" xfId="954"/>
    <cellStyle name="Note 3 2 2 5 4 2" xfId="8778"/>
    <cellStyle name="Note 3 2 2 5 4 3" xfId="16206"/>
    <cellStyle name="Note 3 2 2 5 4 4" xfId="26143"/>
    <cellStyle name="Note 3 2 2 5 4 5" xfId="34808"/>
    <cellStyle name="Note 3 2 2 5 4 6" xfId="37088"/>
    <cellStyle name="Note 3 2 2 5 4 7" xfId="53302"/>
    <cellStyle name="Note 3 2 2 5 40" xfId="5692"/>
    <cellStyle name="Note 3 2 2 5 40 2" xfId="13409"/>
    <cellStyle name="Note 3 2 2 5 40 3" xfId="22402"/>
    <cellStyle name="Note 3 2 2 5 40 4" xfId="30589"/>
    <cellStyle name="Note 3 2 2 5 40 5" xfId="27887"/>
    <cellStyle name="Note 3 2 2 5 40 6" xfId="44254"/>
    <cellStyle name="Note 3 2 2 5 40 7" xfId="47087"/>
    <cellStyle name="Note 3 2 2 5 41" xfId="5806"/>
    <cellStyle name="Note 3 2 2 5 41 2" xfId="13523"/>
    <cellStyle name="Note 3 2 2 5 41 3" xfId="22516"/>
    <cellStyle name="Note 3 2 2 5 41 4" xfId="30703"/>
    <cellStyle name="Note 3 2 2 5 41 5" xfId="35926"/>
    <cellStyle name="Note 3 2 2 5 41 6" xfId="44368"/>
    <cellStyle name="Note 3 2 2 5 41 7" xfId="52826"/>
    <cellStyle name="Note 3 2 2 5 42" xfId="5925"/>
    <cellStyle name="Note 3 2 2 5 42 2" xfId="13642"/>
    <cellStyle name="Note 3 2 2 5 42 3" xfId="22635"/>
    <cellStyle name="Note 3 2 2 5 42 4" xfId="30822"/>
    <cellStyle name="Note 3 2 2 5 42 5" xfId="36145"/>
    <cellStyle name="Note 3 2 2 5 42 6" xfId="44487"/>
    <cellStyle name="Note 3 2 2 5 42 7" xfId="53879"/>
    <cellStyle name="Note 3 2 2 5 43" xfId="6051"/>
    <cellStyle name="Note 3 2 2 5 43 2" xfId="13768"/>
    <cellStyle name="Note 3 2 2 5 43 3" xfId="22761"/>
    <cellStyle name="Note 3 2 2 5 43 4" xfId="30948"/>
    <cellStyle name="Note 3 2 2 5 43 5" xfId="34834"/>
    <cellStyle name="Note 3 2 2 5 43 6" xfId="44613"/>
    <cellStyle name="Note 3 2 2 5 43 7" xfId="48958"/>
    <cellStyle name="Note 3 2 2 5 44" xfId="6134"/>
    <cellStyle name="Note 3 2 2 5 44 2" xfId="13851"/>
    <cellStyle name="Note 3 2 2 5 44 3" xfId="22844"/>
    <cellStyle name="Note 3 2 2 5 44 4" xfId="31031"/>
    <cellStyle name="Note 3 2 2 5 44 5" xfId="27743"/>
    <cellStyle name="Note 3 2 2 5 44 6" xfId="44696"/>
    <cellStyle name="Note 3 2 2 5 44 7" xfId="50429"/>
    <cellStyle name="Note 3 2 2 5 45" xfId="6178"/>
    <cellStyle name="Note 3 2 2 5 45 2" xfId="13895"/>
    <cellStyle name="Note 3 2 2 5 45 3" xfId="22888"/>
    <cellStyle name="Note 3 2 2 5 45 4" xfId="31075"/>
    <cellStyle name="Note 3 2 2 5 45 5" xfId="35478"/>
    <cellStyle name="Note 3 2 2 5 45 6" xfId="44740"/>
    <cellStyle name="Note 3 2 2 5 45 7" xfId="50453"/>
    <cellStyle name="Note 3 2 2 5 46" xfId="6307"/>
    <cellStyle name="Note 3 2 2 5 46 2" xfId="14024"/>
    <cellStyle name="Note 3 2 2 5 46 3" xfId="23017"/>
    <cellStyle name="Note 3 2 2 5 46 4" xfId="31204"/>
    <cellStyle name="Note 3 2 2 5 46 5" xfId="36023"/>
    <cellStyle name="Note 3 2 2 5 46 6" xfId="44869"/>
    <cellStyle name="Note 3 2 2 5 46 7" xfId="53292"/>
    <cellStyle name="Note 3 2 2 5 47" xfId="6421"/>
    <cellStyle name="Note 3 2 2 5 47 2" xfId="14138"/>
    <cellStyle name="Note 3 2 2 5 47 3" xfId="23131"/>
    <cellStyle name="Note 3 2 2 5 47 4" xfId="31318"/>
    <cellStyle name="Note 3 2 2 5 47 5" xfId="36209"/>
    <cellStyle name="Note 3 2 2 5 47 6" xfId="44983"/>
    <cellStyle name="Note 3 2 2 5 47 7" xfId="54308"/>
    <cellStyle name="Note 3 2 2 5 48" xfId="6535"/>
    <cellStyle name="Note 3 2 2 5 48 2" xfId="14252"/>
    <cellStyle name="Note 3 2 2 5 48 3" xfId="23245"/>
    <cellStyle name="Note 3 2 2 5 48 4" xfId="31432"/>
    <cellStyle name="Note 3 2 2 5 48 5" xfId="26835"/>
    <cellStyle name="Note 3 2 2 5 48 6" xfId="45097"/>
    <cellStyle name="Note 3 2 2 5 48 7" xfId="50088"/>
    <cellStyle name="Note 3 2 2 5 49" xfId="6112"/>
    <cellStyle name="Note 3 2 2 5 49 2" xfId="13829"/>
    <cellStyle name="Note 3 2 2 5 49 3" xfId="22822"/>
    <cellStyle name="Note 3 2 2 5 49 4" xfId="31009"/>
    <cellStyle name="Note 3 2 2 5 49 5" xfId="34183"/>
    <cellStyle name="Note 3 2 2 5 49 6" xfId="44674"/>
    <cellStyle name="Note 3 2 2 5 49 7" xfId="50021"/>
    <cellStyle name="Note 3 2 2 5 5" xfId="1426"/>
    <cellStyle name="Note 3 2 2 5 5 2" xfId="9249"/>
    <cellStyle name="Note 3 2 2 5 5 3" xfId="16677"/>
    <cellStyle name="Note 3 2 2 5 5 4" xfId="26232"/>
    <cellStyle name="Note 3 2 2 5 5 5" xfId="34919"/>
    <cellStyle name="Note 3 2 2 5 5 6" xfId="41380"/>
    <cellStyle name="Note 3 2 2 5 5 7" xfId="53484"/>
    <cellStyle name="Note 3 2 2 5 50" xfId="6680"/>
    <cellStyle name="Note 3 2 2 5 50 2" xfId="14397"/>
    <cellStyle name="Note 3 2 2 5 50 3" xfId="23390"/>
    <cellStyle name="Note 3 2 2 5 50 4" xfId="31577"/>
    <cellStyle name="Note 3 2 2 5 50 5" xfId="27741"/>
    <cellStyle name="Note 3 2 2 5 50 6" xfId="45242"/>
    <cellStyle name="Note 3 2 2 5 50 7" xfId="49944"/>
    <cellStyle name="Note 3 2 2 5 51" xfId="6793"/>
    <cellStyle name="Note 3 2 2 5 51 2" xfId="14510"/>
    <cellStyle name="Note 3 2 2 5 51 3" xfId="23503"/>
    <cellStyle name="Note 3 2 2 5 51 4" xfId="31690"/>
    <cellStyle name="Note 3 2 2 5 51 5" xfId="35943"/>
    <cellStyle name="Note 3 2 2 5 51 6" xfId="45355"/>
    <cellStyle name="Note 3 2 2 5 51 7" xfId="52895"/>
    <cellStyle name="Note 3 2 2 5 52" xfId="6907"/>
    <cellStyle name="Note 3 2 2 5 52 2" xfId="14624"/>
    <cellStyle name="Note 3 2 2 5 52 3" xfId="23617"/>
    <cellStyle name="Note 3 2 2 5 52 4" xfId="31804"/>
    <cellStyle name="Note 3 2 2 5 52 5" xfId="35571"/>
    <cellStyle name="Note 3 2 2 5 52 6" xfId="45469"/>
    <cellStyle name="Note 3 2 2 5 52 7" xfId="46945"/>
    <cellStyle name="Note 3 2 2 5 53" xfId="7020"/>
    <cellStyle name="Note 3 2 2 5 53 2" xfId="14737"/>
    <cellStyle name="Note 3 2 2 5 53 3" xfId="23730"/>
    <cellStyle name="Note 3 2 2 5 53 4" xfId="31917"/>
    <cellStyle name="Note 3 2 2 5 53 5" xfId="36240"/>
    <cellStyle name="Note 3 2 2 5 53 6" xfId="45582"/>
    <cellStyle name="Note 3 2 2 5 53 7" xfId="46948"/>
    <cellStyle name="Note 3 2 2 5 54" xfId="7128"/>
    <cellStyle name="Note 3 2 2 5 54 2" xfId="14845"/>
    <cellStyle name="Note 3 2 2 5 54 3" xfId="23838"/>
    <cellStyle name="Note 3 2 2 5 54 4" xfId="32025"/>
    <cellStyle name="Note 3 2 2 5 54 5" xfId="35927"/>
    <cellStyle name="Note 3 2 2 5 54 6" xfId="45690"/>
    <cellStyle name="Note 3 2 2 5 54 7" xfId="52598"/>
    <cellStyle name="Note 3 2 2 5 55" xfId="7378"/>
    <cellStyle name="Note 3 2 2 5 55 2" xfId="15095"/>
    <cellStyle name="Note 3 2 2 5 55 3" xfId="24088"/>
    <cellStyle name="Note 3 2 2 5 55 4" xfId="32275"/>
    <cellStyle name="Note 3 2 2 5 55 5" xfId="27040"/>
    <cellStyle name="Note 3 2 2 5 55 6" xfId="45940"/>
    <cellStyle name="Note 3 2 2 5 55 7" xfId="51820"/>
    <cellStyle name="Note 3 2 2 5 56" xfId="7216"/>
    <cellStyle name="Note 3 2 2 5 56 2" xfId="14933"/>
    <cellStyle name="Note 3 2 2 5 56 3" xfId="23926"/>
    <cellStyle name="Note 3 2 2 5 56 4" xfId="32113"/>
    <cellStyle name="Note 3 2 2 5 56 5" xfId="28106"/>
    <cellStyle name="Note 3 2 2 5 56 6" xfId="45778"/>
    <cellStyle name="Note 3 2 2 5 56 7" xfId="47386"/>
    <cellStyle name="Note 3 2 2 5 57" xfId="7525"/>
    <cellStyle name="Note 3 2 2 5 57 2" xfId="15242"/>
    <cellStyle name="Note 3 2 2 5 57 3" xfId="24235"/>
    <cellStyle name="Note 3 2 2 5 57 4" xfId="32422"/>
    <cellStyle name="Note 3 2 2 5 57 5" xfId="27923"/>
    <cellStyle name="Note 3 2 2 5 57 6" xfId="46087"/>
    <cellStyle name="Note 3 2 2 5 57 7" xfId="49075"/>
    <cellStyle name="Note 3 2 2 5 58" xfId="7646"/>
    <cellStyle name="Note 3 2 2 5 58 2" xfId="15363"/>
    <cellStyle name="Note 3 2 2 5 58 3" xfId="24356"/>
    <cellStyle name="Note 3 2 2 5 58 4" xfId="32543"/>
    <cellStyle name="Note 3 2 2 5 58 5" xfId="35700"/>
    <cellStyle name="Note 3 2 2 5 58 6" xfId="46208"/>
    <cellStyle name="Note 3 2 2 5 58 7" xfId="51199"/>
    <cellStyle name="Note 3 2 2 5 59" xfId="7925"/>
    <cellStyle name="Note 3 2 2 5 59 2" xfId="15642"/>
    <cellStyle name="Note 3 2 2 5 59 3" xfId="24629"/>
    <cellStyle name="Note 3 2 2 5 59 4" xfId="32822"/>
    <cellStyle name="Note 3 2 2 5 59 5" xfId="35280"/>
    <cellStyle name="Note 3 2 2 5 59 6" xfId="46487"/>
    <cellStyle name="Note 3 2 2 5 59 7" xfId="50520"/>
    <cellStyle name="Note 3 2 2 5 6" xfId="1548"/>
    <cellStyle name="Note 3 2 2 5 6 2" xfId="9371"/>
    <cellStyle name="Note 3 2 2 5 6 3" xfId="16799"/>
    <cellStyle name="Note 3 2 2 5 6 4" xfId="20084"/>
    <cellStyle name="Note 3 2 2 5 6 5" xfId="27829"/>
    <cellStyle name="Note 3 2 2 5 6 6" xfId="37106"/>
    <cellStyle name="Note 3 2 2 5 6 7" xfId="46995"/>
    <cellStyle name="Note 3 2 2 5 60" xfId="7794"/>
    <cellStyle name="Note 3 2 2 5 60 2" xfId="15511"/>
    <cellStyle name="Note 3 2 2 5 60 3" xfId="24499"/>
    <cellStyle name="Note 3 2 2 5 60 4" xfId="32691"/>
    <cellStyle name="Note 3 2 2 5 60 5" xfId="33246"/>
    <cellStyle name="Note 3 2 2 5 60 6" xfId="46356"/>
    <cellStyle name="Note 3 2 2 5 60 7" xfId="47242"/>
    <cellStyle name="Note 3 2 2 5 61" xfId="8053"/>
    <cellStyle name="Note 3 2 2 5 61 2" xfId="15770"/>
    <cellStyle name="Note 3 2 2 5 61 3" xfId="24755"/>
    <cellStyle name="Note 3 2 2 5 61 4" xfId="32950"/>
    <cellStyle name="Note 3 2 2 5 61 5" xfId="35755"/>
    <cellStyle name="Note 3 2 2 5 61 6" xfId="46615"/>
    <cellStyle name="Note 3 2 2 5 61 7" xfId="51649"/>
    <cellStyle name="Note 3 2 2 5 62" xfId="7727"/>
    <cellStyle name="Note 3 2 2 5 62 2" xfId="15444"/>
    <cellStyle name="Note 3 2 2 5 62 3" xfId="24435"/>
    <cellStyle name="Note 3 2 2 5 62 4" xfId="32624"/>
    <cellStyle name="Note 3 2 2 5 62 5" xfId="35258"/>
    <cellStyle name="Note 3 2 2 5 62 6" xfId="46289"/>
    <cellStyle name="Note 3 2 2 5 62 7" xfId="48939"/>
    <cellStyle name="Note 3 2 2 5 63" xfId="8198"/>
    <cellStyle name="Note 3 2 2 5 63 2" xfId="15915"/>
    <cellStyle name="Note 3 2 2 5 63 3" xfId="33095"/>
    <cellStyle name="Note 3 2 2 5 63 4" xfId="27637"/>
    <cellStyle name="Note 3 2 2 5 63 5" xfId="46760"/>
    <cellStyle name="Note 3 2 2 5 63 6" xfId="46856"/>
    <cellStyle name="Note 3 2 2 5 64" xfId="19633"/>
    <cellStyle name="Note 3 2 2 5 65" xfId="28754"/>
    <cellStyle name="Note 3 2 2 5 66" xfId="37965"/>
    <cellStyle name="Note 3 2 2 5 67" xfId="49539"/>
    <cellStyle name="Note 3 2 2 5 7" xfId="1095"/>
    <cellStyle name="Note 3 2 2 5 7 2" xfId="8919"/>
    <cellStyle name="Note 3 2 2 5 7 3" xfId="16347"/>
    <cellStyle name="Note 3 2 2 5 7 4" xfId="25012"/>
    <cellStyle name="Note 3 2 2 5 7 5" xfId="33364"/>
    <cellStyle name="Note 3 2 2 5 7 6" xfId="37338"/>
    <cellStyle name="Note 3 2 2 5 7 7" xfId="50822"/>
    <cellStyle name="Note 3 2 2 5 8" xfId="1787"/>
    <cellStyle name="Note 3 2 2 5 8 2" xfId="9610"/>
    <cellStyle name="Note 3 2 2 5 8 3" xfId="17038"/>
    <cellStyle name="Note 3 2 2 5 8 4" xfId="25842"/>
    <cellStyle name="Note 3 2 2 5 8 5" xfId="34428"/>
    <cellStyle name="Note 3 2 2 5 8 6" xfId="42294"/>
    <cellStyle name="Note 3 2 2 5 8 7" xfId="52657"/>
    <cellStyle name="Note 3 2 2 5 9" xfId="1919"/>
    <cellStyle name="Note 3 2 2 5 9 2" xfId="9742"/>
    <cellStyle name="Note 3 2 2 5 9 3" xfId="17170"/>
    <cellStyle name="Note 3 2 2 5 9 4" xfId="19835"/>
    <cellStyle name="Note 3 2 2 5 9 5" xfId="28254"/>
    <cellStyle name="Note 3 2 2 5 9 6" xfId="36375"/>
    <cellStyle name="Note 3 2 2 5 9 7" xfId="46967"/>
    <cellStyle name="Note 3 2 2 50" xfId="5103"/>
    <cellStyle name="Note 3 2 2 50 2" xfId="12820"/>
    <cellStyle name="Note 3 2 2 50 3" xfId="21813"/>
    <cellStyle name="Note 3 2 2 50 4" xfId="30000"/>
    <cellStyle name="Note 3 2 2 50 5" xfId="34749"/>
    <cellStyle name="Note 3 2 2 50 6" xfId="43665"/>
    <cellStyle name="Note 3 2 2 50 7" xfId="50673"/>
    <cellStyle name="Note 3 2 2 51" xfId="6108"/>
    <cellStyle name="Note 3 2 2 51 2" xfId="13825"/>
    <cellStyle name="Note 3 2 2 51 3" xfId="22818"/>
    <cellStyle name="Note 3 2 2 51 4" xfId="31005"/>
    <cellStyle name="Note 3 2 2 51 5" xfId="35076"/>
    <cellStyle name="Note 3 2 2 51 6" xfId="44670"/>
    <cellStyle name="Note 3 2 2 51 7" xfId="50511"/>
    <cellStyle name="Note 3 2 2 52" xfId="5322"/>
    <cellStyle name="Note 3 2 2 52 2" xfId="13039"/>
    <cellStyle name="Note 3 2 2 52 3" xfId="22032"/>
    <cellStyle name="Note 3 2 2 52 4" xfId="30219"/>
    <cellStyle name="Note 3 2 2 52 5" xfId="33686"/>
    <cellStyle name="Note 3 2 2 52 6" xfId="43884"/>
    <cellStyle name="Note 3 2 2 52 7" xfId="47584"/>
    <cellStyle name="Note 3 2 2 53" xfId="6018"/>
    <cellStyle name="Note 3 2 2 53 2" xfId="13735"/>
    <cellStyle name="Note 3 2 2 53 3" xfId="22728"/>
    <cellStyle name="Note 3 2 2 53 4" xfId="30915"/>
    <cellStyle name="Note 3 2 2 53 5" xfId="35618"/>
    <cellStyle name="Note 3 2 2 53 6" xfId="44580"/>
    <cellStyle name="Note 3 2 2 53 7" xfId="52732"/>
    <cellStyle name="Note 3 2 2 54" xfId="5316"/>
    <cellStyle name="Note 3 2 2 54 2" xfId="13033"/>
    <cellStyle name="Note 3 2 2 54 3" xfId="22026"/>
    <cellStyle name="Note 3 2 2 54 4" xfId="30213"/>
    <cellStyle name="Note 3 2 2 54 5" xfId="35818"/>
    <cellStyle name="Note 3 2 2 54 6" xfId="43878"/>
    <cellStyle name="Note 3 2 2 54 7" xfId="52529"/>
    <cellStyle name="Note 3 2 2 55" xfId="6313"/>
    <cellStyle name="Note 3 2 2 55 2" xfId="14030"/>
    <cellStyle name="Note 3 2 2 55 3" xfId="23023"/>
    <cellStyle name="Note 3 2 2 55 4" xfId="31210"/>
    <cellStyle name="Note 3 2 2 55 5" xfId="35930"/>
    <cellStyle name="Note 3 2 2 55 6" xfId="44875"/>
    <cellStyle name="Note 3 2 2 55 7" xfId="52838"/>
    <cellStyle name="Note 3 2 2 56" xfId="6675"/>
    <cellStyle name="Note 3 2 2 56 2" xfId="14392"/>
    <cellStyle name="Note 3 2 2 56 3" xfId="23385"/>
    <cellStyle name="Note 3 2 2 56 4" xfId="31572"/>
    <cellStyle name="Note 3 2 2 56 5" xfId="34935"/>
    <cellStyle name="Note 3 2 2 56 6" xfId="45237"/>
    <cellStyle name="Note 3 2 2 56 7" xfId="50548"/>
    <cellStyle name="Note 3 2 2 57" xfId="5456"/>
    <cellStyle name="Note 3 2 2 57 2" xfId="13173"/>
    <cellStyle name="Note 3 2 2 57 3" xfId="22166"/>
    <cellStyle name="Note 3 2 2 57 4" xfId="30353"/>
    <cellStyle name="Note 3 2 2 57 5" xfId="35918"/>
    <cellStyle name="Note 3 2 2 57 6" xfId="44018"/>
    <cellStyle name="Note 3 2 2 57 7" xfId="53041"/>
    <cellStyle name="Note 3 2 2 58" xfId="5351"/>
    <cellStyle name="Note 3 2 2 58 2" xfId="13068"/>
    <cellStyle name="Note 3 2 2 58 3" xfId="22061"/>
    <cellStyle name="Note 3 2 2 58 4" xfId="30248"/>
    <cellStyle name="Note 3 2 2 58 5" xfId="26855"/>
    <cellStyle name="Note 3 2 2 58 6" xfId="43913"/>
    <cellStyle name="Note 3 2 2 58 7" xfId="47799"/>
    <cellStyle name="Note 3 2 2 59" xfId="6424"/>
    <cellStyle name="Note 3 2 2 59 2" xfId="14141"/>
    <cellStyle name="Note 3 2 2 59 3" xfId="23134"/>
    <cellStyle name="Note 3 2 2 59 4" xfId="31321"/>
    <cellStyle name="Note 3 2 2 59 5" xfId="36187"/>
    <cellStyle name="Note 3 2 2 59 6" xfId="44986"/>
    <cellStyle name="Note 3 2 2 59 7" xfId="53804"/>
    <cellStyle name="Note 3 2 2 6" xfId="561"/>
    <cellStyle name="Note 3 2 2 6 10" xfId="2008"/>
    <cellStyle name="Note 3 2 2 6 10 2" xfId="9831"/>
    <cellStyle name="Note 3 2 2 6 10 3" xfId="17259"/>
    <cellStyle name="Note 3 2 2 6 10 4" xfId="25612"/>
    <cellStyle name="Note 3 2 2 6 10 5" xfId="34124"/>
    <cellStyle name="Note 3 2 2 6 10 6" xfId="41920"/>
    <cellStyle name="Note 3 2 2 6 10 7" xfId="52116"/>
    <cellStyle name="Note 3 2 2 6 11" xfId="2125"/>
    <cellStyle name="Note 3 2 2 6 11 2" xfId="9948"/>
    <cellStyle name="Note 3 2 2 6 11 3" xfId="17376"/>
    <cellStyle name="Note 3 2 2 6 11 4" xfId="25848"/>
    <cellStyle name="Note 3 2 2 6 11 5" xfId="34435"/>
    <cellStyle name="Note 3 2 2 6 11 6" xfId="37630"/>
    <cellStyle name="Note 3 2 2 6 11 7" xfId="52667"/>
    <cellStyle name="Note 3 2 2 6 12" xfId="2239"/>
    <cellStyle name="Note 3 2 2 6 12 2" xfId="10062"/>
    <cellStyle name="Note 3 2 2 6 12 3" xfId="17490"/>
    <cellStyle name="Note 3 2 2 6 12 4" xfId="19408"/>
    <cellStyle name="Note 3 2 2 6 12 5" xfId="27069"/>
    <cellStyle name="Note 3 2 2 6 12 6" xfId="36772"/>
    <cellStyle name="Note 3 2 2 6 12 7" xfId="48910"/>
    <cellStyle name="Note 3 2 2 6 13" xfId="1927"/>
    <cellStyle name="Note 3 2 2 6 13 2" xfId="9750"/>
    <cellStyle name="Note 3 2 2 6 13 3" xfId="17178"/>
    <cellStyle name="Note 3 2 2 6 13 4" xfId="26510"/>
    <cellStyle name="Note 3 2 2 6 13 5" xfId="35306"/>
    <cellStyle name="Note 3 2 2 6 13 6" xfId="41488"/>
    <cellStyle name="Note 3 2 2 6 13 7" xfId="54093"/>
    <cellStyle name="Note 3 2 2 6 14" xfId="2021"/>
    <cellStyle name="Note 3 2 2 6 14 2" xfId="9844"/>
    <cellStyle name="Note 3 2 2 6 14 3" xfId="17272"/>
    <cellStyle name="Note 3 2 2 6 14 4" xfId="20077"/>
    <cellStyle name="Note 3 2 2 6 14 5" xfId="28741"/>
    <cellStyle name="Note 3 2 2 6 14 6" xfId="39575"/>
    <cellStyle name="Note 3 2 2 6 14 7" xfId="50134"/>
    <cellStyle name="Note 3 2 2 6 15" xfId="2536"/>
    <cellStyle name="Note 3 2 2 6 15 2" xfId="10359"/>
    <cellStyle name="Note 3 2 2 6 15 3" xfId="17787"/>
    <cellStyle name="Note 3 2 2 6 15 4" xfId="19040"/>
    <cellStyle name="Note 3 2 2 6 15 5" xfId="33121"/>
    <cellStyle name="Note 3 2 2 6 15 6" xfId="41644"/>
    <cellStyle name="Note 3 2 2 6 15 7" xfId="49812"/>
    <cellStyle name="Note 3 2 2 6 16" xfId="2650"/>
    <cellStyle name="Note 3 2 2 6 16 2" xfId="10473"/>
    <cellStyle name="Note 3 2 2 6 16 3" xfId="17901"/>
    <cellStyle name="Note 3 2 2 6 16 4" xfId="25050"/>
    <cellStyle name="Note 3 2 2 6 16 5" xfId="33410"/>
    <cellStyle name="Note 3 2 2 6 16 6" xfId="36449"/>
    <cellStyle name="Note 3 2 2 6 16 7" xfId="50902"/>
    <cellStyle name="Note 3 2 2 6 17" xfId="2299"/>
    <cellStyle name="Note 3 2 2 6 17 2" xfId="10122"/>
    <cellStyle name="Note 3 2 2 6 17 3" xfId="17550"/>
    <cellStyle name="Note 3 2 2 6 17 4" xfId="19112"/>
    <cellStyle name="Note 3 2 2 6 17 5" xfId="27546"/>
    <cellStyle name="Note 3 2 2 6 17 6" xfId="39498"/>
    <cellStyle name="Note 3 2 2 6 17 7" xfId="49936"/>
    <cellStyle name="Note 3 2 2 6 18" xfId="1201"/>
    <cellStyle name="Note 3 2 2 6 18 2" xfId="9024"/>
    <cellStyle name="Note 3 2 2 6 18 3" xfId="16452"/>
    <cellStyle name="Note 3 2 2 6 18 4" xfId="25503"/>
    <cellStyle name="Note 3 2 2 6 18 5" xfId="33981"/>
    <cellStyle name="Note 3 2 2 6 18 6" xfId="41158"/>
    <cellStyle name="Note 3 2 2 6 18 7" xfId="51878"/>
    <cellStyle name="Note 3 2 2 6 19" xfId="2841"/>
    <cellStyle name="Note 3 2 2 6 19 2" xfId="10664"/>
    <cellStyle name="Note 3 2 2 6 19 3" xfId="18092"/>
    <cellStyle name="Note 3 2 2 6 19 4" xfId="20400"/>
    <cellStyle name="Note 3 2 2 6 19 5" xfId="27465"/>
    <cellStyle name="Note 3 2 2 6 19 6" xfId="39447"/>
    <cellStyle name="Note 3 2 2 6 19 7" xfId="48235"/>
    <cellStyle name="Note 3 2 2 6 2" xfId="709"/>
    <cellStyle name="Note 3 2 2 6 2 2" xfId="8533"/>
    <cellStyle name="Note 3 2 2 6 2 3" xfId="15961"/>
    <cellStyle name="Note 3 2 2 6 2 4" xfId="25930"/>
    <cellStyle name="Note 3 2 2 6 2 5" xfId="34534"/>
    <cellStyle name="Note 3 2 2 6 2 6" xfId="37250"/>
    <cellStyle name="Note 3 2 2 6 2 7" xfId="52851"/>
    <cellStyle name="Note 3 2 2 6 20" xfId="2948"/>
    <cellStyle name="Note 3 2 2 6 20 2" xfId="10771"/>
    <cellStyle name="Note 3 2 2 6 20 3" xfId="18199"/>
    <cellStyle name="Note 3 2 2 6 20 4" xfId="25151"/>
    <cellStyle name="Note 3 2 2 6 20 5" xfId="33528"/>
    <cellStyle name="Note 3 2 2 6 20 6" xfId="39630"/>
    <cellStyle name="Note 3 2 2 6 20 7" xfId="51115"/>
    <cellStyle name="Note 3 2 2 6 21" xfId="3325"/>
    <cellStyle name="Note 3 2 2 6 21 2" xfId="11118"/>
    <cellStyle name="Note 3 2 2 6 21 3" xfId="18446"/>
    <cellStyle name="Note 3 2 2 6 21 4" xfId="19776"/>
    <cellStyle name="Note 3 2 2 6 21 5" xfId="27794"/>
    <cellStyle name="Note 3 2 2 6 21 6" xfId="36885"/>
    <cellStyle name="Note 3 2 2 6 21 7" xfId="49318"/>
    <cellStyle name="Note 3 2 2 6 22" xfId="3444"/>
    <cellStyle name="Note 3 2 2 6 22 2" xfId="11235"/>
    <cellStyle name="Note 3 2 2 6 22 3" xfId="18557"/>
    <cellStyle name="Note 3 2 2 6 22 4" xfId="26041"/>
    <cellStyle name="Note 3 2 2 6 22 5" xfId="34675"/>
    <cellStyle name="Note 3 2 2 6 22 6" xfId="39966"/>
    <cellStyle name="Note 3 2 2 6 22 7" xfId="53076"/>
    <cellStyle name="Note 3 2 2 6 23" xfId="3567"/>
    <cellStyle name="Note 3 2 2 6 23 2" xfId="11356"/>
    <cellStyle name="Note 3 2 2 6 23 3" xfId="18639"/>
    <cellStyle name="Note 3 2 2 6 23 4" xfId="25000"/>
    <cellStyle name="Note 3 2 2 6 23 5" xfId="33351"/>
    <cellStyle name="Note 3 2 2 6 23 6" xfId="36365"/>
    <cellStyle name="Note 3 2 2 6 23 7" xfId="50798"/>
    <cellStyle name="Note 3 2 2 6 24" xfId="3604"/>
    <cellStyle name="Note 3 2 2 6 24 2" xfId="11390"/>
    <cellStyle name="Note 3 2 2 6 24 3" xfId="18664"/>
    <cellStyle name="Note 3 2 2 6 24 4" xfId="25392"/>
    <cellStyle name="Note 3 2 2 6 24 5" xfId="33840"/>
    <cellStyle name="Note 3 2 2 6 24 6" xfId="38785"/>
    <cellStyle name="Note 3 2 2 6 24 7" xfId="51626"/>
    <cellStyle name="Note 3 2 2 6 25" xfId="3717"/>
    <cellStyle name="Note 3 2 2 6 25 2" xfId="11502"/>
    <cellStyle name="Note 3 2 2 6 25 3" xfId="18774"/>
    <cellStyle name="Note 3 2 2 6 25 4" xfId="19721"/>
    <cellStyle name="Note 3 2 2 6 25 5" xfId="28850"/>
    <cellStyle name="Note 3 2 2 6 25 6" xfId="41872"/>
    <cellStyle name="Note 3 2 2 6 25 7" xfId="47891"/>
    <cellStyle name="Note 3 2 2 6 26" xfId="3846"/>
    <cellStyle name="Note 3 2 2 6 26 2" xfId="11628"/>
    <cellStyle name="Note 3 2 2 6 26 3" xfId="18884"/>
    <cellStyle name="Note 3 2 2 6 26 4" xfId="19124"/>
    <cellStyle name="Note 3 2 2 6 26 5" xfId="27518"/>
    <cellStyle name="Note 3 2 2 6 26 6" xfId="36397"/>
    <cellStyle name="Note 3 2 2 6 26 7" xfId="49889"/>
    <cellStyle name="Note 3 2 2 6 27" xfId="3965"/>
    <cellStyle name="Note 3 2 2 6 27 2" xfId="11744"/>
    <cellStyle name="Note 3 2 2 6 27 3" xfId="18993"/>
    <cellStyle name="Note 3 2 2 6 27 4" xfId="26178"/>
    <cellStyle name="Note 3 2 2 6 27 5" xfId="34851"/>
    <cellStyle name="Note 3 2 2 6 27 6" xfId="40279"/>
    <cellStyle name="Note 3 2 2 6 27 7" xfId="53378"/>
    <cellStyle name="Note 3 2 2 6 28" xfId="3756"/>
    <cellStyle name="Note 3 2 2 6 28 2" xfId="11541"/>
    <cellStyle name="Note 3 2 2 6 28 3" xfId="20606"/>
    <cellStyle name="Note 3 2 2 6 28 4" xfId="28756"/>
    <cellStyle name="Note 3 2 2 6 28 5" xfId="35845"/>
    <cellStyle name="Note 3 2 2 6 28 6" xfId="42532"/>
    <cellStyle name="Note 3 2 2 6 28 7" xfId="52640"/>
    <cellStyle name="Note 3 2 2 6 29" xfId="4161"/>
    <cellStyle name="Note 3 2 2 6 29 2" xfId="11920"/>
    <cellStyle name="Note 3 2 2 6 29 3" xfId="20871"/>
    <cellStyle name="Note 3 2 2 6 29 4" xfId="29058"/>
    <cellStyle name="Note 3 2 2 6 29 5" xfId="28498"/>
    <cellStyle name="Note 3 2 2 6 29 6" xfId="42723"/>
    <cellStyle name="Note 3 2 2 6 29 7" xfId="49810"/>
    <cellStyle name="Note 3 2 2 6 3" xfId="818"/>
    <cellStyle name="Note 3 2 2 6 3 2" xfId="8642"/>
    <cellStyle name="Note 3 2 2 6 3 3" xfId="16070"/>
    <cellStyle name="Note 3 2 2 6 3 4" xfId="26492"/>
    <cellStyle name="Note 3 2 2 6 3 5" xfId="35283"/>
    <cellStyle name="Note 3 2 2 6 3 6" xfId="36422"/>
    <cellStyle name="Note 3 2 2 6 3 7" xfId="54058"/>
    <cellStyle name="Note 3 2 2 6 30" xfId="4218"/>
    <cellStyle name="Note 3 2 2 6 30 2" xfId="20928"/>
    <cellStyle name="Note 3 2 2 6 30 3" xfId="29115"/>
    <cellStyle name="Note 3 2 2 6 30 4" xfId="27186"/>
    <cellStyle name="Note 3 2 2 6 30 5" xfId="42780"/>
    <cellStyle name="Note 3 2 2 6 30 6" xfId="50034"/>
    <cellStyle name="Note 3 2 2 6 31" xfId="4359"/>
    <cellStyle name="Note 3 2 2 6 31 2" xfId="12076"/>
    <cellStyle name="Note 3 2 2 6 31 3" xfId="21069"/>
    <cellStyle name="Note 3 2 2 6 31 4" xfId="29256"/>
    <cellStyle name="Note 3 2 2 6 31 5" xfId="35921"/>
    <cellStyle name="Note 3 2 2 6 31 6" xfId="42921"/>
    <cellStyle name="Note 3 2 2 6 31 7" xfId="53047"/>
    <cellStyle name="Note 3 2 2 6 32" xfId="4481"/>
    <cellStyle name="Note 3 2 2 6 32 2" xfId="12198"/>
    <cellStyle name="Note 3 2 2 6 32 3" xfId="21191"/>
    <cellStyle name="Note 3 2 2 6 32 4" xfId="29378"/>
    <cellStyle name="Note 3 2 2 6 32 5" xfId="36006"/>
    <cellStyle name="Note 3 2 2 6 32 6" xfId="43043"/>
    <cellStyle name="Note 3 2 2 6 32 7" xfId="53436"/>
    <cellStyle name="Note 3 2 2 6 33" xfId="4595"/>
    <cellStyle name="Note 3 2 2 6 33 2" xfId="12312"/>
    <cellStyle name="Note 3 2 2 6 33 3" xfId="21305"/>
    <cellStyle name="Note 3 2 2 6 33 4" xfId="29492"/>
    <cellStyle name="Note 3 2 2 6 33 5" xfId="35481"/>
    <cellStyle name="Note 3 2 2 6 33 6" xfId="43157"/>
    <cellStyle name="Note 3 2 2 6 33 7" xfId="50229"/>
    <cellStyle name="Note 3 2 2 6 34" xfId="4708"/>
    <cellStyle name="Note 3 2 2 6 34 2" xfId="12425"/>
    <cellStyle name="Note 3 2 2 6 34 3" xfId="21418"/>
    <cellStyle name="Note 3 2 2 6 34 4" xfId="29605"/>
    <cellStyle name="Note 3 2 2 6 34 5" xfId="36030"/>
    <cellStyle name="Note 3 2 2 6 34 6" xfId="43270"/>
    <cellStyle name="Note 3 2 2 6 34 7" xfId="53553"/>
    <cellStyle name="Note 3 2 2 6 35" xfId="4818"/>
    <cellStyle name="Note 3 2 2 6 35 2" xfId="12535"/>
    <cellStyle name="Note 3 2 2 6 35 3" xfId="21528"/>
    <cellStyle name="Note 3 2 2 6 35 4" xfId="29715"/>
    <cellStyle name="Note 3 2 2 6 35 5" xfId="34984"/>
    <cellStyle name="Note 3 2 2 6 35 6" xfId="43380"/>
    <cellStyle name="Note 3 2 2 6 35 7" xfId="49923"/>
    <cellStyle name="Note 3 2 2 6 36" xfId="4928"/>
    <cellStyle name="Note 3 2 2 6 36 2" xfId="12645"/>
    <cellStyle name="Note 3 2 2 6 36 3" xfId="21638"/>
    <cellStyle name="Note 3 2 2 6 36 4" xfId="29825"/>
    <cellStyle name="Note 3 2 2 6 36 5" xfId="34367"/>
    <cellStyle name="Note 3 2 2 6 36 6" xfId="43490"/>
    <cellStyle name="Note 3 2 2 6 36 7" xfId="46975"/>
    <cellStyle name="Note 3 2 2 6 37" xfId="5038"/>
    <cellStyle name="Note 3 2 2 6 37 2" xfId="12755"/>
    <cellStyle name="Note 3 2 2 6 37 3" xfId="21748"/>
    <cellStyle name="Note 3 2 2 6 37 4" xfId="29935"/>
    <cellStyle name="Note 3 2 2 6 37 5" xfId="27093"/>
    <cellStyle name="Note 3 2 2 6 37 6" xfId="43600"/>
    <cellStyle name="Note 3 2 2 6 37 7" xfId="50222"/>
    <cellStyle name="Note 3 2 2 6 38" xfId="5418"/>
    <cellStyle name="Note 3 2 2 6 38 2" xfId="13135"/>
    <cellStyle name="Note 3 2 2 6 38 3" xfId="22128"/>
    <cellStyle name="Note 3 2 2 6 38 4" xfId="30315"/>
    <cellStyle name="Note 3 2 2 6 38 5" xfId="27682"/>
    <cellStyle name="Note 3 2 2 6 38 6" xfId="43980"/>
    <cellStyle name="Note 3 2 2 6 38 7" xfId="49406"/>
    <cellStyle name="Note 3 2 2 6 39" xfId="5538"/>
    <cellStyle name="Note 3 2 2 6 39 2" xfId="13255"/>
    <cellStyle name="Note 3 2 2 6 39 3" xfId="22248"/>
    <cellStyle name="Note 3 2 2 6 39 4" xfId="30435"/>
    <cellStyle name="Note 3 2 2 6 39 5" xfId="35457"/>
    <cellStyle name="Note 3 2 2 6 39 6" xfId="44100"/>
    <cellStyle name="Note 3 2 2 6 39 7" xfId="46906"/>
    <cellStyle name="Note 3 2 2 6 4" xfId="928"/>
    <cellStyle name="Note 3 2 2 6 4 2" xfId="8752"/>
    <cellStyle name="Note 3 2 2 6 4 3" xfId="16180"/>
    <cellStyle name="Note 3 2 2 6 4 4" xfId="25056"/>
    <cellStyle name="Note 3 2 2 6 4 5" xfId="33416"/>
    <cellStyle name="Note 3 2 2 6 4 6" xfId="37116"/>
    <cellStyle name="Note 3 2 2 6 4 7" xfId="50914"/>
    <cellStyle name="Note 3 2 2 6 40" xfId="5662"/>
    <cellStyle name="Note 3 2 2 6 40 2" xfId="13379"/>
    <cellStyle name="Note 3 2 2 6 40 3" xfId="22372"/>
    <cellStyle name="Note 3 2 2 6 40 4" xfId="30559"/>
    <cellStyle name="Note 3 2 2 6 40 5" xfId="28681"/>
    <cellStyle name="Note 3 2 2 6 40 6" xfId="44224"/>
    <cellStyle name="Note 3 2 2 6 40 7" xfId="47108"/>
    <cellStyle name="Note 3 2 2 6 41" xfId="5778"/>
    <cellStyle name="Note 3 2 2 6 41 2" xfId="13495"/>
    <cellStyle name="Note 3 2 2 6 41 3" xfId="22488"/>
    <cellStyle name="Note 3 2 2 6 41 4" xfId="30675"/>
    <cellStyle name="Note 3 2 2 6 41 5" xfId="27229"/>
    <cellStyle name="Note 3 2 2 6 41 6" xfId="44340"/>
    <cellStyle name="Note 3 2 2 6 41 7" xfId="49243"/>
    <cellStyle name="Note 3 2 2 6 42" xfId="5895"/>
    <cellStyle name="Note 3 2 2 6 42 2" xfId="13612"/>
    <cellStyle name="Note 3 2 2 6 42 3" xfId="22605"/>
    <cellStyle name="Note 3 2 2 6 42 4" xfId="30792"/>
    <cellStyle name="Note 3 2 2 6 42 5" xfId="33963"/>
    <cellStyle name="Note 3 2 2 6 42 6" xfId="44457"/>
    <cellStyle name="Note 3 2 2 6 42 7" xfId="49512"/>
    <cellStyle name="Note 3 2 2 6 43" xfId="6023"/>
    <cellStyle name="Note 3 2 2 6 43 2" xfId="13740"/>
    <cellStyle name="Note 3 2 2 6 43 3" xfId="22733"/>
    <cellStyle name="Note 3 2 2 6 43 4" xfId="30920"/>
    <cellStyle name="Note 3 2 2 6 43 5" xfId="35810"/>
    <cellStyle name="Note 3 2 2 6 43 6" xfId="44585"/>
    <cellStyle name="Note 3 2 2 6 43 7" xfId="47671"/>
    <cellStyle name="Note 3 2 2 6 44" xfId="6117"/>
    <cellStyle name="Note 3 2 2 6 44 2" xfId="13834"/>
    <cellStyle name="Note 3 2 2 6 44 3" xfId="22827"/>
    <cellStyle name="Note 3 2 2 6 44 4" xfId="31014"/>
    <cellStyle name="Note 3 2 2 6 44 5" xfId="28539"/>
    <cellStyle name="Note 3 2 2 6 44 6" xfId="44679"/>
    <cellStyle name="Note 3 2 2 6 44 7" xfId="49370"/>
    <cellStyle name="Note 3 2 2 6 45" xfId="6150"/>
    <cellStyle name="Note 3 2 2 6 45 2" xfId="13867"/>
    <cellStyle name="Note 3 2 2 6 45 3" xfId="22860"/>
    <cellStyle name="Note 3 2 2 6 45 4" xfId="31047"/>
    <cellStyle name="Note 3 2 2 6 45 5" xfId="36060"/>
    <cellStyle name="Note 3 2 2 6 45 6" xfId="44712"/>
    <cellStyle name="Note 3 2 2 6 45 7" xfId="53303"/>
    <cellStyle name="Note 3 2 2 6 46" xfId="6279"/>
    <cellStyle name="Note 3 2 2 6 46 2" xfId="13996"/>
    <cellStyle name="Note 3 2 2 6 46 3" xfId="22989"/>
    <cellStyle name="Note 3 2 2 6 46 4" xfId="31176"/>
    <cellStyle name="Note 3 2 2 6 46 5" xfId="34774"/>
    <cellStyle name="Note 3 2 2 6 46 6" xfId="44841"/>
    <cellStyle name="Note 3 2 2 6 46 7" xfId="49756"/>
    <cellStyle name="Note 3 2 2 6 47" xfId="6394"/>
    <cellStyle name="Note 3 2 2 6 47 2" xfId="14111"/>
    <cellStyle name="Note 3 2 2 6 47 3" xfId="23104"/>
    <cellStyle name="Note 3 2 2 6 47 4" xfId="31291"/>
    <cellStyle name="Note 3 2 2 6 47 5" xfId="28551"/>
    <cellStyle name="Note 3 2 2 6 47 6" xfId="44956"/>
    <cellStyle name="Note 3 2 2 6 47 7" xfId="50537"/>
    <cellStyle name="Note 3 2 2 6 48" xfId="6506"/>
    <cellStyle name="Note 3 2 2 6 48 2" xfId="14223"/>
    <cellStyle name="Note 3 2 2 6 48 3" xfId="23216"/>
    <cellStyle name="Note 3 2 2 6 48 4" xfId="31403"/>
    <cellStyle name="Note 3 2 2 6 48 5" xfId="36075"/>
    <cellStyle name="Note 3 2 2 6 48 6" xfId="45068"/>
    <cellStyle name="Note 3 2 2 6 48 7" xfId="53406"/>
    <cellStyle name="Note 3 2 2 6 49" xfId="5366"/>
    <cellStyle name="Note 3 2 2 6 49 2" xfId="13083"/>
    <cellStyle name="Note 3 2 2 6 49 3" xfId="22076"/>
    <cellStyle name="Note 3 2 2 6 49 4" xfId="30263"/>
    <cellStyle name="Note 3 2 2 6 49 5" xfId="33850"/>
    <cellStyle name="Note 3 2 2 6 49 6" xfId="43928"/>
    <cellStyle name="Note 3 2 2 6 49 7" xfId="48504"/>
    <cellStyle name="Note 3 2 2 6 5" xfId="1396"/>
    <cellStyle name="Note 3 2 2 6 5 2" xfId="9219"/>
    <cellStyle name="Note 3 2 2 6 5 3" xfId="16647"/>
    <cellStyle name="Note 3 2 2 6 5 4" xfId="20437"/>
    <cellStyle name="Note 3 2 2 6 5 5" xfId="33137"/>
    <cellStyle name="Note 3 2 2 6 5 6" xfId="37425"/>
    <cellStyle name="Note 3 2 2 6 5 7" xfId="50404"/>
    <cellStyle name="Note 3 2 2 6 50" xfId="6653"/>
    <cellStyle name="Note 3 2 2 6 50 2" xfId="14370"/>
    <cellStyle name="Note 3 2 2 6 50 3" xfId="23363"/>
    <cellStyle name="Note 3 2 2 6 50 4" xfId="31550"/>
    <cellStyle name="Note 3 2 2 6 50 5" xfId="35953"/>
    <cellStyle name="Note 3 2 2 6 50 6" xfId="45215"/>
    <cellStyle name="Note 3 2 2 6 50 7" xfId="52941"/>
    <cellStyle name="Note 3 2 2 6 51" xfId="6764"/>
    <cellStyle name="Note 3 2 2 6 51 2" xfId="14481"/>
    <cellStyle name="Note 3 2 2 6 51 3" xfId="23474"/>
    <cellStyle name="Note 3 2 2 6 51 4" xfId="31661"/>
    <cellStyle name="Note 3 2 2 6 51 5" xfId="27547"/>
    <cellStyle name="Note 3 2 2 6 51 6" xfId="45326"/>
    <cellStyle name="Note 3 2 2 6 51 7" xfId="49816"/>
    <cellStyle name="Note 3 2 2 6 52" xfId="6879"/>
    <cellStyle name="Note 3 2 2 6 52 2" xfId="14596"/>
    <cellStyle name="Note 3 2 2 6 52 3" xfId="23589"/>
    <cellStyle name="Note 3 2 2 6 52 4" xfId="31776"/>
    <cellStyle name="Note 3 2 2 6 52 5" xfId="33237"/>
    <cellStyle name="Note 3 2 2 6 52 6" xfId="45441"/>
    <cellStyle name="Note 3 2 2 6 52 7" xfId="46886"/>
    <cellStyle name="Note 3 2 2 6 53" xfId="6992"/>
    <cellStyle name="Note 3 2 2 6 53 2" xfId="14709"/>
    <cellStyle name="Note 3 2 2 6 53 3" xfId="23702"/>
    <cellStyle name="Note 3 2 2 6 53 4" xfId="31889"/>
    <cellStyle name="Note 3 2 2 6 53 5" xfId="36244"/>
    <cellStyle name="Note 3 2 2 6 53 6" xfId="45554"/>
    <cellStyle name="Note 3 2 2 6 53 7" xfId="54547"/>
    <cellStyle name="Note 3 2 2 6 54" xfId="7102"/>
    <cellStyle name="Note 3 2 2 6 54 2" xfId="14819"/>
    <cellStyle name="Note 3 2 2 6 54 3" xfId="23812"/>
    <cellStyle name="Note 3 2 2 6 54 4" xfId="31999"/>
    <cellStyle name="Note 3 2 2 6 54 5" xfId="28565"/>
    <cellStyle name="Note 3 2 2 6 54 6" xfId="45664"/>
    <cellStyle name="Note 3 2 2 6 54 7" xfId="48869"/>
    <cellStyle name="Note 3 2 2 6 55" xfId="7174"/>
    <cellStyle name="Note 3 2 2 6 55 2" xfId="14891"/>
    <cellStyle name="Note 3 2 2 6 55 3" xfId="23884"/>
    <cellStyle name="Note 3 2 2 6 55 4" xfId="32071"/>
    <cellStyle name="Note 3 2 2 6 55 5" xfId="35039"/>
    <cellStyle name="Note 3 2 2 6 55 6" xfId="45736"/>
    <cellStyle name="Note 3 2 2 6 55 7" xfId="54273"/>
    <cellStyle name="Note 3 2 2 6 56" xfId="7367"/>
    <cellStyle name="Note 3 2 2 6 56 2" xfId="15084"/>
    <cellStyle name="Note 3 2 2 6 56 3" xfId="24077"/>
    <cellStyle name="Note 3 2 2 6 56 4" xfId="32264"/>
    <cellStyle name="Note 3 2 2 6 56 5" xfId="34945"/>
    <cellStyle name="Note 3 2 2 6 56 6" xfId="45929"/>
    <cellStyle name="Note 3 2 2 6 56 7" xfId="48938"/>
    <cellStyle name="Note 3 2 2 6 57" xfId="7499"/>
    <cellStyle name="Note 3 2 2 6 57 2" xfId="15216"/>
    <cellStyle name="Note 3 2 2 6 57 3" xfId="24209"/>
    <cellStyle name="Note 3 2 2 6 57 4" xfId="32396"/>
    <cellStyle name="Note 3 2 2 6 57 5" xfId="27164"/>
    <cellStyle name="Note 3 2 2 6 57 6" xfId="46061"/>
    <cellStyle name="Note 3 2 2 6 57 7" xfId="50416"/>
    <cellStyle name="Note 3 2 2 6 58" xfId="7620"/>
    <cellStyle name="Note 3 2 2 6 58 2" xfId="15337"/>
    <cellStyle name="Note 3 2 2 6 58 3" xfId="24330"/>
    <cellStyle name="Note 3 2 2 6 58 4" xfId="32517"/>
    <cellStyle name="Note 3 2 2 6 58 5" xfId="33627"/>
    <cellStyle name="Note 3 2 2 6 58 6" xfId="46182"/>
    <cellStyle name="Note 3 2 2 6 58 7" xfId="54198"/>
    <cellStyle name="Note 3 2 2 6 59" xfId="7897"/>
    <cellStyle name="Note 3 2 2 6 59 2" xfId="15614"/>
    <cellStyle name="Note 3 2 2 6 59 3" xfId="24601"/>
    <cellStyle name="Note 3 2 2 6 59 4" xfId="32794"/>
    <cellStyle name="Note 3 2 2 6 59 5" xfId="36115"/>
    <cellStyle name="Note 3 2 2 6 59 6" xfId="46459"/>
    <cellStyle name="Note 3 2 2 6 59 7" xfId="53369"/>
    <cellStyle name="Note 3 2 2 6 6" xfId="1519"/>
    <cellStyle name="Note 3 2 2 6 6 2" xfId="9342"/>
    <cellStyle name="Note 3 2 2 6 6 3" xfId="16770"/>
    <cellStyle name="Note 3 2 2 6 6 4" xfId="19662"/>
    <cellStyle name="Note 3 2 2 6 6 5" xfId="26774"/>
    <cellStyle name="Note 3 2 2 6 6 6" xfId="39273"/>
    <cellStyle name="Note 3 2 2 6 6 7" xfId="50372"/>
    <cellStyle name="Note 3 2 2 6 60" xfId="7784"/>
    <cellStyle name="Note 3 2 2 6 60 2" xfId="15501"/>
    <cellStyle name="Note 3 2 2 6 60 3" xfId="24490"/>
    <cellStyle name="Note 3 2 2 6 60 4" xfId="32681"/>
    <cellStyle name="Note 3 2 2 6 60 5" xfId="27250"/>
    <cellStyle name="Note 3 2 2 6 60 6" xfId="46346"/>
    <cellStyle name="Note 3 2 2 6 60 7" xfId="49402"/>
    <cellStyle name="Note 3 2 2 6 61" xfId="8025"/>
    <cellStyle name="Note 3 2 2 6 61 2" xfId="15742"/>
    <cellStyle name="Note 3 2 2 6 61 3" xfId="24727"/>
    <cellStyle name="Note 3 2 2 6 61 4" xfId="32922"/>
    <cellStyle name="Note 3 2 2 6 61 5" xfId="27199"/>
    <cellStyle name="Note 3 2 2 6 61 6" xfId="46587"/>
    <cellStyle name="Note 3 2 2 6 61 7" xfId="48358"/>
    <cellStyle name="Note 3 2 2 6 62" xfId="7741"/>
    <cellStyle name="Note 3 2 2 6 62 2" xfId="15458"/>
    <cellStyle name="Note 3 2 2 6 62 3" xfId="24449"/>
    <cellStyle name="Note 3 2 2 6 62 4" xfId="32638"/>
    <cellStyle name="Note 3 2 2 6 62 5" xfId="26730"/>
    <cellStyle name="Note 3 2 2 6 62 6" xfId="46303"/>
    <cellStyle name="Note 3 2 2 6 62 7" xfId="54282"/>
    <cellStyle name="Note 3 2 2 6 63" xfId="8172"/>
    <cellStyle name="Note 3 2 2 6 63 2" xfId="15889"/>
    <cellStyle name="Note 3 2 2 6 63 3" xfId="33069"/>
    <cellStyle name="Note 3 2 2 6 63 4" xfId="35575"/>
    <cellStyle name="Note 3 2 2 6 63 5" xfId="46734"/>
    <cellStyle name="Note 3 2 2 6 63 6" xfId="48225"/>
    <cellStyle name="Note 3 2 2 6 64" xfId="26069"/>
    <cellStyle name="Note 3 2 2 6 65" xfId="34714"/>
    <cellStyle name="Note 3 2 2 6 66" xfId="36303"/>
    <cellStyle name="Note 3 2 2 6 67" xfId="53144"/>
    <cellStyle name="Note 3 2 2 6 7" xfId="1303"/>
    <cellStyle name="Note 3 2 2 6 7 2" xfId="9126"/>
    <cellStyle name="Note 3 2 2 6 7 3" xfId="16554"/>
    <cellStyle name="Note 3 2 2 6 7 4" xfId="26410"/>
    <cellStyle name="Note 3 2 2 6 7 5" xfId="35169"/>
    <cellStyle name="Note 3 2 2 6 7 6" xfId="38007"/>
    <cellStyle name="Note 3 2 2 6 7 7" xfId="53875"/>
    <cellStyle name="Note 3 2 2 6 8" xfId="1756"/>
    <cellStyle name="Note 3 2 2 6 8 2" xfId="9579"/>
    <cellStyle name="Note 3 2 2 6 8 3" xfId="17007"/>
    <cellStyle name="Note 3 2 2 6 8 4" xfId="24916"/>
    <cellStyle name="Note 3 2 2 6 8 5" xfId="33240"/>
    <cellStyle name="Note 3 2 2 6 8 6" xfId="38947"/>
    <cellStyle name="Note 3 2 2 6 8 7" xfId="50600"/>
    <cellStyle name="Note 3 2 2 6 9" xfId="1889"/>
    <cellStyle name="Note 3 2 2 6 9 2" xfId="9712"/>
    <cellStyle name="Note 3 2 2 6 9 3" xfId="17140"/>
    <cellStyle name="Note 3 2 2 6 9 4" xfId="19191"/>
    <cellStyle name="Note 3 2 2 6 9 5" xfId="26971"/>
    <cellStyle name="Note 3 2 2 6 9 6" xfId="37753"/>
    <cellStyle name="Note 3 2 2 6 9 7" xfId="49146"/>
    <cellStyle name="Note 3 2 2 60" xfId="7273"/>
    <cellStyle name="Note 3 2 2 60 2" xfId="14990"/>
    <cellStyle name="Note 3 2 2 60 3" xfId="23983"/>
    <cellStyle name="Note 3 2 2 60 4" xfId="32170"/>
    <cellStyle name="Note 3 2 2 60 5" xfId="35869"/>
    <cellStyle name="Note 3 2 2 60 6" xfId="45835"/>
    <cellStyle name="Note 3 2 2 60 7" xfId="47676"/>
    <cellStyle name="Note 3 2 2 61" xfId="7253"/>
    <cellStyle name="Note 3 2 2 61 2" xfId="14970"/>
    <cellStyle name="Note 3 2 2 61 3" xfId="23963"/>
    <cellStyle name="Note 3 2 2 61 4" xfId="32150"/>
    <cellStyle name="Note 3 2 2 61 5" xfId="27894"/>
    <cellStyle name="Note 3 2 2 61 6" xfId="45815"/>
    <cellStyle name="Note 3 2 2 61 7" xfId="54377"/>
    <cellStyle name="Note 3 2 2 62" xfId="7400"/>
    <cellStyle name="Note 3 2 2 62 2" xfId="15117"/>
    <cellStyle name="Note 3 2 2 62 3" xfId="24110"/>
    <cellStyle name="Note 3 2 2 62 4" xfId="32297"/>
    <cellStyle name="Note 3 2 2 62 5" xfId="36111"/>
    <cellStyle name="Note 3 2 2 62 6" xfId="45962"/>
    <cellStyle name="Note 3 2 2 62 7" xfId="53359"/>
    <cellStyle name="Note 3 2 2 63" xfId="7540"/>
    <cellStyle name="Note 3 2 2 63 2" xfId="15257"/>
    <cellStyle name="Note 3 2 2 63 3" xfId="24250"/>
    <cellStyle name="Note 3 2 2 63 4" xfId="32437"/>
    <cellStyle name="Note 3 2 2 63 5" xfId="36107"/>
    <cellStyle name="Note 3 2 2 63 6" xfId="46102"/>
    <cellStyle name="Note 3 2 2 63 7" xfId="53347"/>
    <cellStyle name="Note 3 2 2 64" xfId="7742"/>
    <cellStyle name="Note 3 2 2 64 2" xfId="15459"/>
    <cellStyle name="Note 3 2 2 64 3" xfId="24450"/>
    <cellStyle name="Note 3 2 2 64 4" xfId="32639"/>
    <cellStyle name="Note 3 2 2 64 5" xfId="27324"/>
    <cellStyle name="Note 3 2 2 64 6" xfId="46304"/>
    <cellStyle name="Note 3 2 2 64 7" xfId="54172"/>
    <cellStyle name="Note 3 2 2 65" xfId="7744"/>
    <cellStyle name="Note 3 2 2 65 2" xfId="15461"/>
    <cellStyle name="Note 3 2 2 65 3" xfId="24452"/>
    <cellStyle name="Note 3 2 2 65 4" xfId="32641"/>
    <cellStyle name="Note 3 2 2 65 5" xfId="27202"/>
    <cellStyle name="Note 3 2 2 65 6" xfId="46306"/>
    <cellStyle name="Note 3 2 2 65 7" xfId="53794"/>
    <cellStyle name="Note 3 2 2 66" xfId="7766"/>
    <cellStyle name="Note 3 2 2 66 2" xfId="15483"/>
    <cellStyle name="Note 3 2 2 66 3" xfId="24472"/>
    <cellStyle name="Note 3 2 2 66 4" xfId="32663"/>
    <cellStyle name="Note 3 2 2 66 5" xfId="34307"/>
    <cellStyle name="Note 3 2 2 66 6" xfId="46328"/>
    <cellStyle name="Note 3 2 2 66 7" xfId="51381"/>
    <cellStyle name="Note 3 2 2 67" xfId="7687"/>
    <cellStyle name="Note 3 2 2 67 2" xfId="15404"/>
    <cellStyle name="Note 3 2 2 67 3" xfId="24395"/>
    <cellStyle name="Note 3 2 2 67 4" xfId="32584"/>
    <cellStyle name="Note 3 2 2 67 5" xfId="36090"/>
    <cellStyle name="Note 3 2 2 67 6" xfId="46249"/>
    <cellStyle name="Note 3 2 2 67 7" xfId="53282"/>
    <cellStyle name="Note 3 2 2 68" xfId="7652"/>
    <cellStyle name="Note 3 2 2 68 2" xfId="15369"/>
    <cellStyle name="Note 3 2 2 68 3" xfId="32549"/>
    <cellStyle name="Note 3 2 2 68 4" xfId="35413"/>
    <cellStyle name="Note 3 2 2 68 5" xfId="46214"/>
    <cellStyle name="Note 3 2 2 68 6" xfId="50681"/>
    <cellStyle name="Note 3 2 2 69" xfId="26368"/>
    <cellStyle name="Note 3 2 2 7" xfId="608"/>
    <cellStyle name="Note 3 2 2 7 2" xfId="8432"/>
    <cellStyle name="Note 3 2 2 7 3" xfId="8355"/>
    <cellStyle name="Note 3 2 2 7 4" xfId="20687"/>
    <cellStyle name="Note 3 2 2 7 5" xfId="28495"/>
    <cellStyle name="Note 3 2 2 7 6" xfId="36969"/>
    <cellStyle name="Note 3 2 2 7 7" xfId="47871"/>
    <cellStyle name="Note 3 2 2 70" xfId="35103"/>
    <cellStyle name="Note 3 2 2 71" xfId="36946"/>
    <cellStyle name="Note 3 2 2 72" xfId="53781"/>
    <cellStyle name="Note 3 2 2 8" xfId="631"/>
    <cellStyle name="Note 3 2 2 8 2" xfId="8455"/>
    <cellStyle name="Note 3 2 2 8 3" xfId="8303"/>
    <cellStyle name="Note 3 2 2 8 4" xfId="19703"/>
    <cellStyle name="Note 3 2 2 8 5" xfId="27715"/>
    <cellStyle name="Note 3 2 2 8 6" xfId="37103"/>
    <cellStyle name="Note 3 2 2 8 7" xfId="48384"/>
    <cellStyle name="Note 3 2 2 9" xfId="217"/>
    <cellStyle name="Note 3 2 2 9 2" xfId="8322"/>
    <cellStyle name="Note 3 2 2 9 3" xfId="8357"/>
    <cellStyle name="Note 3 2 2 9 4" xfId="25286"/>
    <cellStyle name="Note 3 2 2 9 5" xfId="33698"/>
    <cellStyle name="Note 3 2 2 9 6" xfId="37638"/>
    <cellStyle name="Note 3 2 2 9 7" xfId="51398"/>
    <cellStyle name="Note 3 2 20" xfId="3185"/>
    <cellStyle name="Note 3 2 20 2" xfId="10986"/>
    <cellStyle name="Note 3 2 20 3" xfId="20313"/>
    <cellStyle name="Note 3 2 20 4" xfId="28405"/>
    <cellStyle name="Note 3 2 20 5" xfId="28187"/>
    <cellStyle name="Note 3 2 20 6" xfId="42428"/>
    <cellStyle name="Note 3 2 20 7" xfId="49605"/>
    <cellStyle name="Note 3 2 21" xfId="3117"/>
    <cellStyle name="Note 3 2 21 2" xfId="10922"/>
    <cellStyle name="Note 3 2 21 3" xfId="20264"/>
    <cellStyle name="Note 3 2 21 4" xfId="28359"/>
    <cellStyle name="Note 3 2 21 5" xfId="28230"/>
    <cellStyle name="Note 3 2 21 6" xfId="42402"/>
    <cellStyle name="Note 3 2 21 7" xfId="48866"/>
    <cellStyle name="Note 3 2 22" xfId="3016"/>
    <cellStyle name="Note 3 2 22 2" xfId="10832"/>
    <cellStyle name="Note 3 2 22 3" xfId="20190"/>
    <cellStyle name="Note 3 2 22 4" xfId="28280"/>
    <cellStyle name="Note 3 2 22 5" xfId="35631"/>
    <cellStyle name="Note 3 2 22 6" xfId="42355"/>
    <cellStyle name="Note 3 2 22 7" xfId="51632"/>
    <cellStyle name="Note 3 2 23" xfId="4514"/>
    <cellStyle name="Note 3 2 23 2" xfId="12231"/>
    <cellStyle name="Note 3 2 23 3" xfId="21224"/>
    <cellStyle name="Note 3 2 23 4" xfId="29411"/>
    <cellStyle name="Note 3 2 23 5" xfId="34045"/>
    <cellStyle name="Note 3 2 23 6" xfId="43076"/>
    <cellStyle name="Note 3 2 23 7" xfId="49628"/>
    <cellStyle name="Note 3 2 24" xfId="5245"/>
    <cellStyle name="Note 3 2 24 2" xfId="12962"/>
    <cellStyle name="Note 3 2 24 3" xfId="21955"/>
    <cellStyle name="Note 3 2 24 4" xfId="30142"/>
    <cellStyle name="Note 3 2 24 5" xfId="35784"/>
    <cellStyle name="Note 3 2 24 6" xfId="43807"/>
    <cellStyle name="Note 3 2 24 7" xfId="52397"/>
    <cellStyle name="Note 3 2 25" xfId="5247"/>
    <cellStyle name="Note 3 2 25 2" xfId="12964"/>
    <cellStyle name="Note 3 2 25 3" xfId="21957"/>
    <cellStyle name="Note 3 2 25 4" xfId="30144"/>
    <cellStyle name="Note 3 2 25 5" xfId="35736"/>
    <cellStyle name="Note 3 2 25 6" xfId="43809"/>
    <cellStyle name="Note 3 2 25 7" xfId="52166"/>
    <cellStyle name="Note 3 2 26" xfId="5360"/>
    <cellStyle name="Note 3 2 26 2" xfId="13077"/>
    <cellStyle name="Note 3 2 26 3" xfId="22070"/>
    <cellStyle name="Note 3 2 26 4" xfId="30257"/>
    <cellStyle name="Note 3 2 26 5" xfId="27478"/>
    <cellStyle name="Note 3 2 26 6" xfId="43922"/>
    <cellStyle name="Note 3 2 26 7" xfId="50767"/>
    <cellStyle name="Note 3 2 27" xfId="5377"/>
    <cellStyle name="Note 3 2 27 2" xfId="13094"/>
    <cellStyle name="Note 3 2 27 3" xfId="22087"/>
    <cellStyle name="Note 3 2 27 4" xfId="30274"/>
    <cellStyle name="Note 3 2 27 5" xfId="36036"/>
    <cellStyle name="Note 3 2 27 6" xfId="43939"/>
    <cellStyle name="Note 3 2 27 7" xfId="53588"/>
    <cellStyle name="Note 3 2 28" xfId="5170"/>
    <cellStyle name="Note 3 2 28 2" xfId="12887"/>
    <cellStyle name="Note 3 2 28 3" xfId="21880"/>
    <cellStyle name="Note 3 2 28 4" xfId="30067"/>
    <cellStyle name="Note 3 2 28 5" xfId="35754"/>
    <cellStyle name="Note 3 2 28 6" xfId="43732"/>
    <cellStyle name="Note 3 2 28 7" xfId="52270"/>
    <cellStyle name="Note 3 2 29" xfId="6066"/>
    <cellStyle name="Note 3 2 29 2" xfId="13783"/>
    <cellStyle name="Note 3 2 29 3" xfId="22776"/>
    <cellStyle name="Note 3 2 29 4" xfId="30963"/>
    <cellStyle name="Note 3 2 29 5" xfId="35640"/>
    <cellStyle name="Note 3 2 29 6" xfId="44628"/>
    <cellStyle name="Note 3 2 29 7" xfId="50801"/>
    <cellStyle name="Note 3 2 3" xfId="526"/>
    <cellStyle name="Note 3 2 3 10" xfId="1973"/>
    <cellStyle name="Note 3 2 3 10 2" xfId="9796"/>
    <cellStyle name="Note 3 2 3 10 3" xfId="17224"/>
    <cellStyle name="Note 3 2 3 10 4" xfId="19047"/>
    <cellStyle name="Note 3 2 3 10 5" xfId="27825"/>
    <cellStyle name="Note 3 2 3 10 6" xfId="38163"/>
    <cellStyle name="Note 3 2 3 10 7" xfId="49241"/>
    <cellStyle name="Note 3 2 3 11" xfId="2091"/>
    <cellStyle name="Note 3 2 3 11 2" xfId="9914"/>
    <cellStyle name="Note 3 2 3 11 3" xfId="17342"/>
    <cellStyle name="Note 3 2 3 11 4" xfId="24784"/>
    <cellStyle name="Note 3 2 3 11 5" xfId="27800"/>
    <cellStyle name="Note 3 2 3 11 6" xfId="40958"/>
    <cellStyle name="Note 3 2 3 11 7" xfId="48937"/>
    <cellStyle name="Note 3 2 3 12" xfId="2204"/>
    <cellStyle name="Note 3 2 3 12 2" xfId="10027"/>
    <cellStyle name="Note 3 2 3 12 3" xfId="17455"/>
    <cellStyle name="Note 3 2 3 12 4" xfId="25877"/>
    <cellStyle name="Note 3 2 3 12 5" xfId="34467"/>
    <cellStyle name="Note 3 2 3 12 6" xfId="37372"/>
    <cellStyle name="Note 3 2 3 12 7" xfId="52733"/>
    <cellStyle name="Note 3 2 3 13" xfId="2339"/>
    <cellStyle name="Note 3 2 3 13 2" xfId="10162"/>
    <cellStyle name="Note 3 2 3 13 3" xfId="17590"/>
    <cellStyle name="Note 3 2 3 13 4" xfId="25824"/>
    <cellStyle name="Note 3 2 3 13 5" xfId="34407"/>
    <cellStyle name="Note 3 2 3 13 6" xfId="39691"/>
    <cellStyle name="Note 3 2 3 13 7" xfId="52616"/>
    <cellStyle name="Note 3 2 3 14" xfId="2426"/>
    <cellStyle name="Note 3 2 3 14 2" xfId="10249"/>
    <cellStyle name="Note 3 2 3 14 3" xfId="17677"/>
    <cellStyle name="Note 3 2 3 14 4" xfId="25206"/>
    <cellStyle name="Note 3 2 3 14 5" xfId="33596"/>
    <cellStyle name="Note 3 2 3 14 6" xfId="37443"/>
    <cellStyle name="Note 3 2 3 14 7" xfId="51228"/>
    <cellStyle name="Note 3 2 3 15" xfId="2502"/>
    <cellStyle name="Note 3 2 3 15 2" xfId="10325"/>
    <cellStyle name="Note 3 2 3 15 3" xfId="17753"/>
    <cellStyle name="Note 3 2 3 15 4" xfId="24958"/>
    <cellStyle name="Note 3 2 3 15 5" xfId="33296"/>
    <cellStyle name="Note 3 2 3 15 6" xfId="37095"/>
    <cellStyle name="Note 3 2 3 15 7" xfId="50689"/>
    <cellStyle name="Note 3 2 3 16" xfId="2615"/>
    <cellStyle name="Note 3 2 3 16 2" xfId="10438"/>
    <cellStyle name="Note 3 2 3 16 3" xfId="17866"/>
    <cellStyle name="Note 3 2 3 16 4" xfId="26697"/>
    <cellStyle name="Note 3 2 3 16 5" xfId="35549"/>
    <cellStyle name="Note 3 2 3 16 6" xfId="40969"/>
    <cellStyle name="Note 3 2 3 16 7" xfId="54488"/>
    <cellStyle name="Note 3 2 3 17" xfId="2728"/>
    <cellStyle name="Note 3 2 3 17 2" xfId="10551"/>
    <cellStyle name="Note 3 2 3 17 3" xfId="17979"/>
    <cellStyle name="Note 3 2 3 17 4" xfId="19622"/>
    <cellStyle name="Note 3 2 3 17 5" xfId="27826"/>
    <cellStyle name="Note 3 2 3 17 6" xfId="37358"/>
    <cellStyle name="Note 3 2 3 17 7" xfId="50123"/>
    <cellStyle name="Note 3 2 3 18" xfId="2755"/>
    <cellStyle name="Note 3 2 3 18 2" xfId="10578"/>
    <cellStyle name="Note 3 2 3 18 3" xfId="18006"/>
    <cellStyle name="Note 3 2 3 18 4" xfId="20131"/>
    <cellStyle name="Note 3 2 3 18 5" xfId="27430"/>
    <cellStyle name="Note 3 2 3 18 6" xfId="41640"/>
    <cellStyle name="Note 3 2 3 18 7" xfId="47351"/>
    <cellStyle name="Note 3 2 3 19" xfId="2808"/>
    <cellStyle name="Note 3 2 3 19 2" xfId="10631"/>
    <cellStyle name="Note 3 2 3 19 3" xfId="18059"/>
    <cellStyle name="Note 3 2 3 19 4" xfId="20203"/>
    <cellStyle name="Note 3 2 3 19 5" xfId="27528"/>
    <cellStyle name="Note 3 2 3 19 6" xfId="37828"/>
    <cellStyle name="Note 3 2 3 19 7" xfId="49629"/>
    <cellStyle name="Note 3 2 3 2" xfId="676"/>
    <cellStyle name="Note 3 2 3 2 2" xfId="8500"/>
    <cellStyle name="Note 3 2 3 2 3" xfId="8260"/>
    <cellStyle name="Note 3 2 3 2 4" xfId="19037"/>
    <cellStyle name="Note 3 2 3 2 5" xfId="28724"/>
    <cellStyle name="Note 3 2 3 2 6" xfId="36672"/>
    <cellStyle name="Note 3 2 3 2 7" xfId="49878"/>
    <cellStyle name="Note 3 2 3 20" xfId="2915"/>
    <cellStyle name="Note 3 2 3 20 2" xfId="10738"/>
    <cellStyle name="Note 3 2 3 20 3" xfId="18166"/>
    <cellStyle name="Note 3 2 3 20 4" xfId="26693"/>
    <cellStyle name="Note 3 2 3 20 5" xfId="35545"/>
    <cellStyle name="Note 3 2 3 20 6" xfId="36382"/>
    <cellStyle name="Note 3 2 3 20 7" xfId="54480"/>
    <cellStyle name="Note 3 2 3 21" xfId="3291"/>
    <cellStyle name="Note 3 2 3 21 2" xfId="11084"/>
    <cellStyle name="Note 3 2 3 21 3" xfId="18413"/>
    <cellStyle name="Note 3 2 3 21 4" xfId="25828"/>
    <cellStyle name="Note 3 2 3 21 5" xfId="34411"/>
    <cellStyle name="Note 3 2 3 21 6" xfId="40689"/>
    <cellStyle name="Note 3 2 3 21 7" xfId="52623"/>
    <cellStyle name="Note 3 2 3 22" xfId="3411"/>
    <cellStyle name="Note 3 2 3 22 2" xfId="11202"/>
    <cellStyle name="Note 3 2 3 22 3" xfId="18524"/>
    <cellStyle name="Note 3 2 3 22 4" xfId="20129"/>
    <cellStyle name="Note 3 2 3 22 5" xfId="27876"/>
    <cellStyle name="Note 3 2 3 22 6" xfId="37173"/>
    <cellStyle name="Note 3 2 3 22 7" xfId="48553"/>
    <cellStyle name="Note 3 2 3 23" xfId="3540"/>
    <cellStyle name="Note 3 2 3 23 2" xfId="11329"/>
    <cellStyle name="Note 3 2 3 23 3" xfId="18619"/>
    <cellStyle name="Note 3 2 3 23 4" xfId="20681"/>
    <cellStyle name="Note 3 2 3 23 5" xfId="27619"/>
    <cellStyle name="Note 3 2 3 23 6" xfId="38976"/>
    <cellStyle name="Note 3 2 3 23 7" xfId="47563"/>
    <cellStyle name="Note 3 2 3 24" xfId="3215"/>
    <cellStyle name="Note 3 2 3 24 2" xfId="11012"/>
    <cellStyle name="Note 3 2 3 24 3" xfId="18352"/>
    <cellStyle name="Note 3 2 3 24 4" xfId="26524"/>
    <cellStyle name="Note 3 2 3 24 5" xfId="35323"/>
    <cellStyle name="Note 3 2 3 24 6" xfId="40771"/>
    <cellStyle name="Note 3 2 3 24 7" xfId="54123"/>
    <cellStyle name="Note 3 2 3 25" xfId="3682"/>
    <cellStyle name="Note 3 2 3 25 2" xfId="11467"/>
    <cellStyle name="Note 3 2 3 25 3" xfId="18740"/>
    <cellStyle name="Note 3 2 3 25 4" xfId="25142"/>
    <cellStyle name="Note 3 2 3 25 5" xfId="33516"/>
    <cellStyle name="Note 3 2 3 25 6" xfId="38096"/>
    <cellStyle name="Note 3 2 3 25 7" xfId="51096"/>
    <cellStyle name="Note 3 2 3 26" xfId="3812"/>
    <cellStyle name="Note 3 2 3 26 2" xfId="11594"/>
    <cellStyle name="Note 3 2 3 26 3" xfId="18851"/>
    <cellStyle name="Note 3 2 3 26 4" xfId="26115"/>
    <cellStyle name="Note 3 2 3 26 5" xfId="34771"/>
    <cellStyle name="Note 3 2 3 26 6" xfId="40764"/>
    <cellStyle name="Note 3 2 3 26 7" xfId="53235"/>
    <cellStyle name="Note 3 2 3 27" xfId="3930"/>
    <cellStyle name="Note 3 2 3 27 2" xfId="11710"/>
    <cellStyle name="Note 3 2 3 27 3" xfId="18960"/>
    <cellStyle name="Note 3 2 3 27 4" xfId="25408"/>
    <cellStyle name="Note 3 2 3 27 5" xfId="33864"/>
    <cellStyle name="Note 3 2 3 27 6" xfId="36315"/>
    <cellStyle name="Note 3 2 3 27 7" xfId="51668"/>
    <cellStyle name="Note 3 2 3 28" xfId="4034"/>
    <cellStyle name="Note 3 2 3 28 2" xfId="11805"/>
    <cellStyle name="Note 3 2 3 28 3" xfId="20744"/>
    <cellStyle name="Note 3 2 3 28 4" xfId="28931"/>
    <cellStyle name="Note 3 2 3 28 5" xfId="36095"/>
    <cellStyle name="Note 3 2 3 28 6" xfId="42596"/>
    <cellStyle name="Note 3 2 3 28 7" xfId="53874"/>
    <cellStyle name="Note 3 2 3 29" xfId="4127"/>
    <cellStyle name="Note 3 2 3 29 2" xfId="11886"/>
    <cellStyle name="Note 3 2 3 29 3" xfId="20837"/>
    <cellStyle name="Note 3 2 3 29 4" xfId="29024"/>
    <cellStyle name="Note 3 2 3 29 5" xfId="35694"/>
    <cellStyle name="Note 3 2 3 29 6" xfId="42689"/>
    <cellStyle name="Note 3 2 3 29 7" xfId="51938"/>
    <cellStyle name="Note 3 2 3 3" xfId="784"/>
    <cellStyle name="Note 3 2 3 3 2" xfId="8608"/>
    <cellStyle name="Note 3 2 3 3 3" xfId="16036"/>
    <cellStyle name="Note 3 2 3 3 4" xfId="25157"/>
    <cellStyle name="Note 3 2 3 3 5" xfId="33534"/>
    <cellStyle name="Note 3 2 3 3 6" xfId="37354"/>
    <cellStyle name="Note 3 2 3 3 7" xfId="51125"/>
    <cellStyle name="Note 3 2 3 30" xfId="4267"/>
    <cellStyle name="Note 3 2 3 30 2" xfId="20977"/>
    <cellStyle name="Note 3 2 3 30 3" xfId="29164"/>
    <cellStyle name="Note 3 2 3 30 4" xfId="35826"/>
    <cellStyle name="Note 3 2 3 30 5" xfId="42829"/>
    <cellStyle name="Note 3 2 3 30 6" xfId="52544"/>
    <cellStyle name="Note 3 2 3 31" xfId="4324"/>
    <cellStyle name="Note 3 2 3 31 2" xfId="12041"/>
    <cellStyle name="Note 3 2 3 31 3" xfId="21034"/>
    <cellStyle name="Note 3 2 3 31 4" xfId="29221"/>
    <cellStyle name="Note 3 2 3 31 5" xfId="35134"/>
    <cellStyle name="Note 3 2 3 31 6" xfId="42886"/>
    <cellStyle name="Note 3 2 3 31 7" xfId="48277"/>
    <cellStyle name="Note 3 2 3 32" xfId="4447"/>
    <cellStyle name="Note 3 2 3 32 2" xfId="12164"/>
    <cellStyle name="Note 3 2 3 32 3" xfId="21157"/>
    <cellStyle name="Note 3 2 3 32 4" xfId="29344"/>
    <cellStyle name="Note 3 2 3 32 5" xfId="34508"/>
    <cellStyle name="Note 3 2 3 32 6" xfId="43009"/>
    <cellStyle name="Note 3 2 3 32 7" xfId="50060"/>
    <cellStyle name="Note 3 2 3 33" xfId="4561"/>
    <cellStyle name="Note 3 2 3 33 2" xfId="12278"/>
    <cellStyle name="Note 3 2 3 33 3" xfId="21271"/>
    <cellStyle name="Note 3 2 3 33 4" xfId="29458"/>
    <cellStyle name="Note 3 2 3 33 5" xfId="36067"/>
    <cellStyle name="Note 3 2 3 33 6" xfId="43123"/>
    <cellStyle name="Note 3 2 3 33 7" xfId="53746"/>
    <cellStyle name="Note 3 2 3 34" xfId="4674"/>
    <cellStyle name="Note 3 2 3 34 2" xfId="12391"/>
    <cellStyle name="Note 3 2 3 34 3" xfId="21384"/>
    <cellStyle name="Note 3 2 3 34 4" xfId="29571"/>
    <cellStyle name="Note 3 2 3 34 5" xfId="34402"/>
    <cellStyle name="Note 3 2 3 34 6" xfId="43236"/>
    <cellStyle name="Note 3 2 3 34 7" xfId="47380"/>
    <cellStyle name="Note 3 2 3 35" xfId="4785"/>
    <cellStyle name="Note 3 2 3 35 2" xfId="12502"/>
    <cellStyle name="Note 3 2 3 35 3" xfId="21495"/>
    <cellStyle name="Note 3 2 3 35 4" xfId="29682"/>
    <cellStyle name="Note 3 2 3 35 5" xfId="35948"/>
    <cellStyle name="Note 3 2 3 35 6" xfId="43347"/>
    <cellStyle name="Note 3 2 3 35 7" xfId="53165"/>
    <cellStyle name="Note 3 2 3 36" xfId="4894"/>
    <cellStyle name="Note 3 2 3 36 2" xfId="12611"/>
    <cellStyle name="Note 3 2 3 36 3" xfId="21604"/>
    <cellStyle name="Note 3 2 3 36 4" xfId="29791"/>
    <cellStyle name="Note 3 2 3 36 5" xfId="33365"/>
    <cellStyle name="Note 3 2 3 36 6" xfId="43456"/>
    <cellStyle name="Note 3 2 3 36 7" xfId="49435"/>
    <cellStyle name="Note 3 2 3 37" xfId="5005"/>
    <cellStyle name="Note 3 2 3 37 2" xfId="12722"/>
    <cellStyle name="Note 3 2 3 37 3" xfId="21715"/>
    <cellStyle name="Note 3 2 3 37 4" xfId="29902"/>
    <cellStyle name="Note 3 2 3 37 5" xfId="36041"/>
    <cellStyle name="Note 3 2 3 37 6" xfId="43567"/>
    <cellStyle name="Note 3 2 3 37 7" xfId="53615"/>
    <cellStyle name="Note 3 2 3 38" xfId="5384"/>
    <cellStyle name="Note 3 2 3 38 2" xfId="13101"/>
    <cellStyle name="Note 3 2 3 38 3" xfId="22094"/>
    <cellStyle name="Note 3 2 3 38 4" xfId="30281"/>
    <cellStyle name="Note 3 2 3 38 5" xfId="28841"/>
    <cellStyle name="Note 3 2 3 38 6" xfId="43946"/>
    <cellStyle name="Note 3 2 3 38 7" xfId="48035"/>
    <cellStyle name="Note 3 2 3 39" xfId="5504"/>
    <cellStyle name="Note 3 2 3 39 2" xfId="13221"/>
    <cellStyle name="Note 3 2 3 39 3" xfId="22214"/>
    <cellStyle name="Note 3 2 3 39 4" xfId="30401"/>
    <cellStyle name="Note 3 2 3 39 5" xfId="35142"/>
    <cellStyle name="Note 3 2 3 39 6" xfId="44066"/>
    <cellStyle name="Note 3 2 3 39 7" xfId="47909"/>
    <cellStyle name="Note 3 2 3 4" xfId="895"/>
    <cellStyle name="Note 3 2 3 4 2" xfId="8719"/>
    <cellStyle name="Note 3 2 3 4 3" xfId="16147"/>
    <cellStyle name="Note 3 2 3 4 4" xfId="26702"/>
    <cellStyle name="Note 3 2 3 4 5" xfId="35555"/>
    <cellStyle name="Note 3 2 3 4 6" xfId="37345"/>
    <cellStyle name="Note 3 2 3 4 7" xfId="54499"/>
    <cellStyle name="Note 3 2 3 40" xfId="5628"/>
    <cellStyle name="Note 3 2 3 40 2" xfId="13345"/>
    <cellStyle name="Note 3 2 3 40 3" xfId="22338"/>
    <cellStyle name="Note 3 2 3 40 4" xfId="30525"/>
    <cellStyle name="Note 3 2 3 40 5" xfId="27777"/>
    <cellStyle name="Note 3 2 3 40 6" xfId="44190"/>
    <cellStyle name="Note 3 2 3 40 7" xfId="47120"/>
    <cellStyle name="Note 3 2 3 41" xfId="5744"/>
    <cellStyle name="Note 3 2 3 41 2" xfId="13461"/>
    <cellStyle name="Note 3 2 3 41 3" xfId="22454"/>
    <cellStyle name="Note 3 2 3 41 4" xfId="30641"/>
    <cellStyle name="Note 3 2 3 41 5" xfId="33755"/>
    <cellStyle name="Note 3 2 3 41 6" xfId="44306"/>
    <cellStyle name="Note 3 2 3 41 7" xfId="52959"/>
    <cellStyle name="Note 3 2 3 42" xfId="5860"/>
    <cellStyle name="Note 3 2 3 42 2" xfId="13577"/>
    <cellStyle name="Note 3 2 3 42 3" xfId="22570"/>
    <cellStyle name="Note 3 2 3 42 4" xfId="30757"/>
    <cellStyle name="Note 3 2 3 42 5" xfId="36081"/>
    <cellStyle name="Note 3 2 3 42 6" xfId="44422"/>
    <cellStyle name="Note 3 2 3 42 7" xfId="53432"/>
    <cellStyle name="Note 3 2 3 43" xfId="5989"/>
    <cellStyle name="Note 3 2 3 43 2" xfId="13706"/>
    <cellStyle name="Note 3 2 3 43 3" xfId="22699"/>
    <cellStyle name="Note 3 2 3 43 4" xfId="30886"/>
    <cellStyle name="Note 3 2 3 43 5" xfId="27717"/>
    <cellStyle name="Note 3 2 3 43 6" xfId="44551"/>
    <cellStyle name="Note 3 2 3 43 7" xfId="52383"/>
    <cellStyle name="Note 3 2 3 44" xfId="6089"/>
    <cellStyle name="Note 3 2 3 44 2" xfId="13806"/>
    <cellStyle name="Note 3 2 3 44 3" xfId="22799"/>
    <cellStyle name="Note 3 2 3 44 4" xfId="30986"/>
    <cellStyle name="Note 3 2 3 44 5" xfId="35892"/>
    <cellStyle name="Note 3 2 3 44 6" xfId="44651"/>
    <cellStyle name="Note 3 2 3 44 7" xfId="51578"/>
    <cellStyle name="Note 3 2 3 45" xfId="5325"/>
    <cellStyle name="Note 3 2 3 45 2" xfId="13042"/>
    <cellStyle name="Note 3 2 3 45 3" xfId="22035"/>
    <cellStyle name="Note 3 2 3 45 4" xfId="30222"/>
    <cellStyle name="Note 3 2 3 45 5" xfId="35596"/>
    <cellStyle name="Note 3 2 3 45 6" xfId="43887"/>
    <cellStyle name="Note 3 2 3 45 7" xfId="51478"/>
    <cellStyle name="Note 3 2 3 46" xfId="6245"/>
    <cellStyle name="Note 3 2 3 46 2" xfId="13962"/>
    <cellStyle name="Note 3 2 3 46 3" xfId="22955"/>
    <cellStyle name="Note 3 2 3 46 4" xfId="31142"/>
    <cellStyle name="Note 3 2 3 46 5" xfId="35442"/>
    <cellStyle name="Note 3 2 3 46 6" xfId="44807"/>
    <cellStyle name="Note 3 2 3 46 7" xfId="49666"/>
    <cellStyle name="Note 3 2 3 47" xfId="6361"/>
    <cellStyle name="Note 3 2 3 47 2" xfId="14078"/>
    <cellStyle name="Note 3 2 3 47 3" xfId="23071"/>
    <cellStyle name="Note 3 2 3 47 4" xfId="31258"/>
    <cellStyle name="Note 3 2 3 47 5" xfId="36131"/>
    <cellStyle name="Note 3 2 3 47 6" xfId="44923"/>
    <cellStyle name="Note 3 2 3 47 7" xfId="53972"/>
    <cellStyle name="Note 3 2 3 48" xfId="6472"/>
    <cellStyle name="Note 3 2 3 48 2" xfId="14189"/>
    <cellStyle name="Note 3 2 3 48 3" xfId="23182"/>
    <cellStyle name="Note 3 2 3 48 4" xfId="31369"/>
    <cellStyle name="Note 3 2 3 48 5" xfId="35561"/>
    <cellStyle name="Note 3 2 3 48 6" xfId="45034"/>
    <cellStyle name="Note 3 2 3 48 7" xfId="48730"/>
    <cellStyle name="Note 3 2 3 49" xfId="6567"/>
    <cellStyle name="Note 3 2 3 49 2" xfId="14284"/>
    <cellStyle name="Note 3 2 3 49 3" xfId="23277"/>
    <cellStyle name="Note 3 2 3 49 4" xfId="31464"/>
    <cellStyle name="Note 3 2 3 49 5" xfId="33736"/>
    <cellStyle name="Note 3 2 3 49 6" xfId="45129"/>
    <cellStyle name="Note 3 2 3 49 7" xfId="54478"/>
    <cellStyle name="Note 3 2 3 5" xfId="1361"/>
    <cellStyle name="Note 3 2 3 5 2" xfId="9184"/>
    <cellStyle name="Note 3 2 3 5 3" xfId="16612"/>
    <cellStyle name="Note 3 2 3 5 4" xfId="26571"/>
    <cellStyle name="Note 3 2 3 5 5" xfId="35386"/>
    <cellStyle name="Note 3 2 3 5 6" xfId="40632"/>
    <cellStyle name="Note 3 2 3 5 7" xfId="54217"/>
    <cellStyle name="Note 3 2 3 50" xfId="6618"/>
    <cellStyle name="Note 3 2 3 50 2" xfId="14335"/>
    <cellStyle name="Note 3 2 3 50 3" xfId="23328"/>
    <cellStyle name="Note 3 2 3 50 4" xfId="31515"/>
    <cellStyle name="Note 3 2 3 50 5" xfId="34121"/>
    <cellStyle name="Note 3 2 3 50 6" xfId="45180"/>
    <cellStyle name="Note 3 2 3 50 7" xfId="47753"/>
    <cellStyle name="Note 3 2 3 51" xfId="6730"/>
    <cellStyle name="Note 3 2 3 51 2" xfId="14447"/>
    <cellStyle name="Note 3 2 3 51 3" xfId="23440"/>
    <cellStyle name="Note 3 2 3 51 4" xfId="31627"/>
    <cellStyle name="Note 3 2 3 51 5" xfId="35792"/>
    <cellStyle name="Note 3 2 3 51 6" xfId="45292"/>
    <cellStyle name="Note 3 2 3 51 7" xfId="47600"/>
    <cellStyle name="Note 3 2 3 52" xfId="6845"/>
    <cellStyle name="Note 3 2 3 52 2" xfId="14562"/>
    <cellStyle name="Note 3 2 3 52 3" xfId="23555"/>
    <cellStyle name="Note 3 2 3 52 4" xfId="31742"/>
    <cellStyle name="Note 3 2 3 52 5" xfId="34870"/>
    <cellStyle name="Note 3 2 3 52 6" xfId="45407"/>
    <cellStyle name="Note 3 2 3 52 7" xfId="49920"/>
    <cellStyle name="Note 3 2 3 53" xfId="6958"/>
    <cellStyle name="Note 3 2 3 53 2" xfId="14675"/>
    <cellStyle name="Note 3 2 3 53 3" xfId="23668"/>
    <cellStyle name="Note 3 2 3 53 4" xfId="31855"/>
    <cellStyle name="Note 3 2 3 53 5" xfId="28769"/>
    <cellStyle name="Note 3 2 3 53 6" xfId="45520"/>
    <cellStyle name="Note 3 2 3 53 7" xfId="46796"/>
    <cellStyle name="Note 3 2 3 54" xfId="7069"/>
    <cellStyle name="Note 3 2 3 54 2" xfId="14786"/>
    <cellStyle name="Note 3 2 3 54 3" xfId="23779"/>
    <cellStyle name="Note 3 2 3 54 4" xfId="31966"/>
    <cellStyle name="Note 3 2 3 54 5" xfId="35661"/>
    <cellStyle name="Note 3 2 3 54 6" xfId="45631"/>
    <cellStyle name="Note 3 2 3 54 7" xfId="52451"/>
    <cellStyle name="Note 3 2 3 55" xfId="7365"/>
    <cellStyle name="Note 3 2 3 55 2" xfId="15082"/>
    <cellStyle name="Note 3 2 3 55 3" xfId="24075"/>
    <cellStyle name="Note 3 2 3 55 4" xfId="32262"/>
    <cellStyle name="Note 3 2 3 55 5" xfId="28412"/>
    <cellStyle name="Note 3 2 3 55 6" xfId="45927"/>
    <cellStyle name="Note 3 2 3 55 7" xfId="47465"/>
    <cellStyle name="Note 3 2 3 56" xfId="7396"/>
    <cellStyle name="Note 3 2 3 56 2" xfId="15113"/>
    <cellStyle name="Note 3 2 3 56 3" xfId="24106"/>
    <cellStyle name="Note 3 2 3 56 4" xfId="32293"/>
    <cellStyle name="Note 3 2 3 56 5" xfId="26878"/>
    <cellStyle name="Note 3 2 3 56 6" xfId="45958"/>
    <cellStyle name="Note 3 2 3 56 7" xfId="53833"/>
    <cellStyle name="Note 3 2 3 57" xfId="7466"/>
    <cellStyle name="Note 3 2 3 57 2" xfId="15183"/>
    <cellStyle name="Note 3 2 3 57 3" xfId="24176"/>
    <cellStyle name="Note 3 2 3 57 4" xfId="32363"/>
    <cellStyle name="Note 3 2 3 57 5" xfId="27533"/>
    <cellStyle name="Note 3 2 3 57 6" xfId="46028"/>
    <cellStyle name="Note 3 2 3 57 7" xfId="53850"/>
    <cellStyle name="Note 3 2 3 58" xfId="7587"/>
    <cellStyle name="Note 3 2 3 58 2" xfId="15304"/>
    <cellStyle name="Note 3 2 3 58 3" xfId="24297"/>
    <cellStyle name="Note 3 2 3 58 4" xfId="32484"/>
    <cellStyle name="Note 3 2 3 58 5" xfId="27140"/>
    <cellStyle name="Note 3 2 3 58 6" xfId="46149"/>
    <cellStyle name="Note 3 2 3 58 7" xfId="47816"/>
    <cellStyle name="Note 3 2 3 59" xfId="7863"/>
    <cellStyle name="Note 3 2 3 59 2" xfId="15580"/>
    <cellStyle name="Note 3 2 3 59 3" xfId="24567"/>
    <cellStyle name="Note 3 2 3 59 4" xfId="32760"/>
    <cellStyle name="Note 3 2 3 59 5" xfId="35389"/>
    <cellStyle name="Note 3 2 3 59 6" xfId="46425"/>
    <cellStyle name="Note 3 2 3 59 7" xfId="49477"/>
    <cellStyle name="Note 3 2 3 6" xfId="1484"/>
    <cellStyle name="Note 3 2 3 6 2" xfId="9307"/>
    <cellStyle name="Note 3 2 3 6 3" xfId="16735"/>
    <cellStyle name="Note 3 2 3 6 4" xfId="26555"/>
    <cellStyle name="Note 3 2 3 6 5" xfId="35364"/>
    <cellStyle name="Note 3 2 3 6 6" xfId="39168"/>
    <cellStyle name="Note 3 2 3 6 7" xfId="54186"/>
    <cellStyle name="Note 3 2 3 60" xfId="8007"/>
    <cellStyle name="Note 3 2 3 60 2" xfId="15724"/>
    <cellStyle name="Note 3 2 3 60 3" xfId="24709"/>
    <cellStyle name="Note 3 2 3 60 4" xfId="32904"/>
    <cellStyle name="Note 3 2 3 60 5" xfId="33603"/>
    <cellStyle name="Note 3 2 3 60 6" xfId="46569"/>
    <cellStyle name="Note 3 2 3 60 7" xfId="49135"/>
    <cellStyle name="Note 3 2 3 61" xfId="7942"/>
    <cellStyle name="Note 3 2 3 61 2" xfId="15659"/>
    <cellStyle name="Note 3 2 3 61 3" xfId="24645"/>
    <cellStyle name="Note 3 2 3 61 4" xfId="32839"/>
    <cellStyle name="Note 3 2 3 61 5" xfId="34845"/>
    <cellStyle name="Note 3 2 3 61 6" xfId="46504"/>
    <cellStyle name="Note 3 2 3 61 7" xfId="48660"/>
    <cellStyle name="Note 3 2 3 62" xfId="8090"/>
    <cellStyle name="Note 3 2 3 62 2" xfId="15807"/>
    <cellStyle name="Note 3 2 3 62 3" xfId="24791"/>
    <cellStyle name="Note 3 2 3 62 4" xfId="32987"/>
    <cellStyle name="Note 3 2 3 62 5" xfId="28854"/>
    <cellStyle name="Note 3 2 3 62 6" xfId="46652"/>
    <cellStyle name="Note 3 2 3 62 7" xfId="49078"/>
    <cellStyle name="Note 3 2 3 63" xfId="8139"/>
    <cellStyle name="Note 3 2 3 63 2" xfId="15856"/>
    <cellStyle name="Note 3 2 3 63 3" xfId="33036"/>
    <cellStyle name="Note 3 2 3 63 4" xfId="27788"/>
    <cellStyle name="Note 3 2 3 63 5" xfId="46701"/>
    <cellStyle name="Note 3 2 3 63 6" xfId="50009"/>
    <cellStyle name="Note 3 2 3 64" xfId="19370"/>
    <cellStyle name="Note 3 2 3 65" xfId="28647"/>
    <cellStyle name="Note 3 2 3 66" xfId="36603"/>
    <cellStyle name="Note 3 2 3 67" xfId="47923"/>
    <cellStyle name="Note 3 2 3 7" xfId="1641"/>
    <cellStyle name="Note 3 2 3 7 2" xfId="9464"/>
    <cellStyle name="Note 3 2 3 7 3" xfId="16892"/>
    <cellStyle name="Note 3 2 3 7 4" xfId="19940"/>
    <cellStyle name="Note 3 2 3 7 5" xfId="27775"/>
    <cellStyle name="Note 3 2 3 7 6" xfId="42005"/>
    <cellStyle name="Note 3 2 3 7 7" xfId="48049"/>
    <cellStyle name="Note 3 2 3 8" xfId="1721"/>
    <cellStyle name="Note 3 2 3 8 2" xfId="9544"/>
    <cellStyle name="Note 3 2 3 8 3" xfId="16972"/>
    <cellStyle name="Note 3 2 3 8 4" xfId="25665"/>
    <cellStyle name="Note 3 2 3 8 5" xfId="34195"/>
    <cellStyle name="Note 3 2 3 8 6" xfId="37037"/>
    <cellStyle name="Note 3 2 3 8 7" xfId="52231"/>
    <cellStyle name="Note 3 2 3 9" xfId="1855"/>
    <cellStyle name="Note 3 2 3 9 2" xfId="9678"/>
    <cellStyle name="Note 3 2 3 9 3" xfId="17106"/>
    <cellStyle name="Note 3 2 3 9 4" xfId="25954"/>
    <cellStyle name="Note 3 2 3 9 5" xfId="34561"/>
    <cellStyle name="Note 3 2 3 9 6" xfId="41980"/>
    <cellStyle name="Note 3 2 3 9 7" xfId="52898"/>
    <cellStyle name="Note 3 2 30" xfId="5579"/>
    <cellStyle name="Note 3 2 30 2" xfId="13296"/>
    <cellStyle name="Note 3 2 30 3" xfId="22289"/>
    <cellStyle name="Note 3 2 30 4" xfId="30476"/>
    <cellStyle name="Note 3 2 30 5" xfId="35021"/>
    <cellStyle name="Note 3 2 30 6" xfId="44141"/>
    <cellStyle name="Note 3 2 30 7" xfId="47158"/>
    <cellStyle name="Note 3 2 31" xfId="7333"/>
    <cellStyle name="Note 3 2 31 2" xfId="15050"/>
    <cellStyle name="Note 3 2 31 3" xfId="24043"/>
    <cellStyle name="Note 3 2 31 4" xfId="32230"/>
    <cellStyle name="Note 3 2 31 5" xfId="36061"/>
    <cellStyle name="Note 3 2 31 6" xfId="45895"/>
    <cellStyle name="Note 3 2 31 7" xfId="53190"/>
    <cellStyle name="Note 3 2 32" xfId="7357"/>
    <cellStyle name="Note 3 2 32 2" xfId="15074"/>
    <cellStyle name="Note 3 2 32 3" xfId="24067"/>
    <cellStyle name="Note 3 2 32 4" xfId="32254"/>
    <cellStyle name="Note 3 2 32 5" xfId="34276"/>
    <cellStyle name="Note 3 2 32 6" xfId="45919"/>
    <cellStyle name="Note 3 2 32 7" xfId="50334"/>
    <cellStyle name="Note 3 2 33" xfId="7725"/>
    <cellStyle name="Note 3 2 33 2" xfId="15442"/>
    <cellStyle name="Note 3 2 33 3" xfId="24433"/>
    <cellStyle name="Note 3 2 33 4" xfId="32622"/>
    <cellStyle name="Note 3 2 33 5" xfId="35449"/>
    <cellStyle name="Note 3 2 33 6" xfId="46287"/>
    <cellStyle name="Note 3 2 33 7" xfId="49285"/>
    <cellStyle name="Note 3 2 34" xfId="7710"/>
    <cellStyle name="Note 3 2 34 2" xfId="15427"/>
    <cellStyle name="Note 3 2 34 3" xfId="24418"/>
    <cellStyle name="Note 3 2 34 4" xfId="32607"/>
    <cellStyle name="Note 3 2 34 5" xfId="33292"/>
    <cellStyle name="Note 3 2 34 6" xfId="46272"/>
    <cellStyle name="Note 3 2 34 7" xfId="47556"/>
    <cellStyle name="Note 3 2 35" xfId="7672"/>
    <cellStyle name="Note 3 2 35 2" xfId="15389"/>
    <cellStyle name="Note 3 2 35 3" xfId="24381"/>
    <cellStyle name="Note 3 2 35 4" xfId="32569"/>
    <cellStyle name="Note 3 2 35 5" xfId="27194"/>
    <cellStyle name="Note 3 2 35 6" xfId="46234"/>
    <cellStyle name="Note 3 2 35 7" xfId="47270"/>
    <cellStyle name="Note 3 2 36" xfId="25371"/>
    <cellStyle name="Note 3 2 37" xfId="33815"/>
    <cellStyle name="Note 3 2 38" xfId="37535"/>
    <cellStyle name="Note 3 2 39" xfId="51589"/>
    <cellStyle name="Note 3 2 4" xfId="522"/>
    <cellStyle name="Note 3 2 4 10" xfId="1969"/>
    <cellStyle name="Note 3 2 4 10 2" xfId="9792"/>
    <cellStyle name="Note 3 2 4 10 3" xfId="17220"/>
    <cellStyle name="Note 3 2 4 10 4" xfId="19819"/>
    <cellStyle name="Note 3 2 4 10 5" xfId="28156"/>
    <cellStyle name="Note 3 2 4 10 6" xfId="36457"/>
    <cellStyle name="Note 3 2 4 10 7" xfId="47409"/>
    <cellStyle name="Note 3 2 4 11" xfId="2087"/>
    <cellStyle name="Note 3 2 4 11 2" xfId="9910"/>
    <cellStyle name="Note 3 2 4 11 3" xfId="17338"/>
    <cellStyle name="Note 3 2 4 11 4" xfId="19095"/>
    <cellStyle name="Note 3 2 4 11 5" xfId="28776"/>
    <cellStyle name="Note 3 2 4 11 6" xfId="41317"/>
    <cellStyle name="Note 3 2 4 11 7" xfId="49928"/>
    <cellStyle name="Note 3 2 4 12" xfId="2200"/>
    <cellStyle name="Note 3 2 4 12 2" xfId="10023"/>
    <cellStyle name="Note 3 2 4 12 3" xfId="17451"/>
    <cellStyle name="Note 3 2 4 12 4" xfId="26043"/>
    <cellStyle name="Note 3 2 4 12 5" xfId="34678"/>
    <cellStyle name="Note 3 2 4 12 6" xfId="37536"/>
    <cellStyle name="Note 3 2 4 12 7" xfId="53085"/>
    <cellStyle name="Note 3 2 4 13" xfId="1016"/>
    <cellStyle name="Note 3 2 4 13 2" xfId="8840"/>
    <cellStyle name="Note 3 2 4 13 3" xfId="16268"/>
    <cellStyle name="Note 3 2 4 13 4" xfId="19592"/>
    <cellStyle name="Note 3 2 4 13 5" xfId="28641"/>
    <cellStyle name="Note 3 2 4 13 6" xfId="36506"/>
    <cellStyle name="Note 3 2 4 13 7" xfId="48998"/>
    <cellStyle name="Note 3 2 4 14" xfId="1436"/>
    <cellStyle name="Note 3 2 4 14 2" xfId="9259"/>
    <cellStyle name="Note 3 2 4 14 3" xfId="16687"/>
    <cellStyle name="Note 3 2 4 14 4" xfId="25814"/>
    <cellStyle name="Note 3 2 4 14 5" xfId="34393"/>
    <cellStyle name="Note 3 2 4 14 6" xfId="40418"/>
    <cellStyle name="Note 3 2 4 14 7" xfId="52592"/>
    <cellStyle name="Note 3 2 4 15" xfId="2498"/>
    <cellStyle name="Note 3 2 4 15 2" xfId="10321"/>
    <cellStyle name="Note 3 2 4 15 3" xfId="17749"/>
    <cellStyle name="Note 3 2 4 15 4" xfId="25093"/>
    <cellStyle name="Note 3 2 4 15 5" xfId="33455"/>
    <cellStyle name="Note 3 2 4 15 6" xfId="37339"/>
    <cellStyle name="Note 3 2 4 15 7" xfId="50992"/>
    <cellStyle name="Note 3 2 4 16" xfId="2611"/>
    <cellStyle name="Note 3 2 4 16 2" xfId="10434"/>
    <cellStyle name="Note 3 2 4 16 3" xfId="17862"/>
    <cellStyle name="Note 3 2 4 16 4" xfId="20300"/>
    <cellStyle name="Note 3 2 4 16 5" xfId="26830"/>
    <cellStyle name="Note 3 2 4 16 6" xfId="41531"/>
    <cellStyle name="Note 3 2 4 16 7" xfId="47291"/>
    <cellStyle name="Note 3 2 4 17" xfId="2612"/>
    <cellStyle name="Note 3 2 4 17 2" xfId="10435"/>
    <cellStyle name="Note 3 2 4 17 3" xfId="17863"/>
    <cellStyle name="Note 3 2 4 17 4" xfId="19768"/>
    <cellStyle name="Note 3 2 4 17 5" xfId="27056"/>
    <cellStyle name="Note 3 2 4 17 6" xfId="41287"/>
    <cellStyle name="Note 3 2 4 17 7" xfId="48559"/>
    <cellStyle name="Note 3 2 4 18" xfId="2305"/>
    <cellStyle name="Note 3 2 4 18 2" xfId="10128"/>
    <cellStyle name="Note 3 2 4 18 3" xfId="17556"/>
    <cellStyle name="Note 3 2 4 18 4" xfId="19082"/>
    <cellStyle name="Note 3 2 4 18 5" xfId="28093"/>
    <cellStyle name="Note 3 2 4 18 6" xfId="36631"/>
    <cellStyle name="Note 3 2 4 18 7" xfId="49287"/>
    <cellStyle name="Note 3 2 4 19" xfId="2805"/>
    <cellStyle name="Note 3 2 4 19 2" xfId="10628"/>
    <cellStyle name="Note 3 2 4 19 3" xfId="18056"/>
    <cellStyle name="Note 3 2 4 19 4" xfId="19137"/>
    <cellStyle name="Note 3 2 4 19 5" xfId="26983"/>
    <cellStyle name="Note 3 2 4 19 6" xfId="37174"/>
    <cellStyle name="Note 3 2 4 19 7" xfId="49836"/>
    <cellStyle name="Note 3 2 4 2" xfId="673"/>
    <cellStyle name="Note 3 2 4 2 2" xfId="8497"/>
    <cellStyle name="Note 3 2 4 2 3" xfId="8261"/>
    <cellStyle name="Note 3 2 4 2 4" xfId="19862"/>
    <cellStyle name="Note 3 2 4 2 5" xfId="27746"/>
    <cellStyle name="Note 3 2 4 2 6" xfId="36412"/>
    <cellStyle name="Note 3 2 4 2 7" xfId="50244"/>
    <cellStyle name="Note 3 2 4 20" xfId="2912"/>
    <cellStyle name="Note 3 2 4 20 2" xfId="10735"/>
    <cellStyle name="Note 3 2 4 20 3" xfId="18163"/>
    <cellStyle name="Note 3 2 4 20 4" xfId="20284"/>
    <cellStyle name="Note 3 2 4 20 5" xfId="28345"/>
    <cellStyle name="Note 3 2 4 20 6" xfId="36709"/>
    <cellStyle name="Note 3 2 4 20 7" xfId="48550"/>
    <cellStyle name="Note 3 2 4 21" xfId="3288"/>
    <cellStyle name="Note 3 2 4 21 2" xfId="11081"/>
    <cellStyle name="Note 3 2 4 21 3" xfId="18410"/>
    <cellStyle name="Note 3 2 4 21 4" xfId="26057"/>
    <cellStyle name="Note 3 2 4 21 5" xfId="34701"/>
    <cellStyle name="Note 3 2 4 21 6" xfId="40828"/>
    <cellStyle name="Note 3 2 4 21 7" xfId="53120"/>
    <cellStyle name="Note 3 2 4 22" xfId="3408"/>
    <cellStyle name="Note 3 2 4 22 2" xfId="11199"/>
    <cellStyle name="Note 3 2 4 22 3" xfId="18521"/>
    <cellStyle name="Note 3 2 4 22 4" xfId="20266"/>
    <cellStyle name="Note 3 2 4 22 5" xfId="27449"/>
    <cellStyle name="Note 3 2 4 22 6" xfId="37644"/>
    <cellStyle name="Note 3 2 4 22 7" xfId="49021"/>
    <cellStyle name="Note 3 2 4 23" xfId="3536"/>
    <cellStyle name="Note 3 2 4 23 2" xfId="11326"/>
    <cellStyle name="Note 3 2 4 23 3" xfId="18617"/>
    <cellStyle name="Note 3 2 4 23 4" xfId="25164"/>
    <cellStyle name="Note 3 2 4 23 5" xfId="33544"/>
    <cellStyle name="Note 3 2 4 23 6" xfId="39660"/>
    <cellStyle name="Note 3 2 4 23 7" xfId="51139"/>
    <cellStyle name="Note 3 2 4 24" xfId="3078"/>
    <cellStyle name="Note 3 2 4 24 2" xfId="10886"/>
    <cellStyle name="Note 3 2 4 24 3" xfId="18279"/>
    <cellStyle name="Note 3 2 4 24 4" xfId="25958"/>
    <cellStyle name="Note 3 2 4 24 5" xfId="34565"/>
    <cellStyle name="Note 3 2 4 24 6" xfId="38915"/>
    <cellStyle name="Note 3 2 4 24 7" xfId="52903"/>
    <cellStyle name="Note 3 2 4 25" xfId="3678"/>
    <cellStyle name="Note 3 2 4 25 2" xfId="11463"/>
    <cellStyle name="Note 3 2 4 25 3" xfId="18736"/>
    <cellStyle name="Note 3 2 4 25 4" xfId="25343"/>
    <cellStyle name="Note 3 2 4 25 5" xfId="33777"/>
    <cellStyle name="Note 3 2 4 25 6" xfId="38395"/>
    <cellStyle name="Note 3 2 4 25 7" xfId="51519"/>
    <cellStyle name="Note 3 2 4 26" xfId="3809"/>
    <cellStyle name="Note 3 2 4 26 2" xfId="11591"/>
    <cellStyle name="Note 3 2 4 26 3" xfId="18848"/>
    <cellStyle name="Note 3 2 4 26 4" xfId="26334"/>
    <cellStyle name="Note 3 2 4 26 5" xfId="35058"/>
    <cellStyle name="Note 3 2 4 26 6" xfId="41087"/>
    <cellStyle name="Note 3 2 4 26 7" xfId="53706"/>
    <cellStyle name="Note 3 2 4 27" xfId="3926"/>
    <cellStyle name="Note 3 2 4 27 2" xfId="11706"/>
    <cellStyle name="Note 3 2 4 27 3" xfId="18957"/>
    <cellStyle name="Note 3 2 4 27 4" xfId="19871"/>
    <cellStyle name="Note 3 2 4 27 5" xfId="27783"/>
    <cellStyle name="Note 3 2 4 27 6" xfId="36637"/>
    <cellStyle name="Note 3 2 4 27 7" xfId="48746"/>
    <cellStyle name="Note 3 2 4 28" xfId="3120"/>
    <cellStyle name="Note 3 2 4 28 2" xfId="10925"/>
    <cellStyle name="Note 3 2 4 28 3" xfId="20267"/>
    <cellStyle name="Note 3 2 4 28 4" xfId="28361"/>
    <cellStyle name="Note 3 2 4 28 5" xfId="34232"/>
    <cellStyle name="Note 3 2 4 28 6" xfId="42404"/>
    <cellStyle name="Note 3 2 4 28 7" xfId="47282"/>
    <cellStyle name="Note 3 2 4 29" xfId="4123"/>
    <cellStyle name="Note 3 2 4 29 2" xfId="11883"/>
    <cellStyle name="Note 3 2 4 29 3" xfId="20833"/>
    <cellStyle name="Note 3 2 4 29 4" xfId="29020"/>
    <cellStyle name="Note 3 2 4 29 5" xfId="35756"/>
    <cellStyle name="Note 3 2 4 29 6" xfId="42685"/>
    <cellStyle name="Note 3 2 4 29 7" xfId="52274"/>
    <cellStyle name="Note 3 2 4 3" xfId="780"/>
    <cellStyle name="Note 3 2 4 3 2" xfId="8604"/>
    <cellStyle name="Note 3 2 4 3 3" xfId="16032"/>
    <cellStyle name="Note 3 2 4 3 4" xfId="25357"/>
    <cellStyle name="Note 3 2 4 3 5" xfId="33793"/>
    <cellStyle name="Note 3 2 4 3 6" xfId="37856"/>
    <cellStyle name="Note 3 2 4 3 7" xfId="51547"/>
    <cellStyle name="Note 3 2 4 30" xfId="4021"/>
    <cellStyle name="Note 3 2 4 30 2" xfId="20731"/>
    <cellStyle name="Note 3 2 4 30 3" xfId="28918"/>
    <cellStyle name="Note 3 2 4 30 4" xfId="35676"/>
    <cellStyle name="Note 3 2 4 30 5" xfId="42583"/>
    <cellStyle name="Note 3 2 4 30 6" xfId="51811"/>
    <cellStyle name="Note 3 2 4 31" xfId="4320"/>
    <cellStyle name="Note 3 2 4 31 2" xfId="12037"/>
    <cellStyle name="Note 3 2 4 31 3" xfId="21030"/>
    <cellStyle name="Note 3 2 4 31 4" xfId="29217"/>
    <cellStyle name="Note 3 2 4 31 5" xfId="34161"/>
    <cellStyle name="Note 3 2 4 31 6" xfId="42882"/>
    <cellStyle name="Note 3 2 4 31 7" xfId="50172"/>
    <cellStyle name="Note 3 2 4 32" xfId="4443"/>
    <cellStyle name="Note 3 2 4 32 2" xfId="12160"/>
    <cellStyle name="Note 3 2 4 32 3" xfId="21153"/>
    <cellStyle name="Note 3 2 4 32 4" xfId="29340"/>
    <cellStyle name="Note 3 2 4 32 5" xfId="28892"/>
    <cellStyle name="Note 3 2 4 32 6" xfId="43005"/>
    <cellStyle name="Note 3 2 4 32 7" xfId="50906"/>
    <cellStyle name="Note 3 2 4 33" xfId="4557"/>
    <cellStyle name="Note 3 2 4 33 2" xfId="12274"/>
    <cellStyle name="Note 3 2 4 33 3" xfId="21267"/>
    <cellStyle name="Note 3 2 4 33 4" xfId="29454"/>
    <cellStyle name="Note 3 2 4 33 5" xfId="27807"/>
    <cellStyle name="Note 3 2 4 33 6" xfId="43119"/>
    <cellStyle name="Note 3 2 4 33 7" xfId="48143"/>
    <cellStyle name="Note 3 2 4 34" xfId="4670"/>
    <cellStyle name="Note 3 2 4 34 2" xfId="12387"/>
    <cellStyle name="Note 3 2 4 34 3" xfId="21380"/>
    <cellStyle name="Note 3 2 4 34 4" xfId="29567"/>
    <cellStyle name="Note 3 2 4 34 5" xfId="35393"/>
    <cellStyle name="Note 3 2 4 34 6" xfId="43232"/>
    <cellStyle name="Note 3 2 4 34 7" xfId="50102"/>
    <cellStyle name="Note 3 2 4 35" xfId="4782"/>
    <cellStyle name="Note 3 2 4 35 2" xfId="12499"/>
    <cellStyle name="Note 3 2 4 35 3" xfId="21492"/>
    <cellStyle name="Note 3 2 4 35 4" xfId="29679"/>
    <cellStyle name="Note 3 2 4 35 5" xfId="36012"/>
    <cellStyle name="Note 3 2 4 35 6" xfId="43344"/>
    <cellStyle name="Note 3 2 4 35 7" xfId="53478"/>
    <cellStyle name="Note 3 2 4 36" xfId="4890"/>
    <cellStyle name="Note 3 2 4 36 2" xfId="12607"/>
    <cellStyle name="Note 3 2 4 36 3" xfId="21600"/>
    <cellStyle name="Note 3 2 4 36 4" xfId="29787"/>
    <cellStyle name="Note 3 2 4 36 5" xfId="28328"/>
    <cellStyle name="Note 3 2 4 36 6" xfId="43452"/>
    <cellStyle name="Note 3 2 4 36 7" xfId="50013"/>
    <cellStyle name="Note 3 2 4 37" xfId="5002"/>
    <cellStyle name="Note 3 2 4 37 2" xfId="12719"/>
    <cellStyle name="Note 3 2 4 37 3" xfId="21712"/>
    <cellStyle name="Note 3 2 4 37 4" xfId="29899"/>
    <cellStyle name="Note 3 2 4 37 5" xfId="36100"/>
    <cellStyle name="Note 3 2 4 37 6" xfId="43564"/>
    <cellStyle name="Note 3 2 4 37 7" xfId="53898"/>
    <cellStyle name="Note 3 2 4 38" xfId="5111"/>
    <cellStyle name="Note 3 2 4 38 2" xfId="12828"/>
    <cellStyle name="Note 3 2 4 38 3" xfId="21821"/>
    <cellStyle name="Note 3 2 4 38 4" xfId="30008"/>
    <cellStyle name="Note 3 2 4 38 5" xfId="27617"/>
    <cellStyle name="Note 3 2 4 38 6" xfId="43673"/>
    <cellStyle name="Note 3 2 4 38 7" xfId="49887"/>
    <cellStyle name="Note 3 2 4 39" xfId="5500"/>
    <cellStyle name="Note 3 2 4 39 2" xfId="13217"/>
    <cellStyle name="Note 3 2 4 39 3" xfId="22210"/>
    <cellStyle name="Note 3 2 4 39 4" xfId="30397"/>
    <cellStyle name="Note 3 2 4 39 5" xfId="33802"/>
    <cellStyle name="Note 3 2 4 39 6" xfId="44062"/>
    <cellStyle name="Note 3 2 4 39 7" xfId="48648"/>
    <cellStyle name="Note 3 2 4 4" xfId="892"/>
    <cellStyle name="Note 3 2 4 4 2" xfId="8716"/>
    <cellStyle name="Note 3 2 4 4 3" xfId="16144"/>
    <cellStyle name="Note 3 2 4 4 4" xfId="20445"/>
    <cellStyle name="Note 3 2 4 4 5" xfId="28644"/>
    <cellStyle name="Note 3 2 4 4 6" xfId="36430"/>
    <cellStyle name="Note 3 2 4 4 7" xfId="48571"/>
    <cellStyle name="Note 3 2 4 40" xfId="5625"/>
    <cellStyle name="Note 3 2 4 40 2" xfId="13342"/>
    <cellStyle name="Note 3 2 4 40 3" xfId="22335"/>
    <cellStyle name="Note 3 2 4 40 4" xfId="30522"/>
    <cellStyle name="Note 3 2 4 40 5" xfId="28583"/>
    <cellStyle name="Note 3 2 4 40 6" xfId="44187"/>
    <cellStyle name="Note 3 2 4 40 7" xfId="47123"/>
    <cellStyle name="Note 3 2 4 41" xfId="5740"/>
    <cellStyle name="Note 3 2 4 41 2" xfId="13457"/>
    <cellStyle name="Note 3 2 4 41 3" xfId="22450"/>
    <cellStyle name="Note 3 2 4 41 4" xfId="30637"/>
    <cellStyle name="Note 3 2 4 41 5" xfId="36056"/>
    <cellStyle name="Note 3 2 4 41 6" xfId="44302"/>
    <cellStyle name="Note 3 2 4 41 7" xfId="53240"/>
    <cellStyle name="Note 3 2 4 42" xfId="5857"/>
    <cellStyle name="Note 3 2 4 42 2" xfId="13574"/>
    <cellStyle name="Note 3 2 4 42 3" xfId="22567"/>
    <cellStyle name="Note 3 2 4 42 4" xfId="30754"/>
    <cellStyle name="Note 3 2 4 42 5" xfId="36177"/>
    <cellStyle name="Note 3 2 4 42 6" xfId="44419"/>
    <cellStyle name="Note 3 2 4 42 7" xfId="53803"/>
    <cellStyle name="Note 3 2 4 43" xfId="5985"/>
    <cellStyle name="Note 3 2 4 43 2" xfId="13702"/>
    <cellStyle name="Note 3 2 4 43 3" xfId="22695"/>
    <cellStyle name="Note 3 2 4 43 4" xfId="30882"/>
    <cellStyle name="Note 3 2 4 43 5" xfId="28062"/>
    <cellStyle name="Note 3 2 4 43 6" xfId="44547"/>
    <cellStyle name="Note 3 2 4 43 7" xfId="48686"/>
    <cellStyle name="Note 3 2 4 44" xfId="6087"/>
    <cellStyle name="Note 3 2 4 44 2" xfId="13804"/>
    <cellStyle name="Note 3 2 4 44 3" xfId="22797"/>
    <cellStyle name="Note 3 2 4 44 4" xfId="30984"/>
    <cellStyle name="Note 3 2 4 44 5" xfId="35920"/>
    <cellStyle name="Note 3 2 4 44 6" xfId="44649"/>
    <cellStyle name="Note 3 2 4 44 7" xfId="52801"/>
    <cellStyle name="Note 3 2 4 45" xfId="5072"/>
    <cellStyle name="Note 3 2 4 45 2" xfId="12789"/>
    <cellStyle name="Note 3 2 4 45 3" xfId="21782"/>
    <cellStyle name="Note 3 2 4 45 4" xfId="29969"/>
    <cellStyle name="Note 3 2 4 45 5" xfId="36082"/>
    <cellStyle name="Note 3 2 4 45 6" xfId="43634"/>
    <cellStyle name="Note 3 2 4 45 7" xfId="53813"/>
    <cellStyle name="Note 3 2 4 46" xfId="6241"/>
    <cellStyle name="Note 3 2 4 46 2" xfId="13958"/>
    <cellStyle name="Note 3 2 4 46 3" xfId="22951"/>
    <cellStyle name="Note 3 2 4 46 4" xfId="31138"/>
    <cellStyle name="Note 3 2 4 46 5" xfId="35579"/>
    <cellStyle name="Note 3 2 4 46 6" xfId="44803"/>
    <cellStyle name="Note 3 2 4 46 7" xfId="51094"/>
    <cellStyle name="Note 3 2 4 47" xfId="6358"/>
    <cellStyle name="Note 3 2 4 47 2" xfId="14075"/>
    <cellStyle name="Note 3 2 4 47 3" xfId="23068"/>
    <cellStyle name="Note 3 2 4 47 4" xfId="31255"/>
    <cellStyle name="Note 3 2 4 47 5" xfId="27963"/>
    <cellStyle name="Note 3 2 4 47 6" xfId="44920"/>
    <cellStyle name="Note 3 2 4 47 7" xfId="54032"/>
    <cellStyle name="Note 3 2 4 48" xfId="6468"/>
    <cellStyle name="Note 3 2 4 48 2" xfId="14185"/>
    <cellStyle name="Note 3 2 4 48 3" xfId="23178"/>
    <cellStyle name="Note 3 2 4 48 4" xfId="31365"/>
    <cellStyle name="Note 3 2 4 48 5" xfId="27246"/>
    <cellStyle name="Note 3 2 4 48 6" xfId="45030"/>
    <cellStyle name="Note 3 2 4 48 7" xfId="49122"/>
    <cellStyle name="Note 3 2 4 49" xfId="5252"/>
    <cellStyle name="Note 3 2 4 49 2" xfId="12969"/>
    <cellStyle name="Note 3 2 4 49 3" xfId="21962"/>
    <cellStyle name="Note 3 2 4 49 4" xfId="30149"/>
    <cellStyle name="Note 3 2 4 49 5" xfId="35593"/>
    <cellStyle name="Note 3 2 4 49 6" xfId="43814"/>
    <cellStyle name="Note 3 2 4 49 7" xfId="51474"/>
    <cellStyle name="Note 3 2 4 5" xfId="1357"/>
    <cellStyle name="Note 3 2 4 5 2" xfId="9180"/>
    <cellStyle name="Note 3 2 4 5 3" xfId="16608"/>
    <cellStyle name="Note 3 2 4 5 4" xfId="26690"/>
    <cellStyle name="Note 3 2 4 5 5" xfId="35542"/>
    <cellStyle name="Note 3 2 4 5 6" xfId="40878"/>
    <cellStyle name="Note 3 2 4 5 7" xfId="54475"/>
    <cellStyle name="Note 3 2 4 50" xfId="6615"/>
    <cellStyle name="Note 3 2 4 50 2" xfId="14332"/>
    <cellStyle name="Note 3 2 4 50 3" xfId="23325"/>
    <cellStyle name="Note 3 2 4 50 4" xfId="31512"/>
    <cellStyle name="Note 3 2 4 50 5" xfId="28197"/>
    <cellStyle name="Note 3 2 4 50 6" xfId="45177"/>
    <cellStyle name="Note 3 2 4 50 7" xfId="48122"/>
    <cellStyle name="Note 3 2 4 51" xfId="6726"/>
    <cellStyle name="Note 3 2 4 51 2" xfId="14443"/>
    <cellStyle name="Note 3 2 4 51 3" xfId="23436"/>
    <cellStyle name="Note 3 2 4 51 4" xfId="31623"/>
    <cellStyle name="Note 3 2 4 51 5" xfId="35884"/>
    <cellStyle name="Note 3 2 4 51 6" xfId="45288"/>
    <cellStyle name="Note 3 2 4 51 7" xfId="52269"/>
    <cellStyle name="Note 3 2 4 52" xfId="6841"/>
    <cellStyle name="Note 3 2 4 52 2" xfId="14558"/>
    <cellStyle name="Note 3 2 4 52 3" xfId="23551"/>
    <cellStyle name="Note 3 2 4 52 4" xfId="31738"/>
    <cellStyle name="Note 3 2 4 52 5" xfId="27017"/>
    <cellStyle name="Note 3 2 4 52 6" xfId="45403"/>
    <cellStyle name="Note 3 2 4 52 7" xfId="47905"/>
    <cellStyle name="Note 3 2 4 53" xfId="6954"/>
    <cellStyle name="Note 3 2 4 53 2" xfId="14671"/>
    <cellStyle name="Note 3 2 4 53 3" xfId="23664"/>
    <cellStyle name="Note 3 2 4 53 4" xfId="31851"/>
    <cellStyle name="Note 3 2 4 53 5" xfId="34899"/>
    <cellStyle name="Note 3 2 4 53 6" xfId="45516"/>
    <cellStyle name="Note 3 2 4 53 7" xfId="46812"/>
    <cellStyle name="Note 3 2 4 54" xfId="7066"/>
    <cellStyle name="Note 3 2 4 54 2" xfId="14783"/>
    <cellStyle name="Note 3 2 4 54 3" xfId="23776"/>
    <cellStyle name="Note 3 2 4 54 4" xfId="31963"/>
    <cellStyle name="Note 3 2 4 54 5" xfId="34052"/>
    <cellStyle name="Note 3 2 4 54 6" xfId="45628"/>
    <cellStyle name="Note 3 2 4 54 7" xfId="52802"/>
    <cellStyle name="Note 3 2 4 55" xfId="7348"/>
    <cellStyle name="Note 3 2 4 55 2" xfId="15065"/>
    <cellStyle name="Note 3 2 4 55 3" xfId="24058"/>
    <cellStyle name="Note 3 2 4 55 4" xfId="32245"/>
    <cellStyle name="Note 3 2 4 55 5" xfId="26837"/>
    <cellStyle name="Note 3 2 4 55 6" xfId="45910"/>
    <cellStyle name="Note 3 2 4 55 7" xfId="51463"/>
    <cellStyle name="Note 3 2 4 56" xfId="7340"/>
    <cellStyle name="Note 3 2 4 56 2" xfId="15057"/>
    <cellStyle name="Note 3 2 4 56 3" xfId="24050"/>
    <cellStyle name="Note 3 2 4 56 4" xfId="32237"/>
    <cellStyle name="Note 3 2 4 56 5" xfId="35645"/>
    <cellStyle name="Note 3 2 4 56 6" xfId="45902"/>
    <cellStyle name="Note 3 2 4 56 7" xfId="52491"/>
    <cellStyle name="Note 3 2 4 57" xfId="7463"/>
    <cellStyle name="Note 3 2 4 57 2" xfId="15180"/>
    <cellStyle name="Note 3 2 4 57 3" xfId="24173"/>
    <cellStyle name="Note 3 2 4 57 4" xfId="32360"/>
    <cellStyle name="Note 3 2 4 57 5" xfId="27249"/>
    <cellStyle name="Note 3 2 4 57 6" xfId="46025"/>
    <cellStyle name="Note 3 2 4 57 7" xfId="54349"/>
    <cellStyle name="Note 3 2 4 58" xfId="7584"/>
    <cellStyle name="Note 3 2 4 58 2" xfId="15301"/>
    <cellStyle name="Note 3 2 4 58 3" xfId="24294"/>
    <cellStyle name="Note 3 2 4 58 4" xfId="32481"/>
    <cellStyle name="Note 3 2 4 58 5" xfId="33347"/>
    <cellStyle name="Note 3 2 4 58 6" xfId="46146"/>
    <cellStyle name="Note 3 2 4 58 7" xfId="48749"/>
    <cellStyle name="Note 3 2 4 59" xfId="7860"/>
    <cellStyle name="Note 3 2 4 59 2" xfId="15577"/>
    <cellStyle name="Note 3 2 4 59 3" xfId="24564"/>
    <cellStyle name="Note 3 2 4 59 4" xfId="32757"/>
    <cellStyle name="Note 3 2 4 59 5" xfId="27180"/>
    <cellStyle name="Note 3 2 4 59 6" xfId="46422"/>
    <cellStyle name="Note 3 2 4 59 7" xfId="49943"/>
    <cellStyle name="Note 3 2 4 6" xfId="1480"/>
    <cellStyle name="Note 3 2 4 6 2" xfId="9303"/>
    <cellStyle name="Note 3 2 4 6 3" xfId="16731"/>
    <cellStyle name="Note 3 2 4 6 4" xfId="26675"/>
    <cellStyle name="Note 3 2 4 6 5" xfId="35522"/>
    <cellStyle name="Note 3 2 4 6 6" xfId="39579"/>
    <cellStyle name="Note 3 2 4 6 7" xfId="54444"/>
    <cellStyle name="Note 3 2 4 60" xfId="7772"/>
    <cellStyle name="Note 3 2 4 60 2" xfId="15489"/>
    <cellStyle name="Note 3 2 4 60 3" xfId="24478"/>
    <cellStyle name="Note 3 2 4 60 4" xfId="32669"/>
    <cellStyle name="Note 3 2 4 60 5" xfId="27173"/>
    <cellStyle name="Note 3 2 4 60 6" xfId="46334"/>
    <cellStyle name="Note 3 2 4 60 7" xfId="47487"/>
    <cellStyle name="Note 3 2 4 61" xfId="8006"/>
    <cellStyle name="Note 3 2 4 61 2" xfId="15723"/>
    <cellStyle name="Note 3 2 4 61 3" xfId="24708"/>
    <cellStyle name="Note 3 2 4 61 4" xfId="32903"/>
    <cellStyle name="Note 3 2 4 61 5" xfId="35168"/>
    <cellStyle name="Note 3 2 4 61 6" xfId="46568"/>
    <cellStyle name="Note 3 2 4 61 7" xfId="49240"/>
    <cellStyle name="Note 3 2 4 62" xfId="7748"/>
    <cellStyle name="Note 3 2 4 62 2" xfId="15465"/>
    <cellStyle name="Note 3 2 4 62 3" xfId="24456"/>
    <cellStyle name="Note 3 2 4 62 4" xfId="32645"/>
    <cellStyle name="Note 3 2 4 62 5" xfId="36102"/>
    <cellStyle name="Note 3 2 4 62 6" xfId="46310"/>
    <cellStyle name="Note 3 2 4 62 7" xfId="53319"/>
    <cellStyle name="Note 3 2 4 63" xfId="8136"/>
    <cellStyle name="Note 3 2 4 63 2" xfId="15853"/>
    <cellStyle name="Note 3 2 4 63 3" xfId="33033"/>
    <cellStyle name="Note 3 2 4 63 4" xfId="34198"/>
    <cellStyle name="Note 3 2 4 63 5" xfId="46698"/>
    <cellStyle name="Note 3 2 4 63 6" xfId="50387"/>
    <cellStyle name="Note 3 2 4 64" xfId="19927"/>
    <cellStyle name="Note 3 2 4 65" xfId="28843"/>
    <cellStyle name="Note 3 2 4 66" xfId="36905"/>
    <cellStyle name="Note 3 2 4 67" xfId="49509"/>
    <cellStyle name="Note 3 2 4 7" xfId="1170"/>
    <cellStyle name="Note 3 2 4 7 2" xfId="8993"/>
    <cellStyle name="Note 3 2 4 7 3" xfId="16421"/>
    <cellStyle name="Note 3 2 4 7 4" xfId="19645"/>
    <cellStyle name="Note 3 2 4 7 5" xfId="27964"/>
    <cellStyle name="Note 3 2 4 7 6" xfId="37838"/>
    <cellStyle name="Note 3 2 4 7 7" xfId="48940"/>
    <cellStyle name="Note 3 2 4 8" xfId="1717"/>
    <cellStyle name="Note 3 2 4 8 2" xfId="9540"/>
    <cellStyle name="Note 3 2 4 8 3" xfId="16968"/>
    <cellStyle name="Note 3 2 4 8 4" xfId="25866"/>
    <cellStyle name="Note 3 2 4 8 5" xfId="34454"/>
    <cellStyle name="Note 3 2 4 8 6" xfId="36266"/>
    <cellStyle name="Note 3 2 4 8 7" xfId="52705"/>
    <cellStyle name="Note 3 2 4 9" xfId="1851"/>
    <cellStyle name="Note 3 2 4 9 2" xfId="9674"/>
    <cellStyle name="Note 3 2 4 9 3" xfId="17102"/>
    <cellStyle name="Note 3 2 4 9 4" xfId="19765"/>
    <cellStyle name="Note 3 2 4 9 5" xfId="28399"/>
    <cellStyle name="Note 3 2 4 9 6" xfId="42087"/>
    <cellStyle name="Note 3 2 4 9 7" xfId="48065"/>
    <cellStyle name="Note 3 2 5" xfId="488"/>
    <cellStyle name="Note 3 2 5 10" xfId="1935"/>
    <cellStyle name="Note 3 2 5 10 2" xfId="9758"/>
    <cellStyle name="Note 3 2 5 10 3" xfId="17186"/>
    <cellStyle name="Note 3 2 5 10 4" xfId="26116"/>
    <cellStyle name="Note 3 2 5 10 5" xfId="34773"/>
    <cellStyle name="Note 3 2 5 10 6" xfId="41950"/>
    <cellStyle name="Note 3 2 5 10 7" xfId="53238"/>
    <cellStyle name="Note 3 2 5 11" xfId="2053"/>
    <cellStyle name="Note 3 2 5 11 2" xfId="9876"/>
    <cellStyle name="Note 3 2 5 11 3" xfId="17304"/>
    <cellStyle name="Note 3 2 5 11 4" xfId="26231"/>
    <cellStyle name="Note 3 2 5 11 5" xfId="34918"/>
    <cellStyle name="Note 3 2 5 11 6" xfId="36445"/>
    <cellStyle name="Note 3 2 5 11 7" xfId="53483"/>
    <cellStyle name="Note 3 2 5 12" xfId="2166"/>
    <cellStyle name="Note 3 2 5 12 2" xfId="9989"/>
    <cellStyle name="Note 3 2 5 12 3" xfId="17417"/>
    <cellStyle name="Note 3 2 5 12 4" xfId="25926"/>
    <cellStyle name="Note 3 2 5 12 5" xfId="34528"/>
    <cellStyle name="Note 3 2 5 12 6" xfId="36760"/>
    <cellStyle name="Note 3 2 5 12 7" xfId="52837"/>
    <cellStyle name="Note 3 2 5 13" xfId="2234"/>
    <cellStyle name="Note 3 2 5 13 2" xfId="10057"/>
    <cellStyle name="Note 3 2 5 13 3" xfId="17485"/>
    <cellStyle name="Note 3 2 5 13 4" xfId="19891"/>
    <cellStyle name="Note 3 2 5 13 5" xfId="27699"/>
    <cellStyle name="Note 3 2 5 13 6" xfId="41236"/>
    <cellStyle name="Note 3 2 5 13 7" xfId="48333"/>
    <cellStyle name="Note 3 2 5 14" xfId="1644"/>
    <cellStyle name="Note 3 2 5 14 2" xfId="9467"/>
    <cellStyle name="Note 3 2 5 14 3" xfId="16895"/>
    <cellStyle name="Note 3 2 5 14 4" xfId="25485"/>
    <cellStyle name="Note 3 2 5 14 5" xfId="33959"/>
    <cellStyle name="Note 3 2 5 14 6" xfId="41405"/>
    <cellStyle name="Note 3 2 5 14 7" xfId="51842"/>
    <cellStyle name="Note 3 2 5 15" xfId="2464"/>
    <cellStyle name="Note 3 2 5 15 2" xfId="10287"/>
    <cellStyle name="Note 3 2 5 15 3" xfId="17715"/>
    <cellStyle name="Note 3 2 5 15 4" xfId="19800"/>
    <cellStyle name="Note 3 2 5 15 5" xfId="28005"/>
    <cellStyle name="Note 3 2 5 15 6" xfId="39556"/>
    <cellStyle name="Note 3 2 5 15 7" xfId="48408"/>
    <cellStyle name="Note 3 2 5 16" xfId="2577"/>
    <cellStyle name="Note 3 2 5 16 2" xfId="10400"/>
    <cellStyle name="Note 3 2 5 16 3" xfId="17828"/>
    <cellStyle name="Note 3 2 5 16 4" xfId="25613"/>
    <cellStyle name="Note 3 2 5 16 5" xfId="34125"/>
    <cellStyle name="Note 3 2 5 16 6" xfId="36438"/>
    <cellStyle name="Note 3 2 5 16 7" xfId="52117"/>
    <cellStyle name="Note 3 2 5 17" xfId="2568"/>
    <cellStyle name="Note 3 2 5 17 2" xfId="10391"/>
    <cellStyle name="Note 3 2 5 17 3" xfId="17819"/>
    <cellStyle name="Note 3 2 5 17 4" xfId="25879"/>
    <cellStyle name="Note 3 2 5 17 5" xfId="34469"/>
    <cellStyle name="Note 3 2 5 17 6" xfId="38144"/>
    <cellStyle name="Note 3 2 5 17 7" xfId="52739"/>
    <cellStyle name="Note 3 2 5 18" xfId="1249"/>
    <cellStyle name="Note 3 2 5 18 2" xfId="9072"/>
    <cellStyle name="Note 3 2 5 18 3" xfId="16500"/>
    <cellStyle name="Note 3 2 5 18 4" xfId="20019"/>
    <cellStyle name="Note 3 2 5 18 5" xfId="27559"/>
    <cellStyle name="Note 3 2 5 18 6" xfId="36357"/>
    <cellStyle name="Note 3 2 5 18 7" xfId="48986"/>
    <cellStyle name="Note 3 2 5 19" xfId="2771"/>
    <cellStyle name="Note 3 2 5 19 2" xfId="10594"/>
    <cellStyle name="Note 3 2 5 19 3" xfId="18022"/>
    <cellStyle name="Note 3 2 5 19 4" xfId="26465"/>
    <cellStyle name="Note 3 2 5 19 5" xfId="35244"/>
    <cellStyle name="Note 3 2 5 19 6" xfId="40101"/>
    <cellStyle name="Note 3 2 5 19 7" xfId="53995"/>
    <cellStyle name="Note 3 2 5 2" xfId="639"/>
    <cellStyle name="Note 3 2 5 2 2" xfId="8463"/>
    <cellStyle name="Note 3 2 5 2 3" xfId="8295"/>
    <cellStyle name="Note 3 2 5 2 4" xfId="26377"/>
    <cellStyle name="Note 3 2 5 2 5" xfId="35121"/>
    <cellStyle name="Note 3 2 5 2 6" xfId="36496"/>
    <cellStyle name="Note 3 2 5 2 7" xfId="53805"/>
    <cellStyle name="Note 3 2 5 20" xfId="2878"/>
    <cellStyle name="Note 3 2 5 20 2" xfId="10701"/>
    <cellStyle name="Note 3 2 5 20 3" xfId="18129"/>
    <cellStyle name="Note 3 2 5 20 4" xfId="20197"/>
    <cellStyle name="Note 3 2 5 20 5" xfId="26792"/>
    <cellStyle name="Note 3 2 5 20 6" xfId="37164"/>
    <cellStyle name="Note 3 2 5 20 7" xfId="50339"/>
    <cellStyle name="Note 3 2 5 21" xfId="3254"/>
    <cellStyle name="Note 3 2 5 21 2" xfId="11047"/>
    <cellStyle name="Note 3 2 5 21 3" xfId="18376"/>
    <cellStyle name="Note 3 2 5 21 4" xfId="19654"/>
    <cellStyle name="Note 3 2 5 21 5" xfId="28220"/>
    <cellStyle name="Note 3 2 5 21 6" xfId="37363"/>
    <cellStyle name="Note 3 2 5 21 7" xfId="50300"/>
    <cellStyle name="Note 3 2 5 22" xfId="3374"/>
    <cellStyle name="Note 3 2 5 22 2" xfId="11165"/>
    <cellStyle name="Note 3 2 5 22 3" xfId="18487"/>
    <cellStyle name="Note 3 2 5 22 4" xfId="25935"/>
    <cellStyle name="Note 3 2 5 22 5" xfId="34540"/>
    <cellStyle name="Note 3 2 5 22 6" xfId="39757"/>
    <cellStyle name="Note 3 2 5 22 7" xfId="52861"/>
    <cellStyle name="Note 3 2 5 23" xfId="3508"/>
    <cellStyle name="Note 3 2 5 23 2" xfId="11299"/>
    <cellStyle name="Note 3 2 5 23 3" xfId="18597"/>
    <cellStyle name="Note 3 2 5 23 4" xfId="26585"/>
    <cellStyle name="Note 3 2 5 23 5" xfId="35405"/>
    <cellStyle name="Note 3 2 5 23 6" xfId="42304"/>
    <cellStyle name="Note 3 2 5 23 7" xfId="54246"/>
    <cellStyle name="Note 3 2 5 24" xfId="3174"/>
    <cellStyle name="Note 3 2 5 24 2" xfId="10975"/>
    <cellStyle name="Note 3 2 5 24 3" xfId="18338"/>
    <cellStyle name="Note 3 2 5 24 4" xfId="25610"/>
    <cellStyle name="Note 3 2 5 24 5" xfId="34122"/>
    <cellStyle name="Note 3 2 5 24 6" xfId="37850"/>
    <cellStyle name="Note 3 2 5 24 7" xfId="52114"/>
    <cellStyle name="Note 3 2 5 25" xfId="3644"/>
    <cellStyle name="Note 3 2 5 25 2" xfId="11429"/>
    <cellStyle name="Note 3 2 5 25 3" xfId="18702"/>
    <cellStyle name="Note 3 2 5 25 4" xfId="20520"/>
    <cellStyle name="Note 3 2 5 25 5" xfId="27970"/>
    <cellStyle name="Note 3 2 5 25 6" xfId="36827"/>
    <cellStyle name="Note 3 2 5 25 7" xfId="47957"/>
    <cellStyle name="Note 3 2 5 26" xfId="3775"/>
    <cellStyle name="Note 3 2 5 26 2" xfId="11557"/>
    <cellStyle name="Note 3 2 5 26 3" xfId="18814"/>
    <cellStyle name="Note 3 2 5 26 4" xfId="24932"/>
    <cellStyle name="Note 3 2 5 26 5" xfId="33265"/>
    <cellStyle name="Note 3 2 5 26 6" xfId="37512"/>
    <cellStyle name="Note 3 2 5 26 7" xfId="50642"/>
    <cellStyle name="Note 3 2 5 27" xfId="3892"/>
    <cellStyle name="Note 3 2 5 27 2" xfId="11672"/>
    <cellStyle name="Note 3 2 5 27 3" xfId="18923"/>
    <cellStyle name="Note 3 2 5 27 4" xfId="25702"/>
    <cellStyle name="Note 3 2 5 27 5" xfId="34242"/>
    <cellStyle name="Note 3 2 5 27 6" xfId="40270"/>
    <cellStyle name="Note 3 2 5 27 7" xfId="52312"/>
    <cellStyle name="Note 3 2 5 28" xfId="3532"/>
    <cellStyle name="Note 3 2 5 28 2" xfId="11322"/>
    <cellStyle name="Note 3 2 5 28 3" xfId="20503"/>
    <cellStyle name="Note 3 2 5 28 4" xfId="28628"/>
    <cellStyle name="Note 3 2 5 28 5" xfId="35613"/>
    <cellStyle name="Note 3 2 5 28 6" xfId="42500"/>
    <cellStyle name="Note 3 2 5 28 7" xfId="51561"/>
    <cellStyle name="Note 3 2 5 29" xfId="4089"/>
    <cellStyle name="Note 3 2 5 29 2" xfId="11849"/>
    <cellStyle name="Note 3 2 5 29 3" xfId="20799"/>
    <cellStyle name="Note 3 2 5 29 4" xfId="28986"/>
    <cellStyle name="Note 3 2 5 29 5" xfId="35668"/>
    <cellStyle name="Note 3 2 5 29 6" xfId="42651"/>
    <cellStyle name="Note 3 2 5 29 7" xfId="51766"/>
    <cellStyle name="Note 3 2 5 3" xfId="746"/>
    <cellStyle name="Note 3 2 5 3 2" xfId="8570"/>
    <cellStyle name="Note 3 2 5 3 3" xfId="15998"/>
    <cellStyle name="Note 3 2 5 3 4" xfId="19455"/>
    <cellStyle name="Note 3 2 5 3 5" xfId="27852"/>
    <cellStyle name="Note 3 2 5 3 6" xfId="36488"/>
    <cellStyle name="Note 3 2 5 3 7" xfId="48814"/>
    <cellStyle name="Note 3 2 5 30" xfId="4214"/>
    <cellStyle name="Note 3 2 5 30 2" xfId="20924"/>
    <cellStyle name="Note 3 2 5 30 3" xfId="29111"/>
    <cellStyle name="Note 3 2 5 30 4" xfId="34015"/>
    <cellStyle name="Note 3 2 5 30 5" xfId="42776"/>
    <cellStyle name="Note 3 2 5 30 6" xfId="50413"/>
    <cellStyle name="Note 3 2 5 31" xfId="4286"/>
    <cellStyle name="Note 3 2 5 31 2" xfId="12003"/>
    <cellStyle name="Note 3 2 5 31 3" xfId="20996"/>
    <cellStyle name="Note 3 2 5 31 4" xfId="29183"/>
    <cellStyle name="Note 3 2 5 31 5" xfId="27023"/>
    <cellStyle name="Note 3 2 5 31 6" xfId="42848"/>
    <cellStyle name="Note 3 2 5 31 7" xfId="50513"/>
    <cellStyle name="Note 3 2 5 32" xfId="4409"/>
    <cellStyle name="Note 3 2 5 32 2" xfId="12126"/>
    <cellStyle name="Note 3 2 5 32 3" xfId="21119"/>
    <cellStyle name="Note 3 2 5 32 4" xfId="29306"/>
    <cellStyle name="Note 3 2 5 32 5" xfId="36137"/>
    <cellStyle name="Note 3 2 5 32 6" xfId="42971"/>
    <cellStyle name="Note 3 2 5 32 7" xfId="54049"/>
    <cellStyle name="Note 3 2 5 33" xfId="4523"/>
    <cellStyle name="Note 3 2 5 33 2" xfId="12240"/>
    <cellStyle name="Note 3 2 5 33 3" xfId="21233"/>
    <cellStyle name="Note 3 2 5 33 4" xfId="29420"/>
    <cellStyle name="Note 3 2 5 33 5" xfId="27921"/>
    <cellStyle name="Note 3 2 5 33 6" xfId="43085"/>
    <cellStyle name="Note 3 2 5 33 7" xfId="49230"/>
    <cellStyle name="Note 3 2 5 34" xfId="4636"/>
    <cellStyle name="Note 3 2 5 34 2" xfId="12353"/>
    <cellStyle name="Note 3 2 5 34 3" xfId="21346"/>
    <cellStyle name="Note 3 2 5 34 4" xfId="29533"/>
    <cellStyle name="Note 3 2 5 34 5" xfId="36002"/>
    <cellStyle name="Note 3 2 5 34 6" xfId="43198"/>
    <cellStyle name="Note 3 2 5 34 7" xfId="53416"/>
    <cellStyle name="Note 3 2 5 35" xfId="4748"/>
    <cellStyle name="Note 3 2 5 35 2" xfId="12465"/>
    <cellStyle name="Note 3 2 5 35 3" xfId="21458"/>
    <cellStyle name="Note 3 2 5 35 4" xfId="29645"/>
    <cellStyle name="Note 3 2 5 35 5" xfId="34261"/>
    <cellStyle name="Note 3 2 5 35 6" xfId="43310"/>
    <cellStyle name="Note 3 2 5 35 7" xfId="49454"/>
    <cellStyle name="Note 3 2 5 36" xfId="4856"/>
    <cellStyle name="Note 3 2 5 36 2" xfId="12573"/>
    <cellStyle name="Note 3 2 5 36 3" xfId="21566"/>
    <cellStyle name="Note 3 2 5 36 4" xfId="29753"/>
    <cellStyle name="Note 3 2 5 36 5" xfId="35985"/>
    <cellStyle name="Note 3 2 5 36 6" xfId="43418"/>
    <cellStyle name="Note 3 2 5 36 7" xfId="53352"/>
    <cellStyle name="Note 3 2 5 37" xfId="4968"/>
    <cellStyle name="Note 3 2 5 37 2" xfId="12685"/>
    <cellStyle name="Note 3 2 5 37 3" xfId="21678"/>
    <cellStyle name="Note 3 2 5 37 4" xfId="29865"/>
    <cellStyle name="Note 3 2 5 37 5" xfId="28869"/>
    <cellStyle name="Note 3 2 5 37 6" xfId="43530"/>
    <cellStyle name="Note 3 2 5 37 7" xfId="50916"/>
    <cellStyle name="Note 3 2 5 38" xfId="5145"/>
    <cellStyle name="Note 3 2 5 38 2" xfId="12862"/>
    <cellStyle name="Note 3 2 5 38 3" xfId="21855"/>
    <cellStyle name="Note 3 2 5 38 4" xfId="30042"/>
    <cellStyle name="Note 3 2 5 38 5" xfId="36046"/>
    <cellStyle name="Note 3 2 5 38 6" xfId="43707"/>
    <cellStyle name="Note 3 2 5 38 7" xfId="53646"/>
    <cellStyle name="Note 3 2 5 39" xfId="5466"/>
    <cellStyle name="Note 3 2 5 39 2" xfId="13183"/>
    <cellStyle name="Note 3 2 5 39 3" xfId="22176"/>
    <cellStyle name="Note 3 2 5 39 4" xfId="30363"/>
    <cellStyle name="Note 3 2 5 39 5" xfId="35745"/>
    <cellStyle name="Note 3 2 5 39 6" xfId="44028"/>
    <cellStyle name="Note 3 2 5 39 7" xfId="52216"/>
    <cellStyle name="Note 3 2 5 4" xfId="858"/>
    <cellStyle name="Note 3 2 5 4 2" xfId="8682"/>
    <cellStyle name="Note 3 2 5 4 3" xfId="16110"/>
    <cellStyle name="Note 3 2 5 4 4" xfId="20162"/>
    <cellStyle name="Note 3 2 5 4 5" xfId="27481"/>
    <cellStyle name="Note 3 2 5 4 6" xfId="36472"/>
    <cellStyle name="Note 3 2 5 4 7" xfId="49998"/>
    <cellStyle name="Note 3 2 5 40" xfId="5591"/>
    <cellStyle name="Note 3 2 5 40 2" xfId="13308"/>
    <cellStyle name="Note 3 2 5 40 3" xfId="22301"/>
    <cellStyle name="Note 3 2 5 40 4" xfId="30488"/>
    <cellStyle name="Note 3 2 5 40 5" xfId="33424"/>
    <cellStyle name="Note 3 2 5 40 6" xfId="44153"/>
    <cellStyle name="Note 3 2 5 40 7" xfId="46838"/>
    <cellStyle name="Note 3 2 5 41" xfId="5706"/>
    <cellStyle name="Note 3 2 5 41 2" xfId="13423"/>
    <cellStyle name="Note 3 2 5 41 3" xfId="22416"/>
    <cellStyle name="Note 3 2 5 41 4" xfId="30603"/>
    <cellStyle name="Note 3 2 5 41 5" xfId="34592"/>
    <cellStyle name="Note 3 2 5 41 6" xfId="44268"/>
    <cellStyle name="Note 3 2 5 41 7" xfId="46926"/>
    <cellStyle name="Note 3 2 5 42" xfId="5823"/>
    <cellStyle name="Note 3 2 5 42 2" xfId="13540"/>
    <cellStyle name="Note 3 2 5 42 3" xfId="22533"/>
    <cellStyle name="Note 3 2 5 42 4" xfId="30720"/>
    <cellStyle name="Note 3 2 5 42 5" xfId="34184"/>
    <cellStyle name="Note 3 2 5 42 6" xfId="44385"/>
    <cellStyle name="Note 3 2 5 42 7" xfId="47555"/>
    <cellStyle name="Note 3 2 5 43" xfId="5951"/>
    <cellStyle name="Note 3 2 5 43 2" xfId="13668"/>
    <cellStyle name="Note 3 2 5 43 3" xfId="22661"/>
    <cellStyle name="Note 3 2 5 43 4" xfId="30848"/>
    <cellStyle name="Note 3 2 5 43 5" xfId="35862"/>
    <cellStyle name="Note 3 2 5 43 6" xfId="44513"/>
    <cellStyle name="Note 3 2 5 43 7" xfId="52363"/>
    <cellStyle name="Note 3 2 5 44" xfId="6064"/>
    <cellStyle name="Note 3 2 5 44 2" xfId="13781"/>
    <cellStyle name="Note 3 2 5 44 3" xfId="22774"/>
    <cellStyle name="Note 3 2 5 44 4" xfId="30961"/>
    <cellStyle name="Note 3 2 5 44 5" xfId="35644"/>
    <cellStyle name="Note 3 2 5 44 6" xfId="44626"/>
    <cellStyle name="Note 3 2 5 44 7" xfId="51736"/>
    <cellStyle name="Note 3 2 5 45" xfId="6075"/>
    <cellStyle name="Note 3 2 5 45 2" xfId="13792"/>
    <cellStyle name="Note 3 2 5 45 3" xfId="22785"/>
    <cellStyle name="Note 3 2 5 45 4" xfId="30972"/>
    <cellStyle name="Note 3 2 5 45 5" xfId="36132"/>
    <cellStyle name="Note 3 2 5 45 6" xfId="44637"/>
    <cellStyle name="Note 3 2 5 45 7" xfId="53948"/>
    <cellStyle name="Note 3 2 5 46" xfId="6207"/>
    <cellStyle name="Note 3 2 5 46 2" xfId="13924"/>
    <cellStyle name="Note 3 2 5 46 3" xfId="22917"/>
    <cellStyle name="Note 3 2 5 46 4" xfId="31104"/>
    <cellStyle name="Note 3 2 5 46 5" xfId="33315"/>
    <cellStyle name="Note 3 2 5 46 6" xfId="44769"/>
    <cellStyle name="Note 3 2 5 46 7" xfId="48529"/>
    <cellStyle name="Note 3 2 5 47" xfId="6324"/>
    <cellStyle name="Note 3 2 5 47 2" xfId="14041"/>
    <cellStyle name="Note 3 2 5 47 3" xfId="23034"/>
    <cellStyle name="Note 3 2 5 47 4" xfId="31221"/>
    <cellStyle name="Note 3 2 5 47 5" xfId="35713"/>
    <cellStyle name="Note 3 2 5 47 6" xfId="44886"/>
    <cellStyle name="Note 3 2 5 47 7" xfId="51460"/>
    <cellStyle name="Note 3 2 5 48" xfId="6434"/>
    <cellStyle name="Note 3 2 5 48 2" xfId="14151"/>
    <cellStyle name="Note 3 2 5 48 3" xfId="23144"/>
    <cellStyle name="Note 3 2 5 48 4" xfId="31331"/>
    <cellStyle name="Note 3 2 5 48 5" xfId="35939"/>
    <cellStyle name="Note 3 2 5 48 6" xfId="44996"/>
    <cellStyle name="Note 3 2 5 48 7" xfId="52874"/>
    <cellStyle name="Note 3 2 5 49" xfId="6501"/>
    <cellStyle name="Note 3 2 5 49 2" xfId="14218"/>
    <cellStyle name="Note 3 2 5 49 3" xfId="23211"/>
    <cellStyle name="Note 3 2 5 49 4" xfId="31398"/>
    <cellStyle name="Note 3 2 5 49 5" xfId="34791"/>
    <cellStyle name="Note 3 2 5 49 6" xfId="45063"/>
    <cellStyle name="Note 3 2 5 49 7" xfId="54151"/>
    <cellStyle name="Note 3 2 5 5" xfId="1323"/>
    <cellStyle name="Note 3 2 5 5 2" xfId="9146"/>
    <cellStyle name="Note 3 2 5 5 3" xfId="16574"/>
    <cellStyle name="Note 3 2 5 5 4" xfId="25524"/>
    <cellStyle name="Note 3 2 5 5 5" xfId="34006"/>
    <cellStyle name="Note 3 2 5 5 6" xfId="39598"/>
    <cellStyle name="Note 3 2 5 5 7" xfId="51926"/>
    <cellStyle name="Note 3 2 5 50" xfId="6581"/>
    <cellStyle name="Note 3 2 5 50 2" xfId="14298"/>
    <cellStyle name="Note 3 2 5 50 3" xfId="23291"/>
    <cellStyle name="Note 3 2 5 50 4" xfId="31478"/>
    <cellStyle name="Note 3 2 5 50 5" xfId="35968"/>
    <cellStyle name="Note 3 2 5 50 6" xfId="45143"/>
    <cellStyle name="Note 3 2 5 50 7" xfId="53052"/>
    <cellStyle name="Note 3 2 5 51" xfId="6692"/>
    <cellStyle name="Note 3 2 5 51 2" xfId="14409"/>
    <cellStyle name="Note 3 2 5 51 3" xfId="23402"/>
    <cellStyle name="Note 3 2 5 51 4" xfId="31589"/>
    <cellStyle name="Note 3 2 5 51 5" xfId="27538"/>
    <cellStyle name="Note 3 2 5 51 6" xfId="45254"/>
    <cellStyle name="Note 3 2 5 51 7" xfId="48689"/>
    <cellStyle name="Note 3 2 5 52" xfId="6807"/>
    <cellStyle name="Note 3 2 5 52 2" xfId="14524"/>
    <cellStyle name="Note 3 2 5 52 3" xfId="23517"/>
    <cellStyle name="Note 3 2 5 52 4" xfId="31704"/>
    <cellStyle name="Note 3 2 5 52 5" xfId="35603"/>
    <cellStyle name="Note 3 2 5 52 6" xfId="45369"/>
    <cellStyle name="Note 3 2 5 52 7" xfId="51203"/>
    <cellStyle name="Note 3 2 5 53" xfId="6920"/>
    <cellStyle name="Note 3 2 5 53 2" xfId="14637"/>
    <cellStyle name="Note 3 2 5 53 3" xfId="23630"/>
    <cellStyle name="Note 3 2 5 53 4" xfId="31817"/>
    <cellStyle name="Note 3 2 5 53 5" xfId="35170"/>
    <cellStyle name="Note 3 2 5 53 6" xfId="45482"/>
    <cellStyle name="Note 3 2 5 53 7" xfId="46817"/>
    <cellStyle name="Note 3 2 5 54" xfId="7032"/>
    <cellStyle name="Note 3 2 5 54 2" xfId="14749"/>
    <cellStyle name="Note 3 2 5 54 3" xfId="23742"/>
    <cellStyle name="Note 3 2 5 54 4" xfId="31929"/>
    <cellStyle name="Note 3 2 5 54 5" xfId="27216"/>
    <cellStyle name="Note 3 2 5 54 6" xfId="45594"/>
    <cellStyle name="Note 3 2 5 54 7" xfId="54543"/>
    <cellStyle name="Note 3 2 5 55" xfId="7326"/>
    <cellStyle name="Note 3 2 5 55 2" xfId="15043"/>
    <cellStyle name="Note 3 2 5 55 3" xfId="24036"/>
    <cellStyle name="Note 3 2 5 55 4" xfId="32223"/>
    <cellStyle name="Note 3 2 5 55 5" xfId="35240"/>
    <cellStyle name="Note 3 2 5 55 6" xfId="45888"/>
    <cellStyle name="Note 3 2 5 55 7" xfId="53873"/>
    <cellStyle name="Note 3 2 5 56" xfId="7266"/>
    <cellStyle name="Note 3 2 5 56 2" xfId="14983"/>
    <cellStyle name="Note 3 2 5 56 3" xfId="23976"/>
    <cellStyle name="Note 3 2 5 56 4" xfId="32163"/>
    <cellStyle name="Note 3 2 5 56 5" xfId="35974"/>
    <cellStyle name="Note 3 2 5 56 6" xfId="45828"/>
    <cellStyle name="Note 3 2 5 56 7" xfId="52951"/>
    <cellStyle name="Note 3 2 5 57" xfId="7429"/>
    <cellStyle name="Note 3 2 5 57 2" xfId="15146"/>
    <cellStyle name="Note 3 2 5 57 3" xfId="24139"/>
    <cellStyle name="Note 3 2 5 57 4" xfId="32326"/>
    <cellStyle name="Note 3 2 5 57 5" xfId="28160"/>
    <cellStyle name="Note 3 2 5 57 6" xfId="45991"/>
    <cellStyle name="Note 3 2 5 57 7" xfId="50398"/>
    <cellStyle name="Note 3 2 5 58" xfId="7550"/>
    <cellStyle name="Note 3 2 5 58 2" xfId="15267"/>
    <cellStyle name="Note 3 2 5 58 3" xfId="24260"/>
    <cellStyle name="Note 3 2 5 58 4" xfId="32447"/>
    <cellStyle name="Note 3 2 5 58 5" xfId="35905"/>
    <cellStyle name="Note 3 2 5 58 6" xfId="46112"/>
    <cellStyle name="Note 3 2 5 58 7" xfId="52437"/>
    <cellStyle name="Note 3 2 5 59" xfId="7826"/>
    <cellStyle name="Note 3 2 5 59 2" xfId="15543"/>
    <cellStyle name="Note 3 2 5 59 3" xfId="24530"/>
    <cellStyle name="Note 3 2 5 59 4" xfId="32723"/>
    <cellStyle name="Note 3 2 5 59 5" xfId="36170"/>
    <cellStyle name="Note 3 2 5 59 6" xfId="46388"/>
    <cellStyle name="Note 3 2 5 59 7" xfId="53497"/>
    <cellStyle name="Note 3 2 5 6" xfId="1446"/>
    <cellStyle name="Note 3 2 5 6 2" xfId="9269"/>
    <cellStyle name="Note 3 2 5 6 3" xfId="16697"/>
    <cellStyle name="Note 3 2 5 6 4" xfId="25260"/>
    <cellStyle name="Note 3 2 5 6 5" xfId="33666"/>
    <cellStyle name="Note 3 2 5 6 6" xfId="39224"/>
    <cellStyle name="Note 3 2 5 6 7" xfId="51340"/>
    <cellStyle name="Note 3 2 5 60" xfId="7706"/>
    <cellStyle name="Note 3 2 5 60 2" xfId="15423"/>
    <cellStyle name="Note 3 2 5 60 3" xfId="24414"/>
    <cellStyle name="Note 3 2 5 60 4" xfId="32603"/>
    <cellStyle name="Note 3 2 5 60 5" xfId="35711"/>
    <cellStyle name="Note 3 2 5 60 6" xfId="46268"/>
    <cellStyle name="Note 3 2 5 60 7" xfId="51240"/>
    <cellStyle name="Note 3 2 5 61" xfId="7791"/>
    <cellStyle name="Note 3 2 5 61 2" xfId="15508"/>
    <cellStyle name="Note 3 2 5 61 3" xfId="24496"/>
    <cellStyle name="Note 3 2 5 61 4" xfId="32688"/>
    <cellStyle name="Note 3 2 5 61 5" xfId="35572"/>
    <cellStyle name="Note 3 2 5 61 6" xfId="46353"/>
    <cellStyle name="Note 3 2 5 61 7" xfId="48827"/>
    <cellStyle name="Note 3 2 5 62" xfId="7666"/>
    <cellStyle name="Note 3 2 5 62 2" xfId="15383"/>
    <cellStyle name="Note 3 2 5 62 3" xfId="24375"/>
    <cellStyle name="Note 3 2 5 62 4" xfId="32563"/>
    <cellStyle name="Note 3 2 5 62 5" xfId="28770"/>
    <cellStyle name="Note 3 2 5 62 6" xfId="46228"/>
    <cellStyle name="Note 3 2 5 62 7" xfId="49139"/>
    <cellStyle name="Note 3 2 5 63" xfId="8102"/>
    <cellStyle name="Note 3 2 5 63 2" xfId="15819"/>
    <cellStyle name="Note 3 2 5 63 3" xfId="32999"/>
    <cellStyle name="Note 3 2 5 63 4" xfId="36212"/>
    <cellStyle name="Note 3 2 5 63 5" xfId="46664"/>
    <cellStyle name="Note 3 2 5 63 6" xfId="53936"/>
    <cellStyle name="Note 3 2 5 64" xfId="26153"/>
    <cellStyle name="Note 3 2 5 65" xfId="34822"/>
    <cellStyle name="Note 3 2 5 66" xfId="37701"/>
    <cellStyle name="Note 3 2 5 67" xfId="53325"/>
    <cellStyle name="Note 3 2 5 7" xfId="992"/>
    <cellStyle name="Note 3 2 5 7 2" xfId="8816"/>
    <cellStyle name="Note 3 2 5 7 3" xfId="16244"/>
    <cellStyle name="Note 3 2 5 7 4" xfId="25324"/>
    <cellStyle name="Note 3 2 5 7 5" xfId="33752"/>
    <cellStyle name="Note 3 2 5 7 6" xfId="38269"/>
    <cellStyle name="Note 3 2 5 7 7" xfId="51482"/>
    <cellStyle name="Note 3 2 5 8" xfId="1683"/>
    <cellStyle name="Note 3 2 5 8 2" xfId="9506"/>
    <cellStyle name="Note 3 2 5 8 3" xfId="16934"/>
    <cellStyle name="Note 3 2 5 8 4" xfId="20097"/>
    <cellStyle name="Note 3 2 5 8 5" xfId="27785"/>
    <cellStyle name="Note 3 2 5 8 6" xfId="37608"/>
    <cellStyle name="Note 3 2 5 8 7" xfId="48739"/>
    <cellStyle name="Note 3 2 5 9" xfId="1817"/>
    <cellStyle name="Note 3 2 5 9 2" xfId="9640"/>
    <cellStyle name="Note 3 2 5 9 3" xfId="17068"/>
    <cellStyle name="Note 3 2 5 9 4" xfId="19149"/>
    <cellStyle name="Note 3 2 5 9 5" xfId="27589"/>
    <cellStyle name="Note 3 2 5 9 6" xfId="39178"/>
    <cellStyle name="Note 3 2 5 9 7" xfId="49271"/>
    <cellStyle name="Note 3 2 6" xfId="616"/>
    <cellStyle name="Note 3 2 6 2" xfId="8440"/>
    <cellStyle name="Note 3 2 6 3" xfId="8396"/>
    <cellStyle name="Note 3 2 6 4" xfId="19857"/>
    <cellStyle name="Note 3 2 6 5" xfId="27564"/>
    <cellStyle name="Note 3 2 6 6" xfId="38110"/>
    <cellStyle name="Note 3 2 6 7" xfId="50326"/>
    <cellStyle name="Note 3 2 7" xfId="617"/>
    <cellStyle name="Note 3 2 7 2" xfId="8441"/>
    <cellStyle name="Note 3 2 7 3" xfId="11961"/>
    <cellStyle name="Note 3 2 7 4" xfId="19041"/>
    <cellStyle name="Note 3 2 7 5" xfId="26861"/>
    <cellStyle name="Note 3 2 7 6" xfId="37636"/>
    <cellStyle name="Note 3 2 7 7" xfId="49835"/>
    <cellStyle name="Note 3 2 8" xfId="1193"/>
    <cellStyle name="Note 3 2 8 2" xfId="9016"/>
    <cellStyle name="Note 3 2 8 3" xfId="16444"/>
    <cellStyle name="Note 3 2 8 4" xfId="25860"/>
    <cellStyle name="Note 3 2 8 5" xfId="34448"/>
    <cellStyle name="Note 3 2 8 6" xfId="41915"/>
    <cellStyle name="Note 3 2 8 7" xfId="52689"/>
    <cellStyle name="Note 3 2 9" xfId="1067"/>
    <cellStyle name="Note 3 2 9 2" xfId="8891"/>
    <cellStyle name="Note 3 2 9 3" xfId="16319"/>
    <cellStyle name="Note 3 2 9 4" xfId="25069"/>
    <cellStyle name="Note 3 2 9 5" xfId="33429"/>
    <cellStyle name="Note 3 2 9 6" xfId="37639"/>
    <cellStyle name="Note 3 2 9 7" xfId="50948"/>
    <cellStyle name="Note 3 20" xfId="4236"/>
    <cellStyle name="Note 3 20 2" xfId="11970"/>
    <cellStyle name="Note 3 20 3" xfId="20946"/>
    <cellStyle name="Note 3 20 4" xfId="29133"/>
    <cellStyle name="Note 3 20 5" xfId="33818"/>
    <cellStyle name="Note 3 20 6" xfId="42798"/>
    <cellStyle name="Note 3 20 7" xfId="49730"/>
    <cellStyle name="Note 3 21" xfId="4059"/>
    <cellStyle name="Note 3 21 2" xfId="11825"/>
    <cellStyle name="Note 3 21 3" xfId="20769"/>
    <cellStyle name="Note 3 21 4" xfId="28956"/>
    <cellStyle name="Note 3 21 5" xfId="28677"/>
    <cellStyle name="Note 3 21 6" xfId="42621"/>
    <cellStyle name="Note 3 21 7" xfId="51256"/>
    <cellStyle name="Note 3 22" xfId="3457"/>
    <cellStyle name="Note 3 22 2" xfId="11248"/>
    <cellStyle name="Note 3 22 3" xfId="20460"/>
    <cellStyle name="Note 3 22 4" xfId="28575"/>
    <cellStyle name="Note 3 22 5" xfId="35712"/>
    <cellStyle name="Note 3 22 6" xfId="42473"/>
    <cellStyle name="Note 3 22 7" xfId="52024"/>
    <cellStyle name="Note 3 23" xfId="4182"/>
    <cellStyle name="Note 3 23 2" xfId="11941"/>
    <cellStyle name="Note 3 23 3" xfId="20892"/>
    <cellStyle name="Note 3 23 4" xfId="29079"/>
    <cellStyle name="Note 3 23 5" xfId="36029"/>
    <cellStyle name="Note 3 23 6" xfId="42744"/>
    <cellStyle name="Note 3 23 7" xfId="53550"/>
    <cellStyle name="Note 3 24" xfId="4064"/>
    <cellStyle name="Note 3 24 2" xfId="11830"/>
    <cellStyle name="Note 3 24 3" xfId="20774"/>
    <cellStyle name="Note 3 24 4" xfId="28961"/>
    <cellStyle name="Note 3 24 5" xfId="34637"/>
    <cellStyle name="Note 3 24 6" xfId="42626"/>
    <cellStyle name="Note 3 24 7" xfId="47572"/>
    <cellStyle name="Note 3 25" xfId="5266"/>
    <cellStyle name="Note 3 25 2" xfId="12983"/>
    <cellStyle name="Note 3 25 3" xfId="21976"/>
    <cellStyle name="Note 3 25 4" xfId="30163"/>
    <cellStyle name="Note 3 25 5" xfId="34476"/>
    <cellStyle name="Note 3 25 6" xfId="43828"/>
    <cellStyle name="Note 3 25 7" xfId="50150"/>
    <cellStyle name="Note 3 26" xfId="5222"/>
    <cellStyle name="Note 3 26 2" xfId="12939"/>
    <cellStyle name="Note 3 26 3" xfId="21932"/>
    <cellStyle name="Note 3 26 4" xfId="30119"/>
    <cellStyle name="Note 3 26 5" xfId="35165"/>
    <cellStyle name="Note 3 26 6" xfId="43784"/>
    <cellStyle name="Note 3 26 7" xfId="47722"/>
    <cellStyle name="Note 3 27" xfId="5352"/>
    <cellStyle name="Note 3 27 2" xfId="13069"/>
    <cellStyle name="Note 3 27 3" xfId="22062"/>
    <cellStyle name="Note 3 27 4" xfId="30249"/>
    <cellStyle name="Note 3 27 5" xfId="35017"/>
    <cellStyle name="Note 3 27 6" xfId="43914"/>
    <cellStyle name="Note 3 27 7" xfId="48818"/>
    <cellStyle name="Note 3 28" xfId="5243"/>
    <cellStyle name="Note 3 28 2" xfId="12960"/>
    <cellStyle name="Note 3 28 3" xfId="21953"/>
    <cellStyle name="Note 3 28 4" xfId="30140"/>
    <cellStyle name="Note 3 28 5" xfId="35820"/>
    <cellStyle name="Note 3 28 6" xfId="43805"/>
    <cellStyle name="Note 3 28 7" xfId="52532"/>
    <cellStyle name="Note 3 29" xfId="6548"/>
    <cellStyle name="Note 3 29 2" xfId="14265"/>
    <cellStyle name="Note 3 29 3" xfId="23258"/>
    <cellStyle name="Note 3 29 4" xfId="31445"/>
    <cellStyle name="Note 3 29 5" xfId="27695"/>
    <cellStyle name="Note 3 29 6" xfId="45110"/>
    <cellStyle name="Note 3 29 7" xfId="48001"/>
    <cellStyle name="Note 3 3" xfId="259"/>
    <cellStyle name="Note 3 3 10" xfId="1127"/>
    <cellStyle name="Note 3 3 10 2" xfId="8950"/>
    <cellStyle name="Note 3 3 10 3" xfId="16378"/>
    <cellStyle name="Note 3 3 10 4" xfId="25638"/>
    <cellStyle name="Note 3 3 10 5" xfId="34157"/>
    <cellStyle name="Note 3 3 10 6" xfId="42278"/>
    <cellStyle name="Note 3 3 10 7" xfId="52181"/>
    <cellStyle name="Note 3 3 11" xfId="1186"/>
    <cellStyle name="Note 3 3 11 2" xfId="9009"/>
    <cellStyle name="Note 3 3 11 3" xfId="16437"/>
    <cellStyle name="Note 3 3 11 4" xfId="26121"/>
    <cellStyle name="Note 3 3 11 5" xfId="34780"/>
    <cellStyle name="Note 3 3 11 6" xfId="36347"/>
    <cellStyle name="Note 3 3 11 7" xfId="53251"/>
    <cellStyle name="Note 3 3 12" xfId="1183"/>
    <cellStyle name="Note 3 3 12 2" xfId="9006"/>
    <cellStyle name="Note 3 3 12 3" xfId="16434"/>
    <cellStyle name="Note 3 3 12 4" xfId="26264"/>
    <cellStyle name="Note 3 3 12 5" xfId="34962"/>
    <cellStyle name="Note 3 3 12 6" xfId="37229"/>
    <cellStyle name="Note 3 3 12 7" xfId="53569"/>
    <cellStyle name="Note 3 3 13" xfId="1642"/>
    <cellStyle name="Note 3 3 13 2" xfId="9465"/>
    <cellStyle name="Note 3 3 13 3" xfId="16893"/>
    <cellStyle name="Note 3 3 13 4" xfId="26062"/>
    <cellStyle name="Note 3 3 13 5" xfId="34706"/>
    <cellStyle name="Note 3 3 13 6" xfId="41740"/>
    <cellStyle name="Note 3 3 13 7" xfId="53126"/>
    <cellStyle name="Note 3 3 14" xfId="1778"/>
    <cellStyle name="Note 3 3 14 2" xfId="9601"/>
    <cellStyle name="Note 3 3 14 3" xfId="17029"/>
    <cellStyle name="Note 3 3 14 4" xfId="26201"/>
    <cellStyle name="Note 3 3 14 5" xfId="34883"/>
    <cellStyle name="Note 3 3 14 6" xfId="37256"/>
    <cellStyle name="Note 3 3 14 7" xfId="53428"/>
    <cellStyle name="Note 3 3 15" xfId="1514"/>
    <cellStyle name="Note 3 3 15 2" xfId="9337"/>
    <cellStyle name="Note 3 3 15 3" xfId="16765"/>
    <cellStyle name="Note 3 3 15 4" xfId="20584"/>
    <cellStyle name="Note 3 3 15 5" xfId="27463"/>
    <cellStyle name="Note 3 3 15 6" xfId="39983"/>
    <cellStyle name="Note 3 3 15 7" xfId="47501"/>
    <cellStyle name="Note 3 3 16" xfId="1631"/>
    <cellStyle name="Note 3 3 16 2" xfId="9454"/>
    <cellStyle name="Note 3 3 16 3" xfId="16882"/>
    <cellStyle name="Note 3 3 16 4" xfId="26648"/>
    <cellStyle name="Note 3 3 16 5" xfId="35492"/>
    <cellStyle name="Note 3 3 16 6" xfId="37284"/>
    <cellStyle name="Note 3 3 16 7" xfId="54388"/>
    <cellStyle name="Note 3 3 17" xfId="1138"/>
    <cellStyle name="Note 3 3 17 2" xfId="8961"/>
    <cellStyle name="Note 3 3 17 3" xfId="16389"/>
    <cellStyle name="Note 3 3 17 4" xfId="25020"/>
    <cellStyle name="Note 3 3 17 5" xfId="33375"/>
    <cellStyle name="Note 3 3 17 6" xfId="41146"/>
    <cellStyle name="Note 3 3 17 7" xfId="50844"/>
    <cellStyle name="Note 3 3 18" xfId="1110"/>
    <cellStyle name="Note 3 3 18 2" xfId="8934"/>
    <cellStyle name="Note 3 3 18 3" xfId="16362"/>
    <cellStyle name="Note 3 3 18 4" xfId="26425"/>
    <cellStyle name="Note 3 3 18 5" xfId="35190"/>
    <cellStyle name="Note 3 3 18 6" xfId="36655"/>
    <cellStyle name="Note 3 3 18 7" xfId="53911"/>
    <cellStyle name="Note 3 3 19" xfId="965"/>
    <cellStyle name="Note 3 3 19 2" xfId="8789"/>
    <cellStyle name="Note 3 3 19 3" xfId="16217"/>
    <cellStyle name="Note 3 3 19 4" xfId="26666"/>
    <cellStyle name="Note 3 3 19 5" xfId="35513"/>
    <cellStyle name="Note 3 3 19 6" xfId="36502"/>
    <cellStyle name="Note 3 3 19 7" xfId="54426"/>
    <cellStyle name="Note 3 3 2" xfId="533"/>
    <cellStyle name="Note 3 3 2 10" xfId="1980"/>
    <cellStyle name="Note 3 3 2 10 2" xfId="9803"/>
    <cellStyle name="Note 3 3 2 10 3" xfId="17231"/>
    <cellStyle name="Note 3 3 2 10 4" xfId="20152"/>
    <cellStyle name="Note 3 3 2 10 5" xfId="27571"/>
    <cellStyle name="Note 3 3 2 10 6" xfId="36404"/>
    <cellStyle name="Note 3 3 2 10 7" xfId="47267"/>
    <cellStyle name="Note 3 3 2 11" xfId="2098"/>
    <cellStyle name="Note 3 3 2 11 2" xfId="9921"/>
    <cellStyle name="Note 3 3 2 11 3" xfId="17349"/>
    <cellStyle name="Note 3 3 2 11 4" xfId="19460"/>
    <cellStyle name="Note 3 3 2 11 5" xfId="27374"/>
    <cellStyle name="Note 3 3 2 11 6" xfId="40367"/>
    <cellStyle name="Note 3 3 2 11 7" xfId="48783"/>
    <cellStyle name="Note 3 3 2 12" xfId="2211"/>
    <cellStyle name="Note 3 3 2 12 2" xfId="10034"/>
    <cellStyle name="Note 3 3 2 12 3" xfId="17462"/>
    <cellStyle name="Note 3 3 2 12 4" xfId="25574"/>
    <cellStyle name="Note 3 3 2 12 5" xfId="34076"/>
    <cellStyle name="Note 3 3 2 12 6" xfId="37841"/>
    <cellStyle name="Note 3 3 2 12 7" xfId="52033"/>
    <cellStyle name="Note 3 3 2 13" xfId="981"/>
    <cellStyle name="Note 3 3 2 13 2" xfId="8805"/>
    <cellStyle name="Note 3 3 2 13 3" xfId="16233"/>
    <cellStyle name="Note 3 3 2 13 4" xfId="25934"/>
    <cellStyle name="Note 3 3 2 13 5" xfId="34539"/>
    <cellStyle name="Note 3 3 2 13 6" xfId="37249"/>
    <cellStyle name="Note 3 3 2 13 7" xfId="52859"/>
    <cellStyle name="Note 3 3 2 14" xfId="1031"/>
    <cellStyle name="Note 3 3 2 14 2" xfId="8855"/>
    <cellStyle name="Note 3 3 2 14 3" xfId="16283"/>
    <cellStyle name="Note 3 3 2 14 4" xfId="24902"/>
    <cellStyle name="Note 3 3 2 14 5" xfId="33221"/>
    <cellStyle name="Note 3 3 2 14 6" xfId="36638"/>
    <cellStyle name="Note 3 3 2 14 7" xfId="50568"/>
    <cellStyle name="Note 3 3 2 15" xfId="2509"/>
    <cellStyle name="Note 3 3 2 15 2" xfId="10332"/>
    <cellStyle name="Note 3 3 2 15 3" xfId="17760"/>
    <cellStyle name="Note 3 3 2 15 4" xfId="24851"/>
    <cellStyle name="Note 3 3 2 15 5" xfId="28881"/>
    <cellStyle name="Note 3 3 2 15 6" xfId="39477"/>
    <cellStyle name="Note 3 3 2 15 7" xfId="49902"/>
    <cellStyle name="Note 3 3 2 16" xfId="2622"/>
    <cellStyle name="Note 3 3 2 16 2" xfId="10445"/>
    <cellStyle name="Note 3 3 2 16 3" xfId="17873"/>
    <cellStyle name="Note 3 3 2 16 4" xfId="26401"/>
    <cellStyle name="Note 3 3 2 16 5" xfId="35153"/>
    <cellStyle name="Note 3 3 2 16 6" xfId="40376"/>
    <cellStyle name="Note 3 3 2 16 7" xfId="53852"/>
    <cellStyle name="Note 3 3 2 17" xfId="1432"/>
    <cellStyle name="Note 3 3 2 17 2" xfId="9255"/>
    <cellStyle name="Note 3 3 2 17 3" xfId="16683"/>
    <cellStyle name="Note 3 3 2 17 4" xfId="25616"/>
    <cellStyle name="Note 3 3 2 17 5" xfId="34129"/>
    <cellStyle name="Note 3 3 2 17 6" xfId="36757"/>
    <cellStyle name="Note 3 3 2 17 7" xfId="52123"/>
    <cellStyle name="Note 3 3 2 18" xfId="2233"/>
    <cellStyle name="Note 3 3 2 18 2" xfId="10056"/>
    <cellStyle name="Note 3 3 2 18 3" xfId="17484"/>
    <cellStyle name="Note 3 3 2 18 4" xfId="19736"/>
    <cellStyle name="Note 3 3 2 18 5" xfId="28289"/>
    <cellStyle name="Note 3 3 2 18 6" xfId="41393"/>
    <cellStyle name="Note 3 3 2 18 7" xfId="48467"/>
    <cellStyle name="Note 3 3 2 19" xfId="2815"/>
    <cellStyle name="Note 3 3 2 19 2" xfId="10638"/>
    <cellStyle name="Note 3 3 2 19 3" xfId="18066"/>
    <cellStyle name="Note 3 3 2 19 4" xfId="19132"/>
    <cellStyle name="Note 3 3 2 19 5" xfId="26982"/>
    <cellStyle name="Note 3 3 2 19 6" xfId="36997"/>
    <cellStyle name="Note 3 3 2 19 7" xfId="49861"/>
    <cellStyle name="Note 3 3 2 2" xfId="683"/>
    <cellStyle name="Note 3 3 2 2 2" xfId="8507"/>
    <cellStyle name="Note 3 3 2 2 3" xfId="15935"/>
    <cellStyle name="Note 3 3 2 2 4" xfId="19053"/>
    <cellStyle name="Note 3 3 2 2 5" xfId="26816"/>
    <cellStyle name="Note 3 3 2 2 6" xfId="37087"/>
    <cellStyle name="Note 3 3 2 2 7" xfId="49123"/>
    <cellStyle name="Note 3 3 2 20" xfId="2922"/>
    <cellStyle name="Note 3 3 2 20 2" xfId="10745"/>
    <cellStyle name="Note 3 3 2 20 3" xfId="18173"/>
    <cellStyle name="Note 3 3 2 20 4" xfId="26397"/>
    <cellStyle name="Note 3 3 2 20 5" xfId="35149"/>
    <cellStyle name="Note 3 3 2 20 6" xfId="42133"/>
    <cellStyle name="Note 3 3 2 20 7" xfId="53844"/>
    <cellStyle name="Note 3 3 2 21" xfId="3298"/>
    <cellStyle name="Note 3 3 2 21 2" xfId="11091"/>
    <cellStyle name="Note 3 3 2 21 3" xfId="18420"/>
    <cellStyle name="Note 3 3 2 21 4" xfId="25693"/>
    <cellStyle name="Note 3 3 2 21 5" xfId="34231"/>
    <cellStyle name="Note 3 3 2 21 6" xfId="39984"/>
    <cellStyle name="Note 3 3 2 21 7" xfId="52300"/>
    <cellStyle name="Note 3 3 2 22" xfId="3418"/>
    <cellStyle name="Note 3 3 2 22 2" xfId="11209"/>
    <cellStyle name="Note 3 3 2 22 3" xfId="18531"/>
    <cellStyle name="Note 3 3 2 22 4" xfId="25466"/>
    <cellStyle name="Note 3 3 2 22 5" xfId="33931"/>
    <cellStyle name="Note 3 3 2 22 6" xfId="36960"/>
    <cellStyle name="Note 3 3 2 22 7" xfId="51794"/>
    <cellStyle name="Note 3 3 2 23" xfId="3546"/>
    <cellStyle name="Note 3 3 2 23 2" xfId="11335"/>
    <cellStyle name="Note 3 3 2 23 3" xfId="18623"/>
    <cellStyle name="Note 3 3 2 23 4" xfId="19373"/>
    <cellStyle name="Note 3 3 2 23 5" xfId="27290"/>
    <cellStyle name="Note 3 3 2 23 6" xfId="38450"/>
    <cellStyle name="Note 3 3 2 23 7" xfId="50204"/>
    <cellStyle name="Note 3 3 2 24" xfId="3128"/>
    <cellStyle name="Note 3 3 2 24 2" xfId="10933"/>
    <cellStyle name="Note 3 3 2 24 3" xfId="18311"/>
    <cellStyle name="Note 3 3 2 24 4" xfId="19528"/>
    <cellStyle name="Note 3 3 2 24 5" xfId="28873"/>
    <cellStyle name="Note 3 3 2 24 6" xfId="42228"/>
    <cellStyle name="Note 3 3 2 24 7" xfId="47762"/>
    <cellStyle name="Note 3 3 2 25" xfId="3689"/>
    <cellStyle name="Note 3 3 2 25 2" xfId="11474"/>
    <cellStyle name="Note 3 3 2 25 3" xfId="18747"/>
    <cellStyle name="Note 3 3 2 25 4" xfId="24871"/>
    <cellStyle name="Note 3 3 2 25 5" xfId="33184"/>
    <cellStyle name="Note 3 3 2 25 6" xfId="37542"/>
    <cellStyle name="Note 3 3 2 25 7" xfId="50502"/>
    <cellStyle name="Note 3 3 2 26" xfId="3819"/>
    <cellStyle name="Note 3 3 2 26 2" xfId="11601"/>
    <cellStyle name="Note 3 3 2 26 3" xfId="18858"/>
    <cellStyle name="Note 3 3 2 26 4" xfId="25853"/>
    <cellStyle name="Note 3 3 2 26 5" xfId="34440"/>
    <cellStyle name="Note 3 3 2 26 6" xfId="40266"/>
    <cellStyle name="Note 3 3 2 26 7" xfId="52673"/>
    <cellStyle name="Note 3 3 2 27" xfId="3937"/>
    <cellStyle name="Note 3 3 2 27 2" xfId="11717"/>
    <cellStyle name="Note 3 3 2 27 3" xfId="18967"/>
    <cellStyle name="Note 3 3 2 27 4" xfId="20337"/>
    <cellStyle name="Note 3 3 2 27 5" xfId="26752"/>
    <cellStyle name="Note 3 3 2 27 6" xfId="37775"/>
    <cellStyle name="Note 3 3 2 27 7" xfId="49727"/>
    <cellStyle name="Note 3 3 2 28" xfId="3009"/>
    <cellStyle name="Note 3 3 2 28 2" xfId="10828"/>
    <cellStyle name="Note 3 3 2 28 3" xfId="20183"/>
    <cellStyle name="Note 3 3 2 28 4" xfId="28273"/>
    <cellStyle name="Note 3 3 2 28 5" xfId="35816"/>
    <cellStyle name="Note 3 3 2 28 6" xfId="42348"/>
    <cellStyle name="Note 3 3 2 28 7" xfId="52518"/>
    <cellStyle name="Note 3 3 2 29" xfId="4134"/>
    <cellStyle name="Note 3 3 2 29 2" xfId="11893"/>
    <cellStyle name="Note 3 3 2 29 3" xfId="20844"/>
    <cellStyle name="Note 3 3 2 29 4" xfId="29031"/>
    <cellStyle name="Note 3 3 2 29 5" xfId="33368"/>
    <cellStyle name="Note 3 3 2 29 6" xfId="42696"/>
    <cellStyle name="Note 3 3 2 29 7" xfId="50942"/>
    <cellStyle name="Note 3 3 2 3" xfId="791"/>
    <cellStyle name="Note 3 3 2 3 2" xfId="8615"/>
    <cellStyle name="Note 3 3 2 3 3" xfId="16043"/>
    <cellStyle name="Note 3 3 2 3 4" xfId="24886"/>
    <cellStyle name="Note 3 3 2 3 5" xfId="33200"/>
    <cellStyle name="Note 3 3 2 3 6" xfId="37143"/>
    <cellStyle name="Note 3 3 2 3 7" xfId="50532"/>
    <cellStyle name="Note 3 3 2 30" xfId="4231"/>
    <cellStyle name="Note 3 3 2 30 2" xfId="20941"/>
    <cellStyle name="Note 3 3 2 30 3" xfId="29128"/>
    <cellStyle name="Note 3 3 2 30 4" xfId="34164"/>
    <cellStyle name="Note 3 3 2 30 5" xfId="42793"/>
    <cellStyle name="Note 3 3 2 30 6" xfId="48666"/>
    <cellStyle name="Note 3 3 2 31" xfId="4331"/>
    <cellStyle name="Note 3 3 2 31 2" xfId="12048"/>
    <cellStyle name="Note 3 3 2 31 3" xfId="21041"/>
    <cellStyle name="Note 3 3 2 31 4" xfId="29228"/>
    <cellStyle name="Note 3 3 2 31 5" xfId="34558"/>
    <cellStyle name="Note 3 3 2 31 6" xfId="42893"/>
    <cellStyle name="Note 3 3 2 31 7" xfId="49706"/>
    <cellStyle name="Note 3 3 2 32" xfId="4454"/>
    <cellStyle name="Note 3 3 2 32 2" xfId="12171"/>
    <cellStyle name="Note 3 3 2 32 3" xfId="21164"/>
    <cellStyle name="Note 3 3 2 32 4" xfId="29351"/>
    <cellStyle name="Note 3 3 2 32 5" xfId="35304"/>
    <cellStyle name="Note 3 3 2 32 6" xfId="43016"/>
    <cellStyle name="Note 3 3 2 32 7" xfId="49930"/>
    <cellStyle name="Note 3 3 2 33" xfId="4568"/>
    <cellStyle name="Note 3 3 2 33 2" xfId="12285"/>
    <cellStyle name="Note 3 3 2 33 3" xfId="21278"/>
    <cellStyle name="Note 3 3 2 33 4" xfId="29465"/>
    <cellStyle name="Note 3 3 2 33 5" xfId="34385"/>
    <cellStyle name="Note 3 3 2 33 6" xfId="43130"/>
    <cellStyle name="Note 3 3 2 33 7" xfId="48027"/>
    <cellStyle name="Note 3 3 2 34" xfId="4681"/>
    <cellStyle name="Note 3 3 2 34 2" xfId="12398"/>
    <cellStyle name="Note 3 3 2 34 3" xfId="21391"/>
    <cellStyle name="Note 3 3 2 34 4" xfId="29578"/>
    <cellStyle name="Note 3 3 2 34 5" xfId="34698"/>
    <cellStyle name="Note 3 3 2 34 6" xfId="43243"/>
    <cellStyle name="Note 3 3 2 34 7" xfId="47679"/>
    <cellStyle name="Note 3 3 2 35" xfId="4792"/>
    <cellStyle name="Note 3 3 2 35 2" xfId="12509"/>
    <cellStyle name="Note 3 3 2 35 3" xfId="21502"/>
    <cellStyle name="Note 3 3 2 35 4" xfId="29689"/>
    <cellStyle name="Note 3 3 2 35 5" xfId="35837"/>
    <cellStyle name="Note 3 3 2 35 6" xfId="43354"/>
    <cellStyle name="Note 3 3 2 35 7" xfId="52586"/>
    <cellStyle name="Note 3 3 2 36" xfId="4901"/>
    <cellStyle name="Note 3 3 2 36 2" xfId="12618"/>
    <cellStyle name="Note 3 3 2 36 3" xfId="21611"/>
    <cellStyle name="Note 3 3 2 36 4" xfId="29798"/>
    <cellStyle name="Note 3 3 2 36 5" xfId="27756"/>
    <cellStyle name="Note 3 3 2 36 6" xfId="43463"/>
    <cellStyle name="Note 3 3 2 36 7" xfId="48860"/>
    <cellStyle name="Note 3 3 2 37" xfId="5012"/>
    <cellStyle name="Note 3 3 2 37 2" xfId="12729"/>
    <cellStyle name="Note 3 3 2 37 3" xfId="21722"/>
    <cellStyle name="Note 3 3 2 37 4" xfId="29909"/>
    <cellStyle name="Note 3 3 2 37 5" xfId="35648"/>
    <cellStyle name="Note 3 3 2 37 6" xfId="43574"/>
    <cellStyle name="Note 3 3 2 37 7" xfId="51704"/>
    <cellStyle name="Note 3 3 2 38" xfId="5391"/>
    <cellStyle name="Note 3 3 2 38 2" xfId="13108"/>
    <cellStyle name="Note 3 3 2 38 3" xfId="22101"/>
    <cellStyle name="Note 3 3 2 38 4" xfId="30288"/>
    <cellStyle name="Note 3 3 2 38 5" xfId="35791"/>
    <cellStyle name="Note 3 3 2 38 6" xfId="43953"/>
    <cellStyle name="Note 3 3 2 38 7" xfId="52413"/>
    <cellStyle name="Note 3 3 2 39" xfId="5511"/>
    <cellStyle name="Note 3 3 2 39 2" xfId="13228"/>
    <cellStyle name="Note 3 3 2 39 3" xfId="22221"/>
    <cellStyle name="Note 3 3 2 39 4" xfId="30408"/>
    <cellStyle name="Note 3 3 2 39 5" xfId="35111"/>
    <cellStyle name="Note 3 3 2 39 6" xfId="44073"/>
    <cellStyle name="Note 3 3 2 39 7" xfId="47846"/>
    <cellStyle name="Note 3 3 2 4" xfId="902"/>
    <cellStyle name="Note 3 3 2 4 2" xfId="8726"/>
    <cellStyle name="Note 3 3 2 4 3" xfId="16154"/>
    <cellStyle name="Note 3 3 2 4 4" xfId="26339"/>
    <cellStyle name="Note 3 3 2 4 5" xfId="35065"/>
    <cellStyle name="Note 3 3 2 4 6" xfId="37104"/>
    <cellStyle name="Note 3 3 2 4 7" xfId="53717"/>
    <cellStyle name="Note 3 3 2 40" xfId="5635"/>
    <cellStyle name="Note 3 3 2 40 2" xfId="13352"/>
    <cellStyle name="Note 3 3 2 40 3" xfId="22345"/>
    <cellStyle name="Note 3 3 2 40 4" xfId="30532"/>
    <cellStyle name="Note 3 3 2 40 5" xfId="28851"/>
    <cellStyle name="Note 3 3 2 40 6" xfId="44197"/>
    <cellStyle name="Note 3 3 2 40 7" xfId="46834"/>
    <cellStyle name="Note 3 3 2 41" xfId="5751"/>
    <cellStyle name="Note 3 3 2 41 2" xfId="13468"/>
    <cellStyle name="Note 3 3 2 41 3" xfId="22461"/>
    <cellStyle name="Note 3 3 2 41 4" xfId="30648"/>
    <cellStyle name="Note 3 3 2 41 5" xfId="35660"/>
    <cellStyle name="Note 3 3 2 41 6" xfId="44313"/>
    <cellStyle name="Note 3 3 2 41 7" xfId="52204"/>
    <cellStyle name="Note 3 3 2 42" xfId="5867"/>
    <cellStyle name="Note 3 3 2 42 2" xfId="13584"/>
    <cellStyle name="Note 3 3 2 42 3" xfId="22577"/>
    <cellStyle name="Note 3 3 2 42 4" xfId="30764"/>
    <cellStyle name="Note 3 3 2 42 5" xfId="35938"/>
    <cellStyle name="Note 3 3 2 42 6" xfId="44429"/>
    <cellStyle name="Note 3 3 2 42 7" xfId="52873"/>
    <cellStyle name="Note 3 3 2 43" xfId="5996"/>
    <cellStyle name="Note 3 3 2 43 2" xfId="13713"/>
    <cellStyle name="Note 3 3 2 43 3" xfId="22706"/>
    <cellStyle name="Note 3 3 2 43 4" xfId="30893"/>
    <cellStyle name="Note 3 3 2 43 5" xfId="35620"/>
    <cellStyle name="Note 3 3 2 43 6" xfId="44558"/>
    <cellStyle name="Note 3 3 2 43 7" xfId="52573"/>
    <cellStyle name="Note 3 3 2 44" xfId="6095"/>
    <cellStyle name="Note 3 3 2 44 2" xfId="13812"/>
    <cellStyle name="Note 3 3 2 44 3" xfId="22805"/>
    <cellStyle name="Note 3 3 2 44 4" xfId="30992"/>
    <cellStyle name="Note 3 3 2 44 5" xfId="35746"/>
    <cellStyle name="Note 3 3 2 44 6" xfId="44657"/>
    <cellStyle name="Note 3 3 2 44 7" xfId="51993"/>
    <cellStyle name="Note 3 3 2 45" xfId="5570"/>
    <cellStyle name="Note 3 3 2 45 2" xfId="13287"/>
    <cellStyle name="Note 3 3 2 45 3" xfId="22280"/>
    <cellStyle name="Note 3 3 2 45 4" xfId="30467"/>
    <cellStyle name="Note 3 3 2 45 5" xfId="33672"/>
    <cellStyle name="Note 3 3 2 45 6" xfId="44132"/>
    <cellStyle name="Note 3 3 2 45 7" xfId="47164"/>
    <cellStyle name="Note 3 3 2 46" xfId="6252"/>
    <cellStyle name="Note 3 3 2 46 2" xfId="13969"/>
    <cellStyle name="Note 3 3 2 46 3" xfId="22962"/>
    <cellStyle name="Note 3 3 2 46 4" xfId="31149"/>
    <cellStyle name="Note 3 3 2 46 5" xfId="27490"/>
    <cellStyle name="Note 3 3 2 46 6" xfId="44814"/>
    <cellStyle name="Note 3 3 2 46 7" xfId="50010"/>
    <cellStyle name="Note 3 3 2 47" xfId="6368"/>
    <cellStyle name="Note 3 3 2 47 2" xfId="14085"/>
    <cellStyle name="Note 3 3 2 47 3" xfId="23078"/>
    <cellStyle name="Note 3 3 2 47 4" xfId="31265"/>
    <cellStyle name="Note 3 3 2 47 5" xfId="36015"/>
    <cellStyle name="Note 3 3 2 47 6" xfId="44930"/>
    <cellStyle name="Note 3 3 2 47 7" xfId="48098"/>
    <cellStyle name="Note 3 3 2 48" xfId="6479"/>
    <cellStyle name="Note 3 3 2 48 2" xfId="14196"/>
    <cellStyle name="Note 3 3 2 48 3" xfId="23189"/>
    <cellStyle name="Note 3 3 2 48 4" xfId="31376"/>
    <cellStyle name="Note 3 3 2 48 5" xfId="36050"/>
    <cellStyle name="Note 3 3 2 48 6" xfId="45041"/>
    <cellStyle name="Note 3 3 2 48 7" xfId="51725"/>
    <cellStyle name="Note 3 3 2 49" xfId="6186"/>
    <cellStyle name="Note 3 3 2 49 2" xfId="13903"/>
    <cellStyle name="Note 3 3 2 49 3" xfId="22896"/>
    <cellStyle name="Note 3 3 2 49 4" xfId="31083"/>
    <cellStyle name="Note 3 3 2 49 5" xfId="28040"/>
    <cellStyle name="Note 3 3 2 49 6" xfId="44748"/>
    <cellStyle name="Note 3 3 2 49 7" xfId="49386"/>
    <cellStyle name="Note 3 3 2 5" xfId="1368"/>
    <cellStyle name="Note 3 3 2 5 2" xfId="9191"/>
    <cellStyle name="Note 3 3 2 5 3" xfId="16619"/>
    <cellStyle name="Note 3 3 2 5 4" xfId="26123"/>
    <cellStyle name="Note 3 3 2 5 5" xfId="34784"/>
    <cellStyle name="Note 3 3 2 5 6" xfId="39927"/>
    <cellStyle name="Note 3 3 2 5 7" xfId="53260"/>
    <cellStyle name="Note 3 3 2 50" xfId="6625"/>
    <cellStyle name="Note 3 3 2 50 2" xfId="14342"/>
    <cellStyle name="Note 3 3 2 50 3" xfId="23335"/>
    <cellStyle name="Note 3 3 2 50 4" xfId="31522"/>
    <cellStyle name="Note 3 3 2 50 5" xfId="27701"/>
    <cellStyle name="Note 3 3 2 50 6" xfId="45187"/>
    <cellStyle name="Note 3 3 2 50 7" xfId="52161"/>
    <cellStyle name="Note 3 3 2 51" xfId="6737"/>
    <cellStyle name="Note 3 3 2 51 2" xfId="14454"/>
    <cellStyle name="Note 3 3 2 51 3" xfId="23447"/>
    <cellStyle name="Note 3 3 2 51 4" xfId="31634"/>
    <cellStyle name="Note 3 3 2 51 5" xfId="35600"/>
    <cellStyle name="Note 3 3 2 51 6" xfId="45299"/>
    <cellStyle name="Note 3 3 2 51 7" xfId="51178"/>
    <cellStyle name="Note 3 3 2 52" xfId="6852"/>
    <cellStyle name="Note 3 3 2 52 2" xfId="14569"/>
    <cellStyle name="Note 3 3 2 52 3" xfId="23562"/>
    <cellStyle name="Note 3 3 2 52 4" xfId="31749"/>
    <cellStyle name="Note 3 3 2 52 5" xfId="34192"/>
    <cellStyle name="Note 3 3 2 52 6" xfId="45414"/>
    <cellStyle name="Note 3 3 2 52 7" xfId="48962"/>
    <cellStyle name="Note 3 3 2 53" xfId="6965"/>
    <cellStyle name="Note 3 3 2 53 2" xfId="14682"/>
    <cellStyle name="Note 3 3 2 53 3" xfId="23675"/>
    <cellStyle name="Note 3 3 2 53 4" xfId="31862"/>
    <cellStyle name="Note 3 3 2 53 5" xfId="28488"/>
    <cellStyle name="Note 3 3 2 53 6" xfId="45527"/>
    <cellStyle name="Note 3 3 2 53 7" xfId="47031"/>
    <cellStyle name="Note 3 3 2 54" xfId="7076"/>
    <cellStyle name="Note 3 3 2 54 2" xfId="14793"/>
    <cellStyle name="Note 3 3 2 54 3" xfId="23786"/>
    <cellStyle name="Note 3 3 2 54 4" xfId="31973"/>
    <cellStyle name="Note 3 3 2 54 5" xfId="35747"/>
    <cellStyle name="Note 3 3 2 54 6" xfId="45638"/>
    <cellStyle name="Note 3 3 2 54 7" xfId="51529"/>
    <cellStyle name="Note 3 3 2 55" xfId="7239"/>
    <cellStyle name="Note 3 3 2 55 2" xfId="14956"/>
    <cellStyle name="Note 3 3 2 55 3" xfId="23949"/>
    <cellStyle name="Note 3 3 2 55 4" xfId="32136"/>
    <cellStyle name="Note 3 3 2 55 5" xfId="35651"/>
    <cellStyle name="Note 3 3 2 55 6" xfId="45801"/>
    <cellStyle name="Note 3 3 2 55 7" xfId="46982"/>
    <cellStyle name="Note 3 3 2 56" xfId="7286"/>
    <cellStyle name="Note 3 3 2 56 2" xfId="15003"/>
    <cellStyle name="Note 3 3 2 56 3" xfId="23996"/>
    <cellStyle name="Note 3 3 2 56 4" xfId="32183"/>
    <cellStyle name="Note 3 3 2 56 5" xfId="35007"/>
    <cellStyle name="Note 3 3 2 56 6" xfId="45848"/>
    <cellStyle name="Note 3 3 2 56 7" xfId="50740"/>
    <cellStyle name="Note 3 3 2 57" xfId="7473"/>
    <cellStyle name="Note 3 3 2 57 2" xfId="15190"/>
    <cellStyle name="Note 3 3 2 57 3" xfId="24183"/>
    <cellStyle name="Note 3 3 2 57 4" xfId="32370"/>
    <cellStyle name="Note 3 3 2 57 5" xfId="36028"/>
    <cellStyle name="Note 3 3 2 57 6" xfId="46035"/>
    <cellStyle name="Note 3 3 2 57 7" xfId="53166"/>
    <cellStyle name="Note 3 3 2 58" xfId="7594"/>
    <cellStyle name="Note 3 3 2 58 2" xfId="15311"/>
    <cellStyle name="Note 3 3 2 58 3" xfId="24304"/>
    <cellStyle name="Note 3 3 2 58 4" xfId="32491"/>
    <cellStyle name="Note 3 3 2 58 5" xfId="27586"/>
    <cellStyle name="Note 3 3 2 58 6" xfId="46156"/>
    <cellStyle name="Note 3 3 2 58 7" xfId="48085"/>
    <cellStyle name="Note 3 3 2 59" xfId="7870"/>
    <cellStyle name="Note 3 3 2 59 2" xfId="15587"/>
    <cellStyle name="Note 3 3 2 59 3" xfId="24574"/>
    <cellStyle name="Note 3 3 2 59 4" xfId="32767"/>
    <cellStyle name="Note 3 3 2 59 5" xfId="34939"/>
    <cellStyle name="Note 3 3 2 59 6" xfId="46432"/>
    <cellStyle name="Note 3 3 2 59 7" xfId="48904"/>
    <cellStyle name="Note 3 3 2 6" xfId="1491"/>
    <cellStyle name="Note 3 3 2 6 2" xfId="9314"/>
    <cellStyle name="Note 3 3 2 6 3" xfId="16742"/>
    <cellStyle name="Note 3 3 2 6 4" xfId="26109"/>
    <cellStyle name="Note 3 3 2 6 5" xfId="34765"/>
    <cellStyle name="Note 3 3 2 6 6" xfId="41832"/>
    <cellStyle name="Note 3 3 2 6 7" xfId="53228"/>
    <cellStyle name="Note 3 3 2 60" xfId="7966"/>
    <cellStyle name="Note 3 3 2 60 2" xfId="15683"/>
    <cellStyle name="Note 3 3 2 60 3" xfId="24669"/>
    <cellStyle name="Note 3 3 2 60 4" xfId="32863"/>
    <cellStyle name="Note 3 3 2 60 5" xfId="36159"/>
    <cellStyle name="Note 3 3 2 60 6" xfId="46528"/>
    <cellStyle name="Note 3 3 2 60 7" xfId="53445"/>
    <cellStyle name="Note 3 3 2 61" xfId="7977"/>
    <cellStyle name="Note 3 3 2 61 2" xfId="15694"/>
    <cellStyle name="Note 3 3 2 61 3" xfId="24679"/>
    <cellStyle name="Note 3 3 2 61 4" xfId="32874"/>
    <cellStyle name="Note 3 3 2 61 5" xfId="35866"/>
    <cellStyle name="Note 3 3 2 61 6" xfId="46539"/>
    <cellStyle name="Note 3 3 2 61 7" xfId="52432"/>
    <cellStyle name="Note 3 3 2 62" xfId="8078"/>
    <cellStyle name="Note 3 3 2 62 2" xfId="15795"/>
    <cellStyle name="Note 3 3 2 62 3" xfId="24779"/>
    <cellStyle name="Note 3 3 2 62 4" xfId="32975"/>
    <cellStyle name="Note 3 3 2 62 5" xfId="28448"/>
    <cellStyle name="Note 3 3 2 62 6" xfId="46640"/>
    <cellStyle name="Note 3 3 2 62 7" xfId="47697"/>
    <cellStyle name="Note 3 3 2 63" xfId="8146"/>
    <cellStyle name="Note 3 3 2 63 2" xfId="15863"/>
    <cellStyle name="Note 3 3 2 63 3" xfId="33043"/>
    <cellStyle name="Note 3 3 2 63 4" xfId="27280"/>
    <cellStyle name="Note 3 3 2 63 5" xfId="46708"/>
    <cellStyle name="Note 3 3 2 63 6" xfId="49246"/>
    <cellStyle name="Note 3 3 2 64" xfId="19476"/>
    <cellStyle name="Note 3 3 2 65" xfId="28844"/>
    <cellStyle name="Note 3 3 2 66" xfId="37787"/>
    <cellStyle name="Note 3 3 2 67" xfId="48615"/>
    <cellStyle name="Note 3 3 2 7" xfId="1286"/>
    <cellStyle name="Note 3 3 2 7 2" xfId="9109"/>
    <cellStyle name="Note 3 3 2 7 3" xfId="16537"/>
    <cellStyle name="Note 3 3 2 7 4" xfId="26708"/>
    <cellStyle name="Note 3 3 2 7 5" xfId="35564"/>
    <cellStyle name="Note 3 3 2 7 6" xfId="39721"/>
    <cellStyle name="Note 3 3 2 7 7" xfId="54522"/>
    <cellStyle name="Note 3 3 2 8" xfId="1728"/>
    <cellStyle name="Note 3 3 2 8 2" xfId="9551"/>
    <cellStyle name="Note 3 3 2 8 3" xfId="16979"/>
    <cellStyle name="Note 3 3 2 8 4" xfId="25254"/>
    <cellStyle name="Note 3 3 2 8 5" xfId="33660"/>
    <cellStyle name="Note 3 3 2 8 6" xfId="36841"/>
    <cellStyle name="Note 3 3 2 8 7" xfId="51331"/>
    <cellStyle name="Note 3 3 2 9" xfId="1862"/>
    <cellStyle name="Note 3 3 2 9 2" xfId="9685"/>
    <cellStyle name="Note 3 3 2 9 3" xfId="17113"/>
    <cellStyle name="Note 3 3 2 9 4" xfId="19715"/>
    <cellStyle name="Note 3 3 2 9 5" xfId="27022"/>
    <cellStyle name="Note 3 3 2 9 6" xfId="41003"/>
    <cellStyle name="Note 3 3 2 9 7" xfId="47627"/>
    <cellStyle name="Note 3 3 20" xfId="2427"/>
    <cellStyle name="Note 3 3 20 2" xfId="10250"/>
    <cellStyle name="Note 3 3 20 3" xfId="17678"/>
    <cellStyle name="Note 3 3 20 4" xfId="25154"/>
    <cellStyle name="Note 3 3 20 5" xfId="33531"/>
    <cellStyle name="Note 3 3 20 6" xfId="37442"/>
    <cellStyle name="Note 3 3 20 7" xfId="51120"/>
    <cellStyle name="Note 3 3 21" xfId="1256"/>
    <cellStyle name="Note 3 3 21 2" xfId="9079"/>
    <cellStyle name="Note 3 3 21 3" xfId="16507"/>
    <cellStyle name="Note 3 3 21 4" xfId="20682"/>
    <cellStyle name="Note 3 3 21 5" xfId="28225"/>
    <cellStyle name="Note 3 3 21 6" xfId="37023"/>
    <cellStyle name="Note 3 3 21 7" xfId="46986"/>
    <cellStyle name="Note 3 3 22" xfId="2455"/>
    <cellStyle name="Note 3 3 22 2" xfId="10278"/>
    <cellStyle name="Note 3 3 22 3" xfId="17706"/>
    <cellStyle name="Note 3 3 22 4" xfId="20669"/>
    <cellStyle name="Note 3 3 22 5" xfId="27108"/>
    <cellStyle name="Note 3 3 22 6" xfId="41124"/>
    <cellStyle name="Note 3 3 22 7" xfId="49594"/>
    <cellStyle name="Note 3 3 23" xfId="2325"/>
    <cellStyle name="Note 3 3 23 2" xfId="10148"/>
    <cellStyle name="Note 3 3 23 3" xfId="17576"/>
    <cellStyle name="Note 3 3 23 4" xfId="20589"/>
    <cellStyle name="Note 3 3 23 5" xfId="28161"/>
    <cellStyle name="Note 3 3 23 6" xfId="40873"/>
    <cellStyle name="Note 3 3 23 7" xfId="47900"/>
    <cellStyle name="Note 3 3 24" xfId="2756"/>
    <cellStyle name="Note 3 3 24 2" xfId="10579"/>
    <cellStyle name="Note 3 3 24 3" xfId="18007"/>
    <cellStyle name="Note 3 3 24 4" xfId="20556"/>
    <cellStyle name="Note 3 3 24 5" xfId="27048"/>
    <cellStyle name="Note 3 3 24 6" xfId="41397"/>
    <cellStyle name="Note 3 3 24 7" xfId="47346"/>
    <cellStyle name="Note 3 3 25" xfId="960"/>
    <cellStyle name="Note 3 3 25 2" xfId="8784"/>
    <cellStyle name="Note 3 3 25 3" xfId="16212"/>
    <cellStyle name="Note 3 3 25 4" xfId="25799"/>
    <cellStyle name="Note 3 3 25 5" xfId="34374"/>
    <cellStyle name="Note 3 3 25 6" xfId="36990"/>
    <cellStyle name="Note 3 3 25 7" xfId="52563"/>
    <cellStyle name="Note 3 3 26" xfId="3109"/>
    <cellStyle name="Note 3 3 26 2" xfId="10914"/>
    <cellStyle name="Note 3 3 26 3" xfId="18295"/>
    <cellStyle name="Note 3 3 26 4" xfId="20372"/>
    <cellStyle name="Note 3 3 26 5" xfId="27591"/>
    <cellStyle name="Note 3 3 26 6" xfId="41370"/>
    <cellStyle name="Note 3 3 26 7" xfId="47424"/>
    <cellStyle name="Note 3 3 27" xfId="3156"/>
    <cellStyle name="Note 3 3 27 2" xfId="10958"/>
    <cellStyle name="Note 3 3 27 3" xfId="18328"/>
    <cellStyle name="Note 3 3 27 4" xfId="26393"/>
    <cellStyle name="Note 3 3 27 5" xfId="35144"/>
    <cellStyle name="Note 3 3 27 6" xfId="39375"/>
    <cellStyle name="Note 3 3 27 7" xfId="53838"/>
    <cellStyle name="Note 3 3 28" xfId="2982"/>
    <cellStyle name="Note 3 3 28 2" xfId="10804"/>
    <cellStyle name="Note 3 3 28 3" xfId="18231"/>
    <cellStyle name="Note 3 3 28 4" xfId="19391"/>
    <cellStyle name="Note 3 3 28 5" xfId="27340"/>
    <cellStyle name="Note 3 3 28 6" xfId="36746"/>
    <cellStyle name="Note 3 3 28 7" xfId="49677"/>
    <cellStyle name="Note 3 3 29" xfId="3243"/>
    <cellStyle name="Note 3 3 29 2" xfId="11036"/>
    <cellStyle name="Note 3 3 29 3" xfId="18366"/>
    <cellStyle name="Note 3 3 29 4" xfId="25261"/>
    <cellStyle name="Note 3 3 29 5" xfId="33667"/>
    <cellStyle name="Note 3 3 29 6" xfId="38083"/>
    <cellStyle name="Note 3 3 29 7" xfId="51342"/>
    <cellStyle name="Note 3 3 3" xfId="508"/>
    <cellStyle name="Note 3 3 3 10" xfId="1955"/>
    <cellStyle name="Note 3 3 3 10 2" xfId="9778"/>
    <cellStyle name="Note 3 3 3 10 3" xfId="17206"/>
    <cellStyle name="Note 3 3 3 10 4" xfId="25140"/>
    <cellStyle name="Note 3 3 3 10 5" xfId="33513"/>
    <cellStyle name="Note 3 3 3 10 6" xfId="40043"/>
    <cellStyle name="Note 3 3 3 10 7" xfId="51088"/>
    <cellStyle name="Note 3 3 3 11" xfId="2073"/>
    <cellStyle name="Note 3 3 3 11 2" xfId="9896"/>
    <cellStyle name="Note 3 3 3 11 3" xfId="17324"/>
    <cellStyle name="Note 3 3 3 11 4" xfId="25259"/>
    <cellStyle name="Note 3 3 3 11 5" xfId="33665"/>
    <cellStyle name="Note 3 3 3 11 6" xfId="38286"/>
    <cellStyle name="Note 3 3 3 11 7" xfId="51339"/>
    <cellStyle name="Note 3 3 3 12" xfId="2186"/>
    <cellStyle name="Note 3 3 3 12 2" xfId="10009"/>
    <cellStyle name="Note 3 3 3 12 3" xfId="17437"/>
    <cellStyle name="Note 3 3 3 12 4" xfId="26705"/>
    <cellStyle name="Note 3 3 3 12 5" xfId="35560"/>
    <cellStyle name="Note 3 3 3 12 6" xfId="38575"/>
    <cellStyle name="Note 3 3 3 12 7" xfId="54508"/>
    <cellStyle name="Note 3 3 3 13" xfId="1071"/>
    <cellStyle name="Note 3 3 3 13 2" xfId="8895"/>
    <cellStyle name="Note 3 3 3 13 3" xfId="16323"/>
    <cellStyle name="Note 3 3 3 13 4" xfId="24933"/>
    <cellStyle name="Note 3 3 3 13 5" xfId="33266"/>
    <cellStyle name="Note 3 3 3 13 6" xfId="37325"/>
    <cellStyle name="Note 3 3 3 13 7" xfId="50645"/>
    <cellStyle name="Note 3 3 3 14" xfId="1211"/>
    <cellStyle name="Note 3 3 3 14 2" xfId="9034"/>
    <cellStyle name="Note 3 3 3 14 3" xfId="16462"/>
    <cellStyle name="Note 3 3 3 14 4" xfId="24960"/>
    <cellStyle name="Note 3 3 3 14 5" xfId="33298"/>
    <cellStyle name="Note 3 3 3 14 6" xfId="40317"/>
    <cellStyle name="Note 3 3 3 14 7" xfId="50691"/>
    <cellStyle name="Note 3 3 3 15" xfId="2484"/>
    <cellStyle name="Note 3 3 3 15 2" xfId="10307"/>
    <cellStyle name="Note 3 3 3 15 3" xfId="17735"/>
    <cellStyle name="Note 3 3 3 15 4" xfId="25858"/>
    <cellStyle name="Note 3 3 3 15 5" xfId="34446"/>
    <cellStyle name="Note 3 3 3 15 6" xfId="38242"/>
    <cellStyle name="Note 3 3 3 15 7" xfId="52687"/>
    <cellStyle name="Note 3 3 3 16" xfId="2597"/>
    <cellStyle name="Note 3 3 3 16 2" xfId="10420"/>
    <cellStyle name="Note 3 3 3 16 3" xfId="17848"/>
    <cellStyle name="Note 3 3 3 16 4" xfId="19666"/>
    <cellStyle name="Note 3 3 3 16 5" xfId="27209"/>
    <cellStyle name="Note 3 3 3 16 6" xfId="40307"/>
    <cellStyle name="Note 3 3 3 16 7" xfId="50028"/>
    <cellStyle name="Note 3 3 3 17" xfId="2377"/>
    <cellStyle name="Note 3 3 3 17 2" xfId="10200"/>
    <cellStyle name="Note 3 3 3 17 3" xfId="17628"/>
    <cellStyle name="Note 3 3 3 17 4" xfId="20159"/>
    <cellStyle name="Note 3 3 3 17 5" xfId="28719"/>
    <cellStyle name="Note 3 3 3 17 6" xfId="42129"/>
    <cellStyle name="Note 3 3 3 17 7" xfId="47800"/>
    <cellStyle name="Note 3 3 3 18" xfId="2719"/>
    <cellStyle name="Note 3 3 3 18 2" xfId="10542"/>
    <cellStyle name="Note 3 3 3 18 3" xfId="17970"/>
    <cellStyle name="Note 3 3 3 18 4" xfId="25031"/>
    <cellStyle name="Note 3 3 3 18 5" xfId="33387"/>
    <cellStyle name="Note 3 3 3 18 6" xfId="37983"/>
    <cellStyle name="Note 3 3 3 18 7" xfId="50861"/>
    <cellStyle name="Note 3 3 3 19" xfId="2791"/>
    <cellStyle name="Note 3 3 3 19 2" xfId="10614"/>
    <cellStyle name="Note 3 3 3 19 3" xfId="18042"/>
    <cellStyle name="Note 3 3 3 19 4" xfId="25735"/>
    <cellStyle name="Note 3 3 3 19 5" xfId="34284"/>
    <cellStyle name="Note 3 3 3 19 6" xfId="38059"/>
    <cellStyle name="Note 3 3 3 19 7" xfId="52403"/>
    <cellStyle name="Note 3 3 3 2" xfId="659"/>
    <cellStyle name="Note 3 3 3 2 2" xfId="8483"/>
    <cellStyle name="Note 3 3 3 2 3" xfId="8275"/>
    <cellStyle name="Note 3 3 3 2 4" xfId="25390"/>
    <cellStyle name="Note 3 3 3 2 5" xfId="33838"/>
    <cellStyle name="Note 3 3 3 2 6" xfId="37018"/>
    <cellStyle name="Note 3 3 3 2 7" xfId="51621"/>
    <cellStyle name="Note 3 3 3 20" xfId="2898"/>
    <cellStyle name="Note 3 3 3 20 2" xfId="10721"/>
    <cellStyle name="Note 3 3 3 20 3" xfId="18149"/>
    <cellStyle name="Note 3 3 3 20 4" xfId="20151"/>
    <cellStyle name="Note 3 3 3 20 5" xfId="28456"/>
    <cellStyle name="Note 3 3 3 20 6" xfId="37303"/>
    <cellStyle name="Note 3 3 3 20 7" xfId="48828"/>
    <cellStyle name="Note 3 3 3 21" xfId="3274"/>
    <cellStyle name="Note 3 3 3 21 2" xfId="11067"/>
    <cellStyle name="Note 3 3 3 21 3" xfId="18396"/>
    <cellStyle name="Note 3 3 3 21 4" xfId="20164"/>
    <cellStyle name="Note 3 3 3 21 5" xfId="27411"/>
    <cellStyle name="Note 3 3 3 21 6" xfId="42282"/>
    <cellStyle name="Note 3 3 3 21 7" xfId="48236"/>
    <cellStyle name="Note 3 3 3 22" xfId="3394"/>
    <cellStyle name="Note 3 3 3 22 2" xfId="11185"/>
    <cellStyle name="Note 3 3 3 22 3" xfId="18507"/>
    <cellStyle name="Note 3 3 3 22 4" xfId="19988"/>
    <cellStyle name="Note 3 3 3 22 5" xfId="27099"/>
    <cellStyle name="Note 3 3 3 22 6" xfId="37620"/>
    <cellStyle name="Note 3 3 3 22 7" xfId="47484"/>
    <cellStyle name="Note 3 3 3 23" xfId="3524"/>
    <cellStyle name="Note 3 3 3 23 2" xfId="11315"/>
    <cellStyle name="Note 3 3 3 23 3" xfId="18612"/>
    <cellStyle name="Note 3 3 3 23 4" xfId="25801"/>
    <cellStyle name="Note 3 3 3 23 5" xfId="34377"/>
    <cellStyle name="Note 3 3 3 23 6" xfId="39410"/>
    <cellStyle name="Note 3 3 3 23 7" xfId="52567"/>
    <cellStyle name="Note 3 3 3 24" xfId="2987"/>
    <cellStyle name="Note 3 3 3 24 2" xfId="10809"/>
    <cellStyle name="Note 3 3 3 24 3" xfId="18235"/>
    <cellStyle name="Note 3 3 3 24 4" xfId="19780"/>
    <cellStyle name="Note 3 3 3 24 5" xfId="28114"/>
    <cellStyle name="Note 3 3 3 24 6" xfId="36857"/>
    <cellStyle name="Note 3 3 3 24 7" xfId="48249"/>
    <cellStyle name="Note 3 3 3 25" xfId="3664"/>
    <cellStyle name="Note 3 3 3 25 2" xfId="11449"/>
    <cellStyle name="Note 3 3 3 25 3" xfId="18722"/>
    <cellStyle name="Note 3 3 3 25 4" xfId="19926"/>
    <cellStyle name="Note 3 3 3 25 5" xfId="28821"/>
    <cellStyle name="Note 3 3 3 25 6" xfId="39952"/>
    <cellStyle name="Note 3 3 3 25 7" xfId="48063"/>
    <cellStyle name="Note 3 3 3 26" xfId="3795"/>
    <cellStyle name="Note 3 3 3 26 2" xfId="11577"/>
    <cellStyle name="Note 3 3 3 26 3" xfId="18834"/>
    <cellStyle name="Note 3 3 3 26 4" xfId="19507"/>
    <cellStyle name="Note 3 3 3 26 5" xfId="28184"/>
    <cellStyle name="Note 3 3 3 26 6" xfId="37003"/>
    <cellStyle name="Note 3 3 3 26 7" xfId="48598"/>
    <cellStyle name="Note 3 3 3 27" xfId="3912"/>
    <cellStyle name="Note 3 3 3 27 2" xfId="11692"/>
    <cellStyle name="Note 3 3 3 27 3" xfId="18943"/>
    <cellStyle name="Note 3 3 3 27 4" xfId="19140"/>
    <cellStyle name="Note 3 3 3 27 5" xfId="33120"/>
    <cellStyle name="Note 3 3 3 27 6" xfId="38160"/>
    <cellStyle name="Note 3 3 3 27 7" xfId="49820"/>
    <cellStyle name="Note 3 3 3 28" xfId="3229"/>
    <cellStyle name="Note 3 3 3 28 2" xfId="11025"/>
    <cellStyle name="Note 3 3 3 28 3" xfId="20349"/>
    <cellStyle name="Note 3 3 3 28 4" xfId="28439"/>
    <cellStyle name="Note 3 3 3 28 5" xfId="35895"/>
    <cellStyle name="Note 3 3 3 28 6" xfId="42454"/>
    <cellStyle name="Note 3 3 3 28 7" xfId="52929"/>
    <cellStyle name="Note 3 3 3 29" xfId="4109"/>
    <cellStyle name="Note 3 3 3 29 2" xfId="11869"/>
    <cellStyle name="Note 3 3 3 29 3" xfId="20819"/>
    <cellStyle name="Note 3 3 3 29 4" xfId="29006"/>
    <cellStyle name="Note 3 3 3 29 5" xfId="36037"/>
    <cellStyle name="Note 3 3 3 29 6" xfId="42671"/>
    <cellStyle name="Note 3 3 3 29 7" xfId="53601"/>
    <cellStyle name="Note 3 3 3 3" xfId="766"/>
    <cellStyle name="Note 3 3 3 3 2" xfId="8590"/>
    <cellStyle name="Note 3 3 3 3 3" xfId="16018"/>
    <cellStyle name="Note 3 3 3 3 4" xfId="26081"/>
    <cellStyle name="Note 3 3 3 3 5" xfId="34728"/>
    <cellStyle name="Note 3 3 3 3 6" xfId="37743"/>
    <cellStyle name="Note 3 3 3 3 7" xfId="53169"/>
    <cellStyle name="Note 3 3 3 30" xfId="3054"/>
    <cellStyle name="Note 3 3 3 30 2" xfId="20220"/>
    <cellStyle name="Note 3 3 3 30 3" xfId="28312"/>
    <cellStyle name="Note 3 3 3 30 4" xfId="34670"/>
    <cellStyle name="Note 3 3 3 30 5" xfId="42377"/>
    <cellStyle name="Note 3 3 3 30 6" xfId="48352"/>
    <cellStyle name="Note 3 3 3 31" xfId="4306"/>
    <cellStyle name="Note 3 3 3 31 2" xfId="12023"/>
    <cellStyle name="Note 3 3 3 31 3" xfId="21016"/>
    <cellStyle name="Note 3 3 3 31 4" xfId="29203"/>
    <cellStyle name="Note 3 3 3 31 5" xfId="33563"/>
    <cellStyle name="Note 3 3 3 31 6" xfId="42868"/>
    <cellStyle name="Note 3 3 3 31 7" xfId="48126"/>
    <cellStyle name="Note 3 3 3 32" xfId="4429"/>
    <cellStyle name="Note 3 3 3 32 2" xfId="12146"/>
    <cellStyle name="Note 3 3 3 32 3" xfId="21139"/>
    <cellStyle name="Note 3 3 3 32 4" xfId="29326"/>
    <cellStyle name="Note 3 3 3 32 5" xfId="35831"/>
    <cellStyle name="Note 3 3 3 32 6" xfId="42991"/>
    <cellStyle name="Note 3 3 3 32 7" xfId="52561"/>
    <cellStyle name="Note 3 3 3 33" xfId="4543"/>
    <cellStyle name="Note 3 3 3 33 2" xfId="12260"/>
    <cellStyle name="Note 3 3 3 33 3" xfId="21253"/>
    <cellStyle name="Note 3 3 3 33 4" xfId="29440"/>
    <cellStyle name="Note 3 3 3 33 5" xfId="36183"/>
    <cellStyle name="Note 3 3 3 33 6" xfId="43105"/>
    <cellStyle name="Note 3 3 3 33 7" xfId="54294"/>
    <cellStyle name="Note 3 3 3 34" xfId="4656"/>
    <cellStyle name="Note 3 3 3 34 2" xfId="12373"/>
    <cellStyle name="Note 3 3 3 34 3" xfId="21366"/>
    <cellStyle name="Note 3 3 3 34 4" xfId="29553"/>
    <cellStyle name="Note 3 3 3 34 5" xfId="28018"/>
    <cellStyle name="Note 3 3 3 34 6" xfId="43218"/>
    <cellStyle name="Note 3 3 3 34 7" xfId="51374"/>
    <cellStyle name="Note 3 3 3 35" xfId="4768"/>
    <cellStyle name="Note 3 3 3 35 2" xfId="12485"/>
    <cellStyle name="Note 3 3 3 35 3" xfId="21478"/>
    <cellStyle name="Note 3 3 3 35 4" xfId="29665"/>
    <cellStyle name="Note 3 3 3 35 5" xfId="27647"/>
    <cellStyle name="Note 3 3 3 35 6" xfId="43330"/>
    <cellStyle name="Note 3 3 3 35 7" xfId="49698"/>
    <cellStyle name="Note 3 3 3 36" xfId="4876"/>
    <cellStyle name="Note 3 3 3 36 2" xfId="12593"/>
    <cellStyle name="Note 3 3 3 36 3" xfId="21586"/>
    <cellStyle name="Note 3 3 3 36 4" xfId="29773"/>
    <cellStyle name="Note 3 3 3 36 5" xfId="27665"/>
    <cellStyle name="Note 3 3 3 36 6" xfId="43438"/>
    <cellStyle name="Note 3 3 3 36 7" xfId="51311"/>
    <cellStyle name="Note 3 3 3 37" xfId="4988"/>
    <cellStyle name="Note 3 3 3 37 2" xfId="12705"/>
    <cellStyle name="Note 3 3 3 37 3" xfId="21698"/>
    <cellStyle name="Note 3 3 3 37 4" xfId="29885"/>
    <cellStyle name="Note 3 3 3 37 5" xfId="28130"/>
    <cellStyle name="Note 3 3 3 37 6" xfId="43550"/>
    <cellStyle name="Note 3 3 3 37 7" xfId="48335"/>
    <cellStyle name="Note 3 3 3 38" xfId="5125"/>
    <cellStyle name="Note 3 3 3 38 2" xfId="12842"/>
    <cellStyle name="Note 3 3 3 38 3" xfId="21835"/>
    <cellStyle name="Note 3 3 3 38 4" xfId="30022"/>
    <cellStyle name="Note 3 3 3 38 5" xfId="35666"/>
    <cellStyle name="Note 3 3 3 38 6" xfId="43687"/>
    <cellStyle name="Note 3 3 3 38 7" xfId="51761"/>
    <cellStyle name="Note 3 3 3 39" xfId="5486"/>
    <cellStyle name="Note 3 3 3 39 2" xfId="13203"/>
    <cellStyle name="Note 3 3 3 39 3" xfId="22196"/>
    <cellStyle name="Note 3 3 3 39 4" xfId="30383"/>
    <cellStyle name="Note 3 3 3 39 5" xfId="34465"/>
    <cellStyle name="Note 3 3 3 39 6" xfId="44048"/>
    <cellStyle name="Note 3 3 3 39 7" xfId="50135"/>
    <cellStyle name="Note 3 3 3 4" xfId="878"/>
    <cellStyle name="Note 3 3 3 4 2" xfId="8702"/>
    <cellStyle name="Note 3 3 3 4 3" xfId="16130"/>
    <cellStyle name="Note 3 3 3 4 4" xfId="25436"/>
    <cellStyle name="Note 3 3 3 4 5" xfId="33896"/>
    <cellStyle name="Note 3 3 3 4 6" xfId="37039"/>
    <cellStyle name="Note 3 3 3 4 7" xfId="51720"/>
    <cellStyle name="Note 3 3 3 40" xfId="5611"/>
    <cellStyle name="Note 3 3 3 40 2" xfId="13328"/>
    <cellStyle name="Note 3 3 3 40 3" xfId="22321"/>
    <cellStyle name="Note 3 3 3 40 4" xfId="30508"/>
    <cellStyle name="Note 3 3 3 40 5" xfId="35395"/>
    <cellStyle name="Note 3 3 3 40 6" xfId="44173"/>
    <cellStyle name="Note 3 3 3 40 7" xfId="46839"/>
    <cellStyle name="Note 3 3 3 41" xfId="5726"/>
    <cellStyle name="Note 3 3 3 41 2" xfId="13443"/>
    <cellStyle name="Note 3 3 3 41 3" xfId="22436"/>
    <cellStyle name="Note 3 3 3 41 4" xfId="30623"/>
    <cellStyle name="Note 3 3 3 41 5" xfId="27612"/>
    <cellStyle name="Note 3 3 3 41 6" xfId="44288"/>
    <cellStyle name="Note 3 3 3 41 7" xfId="48525"/>
    <cellStyle name="Note 3 3 3 42" xfId="5843"/>
    <cellStyle name="Note 3 3 3 42 2" xfId="13560"/>
    <cellStyle name="Note 3 3 3 42 3" xfId="22553"/>
    <cellStyle name="Note 3 3 3 42 4" xfId="30740"/>
    <cellStyle name="Note 3 3 3 42 5" xfId="28186"/>
    <cellStyle name="Note 3 3 3 42 6" xfId="44405"/>
    <cellStyle name="Note 3 3 3 42 7" xfId="48788"/>
    <cellStyle name="Note 3 3 3 43" xfId="5971"/>
    <cellStyle name="Note 3 3 3 43 2" xfId="13688"/>
    <cellStyle name="Note 3 3 3 43 3" xfId="22681"/>
    <cellStyle name="Note 3 3 3 43 4" xfId="30868"/>
    <cellStyle name="Note 3 3 3 43 5" xfId="34946"/>
    <cellStyle name="Note 3 3 3 43 6" xfId="44533"/>
    <cellStyle name="Note 3 3 3 43 7" xfId="50203"/>
    <cellStyle name="Note 3 3 3 44" xfId="6080"/>
    <cellStyle name="Note 3 3 3 44 2" xfId="13797"/>
    <cellStyle name="Note 3 3 3 44 3" xfId="22790"/>
    <cellStyle name="Note 3 3 3 44 4" xfId="30977"/>
    <cellStyle name="Note 3 3 3 44 5" xfId="36065"/>
    <cellStyle name="Note 3 3 3 44 6" xfId="44642"/>
    <cellStyle name="Note 3 3 3 44 7" xfId="53360"/>
    <cellStyle name="Note 3 3 3 45" xfId="5291"/>
    <cellStyle name="Note 3 3 3 45 2" xfId="13008"/>
    <cellStyle name="Note 3 3 3 45 3" xfId="22001"/>
    <cellStyle name="Note 3 3 3 45 4" xfId="30188"/>
    <cellStyle name="Note 3 3 3 45 5" xfId="27363"/>
    <cellStyle name="Note 3 3 3 45 6" xfId="43853"/>
    <cellStyle name="Note 3 3 3 45 7" xfId="49947"/>
    <cellStyle name="Note 3 3 3 46" xfId="6227"/>
    <cellStyle name="Note 3 3 3 46 2" xfId="13944"/>
    <cellStyle name="Note 3 3 3 46 3" xfId="22937"/>
    <cellStyle name="Note 3 3 3 46 4" xfId="31124"/>
    <cellStyle name="Note 3 3 3 46 5" xfId="35916"/>
    <cellStyle name="Note 3 3 3 46 6" xfId="44789"/>
    <cellStyle name="Note 3 3 3 46 7" xfId="52790"/>
    <cellStyle name="Note 3 3 3 47" xfId="6344"/>
    <cellStyle name="Note 3 3 3 47 2" xfId="14061"/>
    <cellStyle name="Note 3 3 3 47 3" xfId="23054"/>
    <cellStyle name="Note 3 3 3 47 4" xfId="31241"/>
    <cellStyle name="Note 3 3 3 47 5" xfId="34986"/>
    <cellStyle name="Note 3 3 3 47 6" xfId="44906"/>
    <cellStyle name="Note 3 3 3 47 7" xfId="47866"/>
    <cellStyle name="Note 3 3 3 48" xfId="6454"/>
    <cellStyle name="Note 3 3 3 48 2" xfId="14171"/>
    <cellStyle name="Note 3 3 3 48 3" xfId="23164"/>
    <cellStyle name="Note 3 3 3 48 4" xfId="31351"/>
    <cellStyle name="Note 3 3 3 48 5" xfId="26847"/>
    <cellStyle name="Note 3 3 3 48 6" xfId="45016"/>
    <cellStyle name="Note 3 3 3 48 7" xfId="50663"/>
    <cellStyle name="Note 3 3 3 49" xfId="6196"/>
    <cellStyle name="Note 3 3 3 49 2" xfId="13913"/>
    <cellStyle name="Note 3 3 3 49 3" xfId="22906"/>
    <cellStyle name="Note 3 3 3 49 4" xfId="31093"/>
    <cellStyle name="Note 3 3 3 49 5" xfId="34699"/>
    <cellStyle name="Note 3 3 3 49 6" xfId="44758"/>
    <cellStyle name="Note 3 3 3 49 7" xfId="47226"/>
    <cellStyle name="Note 3 3 3 5" xfId="1343"/>
    <cellStyle name="Note 3 3 3 5 2" xfId="9166"/>
    <cellStyle name="Note 3 3 3 5 3" xfId="16594"/>
    <cellStyle name="Note 3 3 3 5 4" xfId="19915"/>
    <cellStyle name="Note 3 3 3 5 5" xfId="27158"/>
    <cellStyle name="Note 3 3 3 5 6" xfId="36702"/>
    <cellStyle name="Note 3 3 3 5 7" xfId="49485"/>
    <cellStyle name="Note 3 3 3 50" xfId="6601"/>
    <cellStyle name="Note 3 3 3 50 2" xfId="14318"/>
    <cellStyle name="Note 3 3 3 50 3" xfId="23311"/>
    <cellStyle name="Note 3 3 3 50 4" xfId="31498"/>
    <cellStyle name="Note 3 3 3 50 5" xfId="27671"/>
    <cellStyle name="Note 3 3 3 50 6" xfId="45163"/>
    <cellStyle name="Note 3 3 3 50 7" xfId="47537"/>
    <cellStyle name="Note 3 3 3 51" xfId="6712"/>
    <cellStyle name="Note 3 3 3 51 2" xfId="14429"/>
    <cellStyle name="Note 3 3 3 51 3" xfId="23422"/>
    <cellStyle name="Note 3 3 3 51 4" xfId="31609"/>
    <cellStyle name="Note 3 3 3 51 5" xfId="36201"/>
    <cellStyle name="Note 3 3 3 51 6" xfId="45274"/>
    <cellStyle name="Note 3 3 3 51 7" xfId="53915"/>
    <cellStyle name="Note 3 3 3 52" xfId="6827"/>
    <cellStyle name="Note 3 3 3 52 2" xfId="14544"/>
    <cellStyle name="Note 3 3 3 52 3" xfId="23537"/>
    <cellStyle name="Note 3 3 3 52 4" xfId="31724"/>
    <cellStyle name="Note 3 3 3 52 5" xfId="35114"/>
    <cellStyle name="Note 3 3 3 52 6" xfId="45389"/>
    <cellStyle name="Note 3 3 3 52 7" xfId="49143"/>
    <cellStyle name="Note 3 3 3 53" xfId="6940"/>
    <cellStyle name="Note 3 3 3 53 2" xfId="14657"/>
    <cellStyle name="Note 3 3 3 53 3" xfId="23650"/>
    <cellStyle name="Note 3 3 3 53 4" xfId="31837"/>
    <cellStyle name="Note 3 3 3 53 5" xfId="27356"/>
    <cellStyle name="Note 3 3 3 53 6" xfId="45502"/>
    <cellStyle name="Note 3 3 3 53 7" xfId="46776"/>
    <cellStyle name="Note 3 3 3 54" xfId="7052"/>
    <cellStyle name="Note 3 3 3 54 2" xfId="14769"/>
    <cellStyle name="Note 3 3 3 54 3" xfId="23762"/>
    <cellStyle name="Note 3 3 3 54 4" xfId="31949"/>
    <cellStyle name="Note 3 3 3 54 5" xfId="27960"/>
    <cellStyle name="Note 3 3 3 54 6" xfId="45614"/>
    <cellStyle name="Note 3 3 3 54 7" xfId="54306"/>
    <cellStyle name="Note 3 3 3 55" xfId="7308"/>
    <cellStyle name="Note 3 3 3 55 2" xfId="15025"/>
    <cellStyle name="Note 3 3 3 55 3" xfId="24018"/>
    <cellStyle name="Note 3 3 3 55 4" xfId="32205"/>
    <cellStyle name="Note 3 3 3 55 5" xfId="27761"/>
    <cellStyle name="Note 3 3 3 55 6" xfId="45870"/>
    <cellStyle name="Note 3 3 3 55 7" xfId="53643"/>
    <cellStyle name="Note 3 3 3 56" xfId="7227"/>
    <cellStyle name="Note 3 3 3 56 2" xfId="14944"/>
    <cellStyle name="Note 3 3 3 56 3" xfId="23937"/>
    <cellStyle name="Note 3 3 3 56 4" xfId="32124"/>
    <cellStyle name="Note 3 3 3 56 5" xfId="26732"/>
    <cellStyle name="Note 3 3 3 56 6" xfId="45789"/>
    <cellStyle name="Note 3 3 3 56 7" xfId="47241"/>
    <cellStyle name="Note 3 3 3 57" xfId="7449"/>
    <cellStyle name="Note 3 3 3 57 2" xfId="15166"/>
    <cellStyle name="Note 3 3 3 57 3" xfId="24159"/>
    <cellStyle name="Note 3 3 3 57 4" xfId="32346"/>
    <cellStyle name="Note 3 3 3 57 5" xfId="33892"/>
    <cellStyle name="Note 3 3 3 57 6" xfId="46011"/>
    <cellStyle name="Note 3 3 3 57 7" xfId="50764"/>
    <cellStyle name="Note 3 3 3 58" xfId="7570"/>
    <cellStyle name="Note 3 3 3 58 2" xfId="15287"/>
    <cellStyle name="Note 3 3 3 58 3" xfId="24280"/>
    <cellStyle name="Note 3 3 3 58 4" xfId="32467"/>
    <cellStyle name="Note 3 3 3 58 5" xfId="28158"/>
    <cellStyle name="Note 3 3 3 58 6" xfId="46132"/>
    <cellStyle name="Note 3 3 3 58 7" xfId="50262"/>
    <cellStyle name="Note 3 3 3 59" xfId="7846"/>
    <cellStyle name="Note 3 3 3 59 2" xfId="15563"/>
    <cellStyle name="Note 3 3 3 59 3" xfId="24550"/>
    <cellStyle name="Note 3 3 3 59 4" xfId="32743"/>
    <cellStyle name="Note 3 3 3 59 5" xfId="35732"/>
    <cellStyle name="Note 3 3 3 59 6" xfId="46408"/>
    <cellStyle name="Note 3 3 3 59 7" xfId="51353"/>
    <cellStyle name="Note 3 3 3 6" xfId="1466"/>
    <cellStyle name="Note 3 3 3 6 2" xfId="9289"/>
    <cellStyle name="Note 3 3 3 6 3" xfId="16717"/>
    <cellStyle name="Note 3 3 3 6 4" xfId="19089"/>
    <cellStyle name="Note 3 3 3 6 5" xfId="28368"/>
    <cellStyle name="Note 3 3 3 6 6" xfId="37531"/>
    <cellStyle name="Note 3 3 3 6 7" xfId="49280"/>
    <cellStyle name="Note 3 3 3 60" xfId="7701"/>
    <cellStyle name="Note 3 3 3 60 2" xfId="15418"/>
    <cellStyle name="Note 3 3 3 60 3" xfId="24409"/>
    <cellStyle name="Note 3 3 3 60 4" xfId="32598"/>
    <cellStyle name="Note 3 3 3 60 5" xfId="35805"/>
    <cellStyle name="Note 3 3 3 60 6" xfId="46263"/>
    <cellStyle name="Note 3 3 3 60 7" xfId="52020"/>
    <cellStyle name="Note 3 3 3 61" xfId="7970"/>
    <cellStyle name="Note 3 3 3 61 2" xfId="15687"/>
    <cellStyle name="Note 3 3 3 61 3" xfId="24673"/>
    <cellStyle name="Note 3 3 3 61 4" xfId="32867"/>
    <cellStyle name="Note 3 3 3 61 5" xfId="36033"/>
    <cellStyle name="Note 3 3 3 61 6" xfId="46532"/>
    <cellStyle name="Note 3 3 3 61 7" xfId="53131"/>
    <cellStyle name="Note 3 3 3 62" xfId="7717"/>
    <cellStyle name="Note 3 3 3 62 2" xfId="15434"/>
    <cellStyle name="Note 3 3 3 62 3" xfId="24425"/>
    <cellStyle name="Note 3 3 3 62 4" xfId="32614"/>
    <cellStyle name="Note 3 3 3 62 5" xfId="27610"/>
    <cellStyle name="Note 3 3 3 62 6" xfId="46279"/>
    <cellStyle name="Note 3 3 3 62 7" xfId="50197"/>
    <cellStyle name="Note 3 3 3 63" xfId="8122"/>
    <cellStyle name="Note 3 3 3 63 2" xfId="15839"/>
    <cellStyle name="Note 3 3 3 63 3" xfId="33019"/>
    <cellStyle name="Note 3 3 3 63 4" xfId="35797"/>
    <cellStyle name="Note 3 3 3 63 5" xfId="46684"/>
    <cellStyle name="Note 3 3 3 63 6" xfId="51981"/>
    <cellStyle name="Note 3 3 3 64" xfId="25180"/>
    <cellStyle name="Note 3 3 3 65" xfId="33562"/>
    <cellStyle name="Note 3 3 3 66" xfId="37871"/>
    <cellStyle name="Note 3 3 3 67" xfId="51177"/>
    <cellStyle name="Note 3 3 3 7" xfId="1553"/>
    <cellStyle name="Note 3 3 3 7 2" xfId="9376"/>
    <cellStyle name="Note 3 3 3 7 3" xfId="16804"/>
    <cellStyle name="Note 3 3 3 7 4" xfId="26497"/>
    <cellStyle name="Note 3 3 3 7 5" xfId="35290"/>
    <cellStyle name="Note 3 3 3 7 6" xfId="37972"/>
    <cellStyle name="Note 3 3 3 7 7" xfId="54074"/>
    <cellStyle name="Note 3 3 3 8" xfId="1703"/>
    <cellStyle name="Note 3 3 3 8 2" xfId="9526"/>
    <cellStyle name="Note 3 3 3 8 3" xfId="16954"/>
    <cellStyle name="Note 3 3 3 8 4" xfId="26575"/>
    <cellStyle name="Note 3 3 3 8 5" xfId="35391"/>
    <cellStyle name="Note 3 3 3 8 6" xfId="36617"/>
    <cellStyle name="Note 3 3 3 8 7" xfId="54224"/>
    <cellStyle name="Note 3 3 3 9" xfId="1837"/>
    <cellStyle name="Note 3 3 3 9 2" xfId="9660"/>
    <cellStyle name="Note 3 3 3 9 3" xfId="17088"/>
    <cellStyle name="Note 3 3 3 9 4" xfId="19842"/>
    <cellStyle name="Note 3 3 3 9 5" xfId="28073"/>
    <cellStyle name="Note 3 3 3 9 6" xfId="36610"/>
    <cellStyle name="Note 3 3 3 9 7" xfId="48407"/>
    <cellStyle name="Note 3 3 30" xfId="3197"/>
    <cellStyle name="Note 3 3 30 2" xfId="10997"/>
    <cellStyle name="Note 3 3 30 3" xfId="18346"/>
    <cellStyle name="Note 3 3 30 4" xfId="20027"/>
    <cellStyle name="Note 3 3 30 5" xfId="28847"/>
    <cellStyle name="Note 3 3 30 6" xfId="39505"/>
    <cellStyle name="Note 3 3 30 7" xfId="47430"/>
    <cellStyle name="Note 3 3 31" xfId="3150"/>
    <cellStyle name="Note 3 3 31 2" xfId="10954"/>
    <cellStyle name="Note 3 3 31 3" xfId="18324"/>
    <cellStyle name="Note 3 3 31 4" xfId="26504"/>
    <cellStyle name="Note 3 3 31 5" xfId="35298"/>
    <cellStyle name="Note 3 3 31 6" xfId="40166"/>
    <cellStyle name="Note 3 3 31 7" xfId="54082"/>
    <cellStyle name="Note 3 3 32" xfId="3153"/>
    <cellStyle name="Note 3 3 32 2" xfId="10955"/>
    <cellStyle name="Note 3 3 32 3" xfId="18325"/>
    <cellStyle name="Note 3 3 32 4" xfId="19219"/>
    <cellStyle name="Note 3 3 32 5" xfId="28504"/>
    <cellStyle name="Note 3 3 32 6" xfId="39818"/>
    <cellStyle name="Note 3 3 32 7" xfId="48191"/>
    <cellStyle name="Note 3 3 33" xfId="3841"/>
    <cellStyle name="Note 3 3 33 2" xfId="11623"/>
    <cellStyle name="Note 3 3 33 3" xfId="20638"/>
    <cellStyle name="Note 3 3 33 4" xfId="28806"/>
    <cellStyle name="Note 3 3 33 5" xfId="33819"/>
    <cellStyle name="Note 3 3 33 6" xfId="42544"/>
    <cellStyle name="Note 3 3 33 7" xfId="50380"/>
    <cellStyle name="Note 3 3 34" xfId="3881"/>
    <cellStyle name="Note 3 3 34 2" xfId="11662"/>
    <cellStyle name="Note 3 3 34 3" xfId="20651"/>
    <cellStyle name="Note 3 3 34 4" xfId="28822"/>
    <cellStyle name="Note 3 3 34 5" xfId="35961"/>
    <cellStyle name="Note 3 3 34 6" xfId="42549"/>
    <cellStyle name="Note 3 3 34 7" xfId="53239"/>
    <cellStyle name="Note 3 3 35" xfId="4252"/>
    <cellStyle name="Note 3 3 35 2" xfId="20962"/>
    <cellStyle name="Note 3 3 35 3" xfId="29149"/>
    <cellStyle name="Note 3 3 35 4" xfId="36113"/>
    <cellStyle name="Note 3 3 35 5" xfId="42814"/>
    <cellStyle name="Note 3 3 35 6" xfId="53950"/>
    <cellStyle name="Note 3 3 36" xfId="4257"/>
    <cellStyle name="Note 3 3 36 2" xfId="11980"/>
    <cellStyle name="Note 3 3 36 3" xfId="20967"/>
    <cellStyle name="Note 3 3 36 4" xfId="29154"/>
    <cellStyle name="Note 3 3 36 5" xfId="35989"/>
    <cellStyle name="Note 3 3 36 6" xfId="42819"/>
    <cellStyle name="Note 3 3 36 7" xfId="53362"/>
    <cellStyle name="Note 3 3 37" xfId="4354"/>
    <cellStyle name="Note 3 3 37 2" xfId="12071"/>
    <cellStyle name="Note 3 3 37 3" xfId="21064"/>
    <cellStyle name="Note 3 3 37 4" xfId="29251"/>
    <cellStyle name="Note 3 3 37 5" xfId="36031"/>
    <cellStyle name="Note 3 3 37 6" xfId="42916"/>
    <cellStyle name="Note 3 3 37 7" xfId="53561"/>
    <cellStyle name="Note 3 3 38" xfId="3577"/>
    <cellStyle name="Note 3 3 38 2" xfId="11366"/>
    <cellStyle name="Note 3 3 38 3" xfId="20533"/>
    <cellStyle name="Note 3 3 38 4" xfId="28659"/>
    <cellStyle name="Note 3 3 38 5" xfId="36138"/>
    <cellStyle name="Note 3 3 38 6" xfId="42514"/>
    <cellStyle name="Note 3 3 38 7" xfId="54057"/>
    <cellStyle name="Note 3 3 39" xfId="4394"/>
    <cellStyle name="Note 3 3 39 2" xfId="12111"/>
    <cellStyle name="Note 3 3 39 3" xfId="21104"/>
    <cellStyle name="Note 3 3 39 4" xfId="29291"/>
    <cellStyle name="Note 3 3 39 5" xfId="35271"/>
    <cellStyle name="Note 3 3 39 6" xfId="42956"/>
    <cellStyle name="Note 3 3 39 7" xfId="49446"/>
    <cellStyle name="Note 3 3 4" xfId="580"/>
    <cellStyle name="Note 3 3 4 10" xfId="2027"/>
    <cellStyle name="Note 3 3 4 10 2" xfId="9850"/>
    <cellStyle name="Note 3 3 4 10 3" xfId="17278"/>
    <cellStyle name="Note 3 3 4 10 4" xfId="19206"/>
    <cellStyle name="Note 3 3 4 10 5" xfId="28012"/>
    <cellStyle name="Note 3 3 4 10 6" xfId="40242"/>
    <cellStyle name="Note 3 3 4 10 7" xfId="49913"/>
    <cellStyle name="Note 3 3 4 11" xfId="2143"/>
    <cellStyle name="Note 3 3 4 11 2" xfId="9966"/>
    <cellStyle name="Note 3 3 4 11 3" xfId="17394"/>
    <cellStyle name="Note 3 3 4 11 4" xfId="24946"/>
    <cellStyle name="Note 3 3 4 11 5" xfId="33282"/>
    <cellStyle name="Note 3 3 4 11 6" xfId="38214"/>
    <cellStyle name="Note 3 3 4 11 7" xfId="50668"/>
    <cellStyle name="Note 3 3 4 12" xfId="2257"/>
    <cellStyle name="Note 3 3 4 12 2" xfId="10080"/>
    <cellStyle name="Note 3 3 4 12 3" xfId="17508"/>
    <cellStyle name="Note 3 3 4 12 4" xfId="19975"/>
    <cellStyle name="Note 3 3 4 12 5" xfId="28577"/>
    <cellStyle name="Note 3 3 4 12 6" xfId="38826"/>
    <cellStyle name="Note 3 3 4 12 7" xfId="48217"/>
    <cellStyle name="Note 3 3 4 13" xfId="1668"/>
    <cellStyle name="Note 3 3 4 13 2" xfId="9491"/>
    <cellStyle name="Note 3 3 4 13 3" xfId="16919"/>
    <cellStyle name="Note 3 3 4 13 4" xfId="19743"/>
    <cellStyle name="Note 3 3 4 13 5" xfId="33124"/>
    <cellStyle name="Note 3 3 4 13 6" xfId="38941"/>
    <cellStyle name="Note 3 3 4 13 7" xfId="50377"/>
    <cellStyle name="Note 3 3 4 14" xfId="1244"/>
    <cellStyle name="Note 3 3 4 14 2" xfId="9067"/>
    <cellStyle name="Note 3 3 4 14 3" xfId="16495"/>
    <cellStyle name="Note 3 3 4 14 4" xfId="24920"/>
    <cellStyle name="Note 3 3 4 14 5" xfId="33249"/>
    <cellStyle name="Note 3 3 4 14 6" xfId="37297"/>
    <cellStyle name="Note 3 3 4 14 7" xfId="50614"/>
    <cellStyle name="Note 3 3 4 15" xfId="2555"/>
    <cellStyle name="Note 3 3 4 15 2" xfId="10378"/>
    <cellStyle name="Note 3 3 4 15 3" xfId="17806"/>
    <cellStyle name="Note 3 3 4 15 4" xfId="26521"/>
    <cellStyle name="Note 3 3 4 15 5" xfId="35319"/>
    <cellStyle name="Note 3 3 4 15 6" xfId="36551"/>
    <cellStyle name="Note 3 3 4 15 7" xfId="54113"/>
    <cellStyle name="Note 3 3 4 16" xfId="2669"/>
    <cellStyle name="Note 3 3 4 16 2" xfId="10492"/>
    <cellStyle name="Note 3 3 4 16 3" xfId="17920"/>
    <cellStyle name="Note 3 3 4 16 4" xfId="19870"/>
    <cellStyle name="Note 3 3 4 16 5" xfId="27480"/>
    <cellStyle name="Note 3 3 4 16 6" xfId="38510"/>
    <cellStyle name="Note 3 3 4 16 7" xfId="48990"/>
    <cellStyle name="Note 3 3 4 17" xfId="2438"/>
    <cellStyle name="Note 3 3 4 17 2" xfId="10261"/>
    <cellStyle name="Note 3 3 4 17 3" xfId="17689"/>
    <cellStyle name="Note 3 3 4 17 4" xfId="19830"/>
    <cellStyle name="Note 3 3 4 17 5" xfId="28494"/>
    <cellStyle name="Note 3 3 4 17 6" xfId="41510"/>
    <cellStyle name="Note 3 3 4 17 7" xfId="50035"/>
    <cellStyle name="Note 3 3 4 18" xfId="2715"/>
    <cellStyle name="Note 3 3 4 18 2" xfId="10538"/>
    <cellStyle name="Note 3 3 4 18 3" xfId="17966"/>
    <cellStyle name="Note 3 3 4 18 4" xfId="25240"/>
    <cellStyle name="Note 3 3 4 18 5" xfId="33644"/>
    <cellStyle name="Note 3 3 4 18 6" xfId="38218"/>
    <cellStyle name="Note 3 3 4 18 7" xfId="51299"/>
    <cellStyle name="Note 3 3 4 19" xfId="2859"/>
    <cellStyle name="Note 3 3 4 19 2" xfId="10682"/>
    <cellStyle name="Note 3 3 4 19 3" xfId="18110"/>
    <cellStyle name="Note 3 3 4 19 4" xfId="25936"/>
    <cellStyle name="Note 3 3 4 19 5" xfId="34541"/>
    <cellStyle name="Note 3 3 4 19 6" xfId="38418"/>
    <cellStyle name="Note 3 3 4 19 7" xfId="52865"/>
    <cellStyle name="Note 3 3 4 2" xfId="727"/>
    <cellStyle name="Note 3 3 4 2 2" xfId="8551"/>
    <cellStyle name="Note 3 3 4 2 3" xfId="15979"/>
    <cellStyle name="Note 3 3 4 2 4" xfId="19328"/>
    <cellStyle name="Note 3 3 4 2 5" xfId="27609"/>
    <cellStyle name="Note 3 3 4 2 6" xfId="37597"/>
    <cellStyle name="Note 3 3 4 2 7" xfId="47473"/>
    <cellStyle name="Note 3 3 4 20" xfId="2966"/>
    <cellStyle name="Note 3 3 4 20 2" xfId="10789"/>
    <cellStyle name="Note 3 3 4 20 3" xfId="18217"/>
    <cellStyle name="Note 3 3 4 20 4" xfId="20238"/>
    <cellStyle name="Note 3 3 4 20 5" xfId="26963"/>
    <cellStyle name="Note 3 3 4 20 6" xfId="37874"/>
    <cellStyle name="Note 3 3 4 20 7" xfId="49052"/>
    <cellStyle name="Note 3 3 4 21" xfId="3344"/>
    <cellStyle name="Note 3 3 4 21 2" xfId="11137"/>
    <cellStyle name="Note 3 3 4 21 3" xfId="18464"/>
    <cellStyle name="Note 3 3 4 21 4" xfId="19638"/>
    <cellStyle name="Note 3 3 4 21 5" xfId="28090"/>
    <cellStyle name="Note 3 3 4 21 6" xfId="37047"/>
    <cellStyle name="Note 3 3 4 21 7" xfId="47339"/>
    <cellStyle name="Note 3 3 4 22" xfId="3463"/>
    <cellStyle name="Note 3 3 4 22 2" xfId="11254"/>
    <cellStyle name="Note 3 3 4 22 3" xfId="18575"/>
    <cellStyle name="Note 3 3 4 22 4" xfId="25163"/>
    <cellStyle name="Note 3 3 4 22 5" xfId="33541"/>
    <cellStyle name="Note 3 3 4 22 6" xfId="37747"/>
    <cellStyle name="Note 3 3 4 22 7" xfId="51136"/>
    <cellStyle name="Note 3 3 4 23" xfId="3584"/>
    <cellStyle name="Note 3 3 4 23 2" xfId="11372"/>
    <cellStyle name="Note 3 3 4 23 3" xfId="18648"/>
    <cellStyle name="Note 3 3 4 23 4" xfId="26279"/>
    <cellStyle name="Note 3 3 4 23 5" xfId="34982"/>
    <cellStyle name="Note 3 3 4 23 6" xfId="40874"/>
    <cellStyle name="Note 3 3 4 23 7" xfId="53597"/>
    <cellStyle name="Note 3 3 4 24" xfId="3622"/>
    <cellStyle name="Note 3 3 4 24 2" xfId="11408"/>
    <cellStyle name="Note 3 3 4 24 3" xfId="18682"/>
    <cellStyle name="Note 3 3 4 24 4" xfId="19038"/>
    <cellStyle name="Note 3 3 4 24 5" xfId="27145"/>
    <cellStyle name="Note 3 3 4 24 6" xfId="37294"/>
    <cellStyle name="Note 3 3 4 24 7" xfId="49875"/>
    <cellStyle name="Note 3 3 4 25" xfId="3736"/>
    <cellStyle name="Note 3 3 4 25 2" xfId="11521"/>
    <cellStyle name="Note 3 3 4 25 3" xfId="18792"/>
    <cellStyle name="Note 3 3 4 25 4" xfId="19635"/>
    <cellStyle name="Note 3 3 4 25 5" xfId="27161"/>
    <cellStyle name="Note 3 3 4 25 6" xfId="41097"/>
    <cellStyle name="Note 3 3 4 25 7" xfId="47711"/>
    <cellStyle name="Note 3 3 4 26" xfId="3865"/>
    <cellStyle name="Note 3 3 4 26 2" xfId="11647"/>
    <cellStyle name="Note 3 3 4 26 3" xfId="18902"/>
    <cellStyle name="Note 3 3 4 26 4" xfId="25579"/>
    <cellStyle name="Note 3 3 4 26 5" xfId="34082"/>
    <cellStyle name="Note 3 3 4 26 6" xfId="39137"/>
    <cellStyle name="Note 3 3 4 26 7" xfId="52048"/>
    <cellStyle name="Note 3 3 4 27" xfId="3983"/>
    <cellStyle name="Note 3 3 4 27 2" xfId="11762"/>
    <cellStyle name="Note 3 3 4 27 3" xfId="19011"/>
    <cellStyle name="Note 3 3 4 27 4" xfId="25355"/>
    <cellStyle name="Note 3 3 4 27 5" xfId="33791"/>
    <cellStyle name="Note 3 3 4 27 6" xfId="38281"/>
    <cellStyle name="Note 3 3 4 27 7" xfId="51545"/>
    <cellStyle name="Note 3 3 4 28" xfId="3574"/>
    <cellStyle name="Note 3 3 4 28 2" xfId="11363"/>
    <cellStyle name="Note 3 3 4 28 3" xfId="20531"/>
    <cellStyle name="Note 3 3 4 28 4" xfId="28657"/>
    <cellStyle name="Note 3 3 4 28 5" xfId="28631"/>
    <cellStyle name="Note 3 3 4 28 6" xfId="42513"/>
    <cellStyle name="Note 3 3 4 28 7" xfId="48381"/>
    <cellStyle name="Note 3 3 4 29" xfId="4179"/>
    <cellStyle name="Note 3 3 4 29 2" xfId="11938"/>
    <cellStyle name="Note 3 3 4 29 3" xfId="20889"/>
    <cellStyle name="Note 3 3 4 29 4" xfId="29076"/>
    <cellStyle name="Note 3 3 4 29 5" xfId="36116"/>
    <cellStyle name="Note 3 3 4 29 6" xfId="42741"/>
    <cellStyle name="Note 3 3 4 29 7" xfId="53961"/>
    <cellStyle name="Note 3 3 4 3" xfId="836"/>
    <cellStyle name="Note 3 3 4 3 2" xfId="8660"/>
    <cellStyle name="Note 3 3 4 3 3" xfId="16088"/>
    <cellStyle name="Note 3 3 4 3 4" xfId="25748"/>
    <cellStyle name="Note 3 3 4 3 5" xfId="34299"/>
    <cellStyle name="Note 3 3 4 3 6" xfId="36625"/>
    <cellStyle name="Note 3 3 4 3 7" xfId="52426"/>
    <cellStyle name="Note 3 3 4 30" xfId="4258"/>
    <cellStyle name="Note 3 3 4 30 2" xfId="20968"/>
    <cellStyle name="Note 3 3 4 30 3" xfId="29155"/>
    <cellStyle name="Note 3 3 4 30 4" xfId="35966"/>
    <cellStyle name="Note 3 3 4 30 5" xfId="42820"/>
    <cellStyle name="Note 3 3 4 30 6" xfId="53257"/>
    <cellStyle name="Note 3 3 4 31" xfId="4378"/>
    <cellStyle name="Note 3 3 4 31 2" xfId="12095"/>
    <cellStyle name="Note 3 3 4 31 3" xfId="21088"/>
    <cellStyle name="Note 3 3 4 31 4" xfId="29275"/>
    <cellStyle name="Note 3 3 4 31 5" xfId="26931"/>
    <cellStyle name="Note 3 3 4 31 6" xfId="42940"/>
    <cellStyle name="Note 3 3 4 31 7" xfId="51108"/>
    <cellStyle name="Note 3 3 4 32" xfId="4499"/>
    <cellStyle name="Note 3 3 4 32 2" xfId="12216"/>
    <cellStyle name="Note 3 3 4 32 3" xfId="21209"/>
    <cellStyle name="Note 3 3 4 32 4" xfId="29396"/>
    <cellStyle name="Note 3 3 4 32 5" xfId="35627"/>
    <cellStyle name="Note 3 3 4 32 6" xfId="43061"/>
    <cellStyle name="Note 3 3 4 32 7" xfId="51619"/>
    <cellStyle name="Note 3 3 4 33" xfId="4613"/>
    <cellStyle name="Note 3 3 4 33 2" xfId="12330"/>
    <cellStyle name="Note 3 3 4 33 3" xfId="21323"/>
    <cellStyle name="Note 3 3 4 33 4" xfId="29510"/>
    <cellStyle name="Note 3 3 4 33 5" xfId="35956"/>
    <cellStyle name="Note 3 3 4 33 6" xfId="43175"/>
    <cellStyle name="Note 3 3 4 33 7" xfId="53198"/>
    <cellStyle name="Note 3 3 4 34" xfId="4726"/>
    <cellStyle name="Note 3 3 4 34 2" xfId="12443"/>
    <cellStyle name="Note 3 3 4 34 3" xfId="21436"/>
    <cellStyle name="Note 3 3 4 34 4" xfId="29623"/>
    <cellStyle name="Note 3 3 4 34 5" xfId="35708"/>
    <cellStyle name="Note 3 3 4 34 6" xfId="43288"/>
    <cellStyle name="Note 3 3 4 34 7" xfId="52004"/>
    <cellStyle name="Note 3 3 4 35" xfId="4836"/>
    <cellStyle name="Note 3 3 4 35 2" xfId="12553"/>
    <cellStyle name="Note 3 3 4 35 3" xfId="21546"/>
    <cellStyle name="Note 3 3 4 35 4" xfId="29733"/>
    <cellStyle name="Note 3 3 4 35 5" xfId="33910"/>
    <cellStyle name="Note 3 3 4 35 6" xfId="43398"/>
    <cellStyle name="Note 3 3 4 35 7" xfId="48775"/>
    <cellStyle name="Note 3 3 4 36" xfId="4946"/>
    <cellStyle name="Note 3 3 4 36 2" xfId="12663"/>
    <cellStyle name="Note 3 3 4 36 3" xfId="21656"/>
    <cellStyle name="Note 3 3 4 36 4" xfId="29843"/>
    <cellStyle name="Note 3 3 4 36 5" xfId="35950"/>
    <cellStyle name="Note 3 3 4 36 6" xfId="43508"/>
    <cellStyle name="Note 3 3 4 36 7" xfId="53181"/>
    <cellStyle name="Note 3 3 4 37" xfId="5056"/>
    <cellStyle name="Note 3 3 4 37 2" xfId="12773"/>
    <cellStyle name="Note 3 3 4 37 3" xfId="21766"/>
    <cellStyle name="Note 3 3 4 37 4" xfId="29953"/>
    <cellStyle name="Note 3 3 4 37 5" xfId="36185"/>
    <cellStyle name="Note 3 3 4 37 6" xfId="43618"/>
    <cellStyle name="Note 3 3 4 37 7" xfId="54305"/>
    <cellStyle name="Note 3 3 4 38" xfId="5436"/>
    <cellStyle name="Note 3 3 4 38 2" xfId="13153"/>
    <cellStyle name="Note 3 3 4 38 3" xfId="22146"/>
    <cellStyle name="Note 3 3 4 38 4" xfId="30333"/>
    <cellStyle name="Note 3 3 4 38 5" xfId="35444"/>
    <cellStyle name="Note 3 3 4 38 6" xfId="43998"/>
    <cellStyle name="Note 3 3 4 38 7" xfId="49166"/>
    <cellStyle name="Note 3 3 4 39" xfId="5556"/>
    <cellStyle name="Note 3 3 4 39 2" xfId="13273"/>
    <cellStyle name="Note 3 3 4 39 3" xfId="22266"/>
    <cellStyle name="Note 3 3 4 39 4" xfId="30453"/>
    <cellStyle name="Note 3 3 4 39 5" xfId="27632"/>
    <cellStyle name="Note 3 3 4 39 6" xfId="44118"/>
    <cellStyle name="Note 3 3 4 39 7" xfId="46845"/>
    <cellStyle name="Note 3 3 4 4" xfId="946"/>
    <cellStyle name="Note 3 3 4 4 2" xfId="8770"/>
    <cellStyle name="Note 3 3 4 4 3" xfId="16198"/>
    <cellStyle name="Note 3 3 4 4 4" xfId="19658"/>
    <cellStyle name="Note 3 3 4 4 5" xfId="27283"/>
    <cellStyle name="Note 3 3 4 4 6" xfId="37511"/>
    <cellStyle name="Note 3 3 4 4 7" xfId="47751"/>
    <cellStyle name="Note 3 3 4 40" xfId="5681"/>
    <cellStyle name="Note 3 3 4 40 2" xfId="13398"/>
    <cellStyle name="Note 3 3 4 40 3" xfId="22391"/>
    <cellStyle name="Note 3 3 4 40 4" xfId="30578"/>
    <cellStyle name="Note 3 3 4 40 5" xfId="28121"/>
    <cellStyle name="Note 3 3 4 40 6" xfId="44243"/>
    <cellStyle name="Note 3 3 4 40 7" xfId="47095"/>
    <cellStyle name="Note 3 3 4 41" xfId="5796"/>
    <cellStyle name="Note 3 3 4 41 2" xfId="13513"/>
    <cellStyle name="Note 3 3 4 41 3" xfId="22506"/>
    <cellStyle name="Note 3 3 4 41 4" xfId="30693"/>
    <cellStyle name="Note 3 3 4 41 5" xfId="36168"/>
    <cellStyle name="Note 3 3 4 41 6" xfId="44358"/>
    <cellStyle name="Note 3 3 4 41 7" xfId="53594"/>
    <cellStyle name="Note 3 3 4 42" xfId="5914"/>
    <cellStyle name="Note 3 3 4 42 2" xfId="13631"/>
    <cellStyle name="Note 3 3 4 42 3" xfId="22624"/>
    <cellStyle name="Note 3 3 4 42 4" xfId="30811"/>
    <cellStyle name="Note 3 3 4 42 5" xfId="35819"/>
    <cellStyle name="Note 3 3 4 42 6" xfId="44476"/>
    <cellStyle name="Note 3 3 4 42 7" xfId="51849"/>
    <cellStyle name="Note 3 3 4 43" xfId="6041"/>
    <cellStyle name="Note 3 3 4 43 2" xfId="13758"/>
    <cellStyle name="Note 3 3 4 43 3" xfId="22751"/>
    <cellStyle name="Note 3 3 4 43 4" xfId="30938"/>
    <cellStyle name="Note 3 3 4 43 5" xfId="34349"/>
    <cellStyle name="Note 3 3 4 43 6" xfId="44603"/>
    <cellStyle name="Note 3 3 4 43 7" xfId="50209"/>
    <cellStyle name="Note 3 3 4 44" xfId="6127"/>
    <cellStyle name="Note 3 3 4 44 2" xfId="13844"/>
    <cellStyle name="Note 3 3 4 44 3" xfId="22837"/>
    <cellStyle name="Note 3 3 4 44 4" xfId="31024"/>
    <cellStyle name="Note 3 3 4 44 5" xfId="34185"/>
    <cellStyle name="Note 3 3 4 44 6" xfId="44689"/>
    <cellStyle name="Note 3 3 4 44 7" xfId="50609"/>
    <cellStyle name="Note 3 3 4 45" xfId="6169"/>
    <cellStyle name="Note 3 3 4 45 2" xfId="13886"/>
    <cellStyle name="Note 3 3 4 45 3" xfId="22879"/>
    <cellStyle name="Note 3 3 4 45 4" xfId="31066"/>
    <cellStyle name="Note 3 3 4 45 5" xfId="35637"/>
    <cellStyle name="Note 3 3 4 45 6" xfId="44731"/>
    <cellStyle name="Note 3 3 4 45 7" xfId="51261"/>
    <cellStyle name="Note 3 3 4 46" xfId="6297"/>
    <cellStyle name="Note 3 3 4 46 2" xfId="14014"/>
    <cellStyle name="Note 3 3 4 46 3" xfId="23007"/>
    <cellStyle name="Note 3 3 4 46 4" xfId="31194"/>
    <cellStyle name="Note 3 3 4 46 5" xfId="27651"/>
    <cellStyle name="Note 3 3 4 46 6" xfId="44859"/>
    <cellStyle name="Note 3 3 4 46 7" xfId="48226"/>
    <cellStyle name="Note 3 3 4 47" xfId="6412"/>
    <cellStyle name="Note 3 3 4 47 2" xfId="14129"/>
    <cellStyle name="Note 3 3 4 47 3" xfId="23122"/>
    <cellStyle name="Note 3 3 4 47 4" xfId="31309"/>
    <cellStyle name="Note 3 3 4 47 5" xfId="27711"/>
    <cellStyle name="Note 3 3 4 47 6" xfId="44974"/>
    <cellStyle name="Note 3 3 4 47 7" xfId="47310"/>
    <cellStyle name="Note 3 3 4 48" xfId="6524"/>
    <cellStyle name="Note 3 3 4 48 2" xfId="14241"/>
    <cellStyle name="Note 3 3 4 48 3" xfId="23234"/>
    <cellStyle name="Note 3 3 4 48 4" xfId="31421"/>
    <cellStyle name="Note 3 3 4 48 5" xfId="35716"/>
    <cellStyle name="Note 3 3 4 48 6" xfId="45086"/>
    <cellStyle name="Note 3 3 4 48 7" xfId="51469"/>
    <cellStyle name="Note 3 3 4 49" xfId="5450"/>
    <cellStyle name="Note 3 3 4 49 2" xfId="13167"/>
    <cellStyle name="Note 3 3 4 49 3" xfId="22160"/>
    <cellStyle name="Note 3 3 4 49 4" xfId="30347"/>
    <cellStyle name="Note 3 3 4 49 5" xfId="36066"/>
    <cellStyle name="Note 3 3 4 49 6" xfId="44012"/>
    <cellStyle name="Note 3 3 4 49 7" xfId="53745"/>
    <cellStyle name="Note 3 3 4 5" xfId="1414"/>
    <cellStyle name="Note 3 3 4 5 2" xfId="9237"/>
    <cellStyle name="Note 3 3 4 5 3" xfId="16665"/>
    <cellStyle name="Note 3 3 4 5 4" xfId="24822"/>
    <cellStyle name="Note 3 3 4 5 5" xfId="27607"/>
    <cellStyle name="Note 3 3 4 5 6" xfId="37012"/>
    <cellStyle name="Note 3 3 4 5 7" xfId="48562"/>
    <cellStyle name="Note 3 3 4 50" xfId="6671"/>
    <cellStyle name="Note 3 3 4 50 2" xfId="14388"/>
    <cellStyle name="Note 3 3 4 50 3" xfId="23381"/>
    <cellStyle name="Note 3 3 4 50 4" xfId="31568"/>
    <cellStyle name="Note 3 3 4 50 5" xfId="33610"/>
    <cellStyle name="Note 3 3 4 50 6" xfId="45233"/>
    <cellStyle name="Note 3 3 4 50 7" xfId="47565"/>
    <cellStyle name="Note 3 3 4 51" xfId="6782"/>
    <cellStyle name="Note 3 3 4 51 2" xfId="14499"/>
    <cellStyle name="Note 3 3 4 51 3" xfId="23492"/>
    <cellStyle name="Note 3 3 4 51 4" xfId="31679"/>
    <cellStyle name="Note 3 3 4 51 5" xfId="36128"/>
    <cellStyle name="Note 3 3 4 51 6" xfId="45344"/>
    <cellStyle name="Note 3 3 4 51 7" xfId="53938"/>
    <cellStyle name="Note 3 3 4 52" xfId="6897"/>
    <cellStyle name="Note 3 3 4 52 2" xfId="14614"/>
    <cellStyle name="Note 3 3 4 52 3" xfId="23607"/>
    <cellStyle name="Note 3 3 4 52 4" xfId="31794"/>
    <cellStyle name="Note 3 3 4 52 5" xfId="26854"/>
    <cellStyle name="Note 3 3 4 52 6" xfId="45459"/>
    <cellStyle name="Note 3 3 4 52 7" xfId="47056"/>
    <cellStyle name="Note 3 3 4 53" xfId="7010"/>
    <cellStyle name="Note 3 3 4 53 2" xfId="14727"/>
    <cellStyle name="Note 3 3 4 53 3" xfId="23720"/>
    <cellStyle name="Note 3 3 4 53 4" xfId="31907"/>
    <cellStyle name="Note 3 3 4 53 5" xfId="34587"/>
    <cellStyle name="Note 3 3 4 53 6" xfId="45572"/>
    <cellStyle name="Note 3 3 4 53 7" xfId="47019"/>
    <cellStyle name="Note 3 3 4 54" xfId="7120"/>
    <cellStyle name="Note 3 3 4 54 2" xfId="14837"/>
    <cellStyle name="Note 3 3 4 54 3" xfId="23830"/>
    <cellStyle name="Note 3 3 4 54 4" xfId="32017"/>
    <cellStyle name="Note 3 3 4 54 5" xfId="36091"/>
    <cellStyle name="Note 3 3 4 54 6" xfId="45682"/>
    <cellStyle name="Note 3 3 4 54 7" xfId="53283"/>
    <cellStyle name="Note 3 3 4 55" xfId="7158"/>
    <cellStyle name="Note 3 3 4 55 2" xfId="14875"/>
    <cellStyle name="Note 3 3 4 55 3" xfId="23868"/>
    <cellStyle name="Note 3 3 4 55 4" xfId="32055"/>
    <cellStyle name="Note 3 3 4 55 5" xfId="26795"/>
    <cellStyle name="Note 3 3 4 55 6" xfId="45720"/>
    <cellStyle name="Note 3 3 4 55 7" xfId="49286"/>
    <cellStyle name="Note 3 3 4 56" xfId="7226"/>
    <cellStyle name="Note 3 3 4 56 2" xfId="14943"/>
    <cellStyle name="Note 3 3 4 56 3" xfId="23936"/>
    <cellStyle name="Note 3 3 4 56 4" xfId="32123"/>
    <cellStyle name="Note 3 3 4 56 5" xfId="27731"/>
    <cellStyle name="Note 3 3 4 56 6" xfId="45788"/>
    <cellStyle name="Note 3 3 4 56 7" xfId="48608"/>
    <cellStyle name="Note 3 3 4 57" xfId="7517"/>
    <cellStyle name="Note 3 3 4 57 2" xfId="15234"/>
    <cellStyle name="Note 3 3 4 57 3" xfId="24227"/>
    <cellStyle name="Note 3 3 4 57 4" xfId="32414"/>
    <cellStyle name="Note 3 3 4 57 5" xfId="34178"/>
    <cellStyle name="Note 3 3 4 57 6" xfId="46079"/>
    <cellStyle name="Note 3 3 4 57 7" xfId="50076"/>
    <cellStyle name="Note 3 3 4 58" xfId="7638"/>
    <cellStyle name="Note 3 3 4 58 2" xfId="15355"/>
    <cellStyle name="Note 3 3 4 58 3" xfId="24348"/>
    <cellStyle name="Note 3 3 4 58 4" xfId="32535"/>
    <cellStyle name="Note 3 3 4 58 5" xfId="35873"/>
    <cellStyle name="Note 3 3 4 58 6" xfId="46200"/>
    <cellStyle name="Note 3 3 4 58 7" xfId="52205"/>
    <cellStyle name="Note 3 3 4 59" xfId="7915"/>
    <cellStyle name="Note 3 3 4 59 2" xfId="15632"/>
    <cellStyle name="Note 3 3 4 59 3" xfId="24619"/>
    <cellStyle name="Note 3 3 4 59 4" xfId="32812"/>
    <cellStyle name="Note 3 3 4 59 5" xfId="34176"/>
    <cellStyle name="Note 3 3 4 59 6" xfId="46477"/>
    <cellStyle name="Note 3 3 4 59 7" xfId="51432"/>
    <cellStyle name="Note 3 3 4 6" xfId="1537"/>
    <cellStyle name="Note 3 3 4 6 2" xfId="9360"/>
    <cellStyle name="Note 3 3 4 6 3" xfId="16788"/>
    <cellStyle name="Note 3 3 4 6 4" xfId="26307"/>
    <cellStyle name="Note 3 3 4 6 5" xfId="35025"/>
    <cellStyle name="Note 3 3 4 6 6" xfId="37615"/>
    <cellStyle name="Note 3 3 4 6 7" xfId="53658"/>
    <cellStyle name="Note 3 3 4 60" xfId="7789"/>
    <cellStyle name="Note 3 3 4 60 2" xfId="15506"/>
    <cellStyle name="Note 3 3 4 60 3" xfId="24495"/>
    <cellStyle name="Note 3 3 4 60 4" xfId="32686"/>
    <cellStyle name="Note 3 3 4 60 5" xfId="27291"/>
    <cellStyle name="Note 3 3 4 60 6" xfId="46351"/>
    <cellStyle name="Note 3 3 4 60 7" xfId="48455"/>
    <cellStyle name="Note 3 3 4 61" xfId="8043"/>
    <cellStyle name="Note 3 3 4 61 2" xfId="15760"/>
    <cellStyle name="Note 3 3 4 61 3" xfId="24745"/>
    <cellStyle name="Note 3 3 4 61 4" xfId="32940"/>
    <cellStyle name="Note 3 3 4 61 5" xfId="35957"/>
    <cellStyle name="Note 3 3 4 61 6" xfId="46605"/>
    <cellStyle name="Note 3 3 4 61 7" xfId="52849"/>
    <cellStyle name="Note 3 3 4 62" xfId="7716"/>
    <cellStyle name="Note 3 3 4 62 2" xfId="15433"/>
    <cellStyle name="Note 3 3 4 62 3" xfId="24424"/>
    <cellStyle name="Note 3 3 4 62 4" xfId="32613"/>
    <cellStyle name="Note 3 3 4 62 5" xfId="27068"/>
    <cellStyle name="Note 3 3 4 62 6" xfId="46278"/>
    <cellStyle name="Note 3 3 4 62 7" xfId="50303"/>
    <cellStyle name="Note 3 3 4 63" xfId="8190"/>
    <cellStyle name="Note 3 3 4 63 2" xfId="15907"/>
    <cellStyle name="Note 3 3 4 63 3" xfId="33087"/>
    <cellStyle name="Note 3 3 4 63 4" xfId="27948"/>
    <cellStyle name="Note 3 3 4 63 5" xfId="46752"/>
    <cellStyle name="Note 3 3 4 63 6" xfId="46864"/>
    <cellStyle name="Note 3 3 4 64" xfId="25094"/>
    <cellStyle name="Note 3 3 4 65" xfId="33456"/>
    <cellStyle name="Note 3 3 4 66" xfId="36390"/>
    <cellStyle name="Note 3 3 4 67" xfId="50993"/>
    <cellStyle name="Note 3 3 4 7" xfId="1306"/>
    <cellStyle name="Note 3 3 4 7 2" xfId="9129"/>
    <cellStyle name="Note 3 3 4 7 3" xfId="16557"/>
    <cellStyle name="Note 3 3 4 7 4" xfId="26238"/>
    <cellStyle name="Note 3 3 4 7 5" xfId="34928"/>
    <cellStyle name="Note 3 3 4 7 6" xfId="37599"/>
    <cellStyle name="Note 3 3 4 7 7" xfId="53504"/>
    <cellStyle name="Note 3 3 4 8" xfId="1775"/>
    <cellStyle name="Note 3 3 4 8 2" xfId="9598"/>
    <cellStyle name="Note 3 3 4 8 3" xfId="17026"/>
    <cellStyle name="Note 3 3 4 8 4" xfId="26375"/>
    <cellStyle name="Note 3 3 4 8 5" xfId="35118"/>
    <cellStyle name="Note 3 3 4 8 6" xfId="36626"/>
    <cellStyle name="Note 3 3 4 8 7" xfId="53799"/>
    <cellStyle name="Note 3 3 4 9" xfId="1908"/>
    <cellStyle name="Note 3 3 4 9 2" xfId="9731"/>
    <cellStyle name="Note 3 3 4 9 3" xfId="17159"/>
    <cellStyle name="Note 3 3 4 9 4" xfId="24994"/>
    <cellStyle name="Note 3 3 4 9 5" xfId="33343"/>
    <cellStyle name="Note 3 3 4 9 6" xfId="37085"/>
    <cellStyle name="Note 3 3 4 9 7" xfId="50782"/>
    <cellStyle name="Note 3 3 40" xfId="4259"/>
    <cellStyle name="Note 3 3 40 2" xfId="11981"/>
    <cellStyle name="Note 3 3 40 3" xfId="20969"/>
    <cellStyle name="Note 3 3 40 4" xfId="29156"/>
    <cellStyle name="Note 3 3 40 5" xfId="35946"/>
    <cellStyle name="Note 3 3 40 6" xfId="42821"/>
    <cellStyle name="Note 3 3 40 7" xfId="53151"/>
    <cellStyle name="Note 3 3 41" xfId="4006"/>
    <cellStyle name="Note 3 3 41 2" xfId="11785"/>
    <cellStyle name="Note 3 3 41 3" xfId="20716"/>
    <cellStyle name="Note 3 3 41 4" xfId="28903"/>
    <cellStyle name="Note 3 3 41 5" xfId="28693"/>
    <cellStyle name="Note 3 3 41 6" xfId="42568"/>
    <cellStyle name="Note 3 3 41 7" xfId="49276"/>
    <cellStyle name="Note 3 3 42" xfId="4212"/>
    <cellStyle name="Note 3 3 42 2" xfId="11959"/>
    <cellStyle name="Note 3 3 42 3" xfId="20922"/>
    <cellStyle name="Note 3 3 42 4" xfId="29109"/>
    <cellStyle name="Note 3 3 42 5" xfId="34971"/>
    <cellStyle name="Note 3 3 42 6" xfId="42774"/>
    <cellStyle name="Note 3 3 42 7" xfId="49667"/>
    <cellStyle name="Note 3 3 43" xfId="5240"/>
    <cellStyle name="Note 3 3 43 2" xfId="12957"/>
    <cellStyle name="Note 3 3 43 3" xfId="21950"/>
    <cellStyle name="Note 3 3 43 4" xfId="30137"/>
    <cellStyle name="Note 3 3 43 5" xfId="35880"/>
    <cellStyle name="Note 3 3 43 6" xfId="43802"/>
    <cellStyle name="Note 3 3 43 7" xfId="52852"/>
    <cellStyle name="Note 3 3 44" xfId="5337"/>
    <cellStyle name="Note 3 3 44 2" xfId="13054"/>
    <cellStyle name="Note 3 3 44 3" xfId="22047"/>
    <cellStyle name="Note 3 3 44 4" xfId="30234"/>
    <cellStyle name="Note 3 3 44 5" xfId="33517"/>
    <cellStyle name="Note 3 3 44 6" xfId="43899"/>
    <cellStyle name="Note 3 3 44 7" xfId="50349"/>
    <cellStyle name="Note 3 3 45" xfId="5329"/>
    <cellStyle name="Note 3 3 45 2" xfId="13046"/>
    <cellStyle name="Note 3 3 45 3" xfId="22039"/>
    <cellStyle name="Note 3 3 45 4" xfId="30226"/>
    <cellStyle name="Note 3 3 45 5" xfId="26844"/>
    <cellStyle name="Note 3 3 45 6" xfId="43891"/>
    <cellStyle name="Note 3 3 45 7" xfId="51054"/>
    <cellStyle name="Note 3 3 46" xfId="5335"/>
    <cellStyle name="Note 3 3 46 2" xfId="13052"/>
    <cellStyle name="Note 3 3 46 3" xfId="22045"/>
    <cellStyle name="Note 3 3 46 4" xfId="30232"/>
    <cellStyle name="Note 3 3 46 5" xfId="34740"/>
    <cellStyle name="Note 3 3 46 6" xfId="43897"/>
    <cellStyle name="Note 3 3 46 7" xfId="49808"/>
    <cellStyle name="Note 3 3 47" xfId="5201"/>
    <cellStyle name="Note 3 3 47 2" xfId="12918"/>
    <cellStyle name="Note 3 3 47 3" xfId="21911"/>
    <cellStyle name="Note 3 3 47 4" xfId="30098"/>
    <cellStyle name="Note 3 3 47 5" xfId="34313"/>
    <cellStyle name="Note 3 3 47 6" xfId="43763"/>
    <cellStyle name="Note 3 3 47 7" xfId="49312"/>
    <cellStyle name="Note 3 3 48" xfId="5086"/>
    <cellStyle name="Note 3 3 48 2" xfId="12803"/>
    <cellStyle name="Note 3 3 48 3" xfId="21796"/>
    <cellStyle name="Note 3 3 48 4" xfId="29983"/>
    <cellStyle name="Note 3 3 48 5" xfId="35817"/>
    <cellStyle name="Note 3 3 48 6" xfId="43648"/>
    <cellStyle name="Note 3 3 48 7" xfId="52526"/>
    <cellStyle name="Note 3 3 49" xfId="5107"/>
    <cellStyle name="Note 3 3 49 2" xfId="12824"/>
    <cellStyle name="Note 3 3 49 3" xfId="21817"/>
    <cellStyle name="Note 3 3 49 4" xfId="30004"/>
    <cellStyle name="Note 3 3 49 5" xfId="27814"/>
    <cellStyle name="Note 3 3 49 6" xfId="43669"/>
    <cellStyle name="Note 3 3 49 7" xfId="50253"/>
    <cellStyle name="Note 3 3 5" xfId="576"/>
    <cellStyle name="Note 3 3 5 10" xfId="2023"/>
    <cellStyle name="Note 3 3 5 10 2" xfId="9846"/>
    <cellStyle name="Note 3 3 5 10 3" xfId="17274"/>
    <cellStyle name="Note 3 3 5 10 4" xfId="20379"/>
    <cellStyle name="Note 3 3 5 10 5" xfId="33138"/>
    <cellStyle name="Note 3 3 5 10 6" xfId="40601"/>
    <cellStyle name="Note 3 3 5 10 7" xfId="50405"/>
    <cellStyle name="Note 3 3 5 11" xfId="2139"/>
    <cellStyle name="Note 3 3 5 11 2" xfId="9962"/>
    <cellStyle name="Note 3 3 5 11 3" xfId="17390"/>
    <cellStyle name="Note 3 3 5 11 4" xfId="25082"/>
    <cellStyle name="Note 3 3 5 11 5" xfId="33443"/>
    <cellStyle name="Note 3 3 5 11 6" xfId="38042"/>
    <cellStyle name="Note 3 3 5 11 7" xfId="50971"/>
    <cellStyle name="Note 3 3 5 12" xfId="2253"/>
    <cellStyle name="Note 3 3 5 12 2" xfId="10076"/>
    <cellStyle name="Note 3 3 5 12 3" xfId="17504"/>
    <cellStyle name="Note 3 3 5 12 4" xfId="20580"/>
    <cellStyle name="Note 3 3 5 12 5" xfId="28801"/>
    <cellStyle name="Note 3 3 5 12 6" xfId="39255"/>
    <cellStyle name="Note 3 3 5 12 7" xfId="48569"/>
    <cellStyle name="Note 3 3 5 13" xfId="1103"/>
    <cellStyle name="Note 3 3 5 13 2" xfId="8927"/>
    <cellStyle name="Note 3 3 5 13 3" xfId="16355"/>
    <cellStyle name="Note 3 3 5 13 4" xfId="19969"/>
    <cellStyle name="Note 3 3 5 13 5" xfId="28129"/>
    <cellStyle name="Note 3 3 5 13 6" xfId="36917"/>
    <cellStyle name="Note 3 3 5 13 7" xfId="48377"/>
    <cellStyle name="Note 3 3 5 14" xfId="2301"/>
    <cellStyle name="Note 3 3 5 14 2" xfId="10124"/>
    <cellStyle name="Note 3 3 5 14 3" xfId="17552"/>
    <cellStyle name="Note 3 3 5 14 4" xfId="20430"/>
    <cellStyle name="Note 3 3 5 14 5" xfId="27190"/>
    <cellStyle name="Note 3 3 5 14 6" xfId="38455"/>
    <cellStyle name="Note 3 3 5 14 7" xfId="47454"/>
    <cellStyle name="Note 3 3 5 15" xfId="2551"/>
    <cellStyle name="Note 3 3 5 15 2" xfId="10374"/>
    <cellStyle name="Note 3 3 5 15 3" xfId="17802"/>
    <cellStyle name="Note 3 3 5 15 4" xfId="19116"/>
    <cellStyle name="Note 3 3 5 15 5" xfId="27996"/>
    <cellStyle name="Note 3 3 5 15 6" xfId="40228"/>
    <cellStyle name="Note 3 3 5 15 7" xfId="47856"/>
    <cellStyle name="Note 3 3 5 16" xfId="2665"/>
    <cellStyle name="Note 3 3 5 16 2" xfId="10488"/>
    <cellStyle name="Note 3 3 5 16 3" xfId="17916"/>
    <cellStyle name="Note 3 3 5 16 4" xfId="19495"/>
    <cellStyle name="Note 3 3 5 16 5" xfId="27766"/>
    <cellStyle name="Note 3 3 5 16 6" xfId="39901"/>
    <cellStyle name="Note 3 3 5 16 7" xfId="47908"/>
    <cellStyle name="Note 3 3 5 17" xfId="2452"/>
    <cellStyle name="Note 3 3 5 17 2" xfId="10275"/>
    <cellStyle name="Note 3 3 5 17 3" xfId="17703"/>
    <cellStyle name="Note 3 3 5 17 4" xfId="19106"/>
    <cellStyle name="Note 3 3 5 17 5" xfId="26819"/>
    <cellStyle name="Note 3 3 5 17 6" xfId="41547"/>
    <cellStyle name="Note 3 3 5 17 7" xfId="47300"/>
    <cellStyle name="Note 3 3 5 18" xfId="2390"/>
    <cellStyle name="Note 3 3 5 18 2" xfId="10213"/>
    <cellStyle name="Note 3 3 5 18 3" xfId="17641"/>
    <cellStyle name="Note 3 3 5 18 4" xfId="20092"/>
    <cellStyle name="Note 3 3 5 18 5" xfId="27790"/>
    <cellStyle name="Note 3 3 5 18 6" xfId="36769"/>
    <cellStyle name="Note 3 3 5 18 7" xfId="50146"/>
    <cellStyle name="Note 3 3 5 19" xfId="2855"/>
    <cellStyle name="Note 3 3 5 19 2" xfId="10678"/>
    <cellStyle name="Note 3 3 5 19 3" xfId="18106"/>
    <cellStyle name="Note 3 3 5 19 4" xfId="26051"/>
    <cellStyle name="Note 3 3 5 19 5" xfId="34692"/>
    <cellStyle name="Note 3 3 5 19 6" xfId="38727"/>
    <cellStyle name="Note 3 3 5 19 7" xfId="53109"/>
    <cellStyle name="Note 3 3 5 2" xfId="723"/>
    <cellStyle name="Note 3 3 5 2 2" xfId="8547"/>
    <cellStyle name="Note 3 3 5 2 3" xfId="15975"/>
    <cellStyle name="Note 3 3 5 2 4" xfId="25170"/>
    <cellStyle name="Note 3 3 5 2 5" xfId="33551"/>
    <cellStyle name="Note 3 3 5 2 6" xfId="38095"/>
    <cellStyle name="Note 3 3 5 2 7" xfId="51157"/>
    <cellStyle name="Note 3 3 5 20" xfId="2962"/>
    <cellStyle name="Note 3 3 5 20 2" xfId="10785"/>
    <cellStyle name="Note 3 3 5 20 3" xfId="18213"/>
    <cellStyle name="Note 3 3 5 20 4" xfId="20052"/>
    <cellStyle name="Note 3 3 5 20 5" xfId="27294"/>
    <cellStyle name="Note 3 3 5 20 6" xfId="38108"/>
    <cellStyle name="Note 3 3 5 20 7" xfId="49554"/>
    <cellStyle name="Note 3 3 5 21" xfId="3340"/>
    <cellStyle name="Note 3 3 5 21 2" xfId="11133"/>
    <cellStyle name="Note 3 3 5 21 3" xfId="18460"/>
    <cellStyle name="Note 3 3 5 21 4" xfId="25439"/>
    <cellStyle name="Note 3 3 5 21 5" xfId="33899"/>
    <cellStyle name="Note 3 3 5 21 6" xfId="37979"/>
    <cellStyle name="Note 3 3 5 21 7" xfId="51724"/>
    <cellStyle name="Note 3 3 5 22" xfId="3459"/>
    <cellStyle name="Note 3 3 5 22 2" xfId="11250"/>
    <cellStyle name="Note 3 3 5 22 3" xfId="18571"/>
    <cellStyle name="Note 3 3 5 22 4" xfId="25362"/>
    <cellStyle name="Note 3 3 5 22 5" xfId="33800"/>
    <cellStyle name="Note 3 3 5 22 6" xfId="37907"/>
    <cellStyle name="Note 3 3 5 22 7" xfId="51558"/>
    <cellStyle name="Note 3 3 5 23" xfId="3580"/>
    <cellStyle name="Note 3 3 5 23 2" xfId="11369"/>
    <cellStyle name="Note 3 3 5 23 3" xfId="18646"/>
    <cellStyle name="Note 3 3 5 23 4" xfId="20123"/>
    <cellStyle name="Note 3 3 5 23 5" xfId="27336"/>
    <cellStyle name="Note 3 3 5 23 6" xfId="41401"/>
    <cellStyle name="Note 3 3 5 23 7" xfId="48154"/>
    <cellStyle name="Note 3 3 5 24" xfId="3618"/>
    <cellStyle name="Note 3 3 5 24 2" xfId="11404"/>
    <cellStyle name="Note 3 3 5 24 3" xfId="18678"/>
    <cellStyle name="Note 3 3 5 24 4" xfId="19914"/>
    <cellStyle name="Note 3 3 5 24 5" xfId="28047"/>
    <cellStyle name="Note 3 3 5 24 6" xfId="37582"/>
    <cellStyle name="Note 3 3 5 24 7" xfId="50241"/>
    <cellStyle name="Note 3 3 5 25" xfId="3732"/>
    <cellStyle name="Note 3 3 5 25 2" xfId="11517"/>
    <cellStyle name="Note 3 3 5 25 3" xfId="18788"/>
    <cellStyle name="Note 3 3 5 25 4" xfId="19401"/>
    <cellStyle name="Note 3 3 5 25 5" xfId="28727"/>
    <cellStyle name="Note 3 3 5 25 6" xfId="41586"/>
    <cellStyle name="Note 3 3 5 25 7" xfId="47356"/>
    <cellStyle name="Note 3 3 5 26" xfId="3861"/>
    <cellStyle name="Note 3 3 5 26 2" xfId="11643"/>
    <cellStyle name="Note 3 3 5 26 3" xfId="18898"/>
    <cellStyle name="Note 3 3 5 26 4" xfId="26488"/>
    <cellStyle name="Note 3 3 5 26 5" xfId="35277"/>
    <cellStyle name="Note 3 3 5 26 6" xfId="39490"/>
    <cellStyle name="Note 3 3 5 26 7" xfId="54051"/>
    <cellStyle name="Note 3 3 5 27" xfId="3979"/>
    <cellStyle name="Note 3 3 5 27 2" xfId="11758"/>
    <cellStyle name="Note 3 3 5 27 3" xfId="19007"/>
    <cellStyle name="Note 3 3 5 27 4" xfId="25618"/>
    <cellStyle name="Note 3 3 5 27 5" xfId="34132"/>
    <cellStyle name="Note 3 3 5 27 6" xfId="38571"/>
    <cellStyle name="Note 3 3 5 27 7" xfId="52128"/>
    <cellStyle name="Note 3 3 5 28" xfId="3483"/>
    <cellStyle name="Note 3 3 5 28 2" xfId="11274"/>
    <cellStyle name="Note 3 3 5 28 3" xfId="20470"/>
    <cellStyle name="Note 3 3 5 28 4" xfId="28592"/>
    <cellStyle name="Note 3 3 5 28 5" xfId="26946"/>
    <cellStyle name="Note 3 3 5 28 6" xfId="42481"/>
    <cellStyle name="Note 3 3 5 28 7" xfId="49185"/>
    <cellStyle name="Note 3 3 5 29" xfId="4175"/>
    <cellStyle name="Note 3 3 5 29 2" xfId="11934"/>
    <cellStyle name="Note 3 3 5 29 3" xfId="20885"/>
    <cellStyle name="Note 3 3 5 29 4" xfId="29072"/>
    <cellStyle name="Note 3 3 5 29 5" xfId="36197"/>
    <cellStyle name="Note 3 3 5 29 6" xfId="42737"/>
    <cellStyle name="Note 3 3 5 29 7" xfId="54346"/>
    <cellStyle name="Note 3 3 5 3" xfId="832"/>
    <cellStyle name="Note 3 3 5 3 2" xfId="8656"/>
    <cellStyle name="Note 3 3 5 3 3" xfId="16084"/>
    <cellStyle name="Note 3 3 5 3 4" xfId="25947"/>
    <cellStyle name="Note 3 3 5 3 5" xfId="34552"/>
    <cellStyle name="Note 3 3 5 3 6" xfId="36679"/>
    <cellStyle name="Note 3 3 5 3 7" xfId="52881"/>
    <cellStyle name="Note 3 3 5 30" xfId="4201"/>
    <cellStyle name="Note 3 3 5 30 2" xfId="20911"/>
    <cellStyle name="Note 3 3 5 30 3" xfId="29098"/>
    <cellStyle name="Note 3 3 5 30 4" xfId="35688"/>
    <cellStyle name="Note 3 3 5 30 5" xfId="42763"/>
    <cellStyle name="Note 3 3 5 30 6" xfId="51896"/>
    <cellStyle name="Note 3 3 5 31" xfId="4374"/>
    <cellStyle name="Note 3 3 5 31 2" xfId="12091"/>
    <cellStyle name="Note 3 3 5 31 3" xfId="21084"/>
    <cellStyle name="Note 3 3 5 31 4" xfId="29271"/>
    <cellStyle name="Note 3 3 5 31 5" xfId="35607"/>
    <cellStyle name="Note 3 3 5 31 6" xfId="42936"/>
    <cellStyle name="Note 3 3 5 31 7" xfId="51531"/>
    <cellStyle name="Note 3 3 5 32" xfId="4495"/>
    <cellStyle name="Note 3 3 5 32 2" xfId="12212"/>
    <cellStyle name="Note 3 3 5 32 3" xfId="21205"/>
    <cellStyle name="Note 3 3 5 32 4" xfId="29392"/>
    <cellStyle name="Note 3 3 5 32 5" xfId="35742"/>
    <cellStyle name="Note 3 3 5 32 6" xfId="43057"/>
    <cellStyle name="Note 3 3 5 32 7" xfId="52191"/>
    <cellStyle name="Note 3 3 5 33" xfId="4609"/>
    <cellStyle name="Note 3 3 5 33 2" xfId="12326"/>
    <cellStyle name="Note 3 3 5 33 3" xfId="21319"/>
    <cellStyle name="Note 3 3 5 33 4" xfId="29506"/>
    <cellStyle name="Note 3 3 5 33 5" xfId="28366"/>
    <cellStyle name="Note 3 3 5 33 6" xfId="43171"/>
    <cellStyle name="Note 3 3 5 33 7" xfId="48823"/>
    <cellStyle name="Note 3 3 5 34" xfId="4722"/>
    <cellStyle name="Note 3 3 5 34 2" xfId="12439"/>
    <cellStyle name="Note 3 3 5 34 3" xfId="21432"/>
    <cellStyle name="Note 3 3 5 34 4" xfId="29619"/>
    <cellStyle name="Note 3 3 5 34 5" xfId="35768"/>
    <cellStyle name="Note 3 3 5 34 6" xfId="43284"/>
    <cellStyle name="Note 3 3 5 34 7" xfId="52339"/>
    <cellStyle name="Note 3 3 5 35" xfId="4832"/>
    <cellStyle name="Note 3 3 5 35 2" xfId="12549"/>
    <cellStyle name="Note 3 3 5 35 3" xfId="21542"/>
    <cellStyle name="Note 3 3 5 35 4" xfId="29729"/>
    <cellStyle name="Note 3 3 5 35 5" xfId="35342"/>
    <cellStyle name="Note 3 3 5 35 6" xfId="43394"/>
    <cellStyle name="Note 3 3 5 35 7" xfId="49601"/>
    <cellStyle name="Note 3 3 5 36" xfId="4942"/>
    <cellStyle name="Note 3 3 5 36 2" xfId="12659"/>
    <cellStyle name="Note 3 3 5 36 3" xfId="21652"/>
    <cellStyle name="Note 3 3 5 36 4" xfId="29839"/>
    <cellStyle name="Note 3 3 5 36 5" xfId="36024"/>
    <cellStyle name="Note 3 3 5 36 6" xfId="43504"/>
    <cellStyle name="Note 3 3 5 36 7" xfId="53533"/>
    <cellStyle name="Note 3 3 5 37" xfId="5052"/>
    <cellStyle name="Note 3 3 5 37 2" xfId="12769"/>
    <cellStyle name="Note 3 3 5 37 3" xfId="21762"/>
    <cellStyle name="Note 3 3 5 37 4" xfId="29949"/>
    <cellStyle name="Note 3 3 5 37 5" xfId="27850"/>
    <cellStyle name="Note 3 3 5 37 6" xfId="43614"/>
    <cellStyle name="Note 3 3 5 37 7" xfId="48817"/>
    <cellStyle name="Note 3 3 5 38" xfId="5432"/>
    <cellStyle name="Note 3 3 5 38 2" xfId="13149"/>
    <cellStyle name="Note 3 3 5 38 3" xfId="22142"/>
    <cellStyle name="Note 3 3 5 38 4" xfId="30329"/>
    <cellStyle name="Note 3 3 5 38 5" xfId="35218"/>
    <cellStyle name="Note 3 3 5 38 6" xfId="43994"/>
    <cellStyle name="Note 3 3 5 38 7" xfId="49725"/>
    <cellStyle name="Note 3 3 5 39" xfId="5552"/>
    <cellStyle name="Note 3 3 5 39 2" xfId="13269"/>
    <cellStyle name="Note 3 3 5 39 3" xfId="22262"/>
    <cellStyle name="Note 3 3 5 39 4" xfId="30449"/>
    <cellStyle name="Note 3 3 5 39 5" xfId="35004"/>
    <cellStyle name="Note 3 3 5 39 6" xfId="44114"/>
    <cellStyle name="Note 3 3 5 39 7" xfId="47176"/>
    <cellStyle name="Note 3 3 5 4" xfId="942"/>
    <cellStyle name="Note 3 3 5 4 2" xfId="8766"/>
    <cellStyle name="Note 3 3 5 4 3" xfId="16194"/>
    <cellStyle name="Note 3 3 5 4 4" xfId="19364"/>
    <cellStyle name="Note 3 3 5 4 5" xfId="27638"/>
    <cellStyle name="Note 3 3 5 4 6" xfId="37860"/>
    <cellStyle name="Note 3 3 5 4 7" xfId="49030"/>
    <cellStyle name="Note 3 3 5 40" xfId="5677"/>
    <cellStyle name="Note 3 3 5 40 2" xfId="13394"/>
    <cellStyle name="Note 3 3 5 40 3" xfId="22387"/>
    <cellStyle name="Note 3 3 5 40 4" xfId="30574"/>
    <cellStyle name="Note 3 3 5 40 5" xfId="28810"/>
    <cellStyle name="Note 3 3 5 40 6" xfId="44239"/>
    <cellStyle name="Note 3 3 5 40 7" xfId="47096"/>
    <cellStyle name="Note 3 3 5 41" xfId="5792"/>
    <cellStyle name="Note 3 3 5 41 2" xfId="13509"/>
    <cellStyle name="Note 3 3 5 41 3" xfId="22502"/>
    <cellStyle name="Note 3 3 5 41 4" xfId="30689"/>
    <cellStyle name="Note 3 3 5 41 5" xfId="36222"/>
    <cellStyle name="Note 3 3 5 41 6" xfId="44354"/>
    <cellStyle name="Note 3 3 5 41 7" xfId="54358"/>
    <cellStyle name="Note 3 3 5 42" xfId="5910"/>
    <cellStyle name="Note 3 3 5 42 2" xfId="13627"/>
    <cellStyle name="Note 3 3 5 42 3" xfId="22620"/>
    <cellStyle name="Note 3 3 5 42 4" xfId="30807"/>
    <cellStyle name="Note 3 3 5 42 5" xfId="35500"/>
    <cellStyle name="Note 3 3 5 42 6" xfId="44472"/>
    <cellStyle name="Note 3 3 5 42 7" xfId="51573"/>
    <cellStyle name="Note 3 3 5 43" xfId="6037"/>
    <cellStyle name="Note 3 3 5 43 2" xfId="13754"/>
    <cellStyle name="Note 3 3 5 43 3" xfId="22747"/>
    <cellStyle name="Note 3 3 5 43 4" xfId="30934"/>
    <cellStyle name="Note 3 3 5 43 5" xfId="27925"/>
    <cellStyle name="Note 3 3 5 43 6" xfId="44599"/>
    <cellStyle name="Note 3 3 5 43 7" xfId="49839"/>
    <cellStyle name="Note 3 3 5 44" xfId="6125"/>
    <cellStyle name="Note 3 3 5 44 2" xfId="13842"/>
    <cellStyle name="Note 3 3 5 44 3" xfId="22835"/>
    <cellStyle name="Note 3 3 5 44 4" xfId="31022"/>
    <cellStyle name="Note 3 3 5 44 5" xfId="26729"/>
    <cellStyle name="Note 3 3 5 44 6" xfId="44687"/>
    <cellStyle name="Note 3 3 5 44 7" xfId="48651"/>
    <cellStyle name="Note 3 3 5 45" xfId="6165"/>
    <cellStyle name="Note 3 3 5 45 2" xfId="13882"/>
    <cellStyle name="Note 3 3 5 45 3" xfId="22875"/>
    <cellStyle name="Note 3 3 5 45 4" xfId="31062"/>
    <cellStyle name="Note 3 3 5 45 5" xfId="35735"/>
    <cellStyle name="Note 3 3 5 45 6" xfId="44727"/>
    <cellStyle name="Note 3 3 5 45 7" xfId="51936"/>
    <cellStyle name="Note 3 3 5 46" xfId="6293"/>
    <cellStyle name="Note 3 3 5 46 2" xfId="14010"/>
    <cellStyle name="Note 3 3 5 46 3" xfId="23003"/>
    <cellStyle name="Note 3 3 5 46 4" xfId="31190"/>
    <cellStyle name="Note 3 3 5 46 5" xfId="34663"/>
    <cellStyle name="Note 3 3 5 46 6" xfId="44855"/>
    <cellStyle name="Note 3 3 5 46 7" xfId="48579"/>
    <cellStyle name="Note 3 3 5 47" xfId="6408"/>
    <cellStyle name="Note 3 3 5 47 2" xfId="14125"/>
    <cellStyle name="Note 3 3 5 47 3" xfId="23118"/>
    <cellStyle name="Note 3 3 5 47 4" xfId="31305"/>
    <cellStyle name="Note 3 3 5 47 5" xfId="35209"/>
    <cellStyle name="Note 3 3 5 47 6" xfId="44970"/>
    <cellStyle name="Note 3 3 5 47 7" xfId="47693"/>
    <cellStyle name="Note 3 3 5 48" xfId="6520"/>
    <cellStyle name="Note 3 3 5 48 2" xfId="14237"/>
    <cellStyle name="Note 3 3 5 48 3" xfId="23230"/>
    <cellStyle name="Note 3 3 5 48 4" xfId="31417"/>
    <cellStyle name="Note 3 3 5 48 5" xfId="35781"/>
    <cellStyle name="Note 3 3 5 48 6" xfId="45082"/>
    <cellStyle name="Note 3 3 5 48 7" xfId="47576"/>
    <cellStyle name="Note 3 3 5 49" xfId="5346"/>
    <cellStyle name="Note 3 3 5 49 2" xfId="13063"/>
    <cellStyle name="Note 3 3 5 49 3" xfId="22056"/>
    <cellStyle name="Note 3 3 5 49 4" xfId="30243"/>
    <cellStyle name="Note 3 3 5 49 5" xfId="33776"/>
    <cellStyle name="Note 3 3 5 49 6" xfId="43908"/>
    <cellStyle name="Note 3 3 5 49 7" xfId="48807"/>
    <cellStyle name="Note 3 3 5 5" xfId="1410"/>
    <cellStyle name="Note 3 3 5 5 2" xfId="9233"/>
    <cellStyle name="Note 3 3 5 5 3" xfId="16661"/>
    <cellStyle name="Note 3 3 5 5 4" xfId="19431"/>
    <cellStyle name="Note 3 3 5 5 5" xfId="27517"/>
    <cellStyle name="Note 3 3 5 5 6" xfId="40382"/>
    <cellStyle name="Note 3 3 5 5 7" xfId="48873"/>
    <cellStyle name="Note 3 3 5 50" xfId="6667"/>
    <cellStyle name="Note 3 3 5 50 2" xfId="14384"/>
    <cellStyle name="Note 3 3 5 50 3" xfId="23377"/>
    <cellStyle name="Note 3 3 5 50 4" xfId="31564"/>
    <cellStyle name="Note 3 3 5 50 5" xfId="35614"/>
    <cellStyle name="Note 3 3 5 50 6" xfId="45229"/>
    <cellStyle name="Note 3 3 5 50 7" xfId="51249"/>
    <cellStyle name="Note 3 3 5 51" xfId="6778"/>
    <cellStyle name="Note 3 3 5 51 2" xfId="14495"/>
    <cellStyle name="Note 3 3 5 51 3" xfId="23488"/>
    <cellStyle name="Note 3 3 5 51 4" xfId="31675"/>
    <cellStyle name="Note 3 3 5 51 5" xfId="35033"/>
    <cellStyle name="Note 3 3 5 51 6" xfId="45340"/>
    <cellStyle name="Note 3 3 5 51 7" xfId="48177"/>
    <cellStyle name="Note 3 3 5 52" xfId="6893"/>
    <cellStyle name="Note 3 3 5 52 2" xfId="14610"/>
    <cellStyle name="Note 3 3 5 52 3" xfId="23603"/>
    <cellStyle name="Note 3 3 5 52 4" xfId="31790"/>
    <cellStyle name="Note 3 3 5 52 5" xfId="33185"/>
    <cellStyle name="Note 3 3 5 52 6" xfId="45455"/>
    <cellStyle name="Note 3 3 5 52 7" xfId="47057"/>
    <cellStyle name="Note 3 3 5 53" xfId="7006"/>
    <cellStyle name="Note 3 3 5 53 2" xfId="14723"/>
    <cellStyle name="Note 3 3 5 53 3" xfId="23716"/>
    <cellStyle name="Note 3 3 5 53 4" xfId="31903"/>
    <cellStyle name="Note 3 3 5 53 5" xfId="26952"/>
    <cellStyle name="Note 3 3 5 53 6" xfId="45568"/>
    <cellStyle name="Note 3 3 5 53 7" xfId="47203"/>
    <cellStyle name="Note 3 3 5 54" xfId="7116"/>
    <cellStyle name="Note 3 3 5 54 2" xfId="14833"/>
    <cellStyle name="Note 3 3 5 54 3" xfId="23826"/>
    <cellStyle name="Note 3 3 5 54 4" xfId="32013"/>
    <cellStyle name="Note 3 3 5 54 5" xfId="36129"/>
    <cellStyle name="Note 3 3 5 54 6" xfId="45678"/>
    <cellStyle name="Note 3 3 5 54 7" xfId="53552"/>
    <cellStyle name="Note 3 3 5 55" xfId="7162"/>
    <cellStyle name="Note 3 3 5 55 2" xfId="14879"/>
    <cellStyle name="Note 3 3 5 55 3" xfId="23872"/>
    <cellStyle name="Note 3 3 5 55 4" xfId="32059"/>
    <cellStyle name="Note 3 3 5 55 5" xfId="28720"/>
    <cellStyle name="Note 3 3 5 55 6" xfId="45724"/>
    <cellStyle name="Note 3 3 5 55 7" xfId="48897"/>
    <cellStyle name="Note 3 3 5 56" xfId="7152"/>
    <cellStyle name="Note 3 3 5 56 2" xfId="14869"/>
    <cellStyle name="Note 3 3 5 56 3" xfId="23862"/>
    <cellStyle name="Note 3 3 5 56 4" xfId="32049"/>
    <cellStyle name="Note 3 3 5 56 5" xfId="34248"/>
    <cellStyle name="Note 3 3 5 56 6" xfId="45714"/>
    <cellStyle name="Note 3 3 5 56 7" xfId="49935"/>
    <cellStyle name="Note 3 3 5 57" xfId="7513"/>
    <cellStyle name="Note 3 3 5 57 2" xfId="15230"/>
    <cellStyle name="Note 3 3 5 57 3" xfId="24223"/>
    <cellStyle name="Note 3 3 5 57 4" xfId="32410"/>
    <cellStyle name="Note 3 3 5 57 5" xfId="33269"/>
    <cellStyle name="Note 3 3 5 57 6" xfId="46075"/>
    <cellStyle name="Note 3 3 5 57 7" xfId="48886"/>
    <cellStyle name="Note 3 3 5 58" xfId="7634"/>
    <cellStyle name="Note 3 3 5 58 2" xfId="15351"/>
    <cellStyle name="Note 3 3 5 58 3" xfId="24344"/>
    <cellStyle name="Note 3 3 5 58 4" xfId="32531"/>
    <cellStyle name="Note 3 3 5 58 5" xfId="35940"/>
    <cellStyle name="Note 3 3 5 58 6" xfId="46196"/>
    <cellStyle name="Note 3 3 5 58 7" xfId="52679"/>
    <cellStyle name="Note 3 3 5 59" xfId="7911"/>
    <cellStyle name="Note 3 3 5 59 2" xfId="15628"/>
    <cellStyle name="Note 3 3 5 59 3" xfId="24615"/>
    <cellStyle name="Note 3 3 5 59 4" xfId="32808"/>
    <cellStyle name="Note 3 3 5 59 5" xfId="35836"/>
    <cellStyle name="Note 3 3 5 59 6" xfId="46473"/>
    <cellStyle name="Note 3 3 5 59 7" xfId="52119"/>
    <cellStyle name="Note 3 3 5 6" xfId="1533"/>
    <cellStyle name="Note 3 3 5 6 2" xfId="9356"/>
    <cellStyle name="Note 3 3 5 6 3" xfId="16784"/>
    <cellStyle name="Note 3 3 5 6 4" xfId="19406"/>
    <cellStyle name="Note 3 3 5 6 5" xfId="26992"/>
    <cellStyle name="Note 3 3 5 6 6" xfId="38055"/>
    <cellStyle name="Note 3 3 5 6 7" xfId="48841"/>
    <cellStyle name="Note 3 3 5 60" xfId="7788"/>
    <cellStyle name="Note 3 3 5 60 2" xfId="15505"/>
    <cellStyle name="Note 3 3 5 60 3" xfId="24494"/>
    <cellStyle name="Note 3 3 5 60 4" xfId="32685"/>
    <cellStyle name="Note 3 3 5 60 5" xfId="28123"/>
    <cellStyle name="Note 3 3 5 60 6" xfId="46350"/>
    <cellStyle name="Note 3 3 5 60 7" xfId="49112"/>
    <cellStyle name="Note 3 3 5 61" xfId="8039"/>
    <cellStyle name="Note 3 3 5 61 2" xfId="15756"/>
    <cellStyle name="Note 3 3 5 61 3" xfId="24741"/>
    <cellStyle name="Note 3 3 5 61 4" xfId="32936"/>
    <cellStyle name="Note 3 3 5 61 5" xfId="36057"/>
    <cellStyle name="Note 3 3 5 61 6" xfId="46601"/>
    <cellStyle name="Note 3 3 5 61 7" xfId="48016"/>
    <cellStyle name="Note 3 3 5 62" xfId="7712"/>
    <cellStyle name="Note 3 3 5 62 2" xfId="15429"/>
    <cellStyle name="Note 3 3 5 62 3" xfId="24420"/>
    <cellStyle name="Note 3 3 5 62 4" xfId="32609"/>
    <cellStyle name="Note 3 3 5 62 5" xfId="33936"/>
    <cellStyle name="Note 3 3 5 62 6" xfId="46274"/>
    <cellStyle name="Note 3 3 5 62 7" xfId="50722"/>
    <cellStyle name="Note 3 3 5 63" xfId="8186"/>
    <cellStyle name="Note 3 3 5 63 2" xfId="15903"/>
    <cellStyle name="Note 3 3 5 63 3" xfId="33083"/>
    <cellStyle name="Note 3 3 5 63 4" xfId="27260"/>
    <cellStyle name="Note 3 3 5 63 5" xfId="46748"/>
    <cellStyle name="Note 3 3 5 63 6" xfId="46868"/>
    <cellStyle name="Note 3 3 5 64" xfId="25296"/>
    <cellStyle name="Note 3 3 5 65" xfId="33710"/>
    <cellStyle name="Note 3 3 5 66" xfId="36271"/>
    <cellStyle name="Note 3 3 5 67" xfId="51418"/>
    <cellStyle name="Note 3 3 5 7" xfId="1097"/>
    <cellStyle name="Note 3 3 5 7 2" xfId="8921"/>
    <cellStyle name="Note 3 3 5 7 3" xfId="16349"/>
    <cellStyle name="Note 3 3 5 7 4" xfId="24989"/>
    <cellStyle name="Note 3 3 5 7 5" xfId="33335"/>
    <cellStyle name="Note 3 3 5 7 6" xfId="37221"/>
    <cellStyle name="Note 3 3 5 7 7" xfId="50769"/>
    <cellStyle name="Note 3 3 5 8" xfId="1771"/>
    <cellStyle name="Note 3 3 5 8 2" xfId="9594"/>
    <cellStyle name="Note 3 3 5 8 3" xfId="17022"/>
    <cellStyle name="Note 3 3 5 8 4" xfId="26537"/>
    <cellStyle name="Note 3 3 5 8 5" xfId="35337"/>
    <cellStyle name="Note 3 3 5 8 6" xfId="37611"/>
    <cellStyle name="Note 3 3 5 8 7" xfId="54144"/>
    <cellStyle name="Note 3 3 5 9" xfId="1904"/>
    <cellStyle name="Note 3 3 5 9 2" xfId="9727"/>
    <cellStyle name="Note 3 3 5 9 3" xfId="17155"/>
    <cellStyle name="Note 3 3 5 9 4" xfId="19369"/>
    <cellStyle name="Note 3 3 5 9 5" xfId="27505"/>
    <cellStyle name="Note 3 3 5 9 6" xfId="36670"/>
    <cellStyle name="Note 3 3 5 9 7" xfId="47683"/>
    <cellStyle name="Note 3 3 50" xfId="5192"/>
    <cellStyle name="Note 3 3 50 2" xfId="12909"/>
    <cellStyle name="Note 3 3 50 3" xfId="21902"/>
    <cellStyle name="Note 3 3 50 4" xfId="30089"/>
    <cellStyle name="Note 3 3 50 5" xfId="27070"/>
    <cellStyle name="Note 3 3 50 6" xfId="43754"/>
    <cellStyle name="Note 3 3 50 7" xfId="50231"/>
    <cellStyle name="Note 3 3 51" xfId="5919"/>
    <cellStyle name="Note 3 3 51 2" xfId="13636"/>
    <cellStyle name="Note 3 3 51 3" xfId="22629"/>
    <cellStyle name="Note 3 3 51 4" xfId="30816"/>
    <cellStyle name="Note 3 3 51 5" xfId="35559"/>
    <cellStyle name="Note 3 3 51 6" xfId="44481"/>
    <cellStyle name="Note 3 3 51 7" xfId="46976"/>
    <cellStyle name="Note 3 3 52" xfId="6176"/>
    <cellStyle name="Note 3 3 52 2" xfId="13893"/>
    <cellStyle name="Note 3 3 52 3" xfId="22886"/>
    <cellStyle name="Note 3 3 52 4" xfId="31073"/>
    <cellStyle name="Note 3 3 52 5" xfId="33976"/>
    <cellStyle name="Note 3 3 52 6" xfId="44738"/>
    <cellStyle name="Note 3 3 52 7" xfId="50637"/>
    <cellStyle name="Note 3 3 53" xfId="5354"/>
    <cellStyle name="Note 3 3 53 2" xfId="13071"/>
    <cellStyle name="Note 3 3 53 3" xfId="22064"/>
    <cellStyle name="Note 3 3 53 4" xfId="30251"/>
    <cellStyle name="Note 3 3 53 5" xfId="33293"/>
    <cellStyle name="Note 3 3 53 6" xfId="43916"/>
    <cellStyle name="Note 3 3 53 7" xfId="48600"/>
    <cellStyle name="Note 3 3 54" xfId="6068"/>
    <cellStyle name="Note 3 3 54 2" xfId="13785"/>
    <cellStyle name="Note 3 3 54 3" xfId="22778"/>
    <cellStyle name="Note 3 3 54 4" xfId="30965"/>
    <cellStyle name="Note 3 3 54 5" xfId="27312"/>
    <cellStyle name="Note 3 3 54 6" xfId="44630"/>
    <cellStyle name="Note 3 3 54 7" xfId="48414"/>
    <cellStyle name="Note 3 3 55" xfId="5248"/>
    <cellStyle name="Note 3 3 55 2" xfId="12965"/>
    <cellStyle name="Note 3 3 55 3" xfId="21958"/>
    <cellStyle name="Note 3 3 55 4" xfId="30145"/>
    <cellStyle name="Note 3 3 55 5" xfId="35720"/>
    <cellStyle name="Note 3 3 55 6" xfId="43810"/>
    <cellStyle name="Note 3 3 55 7" xfId="52057"/>
    <cellStyle name="Note 3 3 56" xfId="6572"/>
    <cellStyle name="Note 3 3 56 2" xfId="14289"/>
    <cellStyle name="Note 3 3 56 3" xfId="23282"/>
    <cellStyle name="Note 3 3 56 4" xfId="31469"/>
    <cellStyle name="Note 3 3 56 5" xfId="36130"/>
    <cellStyle name="Note 3 3 56 6" xfId="45134"/>
    <cellStyle name="Note 3 3 56 7" xfId="53956"/>
    <cellStyle name="Note 3 3 57" xfId="6563"/>
    <cellStyle name="Note 3 3 57 2" xfId="14280"/>
    <cellStyle name="Note 3 3 57 3" xfId="23273"/>
    <cellStyle name="Note 3 3 57 4" xfId="31460"/>
    <cellStyle name="Note 3 3 57 5" xfId="35673"/>
    <cellStyle name="Note 3 3 57 6" xfId="45125"/>
    <cellStyle name="Note 3 3 57 7" xfId="52377"/>
    <cellStyle name="Note 3 3 58" xfId="5303"/>
    <cellStyle name="Note 3 3 58 2" xfId="13020"/>
    <cellStyle name="Note 3 3 58 3" xfId="22013"/>
    <cellStyle name="Note 3 3 58 4" xfId="30200"/>
    <cellStyle name="Note 3 3 58 5" xfId="36076"/>
    <cellStyle name="Note 3 3 58 6" xfId="43865"/>
    <cellStyle name="Note 3 3 58 7" xfId="53785"/>
    <cellStyle name="Note 3 3 59" xfId="6785"/>
    <cellStyle name="Note 3 3 59 2" xfId="14502"/>
    <cellStyle name="Note 3 3 59 3" xfId="23495"/>
    <cellStyle name="Note 3 3 59 4" xfId="31682"/>
    <cellStyle name="Note 3 3 59 5" xfId="36109"/>
    <cellStyle name="Note 3 3 59 6" xfId="45347"/>
    <cellStyle name="Note 3 3 59 7" xfId="53707"/>
    <cellStyle name="Note 3 3 6" xfId="497"/>
    <cellStyle name="Note 3 3 6 10" xfId="1944"/>
    <cellStyle name="Note 3 3 6 10 2" xfId="9767"/>
    <cellStyle name="Note 3 3 6 10 3" xfId="17195"/>
    <cellStyle name="Note 3 3 6 10 4" xfId="25753"/>
    <cellStyle name="Note 3 3 6 10 5" xfId="34304"/>
    <cellStyle name="Note 3 3 6 10 6" xfId="40988"/>
    <cellStyle name="Note 3 3 6 10 7" xfId="52433"/>
    <cellStyle name="Note 3 3 6 11" xfId="2062"/>
    <cellStyle name="Note 3 3 6 11 2" xfId="9885"/>
    <cellStyle name="Note 3 3 6 11 3" xfId="17313"/>
    <cellStyle name="Note 3 3 6 11 4" xfId="25871"/>
    <cellStyle name="Note 3 3 6 11 5" xfId="34460"/>
    <cellStyle name="Note 3 3 6 11 6" xfId="37184"/>
    <cellStyle name="Note 3 3 6 11 7" xfId="52714"/>
    <cellStyle name="Note 3 3 6 12" xfId="2175"/>
    <cellStyle name="Note 3 3 6 12 2" xfId="9998"/>
    <cellStyle name="Note 3 3 6 12 3" xfId="17426"/>
    <cellStyle name="Note 3 3 6 12 4" xfId="19271"/>
    <cellStyle name="Note 3 3 6 12 5" xfId="28248"/>
    <cellStyle name="Note 3 3 6 12 6" xfId="39940"/>
    <cellStyle name="Note 3 3 6 12 7" xfId="47334"/>
    <cellStyle name="Note 3 3 6 13" xfId="1791"/>
    <cellStyle name="Note 3 3 6 13 2" xfId="9614"/>
    <cellStyle name="Note 3 3 6 13 3" xfId="17042"/>
    <cellStyle name="Note 3 3 6 13 4" xfId="25639"/>
    <cellStyle name="Note 3 3 6 13 5" xfId="34158"/>
    <cellStyle name="Note 3 3 6 13 6" xfId="36858"/>
    <cellStyle name="Note 3 3 6 13 7" xfId="52183"/>
    <cellStyle name="Note 3 3 6 14" xfId="1884"/>
    <cellStyle name="Note 3 3 6 14 2" xfId="9707"/>
    <cellStyle name="Note 3 3 6 14 3" xfId="17135"/>
    <cellStyle name="Note 3 3 6 14 4" xfId="20670"/>
    <cellStyle name="Note 3 3 6 14 5" xfId="27006"/>
    <cellStyle name="Note 3 3 6 14 6" xfId="38697"/>
    <cellStyle name="Note 3 3 6 14 7" xfId="47419"/>
    <cellStyle name="Note 3 3 6 15" xfId="2473"/>
    <cellStyle name="Note 3 3 6 15 2" xfId="10296"/>
    <cellStyle name="Note 3 3 6 15 3" xfId="17724"/>
    <cellStyle name="Note 3 3 6 15 4" xfId="26365"/>
    <cellStyle name="Note 3 3 6 15 5" xfId="35100"/>
    <cellStyle name="Note 3 3 6 15 6" xfId="39248"/>
    <cellStyle name="Note 3 3 6 15 7" xfId="53774"/>
    <cellStyle name="Note 3 3 6 16" xfId="2586"/>
    <cellStyle name="Note 3 3 6 16 2" xfId="10409"/>
    <cellStyle name="Note 3 3 6 16 3" xfId="17837"/>
    <cellStyle name="Note 3 3 6 16 4" xfId="25098"/>
    <cellStyle name="Note 3 3 6 16 5" xfId="33462"/>
    <cellStyle name="Note 3 3 6 16 6" xfId="37177"/>
    <cellStyle name="Note 3 3 6 16 7" xfId="51005"/>
    <cellStyle name="Note 3 3 6 17" xfId="2379"/>
    <cellStyle name="Note 3 3 6 17 2" xfId="10202"/>
    <cellStyle name="Note 3 3 6 17 3" xfId="17630"/>
    <cellStyle name="Note 3 3 6 17 4" xfId="20555"/>
    <cellStyle name="Note 3 3 6 17 5" xfId="28736"/>
    <cellStyle name="Note 3 3 6 17 6" xfId="36829"/>
    <cellStyle name="Note 3 3 6 17 7" xfId="48477"/>
    <cellStyle name="Note 3 3 6 18" xfId="2156"/>
    <cellStyle name="Note 3 3 6 18 2" xfId="9979"/>
    <cellStyle name="Note 3 3 6 18 3" xfId="17407"/>
    <cellStyle name="Note 3 3 6 18 4" xfId="19167"/>
    <cellStyle name="Note 3 3 6 18 5" xfId="28475"/>
    <cellStyle name="Note 3 3 6 18 6" xfId="41976"/>
    <cellStyle name="Note 3 3 6 18 7" xfId="49232"/>
    <cellStyle name="Note 3 3 6 19" xfId="2780"/>
    <cellStyle name="Note 3 3 6 19 2" xfId="10603"/>
    <cellStyle name="Note 3 3 6 19 3" xfId="18031"/>
    <cellStyle name="Note 3 3 6 19 4" xfId="26147"/>
    <cellStyle name="Note 3 3 6 19 5" xfId="34813"/>
    <cellStyle name="Note 3 3 6 19 6" xfId="38957"/>
    <cellStyle name="Note 3 3 6 19 7" xfId="53313"/>
    <cellStyle name="Note 3 3 6 2" xfId="648"/>
    <cellStyle name="Note 3 3 6 2 2" xfId="8472"/>
    <cellStyle name="Note 3 3 6 2 3" xfId="8288"/>
    <cellStyle name="Note 3 3 6 2 4" xfId="25420"/>
    <cellStyle name="Note 3 3 6 2 5" xfId="33876"/>
    <cellStyle name="Note 3 3 6 2 6" xfId="37568"/>
    <cellStyle name="Note 3 3 6 2 7" xfId="51690"/>
    <cellStyle name="Note 3 3 6 20" xfId="2887"/>
    <cellStyle name="Note 3 3 6 20 2" xfId="10710"/>
    <cellStyle name="Note 3 3 6 20 3" xfId="18138"/>
    <cellStyle name="Note 3 3 6 20 4" xfId="19853"/>
    <cellStyle name="Note 3 3 6 20 5" xfId="28512"/>
    <cellStyle name="Note 3 3 6 20 6" xfId="36735"/>
    <cellStyle name="Note 3 3 6 20 7" xfId="49981"/>
    <cellStyle name="Note 3 3 6 21" xfId="3263"/>
    <cellStyle name="Note 3 3 6 21 2" xfId="11056"/>
    <cellStyle name="Note 3 3 6 21 3" xfId="18385"/>
    <cellStyle name="Note 3 3 6 21 4" xfId="19471"/>
    <cellStyle name="Note 3 3 6 21 5" xfId="26944"/>
    <cellStyle name="Note 3 3 6 21 6" xfId="39528"/>
    <cellStyle name="Note 3 3 6 21 7" xfId="49093"/>
    <cellStyle name="Note 3 3 6 22" xfId="3383"/>
    <cellStyle name="Note 3 3 6 22 2" xfId="11174"/>
    <cellStyle name="Note 3 3 6 22 3" xfId="18496"/>
    <cellStyle name="Note 3 3 6 22 4" xfId="19427"/>
    <cellStyle name="Note 3 3 6 22 5" xfId="27085"/>
    <cellStyle name="Note 3 3 6 22 6" xfId="38477"/>
    <cellStyle name="Note 3 3 6 22 7" xfId="47590"/>
    <cellStyle name="Note 3 3 6 23" xfId="3517"/>
    <cellStyle name="Note 3 3 6 23 2" xfId="11308"/>
    <cellStyle name="Note 3 3 6 23 3" xfId="18605"/>
    <cellStyle name="Note 3 3 6 23 4" xfId="26042"/>
    <cellStyle name="Note 3 3 6 23 5" xfId="34677"/>
    <cellStyle name="Note 3 3 6 23 6" xfId="41319"/>
    <cellStyle name="Note 3 3 6 23 7" xfId="53079"/>
    <cellStyle name="Note 3 3 6 24" xfId="3543"/>
    <cellStyle name="Note 3 3 6 24 2" xfId="11332"/>
    <cellStyle name="Note 3 3 6 24 3" xfId="18622"/>
    <cellStyle name="Note 3 3 6 24 4" xfId="24893"/>
    <cellStyle name="Note 3 3 6 24 5" xfId="33209"/>
    <cellStyle name="Note 3 3 6 24 6" xfId="38643"/>
    <cellStyle name="Note 3 3 6 24 7" xfId="50546"/>
    <cellStyle name="Note 3 3 6 25" xfId="3653"/>
    <cellStyle name="Note 3 3 6 25 2" xfId="11438"/>
    <cellStyle name="Note 3 3 6 25 3" xfId="18711"/>
    <cellStyle name="Note 3 3 6 25 4" xfId="20371"/>
    <cellStyle name="Note 3 3 6 25 5" xfId="27689"/>
    <cellStyle name="Note 3 3 6 25 6" xfId="40902"/>
    <cellStyle name="Note 3 3 6 25 7" xfId="48178"/>
    <cellStyle name="Note 3 3 6 26" xfId="3784"/>
    <cellStyle name="Note 3 3 6 26 2" xfId="11566"/>
    <cellStyle name="Note 3 3 6 26 3" xfId="18823"/>
    <cellStyle name="Note 3 3 6 26 4" xfId="19609"/>
    <cellStyle name="Note 3 3 6 26 5" xfId="28185"/>
    <cellStyle name="Note 3 3 6 26 6" xfId="36319"/>
    <cellStyle name="Note 3 3 6 26 7" xfId="49492"/>
    <cellStyle name="Note 3 3 6 27" xfId="3901"/>
    <cellStyle name="Note 3 3 6 27 2" xfId="11681"/>
    <cellStyle name="Note 3 3 6 27 3" xfId="18932"/>
    <cellStyle name="Note 3 3 6 27 4" xfId="25193"/>
    <cellStyle name="Note 3 3 6 27 5" xfId="33577"/>
    <cellStyle name="Note 3 3 6 27 6" xfId="39107"/>
    <cellStyle name="Note 3 3 6 27 7" xfId="51197"/>
    <cellStyle name="Note 3 3 6 28" xfId="3199"/>
    <cellStyle name="Note 3 3 6 28 2" xfId="10999"/>
    <cellStyle name="Note 3 3 6 28 3" xfId="20325"/>
    <cellStyle name="Note 3 3 6 28 4" xfId="28417"/>
    <cellStyle name="Note 3 3 6 28 5" xfId="35416"/>
    <cellStyle name="Note 3 3 6 28 6" xfId="42438"/>
    <cellStyle name="Note 3 3 6 28 7" xfId="49356"/>
    <cellStyle name="Note 3 3 6 29" xfId="4098"/>
    <cellStyle name="Note 3 3 6 29 2" xfId="11858"/>
    <cellStyle name="Note 3 3 6 29 3" xfId="20808"/>
    <cellStyle name="Note 3 3 6 29 4" xfId="28995"/>
    <cellStyle name="Note 3 3 6 29 5" xfId="33887"/>
    <cellStyle name="Note 3 3 6 29 6" xfId="42660"/>
    <cellStyle name="Note 3 3 6 29 7" xfId="48359"/>
    <cellStyle name="Note 3 3 6 3" xfId="755"/>
    <cellStyle name="Note 3 3 6 3 2" xfId="8579"/>
    <cellStyle name="Note 3 3 6 3 3" xfId="16007"/>
    <cellStyle name="Note 3 3 6 3 4" xfId="26477"/>
    <cellStyle name="Note 3 3 6 3 5" xfId="35261"/>
    <cellStyle name="Note 3 3 6 3 6" xfId="37561"/>
    <cellStyle name="Note 3 3 6 3 7" xfId="54028"/>
    <cellStyle name="Note 3 3 6 30" xfId="4016"/>
    <cellStyle name="Note 3 3 6 30 2" xfId="20726"/>
    <cellStyle name="Note 3 3 6 30 3" xfId="28913"/>
    <cellStyle name="Note 3 3 6 30 4" xfId="35693"/>
    <cellStyle name="Note 3 3 6 30 5" xfId="42578"/>
    <cellStyle name="Note 3 3 6 30 6" xfId="51933"/>
    <cellStyle name="Note 3 3 6 31" xfId="4295"/>
    <cellStyle name="Note 3 3 6 31 2" xfId="12012"/>
    <cellStyle name="Note 3 3 6 31 3" xfId="21005"/>
    <cellStyle name="Note 3 3 6 31 4" xfId="29192"/>
    <cellStyle name="Note 3 3 6 31 5" xfId="28164"/>
    <cellStyle name="Note 3 3 6 31 6" xfId="42857"/>
    <cellStyle name="Note 3 3 6 31 7" xfId="49445"/>
    <cellStyle name="Note 3 3 6 32" xfId="4418"/>
    <cellStyle name="Note 3 3 6 32 2" xfId="12135"/>
    <cellStyle name="Note 3 3 6 32 3" xfId="21128"/>
    <cellStyle name="Note 3 3 6 32 4" xfId="29315"/>
    <cellStyle name="Note 3 3 6 32 5" xfId="36014"/>
    <cellStyle name="Note 3 3 6 32 6" xfId="42980"/>
    <cellStyle name="Note 3 3 6 32 7" xfId="53485"/>
    <cellStyle name="Note 3 3 6 33" xfId="4532"/>
    <cellStyle name="Note 3 3 6 33 2" xfId="12249"/>
    <cellStyle name="Note 3 3 6 33 3" xfId="21242"/>
    <cellStyle name="Note 3 3 6 33 4" xfId="29429"/>
    <cellStyle name="Note 3 3 6 33 5" xfId="36126"/>
    <cellStyle name="Note 3 3 6 33 6" xfId="43094"/>
    <cellStyle name="Note 3 3 6 33 7" xfId="54006"/>
    <cellStyle name="Note 3 3 6 34" xfId="4645"/>
    <cellStyle name="Note 3 3 6 34 2" xfId="12362"/>
    <cellStyle name="Note 3 3 6 34 3" xfId="21355"/>
    <cellStyle name="Note 3 3 6 34 4" xfId="29542"/>
    <cellStyle name="Note 3 3 6 34 5" xfId="35846"/>
    <cellStyle name="Note 3 3 6 34 6" xfId="43207"/>
    <cellStyle name="Note 3 3 6 34 7" xfId="52645"/>
    <cellStyle name="Note 3 3 6 35" xfId="4757"/>
    <cellStyle name="Note 3 3 6 35 2" xfId="12474"/>
    <cellStyle name="Note 3 3 6 35 3" xfId="21467"/>
    <cellStyle name="Note 3 3 6 35 4" xfId="29654"/>
    <cellStyle name="Note 3 3 6 35 5" xfId="34941"/>
    <cellStyle name="Note 3 3 6 35 6" xfId="43319"/>
    <cellStyle name="Note 3 3 6 35 7" xfId="48662"/>
    <cellStyle name="Note 3 3 6 36" xfId="4865"/>
    <cellStyle name="Note 3 3 6 36 2" xfId="12582"/>
    <cellStyle name="Note 3 3 6 36 3" xfId="21575"/>
    <cellStyle name="Note 3 3 6 36 4" xfId="29762"/>
    <cellStyle name="Note 3 3 6 36 5" xfId="35678"/>
    <cellStyle name="Note 3 3 6 36 6" xfId="43427"/>
    <cellStyle name="Note 3 3 6 36 7" xfId="51813"/>
    <cellStyle name="Note 3 3 6 37" xfId="4977"/>
    <cellStyle name="Note 3 3 6 37 2" xfId="12694"/>
    <cellStyle name="Note 3 3 6 37 3" xfId="21687"/>
    <cellStyle name="Note 3 3 6 37 4" xfId="29874"/>
    <cellStyle name="Note 3 3 6 37 5" xfId="35002"/>
    <cellStyle name="Note 3 3 6 37 6" xfId="43539"/>
    <cellStyle name="Note 3 3 6 37 7" xfId="50166"/>
    <cellStyle name="Note 3 3 6 38" xfId="5134"/>
    <cellStyle name="Note 3 3 6 38 2" xfId="12851"/>
    <cellStyle name="Note 3 3 6 38 3" xfId="21844"/>
    <cellStyle name="Note 3 3 6 38 4" xfId="30031"/>
    <cellStyle name="Note 3 3 6 38 5" xfId="33917"/>
    <cellStyle name="Note 3 3 6 38 6" xfId="43696"/>
    <cellStyle name="Note 3 3 6 38 7" xfId="50779"/>
    <cellStyle name="Note 3 3 6 39" xfId="5475"/>
    <cellStyle name="Note 3 3 6 39 2" xfId="13192"/>
    <cellStyle name="Note 3 3 6 39 3" xfId="22185"/>
    <cellStyle name="Note 3 3 6 39 4" xfId="30372"/>
    <cellStyle name="Note 3 3 6 39 5" xfId="33678"/>
    <cellStyle name="Note 3 3 6 39 6" xfId="44037"/>
    <cellStyle name="Note 3 3 6 39 7" xfId="51102"/>
    <cellStyle name="Note 3 3 6 4" xfId="867"/>
    <cellStyle name="Note 3 3 6 4 2" xfId="8691"/>
    <cellStyle name="Note 3 3 6 4 3" xfId="16119"/>
    <cellStyle name="Note 3 3 6 4 4" xfId="19748"/>
    <cellStyle name="Note 3 3 6 4 5" xfId="28148"/>
    <cellStyle name="Note 3 3 6 4 6" xfId="37545"/>
    <cellStyle name="Note 3 3 6 4 7" xfId="48966"/>
    <cellStyle name="Note 3 3 6 40" xfId="5600"/>
    <cellStyle name="Note 3 3 6 40 2" xfId="13317"/>
    <cellStyle name="Note 3 3 6 40 3" xfId="22310"/>
    <cellStyle name="Note 3 3 6 40 4" xfId="30497"/>
    <cellStyle name="Note 3 3 6 40 5" xfId="34103"/>
    <cellStyle name="Note 3 3 6 40 6" xfId="44162"/>
    <cellStyle name="Note 3 3 6 40 7" xfId="47141"/>
    <cellStyle name="Note 3 3 6 41" xfId="5715"/>
    <cellStyle name="Note 3 3 6 41 2" xfId="13432"/>
    <cellStyle name="Note 3 3 6 41 3" xfId="22425"/>
    <cellStyle name="Note 3 3 6 41 4" xfId="30612"/>
    <cellStyle name="Note 3 3 6 41 5" xfId="33998"/>
    <cellStyle name="Note 3 3 6 41 6" xfId="44277"/>
    <cellStyle name="Note 3 3 6 41 7" xfId="47074"/>
    <cellStyle name="Note 3 3 6 42" xfId="5832"/>
    <cellStyle name="Note 3 3 6 42 2" xfId="13549"/>
    <cellStyle name="Note 3 3 6 42 3" xfId="22542"/>
    <cellStyle name="Note 3 3 6 42 4" xfId="30729"/>
    <cellStyle name="Note 3 3 6 42 5" xfId="28198"/>
    <cellStyle name="Note 3 3 6 42 6" xfId="44394"/>
    <cellStyle name="Note 3 3 6 42 7" xfId="49933"/>
    <cellStyle name="Note 3 3 6 43" xfId="5960"/>
    <cellStyle name="Note 3 3 6 43 2" xfId="13677"/>
    <cellStyle name="Note 3 3 6 43 3" xfId="22670"/>
    <cellStyle name="Note 3 3 6 43 4" xfId="30857"/>
    <cellStyle name="Note 3 3 6 43 5" xfId="35612"/>
    <cellStyle name="Note 3 3 6 43 6" xfId="44522"/>
    <cellStyle name="Note 3 3 6 43 7" xfId="51246"/>
    <cellStyle name="Note 3 3 6 44" xfId="6073"/>
    <cellStyle name="Note 3 3 6 44 2" xfId="13790"/>
    <cellStyle name="Note 3 3 6 44 3" xfId="22783"/>
    <cellStyle name="Note 3 3 6 44 4" xfId="30970"/>
    <cellStyle name="Note 3 3 6 44 5" xfId="36217"/>
    <cellStyle name="Note 3 3 6 44 6" xfId="44635"/>
    <cellStyle name="Note 3 3 6 44 7" xfId="54275"/>
    <cellStyle name="Note 3 3 6 45" xfId="5178"/>
    <cellStyle name="Note 3 3 6 45 2" xfId="12895"/>
    <cellStyle name="Note 3 3 6 45 3" xfId="21888"/>
    <cellStyle name="Note 3 3 6 45 4" xfId="30075"/>
    <cellStyle name="Note 3 3 6 45 5" xfId="35633"/>
    <cellStyle name="Note 3 3 6 45 6" xfId="43740"/>
    <cellStyle name="Note 3 3 6 45 7" xfId="51636"/>
    <cellStyle name="Note 3 3 6 46" xfId="6216"/>
    <cellStyle name="Note 3 3 6 46 2" xfId="13933"/>
    <cellStyle name="Note 3 3 6 46 3" xfId="22926"/>
    <cellStyle name="Note 3 3 6 46 4" xfId="31113"/>
    <cellStyle name="Note 3 3 6 46 5" xfId="36179"/>
    <cellStyle name="Note 3 3 6 46 6" xfId="44778"/>
    <cellStyle name="Note 3 3 6 46 7" xfId="53823"/>
    <cellStyle name="Note 3 3 6 47" xfId="6333"/>
    <cellStyle name="Note 3 3 6 47 2" xfId="14050"/>
    <cellStyle name="Note 3 3 6 47 3" xfId="23043"/>
    <cellStyle name="Note 3 3 6 47 4" xfId="31230"/>
    <cellStyle name="Note 3 3 6 47 5" xfId="27165"/>
    <cellStyle name="Note 3 3 6 47 6" xfId="44895"/>
    <cellStyle name="Note 3 3 6 47 7" xfId="49662"/>
    <cellStyle name="Note 3 3 6 48" xfId="6443"/>
    <cellStyle name="Note 3 3 6 48 2" xfId="14160"/>
    <cellStyle name="Note 3 3 6 48 3" xfId="23153"/>
    <cellStyle name="Note 3 3 6 48 4" xfId="31340"/>
    <cellStyle name="Note 3 3 6 48 5" xfId="35741"/>
    <cellStyle name="Note 3 3 6 48 6" xfId="45005"/>
    <cellStyle name="Note 3 3 6 48 7" xfId="51962"/>
    <cellStyle name="Note 3 3 6 49" xfId="6113"/>
    <cellStyle name="Note 3 3 6 49 2" xfId="13830"/>
    <cellStyle name="Note 3 3 6 49 3" xfId="22823"/>
    <cellStyle name="Note 3 3 6 49 4" xfId="31010"/>
    <cellStyle name="Note 3 3 6 49 5" xfId="35287"/>
    <cellStyle name="Note 3 3 6 49 6" xfId="44675"/>
    <cellStyle name="Note 3 3 6 49 7" xfId="49907"/>
    <cellStyle name="Note 3 3 6 5" xfId="1332"/>
    <cellStyle name="Note 3 3 6 5 2" xfId="9155"/>
    <cellStyle name="Note 3 3 6 5 3" xfId="16583"/>
    <cellStyle name="Note 3 3 6 5 4" xfId="25009"/>
    <cellStyle name="Note 3 3 6 5 5" xfId="33361"/>
    <cellStyle name="Note 3 3 6 5 6" xfId="41927"/>
    <cellStyle name="Note 3 3 6 5 7" xfId="50814"/>
    <cellStyle name="Note 3 3 6 50" xfId="6590"/>
    <cellStyle name="Note 3 3 6 50 2" xfId="14307"/>
    <cellStyle name="Note 3 3 6 50 3" xfId="23300"/>
    <cellStyle name="Note 3 3 6 50 4" xfId="31487"/>
    <cellStyle name="Note 3 3 6 50 5" xfId="35801"/>
    <cellStyle name="Note 3 3 6 50 6" xfId="45152"/>
    <cellStyle name="Note 3 3 6 50 7" xfId="47642"/>
    <cellStyle name="Note 3 3 6 51" xfId="6701"/>
    <cellStyle name="Note 3 3 6 51 2" xfId="14418"/>
    <cellStyle name="Note 3 3 6 51 3" xfId="23411"/>
    <cellStyle name="Note 3 3 6 51 4" xfId="31598"/>
    <cellStyle name="Note 3 3 6 51 5" xfId="34529"/>
    <cellStyle name="Note 3 3 6 51 6" xfId="45263"/>
    <cellStyle name="Note 3 3 6 51 7" xfId="50072"/>
    <cellStyle name="Note 3 3 6 52" xfId="6816"/>
    <cellStyle name="Note 3 3 6 52 2" xfId="14533"/>
    <cellStyle name="Note 3 3 6 52 3" xfId="23526"/>
    <cellStyle name="Note 3 3 6 52 4" xfId="31713"/>
    <cellStyle name="Note 3 3 6 52 5" xfId="34151"/>
    <cellStyle name="Note 3 3 6 52 6" xfId="45378"/>
    <cellStyle name="Note 3 3 6 52 7" xfId="50389"/>
    <cellStyle name="Note 3 3 6 53" xfId="6929"/>
    <cellStyle name="Note 3 3 6 53 2" xfId="14646"/>
    <cellStyle name="Note 3 3 6 53 3" xfId="23639"/>
    <cellStyle name="Note 3 3 6 53 4" xfId="31826"/>
    <cellStyle name="Note 3 3 6 53 5" xfId="36233"/>
    <cellStyle name="Note 3 3 6 53 6" xfId="45491"/>
    <cellStyle name="Note 3 3 6 53 7" xfId="46985"/>
    <cellStyle name="Note 3 3 6 54" xfId="7041"/>
    <cellStyle name="Note 3 3 6 54 2" xfId="14758"/>
    <cellStyle name="Note 3 3 6 54 3" xfId="23751"/>
    <cellStyle name="Note 3 3 6 54 4" xfId="31938"/>
    <cellStyle name="Note 3 3 6 54 5" xfId="28555"/>
    <cellStyle name="Note 3 3 6 54 6" xfId="45603"/>
    <cellStyle name="Note 3 3 6 54 7" xfId="46883"/>
    <cellStyle name="Note 3 3 6 55" xfId="7203"/>
    <cellStyle name="Note 3 3 6 55 2" xfId="14920"/>
    <cellStyle name="Note 3 3 6 55 3" xfId="23913"/>
    <cellStyle name="Note 3 3 6 55 4" xfId="32100"/>
    <cellStyle name="Note 3 3 6 55 5" xfId="35597"/>
    <cellStyle name="Note 3 3 6 55 6" xfId="45765"/>
    <cellStyle name="Note 3 3 6 55 7" xfId="50955"/>
    <cellStyle name="Note 3 3 6 56" xfId="7342"/>
    <cellStyle name="Note 3 3 6 56 2" xfId="15059"/>
    <cellStyle name="Note 3 3 6 56 3" xfId="24052"/>
    <cellStyle name="Note 3 3 6 56 4" xfId="32239"/>
    <cellStyle name="Note 3 3 6 56 5" xfId="35879"/>
    <cellStyle name="Note 3 3 6 56 6" xfId="45904"/>
    <cellStyle name="Note 3 3 6 56 7" xfId="52261"/>
    <cellStyle name="Note 3 3 6 57" xfId="7438"/>
    <cellStyle name="Note 3 3 6 57 2" xfId="15155"/>
    <cellStyle name="Note 3 3 6 57 3" xfId="24148"/>
    <cellStyle name="Note 3 3 6 57 4" xfId="32335"/>
    <cellStyle name="Note 3 3 6 57 5" xfId="34397"/>
    <cellStyle name="Note 3 3 6 57 6" xfId="46000"/>
    <cellStyle name="Note 3 3 6 57 7" xfId="49314"/>
    <cellStyle name="Note 3 3 6 58" xfId="7559"/>
    <cellStyle name="Note 3 3 6 58 2" xfId="15276"/>
    <cellStyle name="Note 3 3 6 58 3" xfId="24269"/>
    <cellStyle name="Note 3 3 6 58 4" xfId="32456"/>
    <cellStyle name="Note 3 3 6 58 5" xfId="35723"/>
    <cellStyle name="Note 3 3 6 58 6" xfId="46121"/>
    <cellStyle name="Note 3 3 6 58 7" xfId="51306"/>
    <cellStyle name="Note 3 3 6 59" xfId="7835"/>
    <cellStyle name="Note 3 3 6 59 2" xfId="15552"/>
    <cellStyle name="Note 3 3 6 59 3" xfId="24539"/>
    <cellStyle name="Note 3 3 6 59 4" xfId="32732"/>
    <cellStyle name="Note 3 3 6 59 5" xfId="35952"/>
    <cellStyle name="Note 3 3 6 59 6" xfId="46397"/>
    <cellStyle name="Note 3 3 6 59 7" xfId="52728"/>
    <cellStyle name="Note 3 3 6 6" xfId="1455"/>
    <cellStyle name="Note 3 3 6 6 2" xfId="9278"/>
    <cellStyle name="Note 3 3 6 6 3" xfId="16706"/>
    <cellStyle name="Note 3 3 6 6 4" xfId="24888"/>
    <cellStyle name="Note 3 3 6 6 5" xfId="33202"/>
    <cellStyle name="Note 3 3 6 6 6" xfId="38377"/>
    <cellStyle name="Note 3 3 6 6 7" xfId="50534"/>
    <cellStyle name="Note 3 3 6 60" xfId="7818"/>
    <cellStyle name="Note 3 3 6 60 2" xfId="15535"/>
    <cellStyle name="Note 3 3 6 60 3" xfId="24522"/>
    <cellStyle name="Note 3 3 6 60 4" xfId="32715"/>
    <cellStyle name="Note 3 3 6 60 5" xfId="36021"/>
    <cellStyle name="Note 3 3 6 60 6" xfId="46380"/>
    <cellStyle name="Note 3 3 6 60 7" xfId="48223"/>
    <cellStyle name="Note 3 3 6 61" xfId="7972"/>
    <cellStyle name="Note 3 3 6 61 2" xfId="15689"/>
    <cellStyle name="Note 3 3 6 61 3" xfId="24674"/>
    <cellStyle name="Note 3 3 6 61 4" xfId="32869"/>
    <cellStyle name="Note 3 3 6 61 5" xfId="35981"/>
    <cellStyle name="Note 3 3 6 61 6" xfId="46534"/>
    <cellStyle name="Note 3 3 6 61 7" xfId="52734"/>
    <cellStyle name="Note 3 3 6 62" xfId="7963"/>
    <cellStyle name="Note 3 3 6 62 2" xfId="15680"/>
    <cellStyle name="Note 3 3 6 62 3" xfId="24666"/>
    <cellStyle name="Note 3 3 6 62 4" xfId="32860"/>
    <cellStyle name="Note 3 3 6 62 5" xfId="33634"/>
    <cellStyle name="Note 3 3 6 62 6" xfId="46525"/>
    <cellStyle name="Note 3 3 6 62 7" xfId="53816"/>
    <cellStyle name="Note 3 3 6 63" xfId="8111"/>
    <cellStyle name="Note 3 3 6 63 2" xfId="15828"/>
    <cellStyle name="Note 3 3 6 63 3" xfId="33008"/>
    <cellStyle name="Note 3 3 6 63 4" xfId="36007"/>
    <cellStyle name="Note 3 3 6 63 5" xfId="46673"/>
    <cellStyle name="Note 3 3 6 63 6" xfId="53032"/>
    <cellStyle name="Note 3 3 6 64" xfId="25651"/>
    <cellStyle name="Note 3 3 6 65" xfId="34173"/>
    <cellStyle name="Note 3 3 6 66" xfId="36964"/>
    <cellStyle name="Note 3 3 6 67" xfId="52200"/>
    <cellStyle name="Note 3 3 6 7" xfId="1191"/>
    <cellStyle name="Note 3 3 6 7 2" xfId="9014"/>
    <cellStyle name="Note 3 3 6 7 3" xfId="16442"/>
    <cellStyle name="Note 3 3 6 7 4" xfId="25957"/>
    <cellStyle name="Note 3 3 6 7 5" xfId="34564"/>
    <cellStyle name="Note 3 3 6 7 6" xfId="41802"/>
    <cellStyle name="Note 3 3 6 7 7" xfId="52901"/>
    <cellStyle name="Note 3 3 6 8" xfId="1692"/>
    <cellStyle name="Note 3 3 6 8 2" xfId="9515"/>
    <cellStyle name="Note 3 3 6 8 3" xfId="16943"/>
    <cellStyle name="Note 3 3 6 8 4" xfId="25454"/>
    <cellStyle name="Note 3 3 6 8 5" xfId="33916"/>
    <cellStyle name="Note 3 3 6 8 6" xfId="37223"/>
    <cellStyle name="Note 3 3 6 8 7" xfId="51764"/>
    <cellStyle name="Note 3 3 6 9" xfId="1826"/>
    <cellStyle name="Note 3 3 6 9 2" xfId="9649"/>
    <cellStyle name="Note 3 3 6 9 3" xfId="17077"/>
    <cellStyle name="Note 3 3 6 9 4" xfId="19142"/>
    <cellStyle name="Note 3 3 6 9 5" xfId="26870"/>
    <cellStyle name="Note 3 3 6 9 6" xfId="37712"/>
    <cellStyle name="Note 3 3 6 9 7" xfId="49805"/>
    <cellStyle name="Note 3 3 60" xfId="7315"/>
    <cellStyle name="Note 3 3 60 2" xfId="15032"/>
    <cellStyle name="Note 3 3 60 3" xfId="24025"/>
    <cellStyle name="Note 3 3 60 4" xfId="32212"/>
    <cellStyle name="Note 3 3 60 5" xfId="35823"/>
    <cellStyle name="Note 3 3 60 6" xfId="45877"/>
    <cellStyle name="Note 3 3 60 7" xfId="52625"/>
    <cellStyle name="Note 3 3 61" xfId="7335"/>
    <cellStyle name="Note 3 3 61 2" xfId="15052"/>
    <cellStyle name="Note 3 3 61 3" xfId="24045"/>
    <cellStyle name="Note 3 3 61 4" xfId="32232"/>
    <cellStyle name="Note 3 3 61 5" xfId="35998"/>
    <cellStyle name="Note 3 3 61 6" xfId="45897"/>
    <cellStyle name="Note 3 3 61 7" xfId="51692"/>
    <cellStyle name="Note 3 3 62" xfId="7217"/>
    <cellStyle name="Note 3 3 62 2" xfId="14934"/>
    <cellStyle name="Note 3 3 62 3" xfId="23927"/>
    <cellStyle name="Note 3 3 62 4" xfId="32114"/>
    <cellStyle name="Note 3 3 62 5" xfId="33391"/>
    <cellStyle name="Note 3 3 62 6" xfId="45779"/>
    <cellStyle name="Note 3 3 62 7" xfId="49401"/>
    <cellStyle name="Note 3 3 63" xfId="7532"/>
    <cellStyle name="Note 3 3 63 2" xfId="15249"/>
    <cellStyle name="Note 3 3 63 3" xfId="24242"/>
    <cellStyle name="Note 3 3 63 4" xfId="32429"/>
    <cellStyle name="Note 3 3 63 5" xfId="28511"/>
    <cellStyle name="Note 3 3 63 6" xfId="46094"/>
    <cellStyle name="Note 3 3 63 7" xfId="54404"/>
    <cellStyle name="Note 3 3 64" xfId="7733"/>
    <cellStyle name="Note 3 3 64 2" xfId="15450"/>
    <cellStyle name="Note 3 3 64 3" xfId="24441"/>
    <cellStyle name="Note 3 3 64 4" xfId="32630"/>
    <cellStyle name="Note 3 3 64 5" xfId="33474"/>
    <cellStyle name="Note 3 3 64 6" xfId="46295"/>
    <cellStyle name="Note 3 3 64 7" xfId="54010"/>
    <cellStyle name="Note 3 3 65" xfId="7799"/>
    <cellStyle name="Note 3 3 65 2" xfId="15516"/>
    <cellStyle name="Note 3 3 65 3" xfId="24503"/>
    <cellStyle name="Note 3 3 65 4" xfId="32696"/>
    <cellStyle name="Note 3 3 65 5" xfId="35253"/>
    <cellStyle name="Note 3 3 65 6" xfId="46361"/>
    <cellStyle name="Note 3 3 65 7" xfId="52160"/>
    <cellStyle name="Note 3 3 66" xfId="7992"/>
    <cellStyle name="Note 3 3 66 2" xfId="15709"/>
    <cellStyle name="Note 3 3 66 3" xfId="24694"/>
    <cellStyle name="Note 3 3 66 4" xfId="32889"/>
    <cellStyle name="Note 3 3 66 5" xfId="34676"/>
    <cellStyle name="Note 3 3 66 6" xfId="46554"/>
    <cellStyle name="Note 3 3 66 7" xfId="50611"/>
    <cellStyle name="Note 3 3 67" xfId="7649"/>
    <cellStyle name="Note 3 3 67 2" xfId="15366"/>
    <cellStyle name="Note 3 3 67 3" xfId="24359"/>
    <cellStyle name="Note 3 3 67 4" xfId="32546"/>
    <cellStyle name="Note 3 3 67 5" xfId="34736"/>
    <cellStyle name="Note 3 3 67 6" xfId="46211"/>
    <cellStyle name="Note 3 3 67 7" xfId="50868"/>
    <cellStyle name="Note 3 3 68" xfId="8076"/>
    <cellStyle name="Note 3 3 68 2" xfId="15793"/>
    <cellStyle name="Note 3 3 68 3" xfId="32973"/>
    <cellStyle name="Note 3 3 68 4" xfId="35421"/>
    <cellStyle name="Note 3 3 68 5" xfId="46638"/>
    <cellStyle name="Note 3 3 68 6" xfId="49202"/>
    <cellStyle name="Note 3 3 69" xfId="26594"/>
    <cellStyle name="Note 3 3 7" xfId="600"/>
    <cellStyle name="Note 3 3 7 2" xfId="8424"/>
    <cellStyle name="Note 3 3 7 3" xfId="8416"/>
    <cellStyle name="Note 3 3 7 4" xfId="19268"/>
    <cellStyle name="Note 3 3 7 5" xfId="27073"/>
    <cellStyle name="Note 3 3 7 6" xfId="37416"/>
    <cellStyle name="Note 3 3 7 7" xfId="48935"/>
    <cellStyle name="Note 3 3 70" xfId="35418"/>
    <cellStyle name="Note 3 3 71" xfId="36629"/>
    <cellStyle name="Note 3 3 72" xfId="54266"/>
    <cellStyle name="Note 3 3 8" xfId="243"/>
    <cellStyle name="Note 3 3 8 2" xfId="8343"/>
    <cellStyle name="Note 3 3 8 3" xfId="8338"/>
    <cellStyle name="Note 3 3 8 4" xfId="20137"/>
    <cellStyle name="Note 3 3 8 5" xfId="27489"/>
    <cellStyle name="Note 3 3 8 6" xfId="37450"/>
    <cellStyle name="Note 3 3 8 7" xfId="48737"/>
    <cellStyle name="Note 3 3 9" xfId="625"/>
    <cellStyle name="Note 3 3 9 2" xfId="8449"/>
    <cellStyle name="Note 3 3 9 3" xfId="8394"/>
    <cellStyle name="Note 3 3 9 4" xfId="19799"/>
    <cellStyle name="Note 3 3 9 5" xfId="27461"/>
    <cellStyle name="Note 3 3 9 6" xfId="37456"/>
    <cellStyle name="Note 3 3 9 7" xfId="47943"/>
    <cellStyle name="Note 3 30" xfId="5188"/>
    <cellStyle name="Note 3 30 2" xfId="12905"/>
    <cellStyle name="Note 3 30 3" xfId="21898"/>
    <cellStyle name="Note 3 30 4" xfId="30085"/>
    <cellStyle name="Note 3 30 5" xfId="35126"/>
    <cellStyle name="Note 3 30 6" xfId="43750"/>
    <cellStyle name="Note 3 30 7" xfId="50651"/>
    <cellStyle name="Note 3 31" xfId="5229"/>
    <cellStyle name="Note 3 31 2" xfId="12946"/>
    <cellStyle name="Note 3 31 3" xfId="21939"/>
    <cellStyle name="Note 3 31 4" xfId="30126"/>
    <cellStyle name="Note 3 31 5" xfId="36099"/>
    <cellStyle name="Note 3 31 6" xfId="43791"/>
    <cellStyle name="Note 3 31 7" xfId="53896"/>
    <cellStyle name="Note 3 32" xfId="7151"/>
    <cellStyle name="Note 3 32 2" xfId="14868"/>
    <cellStyle name="Note 3 32 3" xfId="23861"/>
    <cellStyle name="Note 3 32 4" xfId="32048"/>
    <cellStyle name="Note 3 32 5" xfId="34274"/>
    <cellStyle name="Note 3 32 6" xfId="45713"/>
    <cellStyle name="Note 3 32 7" xfId="50048"/>
    <cellStyle name="Note 3 33" xfId="7265"/>
    <cellStyle name="Note 3 33 2" xfId="14982"/>
    <cellStyle name="Note 3 33 3" xfId="23975"/>
    <cellStyle name="Note 3 33 4" xfId="32162"/>
    <cellStyle name="Note 3 33 5" xfId="35999"/>
    <cellStyle name="Note 3 33 6" xfId="45827"/>
    <cellStyle name="Note 3 33 7" xfId="51653"/>
    <cellStyle name="Note 3 34" xfId="7689"/>
    <cellStyle name="Note 3 34 2" xfId="15406"/>
    <cellStyle name="Note 3 34 3" xfId="24397"/>
    <cellStyle name="Note 3 34 4" xfId="32586"/>
    <cellStyle name="Note 3 34 5" xfId="36025"/>
    <cellStyle name="Note 3 34 6" xfId="46251"/>
    <cellStyle name="Note 3 34 7" xfId="53176"/>
    <cellStyle name="Note 3 35" xfId="7995"/>
    <cellStyle name="Note 3 35 2" xfId="15712"/>
    <cellStyle name="Note 3 35 3" xfId="24697"/>
    <cellStyle name="Note 3 35 4" xfId="32892"/>
    <cellStyle name="Note 3 35 5" xfId="26958"/>
    <cellStyle name="Note 3 35 6" xfId="46557"/>
    <cellStyle name="Note 3 35 7" xfId="50493"/>
    <cellStyle name="Note 3 36" xfId="7661"/>
    <cellStyle name="Note 3 36 2" xfId="15378"/>
    <cellStyle name="Note 3 36 3" xfId="24370"/>
    <cellStyle name="Note 3 36 4" xfId="32558"/>
    <cellStyle name="Note 3 36 5" xfId="26733"/>
    <cellStyle name="Note 3 36 6" xfId="46223"/>
    <cellStyle name="Note 3 36 7" xfId="47412"/>
    <cellStyle name="Note 3 37" xfId="25321"/>
    <cellStyle name="Note 3 38" xfId="33749"/>
    <cellStyle name="Note 3 39" xfId="37474"/>
    <cellStyle name="Note 3 4" xfId="512"/>
    <cellStyle name="Note 3 4 10" xfId="1959"/>
    <cellStyle name="Note 3 4 10 2" xfId="9782"/>
    <cellStyle name="Note 3 4 10 3" xfId="17210"/>
    <cellStyle name="Note 3 4 10 4" xfId="19042"/>
    <cellStyle name="Note 3 4 10 5" xfId="26979"/>
    <cellStyle name="Note 3 4 10 6" xfId="39699"/>
    <cellStyle name="Note 3 4 10 7" xfId="49824"/>
    <cellStyle name="Note 3 4 11" xfId="2077"/>
    <cellStyle name="Note 3 4 11 2" xfId="9900"/>
    <cellStyle name="Note 3 4 11 3" xfId="17328"/>
    <cellStyle name="Note 3 4 11 4" xfId="25052"/>
    <cellStyle name="Note 3 4 11 5" xfId="33412"/>
    <cellStyle name="Note 3 4 11 6" xfId="36743"/>
    <cellStyle name="Note 3 4 11 7" xfId="50904"/>
    <cellStyle name="Note 3 4 12" xfId="2190"/>
    <cellStyle name="Note 3 4 12 2" xfId="10013"/>
    <cellStyle name="Note 3 4 12 3" xfId="17441"/>
    <cellStyle name="Note 3 4 12 4" xfId="26587"/>
    <cellStyle name="Note 3 4 12 5" xfId="35408"/>
    <cellStyle name="Note 3 4 12 6" xfId="37830"/>
    <cellStyle name="Note 3 4 12 7" xfId="54252"/>
    <cellStyle name="Note 3 4 13" xfId="1606"/>
    <cellStyle name="Note 3 4 13 2" xfId="9429"/>
    <cellStyle name="Note 3 4 13 3" xfId="16857"/>
    <cellStyle name="Note 3 4 13 4" xfId="19683"/>
    <cellStyle name="Note 3 4 13 5" xfId="26766"/>
    <cellStyle name="Note 3 4 13 6" xfId="37653"/>
    <cellStyle name="Note 3 4 13 7" xfId="49055"/>
    <cellStyle name="Note 3 4 14" xfId="1155"/>
    <cellStyle name="Note 3 4 14 2" xfId="8978"/>
    <cellStyle name="Note 3 4 14 3" xfId="16406"/>
    <cellStyle name="Note 3 4 14 4" xfId="19028"/>
    <cellStyle name="Note 3 4 14 5" xfId="26761"/>
    <cellStyle name="Note 3 4 14 6" xfId="39634"/>
    <cellStyle name="Note 3 4 14 7" xfId="49115"/>
    <cellStyle name="Note 3 4 15" xfId="2488"/>
    <cellStyle name="Note 3 4 15 2" xfId="10311"/>
    <cellStyle name="Note 3 4 15 3" xfId="17739"/>
    <cellStyle name="Note 3 4 15 4" xfId="25658"/>
    <cellStyle name="Note 3 4 15 5" xfId="34180"/>
    <cellStyle name="Note 3 4 15 6" xfId="38011"/>
    <cellStyle name="Note 3 4 15 7" xfId="52213"/>
    <cellStyle name="Note 3 4 16" xfId="2601"/>
    <cellStyle name="Note 3 4 16 2" xfId="10424"/>
    <cellStyle name="Note 3 4 16 3" xfId="17852"/>
    <cellStyle name="Note 3 4 16 4" xfId="19888"/>
    <cellStyle name="Note 3 4 16 5" xfId="27325"/>
    <cellStyle name="Note 3 4 16 6" xfId="36643"/>
    <cellStyle name="Note 3 4 16 7" xfId="49450"/>
    <cellStyle name="Note 3 4 17" xfId="2384"/>
    <cellStyle name="Note 3 4 17 2" xfId="10207"/>
    <cellStyle name="Note 3 4 17 3" xfId="17635"/>
    <cellStyle name="Note 3 4 17 4" xfId="25116"/>
    <cellStyle name="Note 3 4 17 5" xfId="33486"/>
    <cellStyle name="Note 3 4 17 6" xfId="41501"/>
    <cellStyle name="Note 3 4 17 7" xfId="51046"/>
    <cellStyle name="Note 3 4 18" xfId="2696"/>
    <cellStyle name="Note 3 4 18 2" xfId="10519"/>
    <cellStyle name="Note 3 4 18 3" xfId="17947"/>
    <cellStyle name="Note 3 4 18 4" xfId="26114"/>
    <cellStyle name="Note 3 4 18 5" xfId="34770"/>
    <cellStyle name="Note 3 4 18 6" xfId="40263"/>
    <cellStyle name="Note 3 4 18 7" xfId="53234"/>
    <cellStyle name="Note 3 4 19" xfId="2795"/>
    <cellStyle name="Note 3 4 19 2" xfId="10618"/>
    <cellStyle name="Note 3 4 19 3" xfId="18046"/>
    <cellStyle name="Note 3 4 19 4" xfId="19466"/>
    <cellStyle name="Note 3 4 19 5" xfId="28544"/>
    <cellStyle name="Note 3 4 19 6" xfId="37618"/>
    <cellStyle name="Note 3 4 19 7" xfId="47587"/>
    <cellStyle name="Note 3 4 2" xfId="663"/>
    <cellStyle name="Note 3 4 2 2" xfId="8487"/>
    <cellStyle name="Note 3 4 2 3" xfId="8271"/>
    <cellStyle name="Note 3 4 2 4" xfId="25182"/>
    <cellStyle name="Note 3 4 2 5" xfId="33565"/>
    <cellStyle name="Note 3 4 2 6" xfId="36763"/>
    <cellStyle name="Note 3 4 2 7" xfId="51182"/>
    <cellStyle name="Note 3 4 20" xfId="2902"/>
    <cellStyle name="Note 3 4 20 2" xfId="10725"/>
    <cellStyle name="Note 3 4 20 3" xfId="18153"/>
    <cellStyle name="Note 3 4 20 4" xfId="25452"/>
    <cellStyle name="Note 3 4 20 5" xfId="33914"/>
    <cellStyle name="Note 3 4 20 6" xfId="36270"/>
    <cellStyle name="Note 3 4 20 7" xfId="51759"/>
    <cellStyle name="Note 3 4 21" xfId="3278"/>
    <cellStyle name="Note 3 4 21 2" xfId="11071"/>
    <cellStyle name="Note 3 4 21 3" xfId="18400"/>
    <cellStyle name="Note 3 4 21 4" xfId="26484"/>
    <cellStyle name="Note 3 4 21 5" xfId="35272"/>
    <cellStyle name="Note 3 4 21 6" xfId="36846"/>
    <cellStyle name="Note 3 4 21 7" xfId="54044"/>
    <cellStyle name="Note 3 4 22" xfId="3398"/>
    <cellStyle name="Note 3 4 22 2" xfId="11189"/>
    <cellStyle name="Note 3 4 22 3" xfId="18511"/>
    <cellStyle name="Note 3 4 22 4" xfId="19746"/>
    <cellStyle name="Note 3 4 22 5" xfId="26783"/>
    <cellStyle name="Note 3 4 22 6" xfId="37353"/>
    <cellStyle name="Note 3 4 22 7" xfId="50355"/>
    <cellStyle name="Note 3 4 23" xfId="3527"/>
    <cellStyle name="Note 3 4 23 2" xfId="11318"/>
    <cellStyle name="Note 3 4 23 3" xfId="18613"/>
    <cellStyle name="Note 3 4 23 4" xfId="25676"/>
    <cellStyle name="Note 3 4 23 5" xfId="34208"/>
    <cellStyle name="Note 3 4 23 6" xfId="40492"/>
    <cellStyle name="Note 3 4 23 7" xfId="52253"/>
    <cellStyle name="Note 3 4 24" xfId="3132"/>
    <cellStyle name="Note 3 4 24 2" xfId="10937"/>
    <cellStyle name="Note 3 4 24 3" xfId="18315"/>
    <cellStyle name="Note 3 4 24 4" xfId="24914"/>
    <cellStyle name="Note 3 4 24 5" xfId="33238"/>
    <cellStyle name="Note 3 4 24 6" xfId="36814"/>
    <cellStyle name="Note 3 4 24 7" xfId="50598"/>
    <cellStyle name="Note 3 4 25" xfId="3668"/>
    <cellStyle name="Note 3 4 25 2" xfId="11453"/>
    <cellStyle name="Note 3 4 25 3" xfId="18726"/>
    <cellStyle name="Note 3 4 25 4" xfId="25856"/>
    <cellStyle name="Note 3 4 25 5" xfId="34444"/>
    <cellStyle name="Note 3 4 25 6" xfId="39351"/>
    <cellStyle name="Note 3 4 25 7" xfId="52684"/>
    <cellStyle name="Note 3 4 26" xfId="3799"/>
    <cellStyle name="Note 3 4 26 2" xfId="11581"/>
    <cellStyle name="Note 3 4 26 3" xfId="18838"/>
    <cellStyle name="Note 3 4 26 4" xfId="20449"/>
    <cellStyle name="Note 3 4 26 5" xfId="27269"/>
    <cellStyle name="Note 3 4 26 6" xfId="41793"/>
    <cellStyle name="Note 3 4 26 7" xfId="47876"/>
    <cellStyle name="Note 3 4 27" xfId="3916"/>
    <cellStyle name="Note 3 4 27 2" xfId="11696"/>
    <cellStyle name="Note 3 4 27 3" xfId="18947"/>
    <cellStyle name="Note 3 4 27 4" xfId="19407"/>
    <cellStyle name="Note 3 4 27 5" xfId="27063"/>
    <cellStyle name="Note 3 4 27 6" xfId="37913"/>
    <cellStyle name="Note 3 4 27 7" xfId="49528"/>
    <cellStyle name="Note 3 4 28" xfId="3136"/>
    <cellStyle name="Note 3 4 28 2" xfId="10941"/>
    <cellStyle name="Note 3 4 28 3" xfId="20274"/>
    <cellStyle name="Note 3 4 28 4" xfId="28369"/>
    <cellStyle name="Note 3 4 28 5" xfId="33853"/>
    <cellStyle name="Note 3 4 28 6" xfId="42405"/>
    <cellStyle name="Note 3 4 28 7" xfId="49782"/>
    <cellStyle name="Note 3 4 29" xfId="4113"/>
    <cellStyle name="Note 3 4 29 2" xfId="11873"/>
    <cellStyle name="Note 3 4 29 3" xfId="20823"/>
    <cellStyle name="Note 3 4 29 4" xfId="29010"/>
    <cellStyle name="Note 3 4 29 5" xfId="35934"/>
    <cellStyle name="Note 3 4 29 6" xfId="42675"/>
    <cellStyle name="Note 3 4 29 7" xfId="53094"/>
    <cellStyle name="Note 3 4 3" xfId="770"/>
    <cellStyle name="Note 3 4 3 2" xfId="8594"/>
    <cellStyle name="Note 3 4 3 3" xfId="16022"/>
    <cellStyle name="Note 3 4 3 4" xfId="25919"/>
    <cellStyle name="Note 3 4 3 5" xfId="34520"/>
    <cellStyle name="Note 3 4 3 6" xfId="36564"/>
    <cellStyle name="Note 3 4 3 7" xfId="52820"/>
    <cellStyle name="Note 3 4 30" xfId="3233"/>
    <cellStyle name="Note 3 4 30 2" xfId="20353"/>
    <cellStyle name="Note 3 4 30 3" xfId="28442"/>
    <cellStyle name="Note 3 4 30 4" xfId="35832"/>
    <cellStyle name="Note 3 4 30 5" xfId="42457"/>
    <cellStyle name="Note 3 4 30 6" xfId="52562"/>
    <cellStyle name="Note 3 4 31" xfId="4310"/>
    <cellStyle name="Note 3 4 31 2" xfId="12027"/>
    <cellStyle name="Note 3 4 31 3" xfId="21020"/>
    <cellStyle name="Note 3 4 31 4" xfId="29207"/>
    <cellStyle name="Note 3 4 31 5" xfId="27285"/>
    <cellStyle name="Note 3 4 31 6" xfId="42872"/>
    <cellStyle name="Note 3 4 31 7" xfId="48481"/>
    <cellStyle name="Note 3 4 32" xfId="4433"/>
    <cellStyle name="Note 3 4 32 2" xfId="12150"/>
    <cellStyle name="Note 3 4 32 3" xfId="21143"/>
    <cellStyle name="Note 3 4 32 4" xfId="29330"/>
    <cellStyle name="Note 3 4 32 5" xfId="35730"/>
    <cellStyle name="Note 3 4 32 6" xfId="42995"/>
    <cellStyle name="Note 3 4 32 7" xfId="52133"/>
    <cellStyle name="Note 3 4 33" xfId="4547"/>
    <cellStyle name="Note 3 4 33 2" xfId="12264"/>
    <cellStyle name="Note 3 4 33 3" xfId="21257"/>
    <cellStyle name="Note 3 4 33 4" xfId="29444"/>
    <cellStyle name="Note 3 4 33 5" xfId="36048"/>
    <cellStyle name="Note 3 4 33 6" xfId="43109"/>
    <cellStyle name="Note 3 4 33 7" xfId="53649"/>
    <cellStyle name="Note 3 4 34" xfId="4660"/>
    <cellStyle name="Note 3 4 34 2" xfId="12377"/>
    <cellStyle name="Note 3 4 34 3" xfId="21370"/>
    <cellStyle name="Note 3 4 34 4" xfId="29557"/>
    <cellStyle name="Note 3 4 34 5" xfId="28621"/>
    <cellStyle name="Note 3 4 34 6" xfId="43222"/>
    <cellStyle name="Note 3 4 34 7" xfId="50949"/>
    <cellStyle name="Note 3 4 35" xfId="4772"/>
    <cellStyle name="Note 3 4 35 2" xfId="12489"/>
    <cellStyle name="Note 3 4 35 3" xfId="21482"/>
    <cellStyle name="Note 3 4 35 4" xfId="29669"/>
    <cellStyle name="Note 3 4 35 5" xfId="36221"/>
    <cellStyle name="Note 3 4 35 6" xfId="43334"/>
    <cellStyle name="Note 3 4 35 7" xfId="54485"/>
    <cellStyle name="Note 3 4 36" xfId="4880"/>
    <cellStyle name="Note 3 4 36 2" xfId="12597"/>
    <cellStyle name="Note 3 4 36 3" xfId="21590"/>
    <cellStyle name="Note 3 4 36 4" xfId="29777"/>
    <cellStyle name="Note 3 4 36 5" xfId="27151"/>
    <cellStyle name="Note 3 4 36 6" xfId="43442"/>
    <cellStyle name="Note 3 4 36 7" xfId="50874"/>
    <cellStyle name="Note 3 4 37" xfId="4992"/>
    <cellStyle name="Note 3 4 37 2" xfId="12709"/>
    <cellStyle name="Note 3 4 37 3" xfId="21702"/>
    <cellStyle name="Note 3 4 37 4" xfId="29889"/>
    <cellStyle name="Note 3 4 37 5" xfId="27203"/>
    <cellStyle name="Note 3 4 37 6" xfId="43554"/>
    <cellStyle name="Note 3 4 37 7" xfId="47318"/>
    <cellStyle name="Note 3 4 38" xfId="5121"/>
    <cellStyle name="Note 3 4 38 2" xfId="12838"/>
    <cellStyle name="Note 3 4 38 3" xfId="21831"/>
    <cellStyle name="Note 3 4 38 4" xfId="30018"/>
    <cellStyle name="Note 3 4 38 5" xfId="35129"/>
    <cellStyle name="Note 3 4 38 6" xfId="43683"/>
    <cellStyle name="Note 3 4 38 7" xfId="48846"/>
    <cellStyle name="Note 3 4 39" xfId="5490"/>
    <cellStyle name="Note 3 4 39 2" xfId="13207"/>
    <cellStyle name="Note 3 4 39 3" xfId="22200"/>
    <cellStyle name="Note 3 4 39 4" xfId="30387"/>
    <cellStyle name="Note 3 4 39 5" xfId="33884"/>
    <cellStyle name="Note 3 4 39 6" xfId="44052"/>
    <cellStyle name="Note 3 4 39 7" xfId="47423"/>
    <cellStyle name="Note 3 4 4" xfId="882"/>
    <cellStyle name="Note 3 4 4 2" xfId="8706"/>
    <cellStyle name="Note 3 4 4 3" xfId="16134"/>
    <cellStyle name="Note 3 4 4 4" xfId="19509"/>
    <cellStyle name="Note 3 4 4 5" xfId="28132"/>
    <cellStyle name="Note 3 4 4 6" xfId="36783"/>
    <cellStyle name="Note 3 4 4 7" xfId="49639"/>
    <cellStyle name="Note 3 4 40" xfId="5615"/>
    <cellStyle name="Note 3 4 40 2" xfId="13332"/>
    <cellStyle name="Note 3 4 40 3" xfId="22325"/>
    <cellStyle name="Note 3 4 40 4" xfId="30512"/>
    <cellStyle name="Note 3 4 40 5" xfId="33492"/>
    <cellStyle name="Note 3 4 40 6" xfId="44177"/>
    <cellStyle name="Note 3 4 40 7" xfId="46781"/>
    <cellStyle name="Note 3 4 41" xfId="5730"/>
    <cellStyle name="Note 3 4 41 2" xfId="13447"/>
    <cellStyle name="Note 3 4 41 3" xfId="22440"/>
    <cellStyle name="Note 3 4 41 4" xfId="30627"/>
    <cellStyle name="Note 3 4 41 5" xfId="27504"/>
    <cellStyle name="Note 3 4 41 6" xfId="44292"/>
    <cellStyle name="Note 3 4 41 7" xfId="48172"/>
    <cellStyle name="Note 3 4 42" xfId="5847"/>
    <cellStyle name="Note 3 4 42 2" xfId="13564"/>
    <cellStyle name="Note 3 4 42 3" xfId="22557"/>
    <cellStyle name="Note 3 4 42 4" xfId="30744"/>
    <cellStyle name="Note 3 4 42 5" xfId="27772"/>
    <cellStyle name="Note 3 4 42 6" xfId="44409"/>
    <cellStyle name="Note 3 4 42 7" xfId="53765"/>
    <cellStyle name="Note 3 4 43" xfId="5975"/>
    <cellStyle name="Note 3 4 43 2" xfId="13692"/>
    <cellStyle name="Note 3 4 43 3" xfId="22685"/>
    <cellStyle name="Note 3 4 43 4" xfId="30872"/>
    <cellStyle name="Note 3 4 43 5" xfId="27171"/>
    <cellStyle name="Note 3 4 43 6" xfId="44537"/>
    <cellStyle name="Note 3 4 43 7" xfId="47458"/>
    <cellStyle name="Note 3 4 44" xfId="6081"/>
    <cellStyle name="Note 3 4 44 2" xfId="13798"/>
    <cellStyle name="Note 3 4 44 3" xfId="22791"/>
    <cellStyle name="Note 3 4 44 4" xfId="30978"/>
    <cellStyle name="Note 3 4 44 5" xfId="36032"/>
    <cellStyle name="Note 3 4 44 6" xfId="44643"/>
    <cellStyle name="Note 3 4 44 7" xfId="53255"/>
    <cellStyle name="Note 3 4 45" xfId="5105"/>
    <cellStyle name="Note 3 4 45 2" xfId="12822"/>
    <cellStyle name="Note 3 4 45 3" xfId="21815"/>
    <cellStyle name="Note 3 4 45 4" xfId="30002"/>
    <cellStyle name="Note 3 4 45 5" xfId="33524"/>
    <cellStyle name="Note 3 4 45 6" xfId="43667"/>
    <cellStyle name="Note 3 4 45 7" xfId="50489"/>
    <cellStyle name="Note 3 4 46" xfId="6231"/>
    <cellStyle name="Note 3 4 46 2" xfId="13948"/>
    <cellStyle name="Note 3 4 46 3" xfId="22941"/>
    <cellStyle name="Note 3 4 46 4" xfId="31128"/>
    <cellStyle name="Note 3 4 46 5" xfId="35852"/>
    <cellStyle name="Note 3 4 46 6" xfId="44793"/>
    <cellStyle name="Note 3 4 46 7" xfId="52317"/>
    <cellStyle name="Note 3 4 47" xfId="6348"/>
    <cellStyle name="Note 3 4 47 2" xfId="14065"/>
    <cellStyle name="Note 3 4 47 3" xfId="23058"/>
    <cellStyle name="Note 3 4 47 4" xfId="31245"/>
    <cellStyle name="Note 3 4 47 5" xfId="33613"/>
    <cellStyle name="Note 3 4 47 6" xfId="44910"/>
    <cellStyle name="Note 3 4 47 7" xfId="48337"/>
    <cellStyle name="Note 3 4 48" xfId="6458"/>
    <cellStyle name="Note 3 4 48 2" xfId="14175"/>
    <cellStyle name="Note 3 4 48 3" xfId="23168"/>
    <cellStyle name="Note 3 4 48 4" xfId="31355"/>
    <cellStyle name="Note 3 4 48 5" xfId="28358"/>
    <cellStyle name="Note 3 4 48 6" xfId="45020"/>
    <cellStyle name="Note 3 4 48 7" xfId="50243"/>
    <cellStyle name="Note 3 4 49" xfId="6188"/>
    <cellStyle name="Note 3 4 49 2" xfId="13905"/>
    <cellStyle name="Note 3 4 49 3" xfId="22898"/>
    <cellStyle name="Note 3 4 49 4" xfId="31085"/>
    <cellStyle name="Note 3 4 49 5" xfId="33480"/>
    <cellStyle name="Note 3 4 49 6" xfId="44750"/>
    <cellStyle name="Note 3 4 49 7" xfId="49054"/>
    <cellStyle name="Note 3 4 5" xfId="1347"/>
    <cellStyle name="Note 3 4 5 2" xfId="9170"/>
    <cellStyle name="Note 3 4 5 3" xfId="16598"/>
    <cellStyle name="Note 3 4 5 4" xfId="19172"/>
    <cellStyle name="Note 3 4 5 5" xfId="26904"/>
    <cellStyle name="Note 3 4 5 6" xfId="42056"/>
    <cellStyle name="Note 3 4 5 7" xfId="49198"/>
    <cellStyle name="Note 3 4 50" xfId="6605"/>
    <cellStyle name="Note 3 4 50 2" xfId="14322"/>
    <cellStyle name="Note 3 4 50 3" xfId="23315"/>
    <cellStyle name="Note 3 4 50 4" xfId="31502"/>
    <cellStyle name="Note 3 4 50 5" xfId="33459"/>
    <cellStyle name="Note 3 4 50 6" xfId="45167"/>
    <cellStyle name="Note 3 4 50 7" xfId="50519"/>
    <cellStyle name="Note 3 4 51" xfId="6716"/>
    <cellStyle name="Note 3 4 51 2" xfId="14433"/>
    <cellStyle name="Note 3 4 51 3" xfId="23426"/>
    <cellStyle name="Note 3 4 51 4" xfId="31613"/>
    <cellStyle name="Note 3 4 51 5" xfId="36079"/>
    <cellStyle name="Note 3 4 51 6" xfId="45278"/>
    <cellStyle name="Note 3 4 51 7" xfId="53430"/>
    <cellStyle name="Note 3 4 52" xfId="6831"/>
    <cellStyle name="Note 3 4 52 2" xfId="14548"/>
    <cellStyle name="Note 3 4 52 3" xfId="23541"/>
    <cellStyle name="Note 3 4 52 4" xfId="31728"/>
    <cellStyle name="Note 3 4 52 5" xfId="28215"/>
    <cellStyle name="Note 3 4 52 6" xfId="45393"/>
    <cellStyle name="Note 3 4 52 7" xfId="48752"/>
    <cellStyle name="Note 3 4 53" xfId="6944"/>
    <cellStyle name="Note 3 4 53 2" xfId="14661"/>
    <cellStyle name="Note 3 4 53 3" xfId="23654"/>
    <cellStyle name="Note 3 4 53 4" xfId="31841"/>
    <cellStyle name="Note 3 4 53 5" xfId="28015"/>
    <cellStyle name="Note 3 4 53 6" xfId="45506"/>
    <cellStyle name="Note 3 4 53 7" xfId="47039"/>
    <cellStyle name="Note 3 4 54" xfId="7056"/>
    <cellStyle name="Note 3 4 54 2" xfId="14773"/>
    <cellStyle name="Note 3 4 54 3" xfId="23766"/>
    <cellStyle name="Note 3 4 54 4" xfId="31953"/>
    <cellStyle name="Note 3 4 54 5" xfId="36123"/>
    <cellStyle name="Note 3 4 54 6" xfId="45618"/>
    <cellStyle name="Note 3 4 54 7" xfId="53770"/>
    <cellStyle name="Note 3 4 55" xfId="7245"/>
    <cellStyle name="Note 3 4 55 2" xfId="14962"/>
    <cellStyle name="Note 3 4 55 3" xfId="23955"/>
    <cellStyle name="Note 3 4 55 4" xfId="32142"/>
    <cellStyle name="Note 3 4 55 5" xfId="33218"/>
    <cellStyle name="Note 3 4 55 6" xfId="45807"/>
    <cellStyle name="Note 3 4 55 7" xfId="53877"/>
    <cellStyle name="Note 3 4 56" xfId="7344"/>
    <cellStyle name="Note 3 4 56 2" xfId="15061"/>
    <cellStyle name="Note 3 4 56 3" xfId="24054"/>
    <cellStyle name="Note 3 4 56 4" xfId="32241"/>
    <cellStyle name="Note 3 4 56 5" xfId="35842"/>
    <cellStyle name="Note 3 4 56 6" xfId="45906"/>
    <cellStyle name="Note 3 4 56 7" xfId="52153"/>
    <cellStyle name="Note 3 4 57" xfId="7453"/>
    <cellStyle name="Note 3 4 57 2" xfId="15170"/>
    <cellStyle name="Note 3 4 57 3" xfId="24163"/>
    <cellStyle name="Note 3 4 57 4" xfId="32350"/>
    <cellStyle name="Note 3 4 57 5" xfId="35166"/>
    <cellStyle name="Note 3 4 57 6" xfId="46015"/>
    <cellStyle name="Note 3 4 57 7" xfId="50104"/>
    <cellStyle name="Note 3 4 58" xfId="7574"/>
    <cellStyle name="Note 3 4 58 2" xfId="15291"/>
    <cellStyle name="Note 3 4 58 3" xfId="24284"/>
    <cellStyle name="Note 3 4 58 4" xfId="32471"/>
    <cellStyle name="Note 3 4 58 5" xfId="27172"/>
    <cellStyle name="Note 3 4 58 6" xfId="46136"/>
    <cellStyle name="Note 3 4 58 7" xfId="49531"/>
    <cellStyle name="Note 3 4 59" xfId="7850"/>
    <cellStyle name="Note 3 4 59 2" xfId="15567"/>
    <cellStyle name="Note 3 4 59 3" xfId="24554"/>
    <cellStyle name="Note 3 4 59 4" xfId="32747"/>
    <cellStyle name="Note 3 4 59 5" xfId="35591"/>
    <cellStyle name="Note 3 4 59 6" xfId="46412"/>
    <cellStyle name="Note 3 4 59 7" xfId="50919"/>
    <cellStyle name="Note 3 4 6" xfId="1470"/>
    <cellStyle name="Note 3 4 6 2" xfId="9293"/>
    <cellStyle name="Note 3 4 6 3" xfId="16721"/>
    <cellStyle name="Note 3 4 6 4" xfId="20659"/>
    <cellStyle name="Note 3 4 6 5" xfId="27967"/>
    <cellStyle name="Note 3 4 6 6" xfId="37368"/>
    <cellStyle name="Note 3 4 6 7" xfId="48891"/>
    <cellStyle name="Note 3 4 60" xfId="7702"/>
    <cellStyle name="Note 3 4 60 2" xfId="15419"/>
    <cellStyle name="Note 3 4 60 3" xfId="24410"/>
    <cellStyle name="Note 3 4 60 4" xfId="32599"/>
    <cellStyle name="Note 3 4 60 5" xfId="35773"/>
    <cellStyle name="Note 3 4 60 6" xfId="46264"/>
    <cellStyle name="Note 3 4 60 7" xfId="51909"/>
    <cellStyle name="Note 3 4 61" xfId="7947"/>
    <cellStyle name="Note 3 4 61 2" xfId="15664"/>
    <cellStyle name="Note 3 4 61 3" xfId="24650"/>
    <cellStyle name="Note 3 4 61 4" xfId="32844"/>
    <cellStyle name="Note 3 4 61 5" xfId="26889"/>
    <cellStyle name="Note 3 4 61 6" xfId="46509"/>
    <cellStyle name="Note 3 4 61 7" xfId="51779"/>
    <cellStyle name="Note 3 4 62" xfId="7962"/>
    <cellStyle name="Note 3 4 62 2" xfId="15679"/>
    <cellStyle name="Note 3 4 62 3" xfId="24665"/>
    <cellStyle name="Note 3 4 62 4" xfId="32859"/>
    <cellStyle name="Note 3 4 62 5" xfId="36210"/>
    <cellStyle name="Note 3 4 62 6" xfId="46524"/>
    <cellStyle name="Note 3 4 62 7" xfId="53930"/>
    <cellStyle name="Note 3 4 63" xfId="8126"/>
    <cellStyle name="Note 3 4 63 2" xfId="15843"/>
    <cellStyle name="Note 3 4 63 3" xfId="33023"/>
    <cellStyle name="Note 3 4 63 4" xfId="35724"/>
    <cellStyle name="Note 3 4 63 5" xfId="46688"/>
    <cellStyle name="Note 3 4 63 6" xfId="51307"/>
    <cellStyle name="Note 3 4 64" xfId="19397"/>
    <cellStyle name="Note 3 4 65" xfId="27782"/>
    <cellStyle name="Note 3 4 66" xfId="37519"/>
    <cellStyle name="Note 3 4 67" xfId="47493"/>
    <cellStyle name="Note 3 4 7" xfId="1552"/>
    <cellStyle name="Note 3 4 7 2" xfId="9375"/>
    <cellStyle name="Note 3 4 7 3" xfId="16803"/>
    <cellStyle name="Note 3 4 7 4" xfId="26538"/>
    <cellStyle name="Note 3 4 7 5" xfId="35338"/>
    <cellStyle name="Note 3 4 7 6" xfId="38620"/>
    <cellStyle name="Note 3 4 7 7" xfId="54145"/>
    <cellStyle name="Note 3 4 8" xfId="1707"/>
    <cellStyle name="Note 3 4 8 2" xfId="9530"/>
    <cellStyle name="Note 3 4 8 3" xfId="16958"/>
    <cellStyle name="Note 3 4 8 4" xfId="26257"/>
    <cellStyle name="Note 3 4 8 5" xfId="34955"/>
    <cellStyle name="Note 3 4 8 6" xfId="38315"/>
    <cellStyle name="Note 3 4 8 7" xfId="53554"/>
    <cellStyle name="Note 3 4 9" xfId="1841"/>
    <cellStyle name="Note 3 4 9 2" xfId="9664"/>
    <cellStyle name="Note 3 4 9 3" xfId="17092"/>
    <cellStyle name="Note 3 4 9 4" xfId="26651"/>
    <cellStyle name="Note 3 4 9 5" xfId="35495"/>
    <cellStyle name="Note 3 4 9 6" xfId="37281"/>
    <cellStyle name="Note 3 4 9 7" xfId="54394"/>
    <cellStyle name="Note 3 40" xfId="51477"/>
    <cellStyle name="Note 3 5" xfId="567"/>
    <cellStyle name="Note 3 5 10" xfId="2014"/>
    <cellStyle name="Note 3 5 10 2" xfId="9837"/>
    <cellStyle name="Note 3 5 10 3" xfId="17265"/>
    <cellStyle name="Note 3 5 10 4" xfId="25201"/>
    <cellStyle name="Note 3 5 10 5" xfId="33590"/>
    <cellStyle name="Note 3 5 10 6" xfId="41321"/>
    <cellStyle name="Note 3 5 10 7" xfId="51219"/>
    <cellStyle name="Note 3 5 11" xfId="2131"/>
    <cellStyle name="Note 3 5 11 2" xfId="9954"/>
    <cellStyle name="Note 3 5 11 3" xfId="17382"/>
    <cellStyle name="Note 3 5 11 4" xfId="25595"/>
    <cellStyle name="Note 3 5 11 5" xfId="34105"/>
    <cellStyle name="Note 3 5 11 6" xfId="37412"/>
    <cellStyle name="Note 3 5 11 7" xfId="52084"/>
    <cellStyle name="Note 3 5 12" xfId="2245"/>
    <cellStyle name="Note 3 5 12 2" xfId="10068"/>
    <cellStyle name="Note 3 5 12 3" xfId="17496"/>
    <cellStyle name="Note 3 5 12 4" xfId="26189"/>
    <cellStyle name="Note 3 5 12 5" xfId="34866"/>
    <cellStyle name="Note 3 5 12 6" xfId="40295"/>
    <cellStyle name="Note 3 5 12 7" xfId="53401"/>
    <cellStyle name="Note 3 5 13" xfId="2042"/>
    <cellStyle name="Note 3 5 13 2" xfId="9865"/>
    <cellStyle name="Note 3 5 13 3" xfId="17293"/>
    <cellStyle name="Note 3 5 13 4" xfId="19802"/>
    <cellStyle name="Note 3 5 13 5" xfId="27366"/>
    <cellStyle name="Note 3 5 13 6" xfId="36499"/>
    <cellStyle name="Note 3 5 13 7" xfId="48436"/>
    <cellStyle name="Note 3 5 14" xfId="2327"/>
    <cellStyle name="Note 3 5 14 2" xfId="10150"/>
    <cellStyle name="Note 3 5 14 3" xfId="17578"/>
    <cellStyle name="Note 3 5 14 4" xfId="19389"/>
    <cellStyle name="Note 3 5 14 5" xfId="28372"/>
    <cellStyle name="Note 3 5 14 6" xfId="36751"/>
    <cellStyle name="Note 3 5 14 7" xfId="47738"/>
    <cellStyle name="Note 3 5 15" xfId="2542"/>
    <cellStyle name="Note 3 5 15 2" xfId="10365"/>
    <cellStyle name="Note 3 5 15 3" xfId="17793"/>
    <cellStyle name="Note 3 5 15 4" xfId="20144"/>
    <cellStyle name="Note 3 5 15 5" xfId="27015"/>
    <cellStyle name="Note 3 5 15 6" xfId="40940"/>
    <cellStyle name="Note 3 5 15 7" xfId="48294"/>
    <cellStyle name="Note 3 5 16" xfId="2656"/>
    <cellStyle name="Note 3 5 16 2" xfId="10479"/>
    <cellStyle name="Note 3 5 16 3" xfId="17907"/>
    <cellStyle name="Note 3 5 16 4" xfId="19228"/>
    <cellStyle name="Note 3 5 16 5" xfId="33144"/>
    <cellStyle name="Note 3 5 16 6" xfId="36722"/>
    <cellStyle name="Note 3 5 16 7" xfId="50418"/>
    <cellStyle name="Note 3 5 17" xfId="2454"/>
    <cellStyle name="Note 3 5 17 2" xfId="10277"/>
    <cellStyle name="Note 3 5 17 3" xfId="17705"/>
    <cellStyle name="Note 3 5 17 4" xfId="20645"/>
    <cellStyle name="Note 3 5 17 5" xfId="26863"/>
    <cellStyle name="Note 3 5 17 6" xfId="41229"/>
    <cellStyle name="Note 3 5 17 7" xfId="49680"/>
    <cellStyle name="Note 3 5 18" xfId="1029"/>
    <cellStyle name="Note 3 5 18 2" xfId="8853"/>
    <cellStyle name="Note 3 5 18 3" xfId="16281"/>
    <cellStyle name="Note 3 5 18 4" xfId="25417"/>
    <cellStyle name="Note 3 5 18 5" xfId="33873"/>
    <cellStyle name="Note 3 5 18 6" xfId="37063"/>
    <cellStyle name="Note 3 5 18 7" xfId="51685"/>
    <cellStyle name="Note 3 5 19" xfId="2847"/>
    <cellStyle name="Note 3 5 19 2" xfId="10670"/>
    <cellStyle name="Note 3 5 19 3" xfId="18098"/>
    <cellStyle name="Note 3 5 19 4" xfId="26548"/>
    <cellStyle name="Note 3 5 19 5" xfId="35356"/>
    <cellStyle name="Note 3 5 19 6" xfId="36539"/>
    <cellStyle name="Note 3 5 19 7" xfId="54173"/>
    <cellStyle name="Note 3 5 2" xfId="715"/>
    <cellStyle name="Note 3 5 2 2" xfId="8539"/>
    <cellStyle name="Note 3 5 2 3" xfId="15967"/>
    <cellStyle name="Note 3 5 2 4" xfId="25632"/>
    <cellStyle name="Note 3 5 2 5" xfId="34150"/>
    <cellStyle name="Note 3 5 2 6" xfId="36952"/>
    <cellStyle name="Note 3 5 2 7" xfId="52165"/>
    <cellStyle name="Note 3 5 20" xfId="2954"/>
    <cellStyle name="Note 3 5 20 2" xfId="10777"/>
    <cellStyle name="Note 3 5 20 3" xfId="18205"/>
    <cellStyle name="Note 3 5 20 4" xfId="20544"/>
    <cellStyle name="Note 3 5 20 5" xfId="28549"/>
    <cellStyle name="Note 3 5 20 6" xfId="38728"/>
    <cellStyle name="Note 3 5 20 7" xfId="49655"/>
    <cellStyle name="Note 3 5 21" xfId="3331"/>
    <cellStyle name="Note 3 5 21 2" xfId="11124"/>
    <cellStyle name="Note 3 5 21 3" xfId="18452"/>
    <cellStyle name="Note 3 5 21 4" xfId="19804"/>
    <cellStyle name="Note 3 5 21 5" xfId="27752"/>
    <cellStyle name="Note 3 5 21 6" xfId="37171"/>
    <cellStyle name="Note 3 5 21 7" xfId="48839"/>
    <cellStyle name="Note 3 5 22" xfId="3450"/>
    <cellStyle name="Note 3 5 22 2" xfId="11241"/>
    <cellStyle name="Note 3 5 22 3" xfId="18563"/>
    <cellStyle name="Note 3 5 22 4" xfId="25819"/>
    <cellStyle name="Note 3 5 22 5" xfId="34400"/>
    <cellStyle name="Note 3 5 22 6" xfId="39148"/>
    <cellStyle name="Note 3 5 22 7" xfId="52602"/>
    <cellStyle name="Note 3 5 23" xfId="3572"/>
    <cellStyle name="Note 3 5 23 2" xfId="11361"/>
    <cellStyle name="Note 3 5 23 3" xfId="18643"/>
    <cellStyle name="Note 3 5 23 4" xfId="19074"/>
    <cellStyle name="Note 3 5 23 5" xfId="33102"/>
    <cellStyle name="Note 3 5 23 6" xfId="42182"/>
    <cellStyle name="Note 3 5 23 7" xfId="49802"/>
    <cellStyle name="Note 3 5 24" xfId="3610"/>
    <cellStyle name="Note 3 5 24 2" xfId="11396"/>
    <cellStyle name="Note 3 5 24 3" xfId="18670"/>
    <cellStyle name="Note 3 5 24 4" xfId="25078"/>
    <cellStyle name="Note 3 5 24 5" xfId="33438"/>
    <cellStyle name="Note 3 5 24 6" xfId="37794"/>
    <cellStyle name="Note 3 5 24 7" xfId="50964"/>
    <cellStyle name="Note 3 5 25" xfId="3723"/>
    <cellStyle name="Note 3 5 25 2" xfId="11508"/>
    <cellStyle name="Note 3 5 25 3" xfId="18780"/>
    <cellStyle name="Note 3 5 25 4" xfId="25433"/>
    <cellStyle name="Note 3 5 25 5" xfId="33893"/>
    <cellStyle name="Note 3 5 25 6" xfId="36940"/>
    <cellStyle name="Note 3 5 25 7" xfId="51717"/>
    <cellStyle name="Note 3 5 26" xfId="3852"/>
    <cellStyle name="Note 3 5 26 2" xfId="11634"/>
    <cellStyle name="Note 3 5 26 3" xfId="18890"/>
    <cellStyle name="Note 3 5 26 4" xfId="19162"/>
    <cellStyle name="Note 3 5 26 5" xfId="27980"/>
    <cellStyle name="Note 3 5 26 6" xfId="36719"/>
    <cellStyle name="Note 3 5 26 7" xfId="49238"/>
    <cellStyle name="Note 3 5 27" xfId="3971"/>
    <cellStyle name="Note 3 5 27 2" xfId="11750"/>
    <cellStyle name="Note 3 5 27 3" xfId="18999"/>
    <cellStyle name="Note 3 5 27 4" xfId="25967"/>
    <cellStyle name="Note 3 5 27 5" xfId="34577"/>
    <cellStyle name="Note 3 5 27 6" xfId="39705"/>
    <cellStyle name="Note 3 5 27 7" xfId="52923"/>
    <cellStyle name="Note 3 5 28" xfId="3081"/>
    <cellStyle name="Note 3 5 28 2" xfId="10889"/>
    <cellStyle name="Note 3 5 28 3" xfId="20242"/>
    <cellStyle name="Note 3 5 28 4" xfId="28332"/>
    <cellStyle name="Note 3 5 28 5" xfId="35718"/>
    <cellStyle name="Note 3 5 28 6" xfId="42389"/>
    <cellStyle name="Note 3 5 28 7" xfId="52050"/>
    <cellStyle name="Note 3 5 29" xfId="4167"/>
    <cellStyle name="Note 3 5 29 2" xfId="11926"/>
    <cellStyle name="Note 3 5 29 3" xfId="20877"/>
    <cellStyle name="Note 3 5 29 4" xfId="29064"/>
    <cellStyle name="Note 3 5 29 5" xfId="27370"/>
    <cellStyle name="Note 3 5 29 6" xfId="42729"/>
    <cellStyle name="Note 3 5 29 7" xfId="50438"/>
    <cellStyle name="Note 3 5 3" xfId="824"/>
    <cellStyle name="Note 3 5 3 2" xfId="8648"/>
    <cellStyle name="Note 3 5 3 3" xfId="16076"/>
    <cellStyle name="Note 3 5 3 4" xfId="26348"/>
    <cellStyle name="Note 3 5 3 5" xfId="35074"/>
    <cellStyle name="Note 3 5 3 6" xfId="37328"/>
    <cellStyle name="Note 3 5 3 7" xfId="53730"/>
    <cellStyle name="Note 3 5 30" xfId="4241"/>
    <cellStyle name="Note 3 5 30 2" xfId="20951"/>
    <cellStyle name="Note 3 5 30 3" xfId="29138"/>
    <cellStyle name="Note 3 5 30 4" xfId="26791"/>
    <cellStyle name="Note 3 5 30 5" xfId="42803"/>
    <cellStyle name="Note 3 5 30 6" xfId="49193"/>
    <cellStyle name="Note 3 5 31" xfId="4365"/>
    <cellStyle name="Note 3 5 31 2" xfId="12082"/>
    <cellStyle name="Note 3 5 31 3" xfId="21075"/>
    <cellStyle name="Note 3 5 31 4" xfId="29262"/>
    <cellStyle name="Note 3 5 31 5" xfId="35683"/>
    <cellStyle name="Note 3 5 31 6" xfId="42927"/>
    <cellStyle name="Note 3 5 31 7" xfId="51834"/>
    <cellStyle name="Note 3 5 32" xfId="4487"/>
    <cellStyle name="Note 3 5 32 2" xfId="12204"/>
    <cellStyle name="Note 3 5 32 3" xfId="21197"/>
    <cellStyle name="Note 3 5 32 4" xfId="29384"/>
    <cellStyle name="Note 3 5 32 5" xfId="35647"/>
    <cellStyle name="Note 3 5 32 6" xfId="43049"/>
    <cellStyle name="Note 3 5 32 7" xfId="51703"/>
    <cellStyle name="Note 3 5 33" xfId="4601"/>
    <cellStyle name="Note 3 5 33 2" xfId="12318"/>
    <cellStyle name="Note 3 5 33 3" xfId="21311"/>
    <cellStyle name="Note 3 5 33 4" xfId="29498"/>
    <cellStyle name="Note 3 5 33 5" xfId="33807"/>
    <cellStyle name="Note 3 5 33 6" xfId="43163"/>
    <cellStyle name="Note 3 5 33 7" xfId="47383"/>
    <cellStyle name="Note 3 5 34" xfId="4714"/>
    <cellStyle name="Note 3 5 34 2" xfId="12431"/>
    <cellStyle name="Note 3 5 34 3" xfId="21424"/>
    <cellStyle name="Note 3 5 34 4" xfId="29611"/>
    <cellStyle name="Note 3 5 34 5" xfId="34507"/>
    <cellStyle name="Note 3 5 34 6" xfId="43276"/>
    <cellStyle name="Note 3 5 34 7" xfId="48083"/>
    <cellStyle name="Note 3 5 35" xfId="4824"/>
    <cellStyle name="Note 3 5 35 2" xfId="12541"/>
    <cellStyle name="Note 3 5 35 3" xfId="21534"/>
    <cellStyle name="Note 3 5 35 4" xfId="29721"/>
    <cellStyle name="Note 3 5 35 5" xfId="27725"/>
    <cellStyle name="Note 3 5 35 6" xfId="43386"/>
    <cellStyle name="Note 3 5 35 7" xfId="49274"/>
    <cellStyle name="Note 3 5 36" xfId="4934"/>
    <cellStyle name="Note 3 5 36 2" xfId="12651"/>
    <cellStyle name="Note 3 5 36 3" xfId="21644"/>
    <cellStyle name="Note 3 5 36 4" xfId="29831"/>
    <cellStyle name="Note 3 5 36 5" xfId="36181"/>
    <cellStyle name="Note 3 5 36 6" xfId="43496"/>
    <cellStyle name="Note 3 5 36 7" xfId="54288"/>
    <cellStyle name="Note 3 5 37" xfId="5044"/>
    <cellStyle name="Note 3 5 37 2" xfId="12761"/>
    <cellStyle name="Note 3 5 37 3" xfId="21754"/>
    <cellStyle name="Note 3 5 37 4" xfId="29941"/>
    <cellStyle name="Note 3 5 37 5" xfId="34477"/>
    <cellStyle name="Note 3 5 37 6" xfId="43606"/>
    <cellStyle name="Note 3 5 37 7" xfId="47377"/>
    <cellStyle name="Note 3 5 38" xfId="5424"/>
    <cellStyle name="Note 3 5 38 2" xfId="13141"/>
    <cellStyle name="Note 3 5 38 3" xfId="22134"/>
    <cellStyle name="Note 3 5 38 4" xfId="30321"/>
    <cellStyle name="Note 3 5 38 5" xfId="35208"/>
    <cellStyle name="Note 3 5 38 6" xfId="43986"/>
    <cellStyle name="Note 3 5 38 7" xfId="48918"/>
    <cellStyle name="Note 3 5 39" xfId="5544"/>
    <cellStyle name="Note 3 5 39 2" xfId="13261"/>
    <cellStyle name="Note 3 5 39 3" xfId="22254"/>
    <cellStyle name="Note 3 5 39 4" xfId="30441"/>
    <cellStyle name="Note 3 5 39 5" xfId="34350"/>
    <cellStyle name="Note 3 5 39 6" xfId="44106"/>
    <cellStyle name="Note 3 5 39 7" xfId="46848"/>
    <cellStyle name="Note 3 5 4" xfId="934"/>
    <cellStyle name="Note 3 5 4 2" xfId="8758"/>
    <cellStyle name="Note 3 5 4 3" xfId="16186"/>
    <cellStyle name="Note 3 5 4 4" xfId="19393"/>
    <cellStyle name="Note 3 5 4 5" xfId="33152"/>
    <cellStyle name="Note 3 5 4 6" xfId="36764"/>
    <cellStyle name="Note 3 5 4 7" xfId="50430"/>
    <cellStyle name="Note 3 5 40" xfId="5668"/>
    <cellStyle name="Note 3 5 40 2" xfId="13385"/>
    <cellStyle name="Note 3 5 40 3" xfId="22378"/>
    <cellStyle name="Note 3 5 40 4" xfId="30565"/>
    <cellStyle name="Note 3 5 40 5" xfId="33262"/>
    <cellStyle name="Note 3 5 40 6" xfId="44230"/>
    <cellStyle name="Note 3 5 40 7" xfId="47103"/>
    <cellStyle name="Note 3 5 41" xfId="5784"/>
    <cellStyle name="Note 3 5 41 2" xfId="13501"/>
    <cellStyle name="Note 3 5 41 3" xfId="22494"/>
    <cellStyle name="Note 3 5 41 4" xfId="30681"/>
    <cellStyle name="Note 3 5 41 5" xfId="27606"/>
    <cellStyle name="Note 3 5 41 6" xfId="44346"/>
    <cellStyle name="Note 3 5 41 7" xfId="48636"/>
    <cellStyle name="Note 3 5 42" xfId="5901"/>
    <cellStyle name="Note 3 5 42 2" xfId="13618"/>
    <cellStyle name="Note 3 5 42 3" xfId="22611"/>
    <cellStyle name="Note 3 5 42 4" xfId="30798"/>
    <cellStyle name="Note 3 5 42 5" xfId="33128"/>
    <cellStyle name="Note 3 5 42 6" xfId="44463"/>
    <cellStyle name="Note 3 5 42 7" xfId="49121"/>
    <cellStyle name="Note 3 5 43" xfId="6029"/>
    <cellStyle name="Note 3 5 43 2" xfId="13746"/>
    <cellStyle name="Note 3 5 43 3" xfId="22739"/>
    <cellStyle name="Note 3 5 43 4" xfId="30926"/>
    <cellStyle name="Note 3 5 43 5" xfId="35692"/>
    <cellStyle name="Note 3 5 43 6" xfId="44591"/>
    <cellStyle name="Note 3 5 43 7" xfId="51357"/>
    <cellStyle name="Note 3 5 44" xfId="6121"/>
    <cellStyle name="Note 3 5 44 2" xfId="13838"/>
    <cellStyle name="Note 3 5 44 3" xfId="22831"/>
    <cellStyle name="Note 3 5 44 4" xfId="31018"/>
    <cellStyle name="Note 3 5 44 5" xfId="35188"/>
    <cellStyle name="Note 3 5 44 6" xfId="44683"/>
    <cellStyle name="Note 3 5 44 7" xfId="49047"/>
    <cellStyle name="Note 3 5 45" xfId="6156"/>
    <cellStyle name="Note 3 5 45 2" xfId="13873"/>
    <cellStyle name="Note 3 5 45 3" xfId="22866"/>
    <cellStyle name="Note 3 5 45 4" xfId="31053"/>
    <cellStyle name="Note 3 5 45 5" xfId="35933"/>
    <cellStyle name="Note 3 5 45 6" xfId="44718"/>
    <cellStyle name="Note 3 5 45 7" xfId="52848"/>
    <cellStyle name="Note 3 5 46" xfId="6285"/>
    <cellStyle name="Note 3 5 46 2" xfId="14002"/>
    <cellStyle name="Note 3 5 46 3" xfId="22995"/>
    <cellStyle name="Note 3 5 46 4" xfId="31182"/>
    <cellStyle name="Note 3 5 46 5" xfId="28827"/>
    <cellStyle name="Note 3 5 46 6" xfId="44847"/>
    <cellStyle name="Note 3 5 46 7" xfId="47773"/>
    <cellStyle name="Note 3 5 47" xfId="6400"/>
    <cellStyle name="Note 3 5 47 2" xfId="14117"/>
    <cellStyle name="Note 3 5 47 3" xfId="23110"/>
    <cellStyle name="Note 3 5 47 4" xfId="31297"/>
    <cellStyle name="Note 3 5 47 5" xfId="26764"/>
    <cellStyle name="Note 3 5 47 6" xfId="44962"/>
    <cellStyle name="Note 3 5 47 7" xfId="49568"/>
    <cellStyle name="Note 3 5 48" xfId="6512"/>
    <cellStyle name="Note 3 5 48 2" xfId="14229"/>
    <cellStyle name="Note 3 5 48 3" xfId="23222"/>
    <cellStyle name="Note 3 5 48 4" xfId="31409"/>
    <cellStyle name="Note 3 5 48 5" xfId="35112"/>
    <cellStyle name="Note 3 5 48 6" xfId="45074"/>
    <cellStyle name="Note 3 5 48 7" xfId="51768"/>
    <cellStyle name="Note 3 5 49" xfId="5342"/>
    <cellStyle name="Note 3 5 49 2" xfId="13059"/>
    <cellStyle name="Note 3 5 49 3" xfId="22052"/>
    <cellStyle name="Note 3 5 49 4" xfId="30239"/>
    <cellStyle name="Note 3 5 49 5" xfId="28088"/>
    <cellStyle name="Note 3 5 49 6" xfId="43904"/>
    <cellStyle name="Note 3 5 49 7" xfId="49858"/>
    <cellStyle name="Note 3 5 5" xfId="1402"/>
    <cellStyle name="Note 3 5 5 2" xfId="9225"/>
    <cellStyle name="Note 3 5 5 3" xfId="16653"/>
    <cellStyle name="Note 3 5 5 4" xfId="19986"/>
    <cellStyle name="Note 3 5 5 5" xfId="28787"/>
    <cellStyle name="Note 3 5 5 6" xfId="37076"/>
    <cellStyle name="Note 3 5 5 7" xfId="47431"/>
    <cellStyle name="Note 3 5 50" xfId="6659"/>
    <cellStyle name="Note 3 5 50 2" xfId="14376"/>
    <cellStyle name="Note 3 5 50 3" xfId="23369"/>
    <cellStyle name="Note 3 5 50 4" xfId="31556"/>
    <cellStyle name="Note 3 5 50 5" xfId="35841"/>
    <cellStyle name="Note 3 5 50 6" xfId="45221"/>
    <cellStyle name="Note 3 5 50 7" xfId="52255"/>
    <cellStyle name="Note 3 5 51" xfId="6770"/>
    <cellStyle name="Note 3 5 51 2" xfId="14487"/>
    <cellStyle name="Note 3 5 51 3" xfId="23480"/>
    <cellStyle name="Note 3 5 51 4" xfId="31667"/>
    <cellStyle name="Note 3 5 51 5" xfId="27939"/>
    <cellStyle name="Note 3 5 51 6" xfId="45332"/>
    <cellStyle name="Note 3 5 51 7" xfId="47807"/>
    <cellStyle name="Note 3 5 52" xfId="6885"/>
    <cellStyle name="Note 3 5 52 2" xfId="14602"/>
    <cellStyle name="Note 3 5 52 3" xfId="23595"/>
    <cellStyle name="Note 3 5 52 4" xfId="31782"/>
    <cellStyle name="Note 3 5 52 5" xfId="28535"/>
    <cellStyle name="Note 3 5 52 6" xfId="45447"/>
    <cellStyle name="Note 3 5 52 7" xfId="47060"/>
    <cellStyle name="Note 3 5 53" xfId="6998"/>
    <cellStyle name="Note 3 5 53 2" xfId="14715"/>
    <cellStyle name="Note 3 5 53 3" xfId="23708"/>
    <cellStyle name="Note 3 5 53 4" xfId="31895"/>
    <cellStyle name="Note 3 5 53 5" xfId="36245"/>
    <cellStyle name="Note 3 5 53 6" xfId="45560"/>
    <cellStyle name="Note 3 5 53 7" xfId="46996"/>
    <cellStyle name="Note 3 5 54" xfId="7108"/>
    <cellStyle name="Note 3 5 54 2" xfId="14825"/>
    <cellStyle name="Note 3 5 54 3" xfId="23818"/>
    <cellStyle name="Note 3 5 54 4" xfId="32005"/>
    <cellStyle name="Note 3 5 54 5" xfId="27369"/>
    <cellStyle name="Note 3 5 54 6" xfId="45670"/>
    <cellStyle name="Note 3 5 54 7" xfId="47966"/>
    <cellStyle name="Note 3 5 55" xfId="7168"/>
    <cellStyle name="Note 3 5 55 2" xfId="14885"/>
    <cellStyle name="Note 3 5 55 3" xfId="23878"/>
    <cellStyle name="Note 3 5 55 4" xfId="32065"/>
    <cellStyle name="Note 3 5 55 5" xfId="34359"/>
    <cellStyle name="Note 3 5 55 6" xfId="45730"/>
    <cellStyle name="Note 3 5 55 7" xfId="48499"/>
    <cellStyle name="Note 3 5 56" xfId="7289"/>
    <cellStyle name="Note 3 5 56 2" xfId="15006"/>
    <cellStyle name="Note 3 5 56 3" xfId="23999"/>
    <cellStyle name="Note 3 5 56 4" xfId="32186"/>
    <cellStyle name="Note 3 5 56 5" xfId="28007"/>
    <cellStyle name="Note 3 5 56 6" xfId="45851"/>
    <cellStyle name="Note 3 5 56 7" xfId="50446"/>
    <cellStyle name="Note 3 5 57" xfId="7505"/>
    <cellStyle name="Note 3 5 57 2" xfId="15222"/>
    <cellStyle name="Note 3 5 57 3" xfId="24215"/>
    <cellStyle name="Note 3 5 57 4" xfId="32402"/>
    <cellStyle name="Note 3 5 57 5" xfId="27166"/>
    <cellStyle name="Note 3 5 57 6" xfId="46067"/>
    <cellStyle name="Note 3 5 57 7" xfId="47442"/>
    <cellStyle name="Note 3 5 58" xfId="7626"/>
    <cellStyle name="Note 3 5 58 2" xfId="15343"/>
    <cellStyle name="Note 3 5 58 3" xfId="24336"/>
    <cellStyle name="Note 3 5 58 4" xfId="32523"/>
    <cellStyle name="Note 3 5 58 5" xfId="36106"/>
    <cellStyle name="Note 3 5 58 6" xfId="46188"/>
    <cellStyle name="Note 3 5 58 7" xfId="53346"/>
    <cellStyle name="Note 3 5 59" xfId="7903"/>
    <cellStyle name="Note 3 5 59 2" xfId="15620"/>
    <cellStyle name="Note 3 5 59 3" xfId="24607"/>
    <cellStyle name="Note 3 5 59 4" xfId="32800"/>
    <cellStyle name="Note 3 5 59 5" xfId="35969"/>
    <cellStyle name="Note 3 5 59 6" xfId="46465"/>
    <cellStyle name="Note 3 5 59 7" xfId="52914"/>
    <cellStyle name="Note 3 5 6" xfId="1525"/>
    <cellStyle name="Note 3 5 6 2" xfId="9348"/>
    <cellStyle name="Note 3 5 6 3" xfId="16776"/>
    <cellStyle name="Note 3 5 6 4" xfId="19303"/>
    <cellStyle name="Note 3 5 6 5" xfId="27189"/>
    <cellStyle name="Note 3 5 6 6" xfId="38617"/>
    <cellStyle name="Note 3 5 6 7" xfId="47400"/>
    <cellStyle name="Note 3 5 60" xfId="7786"/>
    <cellStyle name="Note 3 5 60 2" xfId="15503"/>
    <cellStyle name="Note 3 5 60 3" xfId="24492"/>
    <cellStyle name="Note 3 5 60 4" xfId="32683"/>
    <cellStyle name="Note 3 5 60 5" xfId="33313"/>
    <cellStyle name="Note 3 5 60 6" xfId="46348"/>
    <cellStyle name="Note 3 5 60 7" xfId="49020"/>
    <cellStyle name="Note 3 5 61" xfId="8031"/>
    <cellStyle name="Note 3 5 61 2" xfId="15748"/>
    <cellStyle name="Note 3 5 61 3" xfId="24733"/>
    <cellStyle name="Note 3 5 61 4" xfId="32928"/>
    <cellStyle name="Note 3 5 61 5" xfId="27278"/>
    <cellStyle name="Note 3 5 61 6" xfId="46593"/>
    <cellStyle name="Note 3 5 61 7" xfId="54157"/>
    <cellStyle name="Note 3 5 62" xfId="7932"/>
    <cellStyle name="Note 3 5 62 2" xfId="15649"/>
    <cellStyle name="Note 3 5 62 3" xfId="24636"/>
    <cellStyle name="Note 3 5 62 4" xfId="32829"/>
    <cellStyle name="Note 3 5 62 5" xfId="35095"/>
    <cellStyle name="Note 3 5 62 6" xfId="46494"/>
    <cellStyle name="Note 3 5 62 7" xfId="47435"/>
    <cellStyle name="Note 3 5 63" xfId="8178"/>
    <cellStyle name="Note 3 5 63 2" xfId="15895"/>
    <cellStyle name="Note 3 5 63 3" xfId="33075"/>
    <cellStyle name="Note 3 5 63 4" xfId="26912"/>
    <cellStyle name="Note 3 5 63 5" xfId="46740"/>
    <cellStyle name="Note 3 5 63 6" xfId="46876"/>
    <cellStyle name="Note 3 5 64" xfId="25372"/>
    <cellStyle name="Note 3 5 65" xfId="33817"/>
    <cellStyle name="Note 3 5 66" xfId="36299"/>
    <cellStyle name="Note 3 5 67" xfId="51591"/>
    <cellStyle name="Note 3 5 7" xfId="1294"/>
    <cellStyle name="Note 3 5 7 2" xfId="9117"/>
    <cellStyle name="Note 3 5 7 3" xfId="16545"/>
    <cellStyle name="Note 3 5 7 4" xfId="19843"/>
    <cellStyle name="Note 3 5 7 5" xfId="27615"/>
    <cellStyle name="Note 3 5 7 6" xfId="38587"/>
    <cellStyle name="Note 3 5 7 7" xfId="48586"/>
    <cellStyle name="Note 3 5 8" xfId="1762"/>
    <cellStyle name="Note 3 5 8 2" xfId="9585"/>
    <cellStyle name="Note 3 5 8 3" xfId="17013"/>
    <cellStyle name="Note 3 5 8 4" xfId="19075"/>
    <cellStyle name="Note 3 5 8 5" xfId="26744"/>
    <cellStyle name="Note 3 5 8 6" xfId="38420"/>
    <cellStyle name="Note 3 5 8 7" xfId="49799"/>
    <cellStyle name="Note 3 5 9" xfId="1895"/>
    <cellStyle name="Note 3 5 9 2" xfId="9718"/>
    <cellStyle name="Note 3 5 9 3" xfId="17146"/>
    <cellStyle name="Note 3 5 9 4" xfId="19850"/>
    <cellStyle name="Note 3 5 9 5" xfId="28390"/>
    <cellStyle name="Note 3 5 9 6" xfId="37923"/>
    <cellStyle name="Note 3 5 9 7" xfId="47277"/>
    <cellStyle name="Note 3 6" xfId="546"/>
    <cellStyle name="Note 3 6 10" xfId="1993"/>
    <cellStyle name="Note 3 6 10 2" xfId="9816"/>
    <cellStyle name="Note 3 6 10 3" xfId="17244"/>
    <cellStyle name="Note 3 6 10 4" xfId="26223"/>
    <cellStyle name="Note 3 6 10 5" xfId="34908"/>
    <cellStyle name="Note 3 6 10 6" xfId="39534"/>
    <cellStyle name="Note 3 6 10 7" xfId="53469"/>
    <cellStyle name="Note 3 6 11" xfId="2111"/>
    <cellStyle name="Note 3 6 11 2" xfId="9934"/>
    <cellStyle name="Note 3 6 11 3" xfId="17362"/>
    <cellStyle name="Note 3 6 11 4" xfId="26556"/>
    <cellStyle name="Note 3 6 11 5" xfId="35365"/>
    <cellStyle name="Note 3 6 11 6" xfId="38869"/>
    <cellStyle name="Note 3 6 11 7" xfId="54187"/>
    <cellStyle name="Note 3 6 12" xfId="2224"/>
    <cellStyle name="Note 3 6 12 2" xfId="10047"/>
    <cellStyle name="Note 3 6 12 3" xfId="17475"/>
    <cellStyle name="Note 3 6 12 4" xfId="24896"/>
    <cellStyle name="Note 3 6 12 5" xfId="33212"/>
    <cellStyle name="Note 3 6 12 6" xfId="42263"/>
    <cellStyle name="Note 3 6 12 7" xfId="50553"/>
    <cellStyle name="Note 3 6 13" xfId="1581"/>
    <cellStyle name="Note 3 6 13 2" xfId="9404"/>
    <cellStyle name="Note 3 6 13 3" xfId="16832"/>
    <cellStyle name="Note 3 6 13 4" xfId="25646"/>
    <cellStyle name="Note 3 6 13 5" xfId="34167"/>
    <cellStyle name="Note 3 6 13 6" xfId="40533"/>
    <cellStyle name="Note 3 6 13 7" xfId="52194"/>
    <cellStyle name="Note 3 6 14" xfId="2277"/>
    <cellStyle name="Note 3 6 14 2" xfId="10100"/>
    <cellStyle name="Note 3 6 14 3" xfId="17528"/>
    <cellStyle name="Note 3 6 14 4" xfId="25719"/>
    <cellStyle name="Note 3 6 14 5" xfId="34262"/>
    <cellStyle name="Note 3 6 14 6" xfId="37384"/>
    <cellStyle name="Note 3 6 14 7" xfId="52358"/>
    <cellStyle name="Note 3 6 15" xfId="2522"/>
    <cellStyle name="Note 3 6 15 2" xfId="10345"/>
    <cellStyle name="Note 3 6 15 3" xfId="17773"/>
    <cellStyle name="Note 3 6 15 4" xfId="19805"/>
    <cellStyle name="Note 3 6 15 5" xfId="27572"/>
    <cellStyle name="Note 3 6 15 6" xfId="41683"/>
    <cellStyle name="Note 3 6 15 7" xfId="47278"/>
    <cellStyle name="Note 3 6 16" xfId="2635"/>
    <cellStyle name="Note 3 6 16 2" xfId="10458"/>
    <cellStyle name="Note 3 6 16 3" xfId="17886"/>
    <cellStyle name="Note 3 6 16 4" xfId="25811"/>
    <cellStyle name="Note 3 6 16 5" xfId="34390"/>
    <cellStyle name="Note 3 6 16 6" xfId="38879"/>
    <cellStyle name="Note 3 6 16 7" xfId="52589"/>
    <cellStyle name="Note 3 6 17" xfId="1059"/>
    <cellStyle name="Note 3 6 17 2" xfId="8883"/>
    <cellStyle name="Note 3 6 17 3" xfId="16311"/>
    <cellStyle name="Note 3 6 17 4" xfId="25583"/>
    <cellStyle name="Note 3 6 17 5" xfId="34089"/>
    <cellStyle name="Note 3 6 17 6" xfId="37292"/>
    <cellStyle name="Note 3 6 17 7" xfId="52061"/>
    <cellStyle name="Note 3 6 18" xfId="2734"/>
    <cellStyle name="Note 3 6 18 2" xfId="10557"/>
    <cellStyle name="Note 3 6 18 3" xfId="17985"/>
    <cellStyle name="Note 3 6 18 4" xfId="19285"/>
    <cellStyle name="Note 3 6 18 5" xfId="28226"/>
    <cellStyle name="Note 3 6 18 6" xfId="36312"/>
    <cellStyle name="Note 3 6 18 7" xfId="49360"/>
    <cellStyle name="Note 3 6 19" xfId="2828"/>
    <cellStyle name="Note 3 6 19 2" xfId="10651"/>
    <cellStyle name="Note 3 6 19 3" xfId="18079"/>
    <cellStyle name="Note 3 6 19 4" xfId="19980"/>
    <cellStyle name="Note 3 6 19 5" xfId="27276"/>
    <cellStyle name="Note 3 6 19 6" xfId="41629"/>
    <cellStyle name="Note 3 6 19 7" xfId="47236"/>
    <cellStyle name="Note 3 6 2" xfId="696"/>
    <cellStyle name="Note 3 6 2 2" xfId="8520"/>
    <cellStyle name="Note 3 6 2 3" xfId="15948"/>
    <cellStyle name="Note 3 6 2 4" xfId="26470"/>
    <cellStyle name="Note 3 6 2 5" xfId="35249"/>
    <cellStyle name="Note 3 6 2 6" xfId="38172"/>
    <cellStyle name="Note 3 6 2 7" xfId="54004"/>
    <cellStyle name="Note 3 6 20" xfId="2935"/>
    <cellStyle name="Note 3 6 20 2" xfId="10758"/>
    <cellStyle name="Note 3 6 20 3" xfId="18186"/>
    <cellStyle name="Note 3 6 20 4" xfId="25806"/>
    <cellStyle name="Note 3 6 20 5" xfId="34384"/>
    <cellStyle name="Note 3 6 20 6" xfId="36780"/>
    <cellStyle name="Note 3 6 20 7" xfId="52580"/>
    <cellStyle name="Note 3 6 21" xfId="3311"/>
    <cellStyle name="Note 3 6 21 2" xfId="11104"/>
    <cellStyle name="Note 3 6 21 3" xfId="18433"/>
    <cellStyle name="Note 3 6 21 4" xfId="19136"/>
    <cellStyle name="Note 3 6 21 5" xfId="26831"/>
    <cellStyle name="Note 3 6 21 6" xfId="36487"/>
    <cellStyle name="Note 3 6 21 7" xfId="49838"/>
    <cellStyle name="Note 3 6 22" xfId="3431"/>
    <cellStyle name="Note 3 6 22 2" xfId="11222"/>
    <cellStyle name="Note 3 6 22 3" xfId="18544"/>
    <cellStyle name="Note 3 6 22 4" xfId="26489"/>
    <cellStyle name="Note 3 6 22 5" xfId="35278"/>
    <cellStyle name="Note 3 6 22 6" xfId="41132"/>
    <cellStyle name="Note 3 6 22 7" xfId="54052"/>
    <cellStyle name="Note 3 6 23" xfId="3555"/>
    <cellStyle name="Note 3 6 23 2" xfId="11344"/>
    <cellStyle name="Note 3 6 23 3" xfId="18630"/>
    <cellStyle name="Note 3 6 23 4" xfId="19759"/>
    <cellStyle name="Note 3 6 23 5" xfId="27002"/>
    <cellStyle name="Note 3 6 23 6" xfId="37629"/>
    <cellStyle name="Note 3 6 23 7" xfId="49292"/>
    <cellStyle name="Note 3 6 24" xfId="3214"/>
    <cellStyle name="Note 3 6 24 2" xfId="11011"/>
    <cellStyle name="Note 3 6 24 3" xfId="18351"/>
    <cellStyle name="Note 3 6 24 4" xfId="26636"/>
    <cellStyle name="Note 3 6 24 5" xfId="35471"/>
    <cellStyle name="Note 3 6 24 6" xfId="40877"/>
    <cellStyle name="Note 3 6 24 7" xfId="54356"/>
    <cellStyle name="Note 3 6 25" xfId="3702"/>
    <cellStyle name="Note 3 6 25 2" xfId="11487"/>
    <cellStyle name="Note 3 6 25 3" xfId="18760"/>
    <cellStyle name="Note 3 6 25 4" xfId="19192"/>
    <cellStyle name="Note 3 6 25 5" xfId="33105"/>
    <cellStyle name="Note 3 6 25 6" xfId="39530"/>
    <cellStyle name="Note 3 6 25 7" xfId="49144"/>
    <cellStyle name="Note 3 6 26" xfId="3832"/>
    <cellStyle name="Note 3 6 26 2" xfId="11614"/>
    <cellStyle name="Note 3 6 26 3" xfId="18871"/>
    <cellStyle name="Note 3 6 26 4" xfId="25191"/>
    <cellStyle name="Note 3 6 26 5" xfId="33574"/>
    <cellStyle name="Note 3 6 26 6" xfId="38674"/>
    <cellStyle name="Note 3 6 26 7" xfId="51193"/>
    <cellStyle name="Note 3 6 27" xfId="3950"/>
    <cellStyle name="Note 3 6 27 2" xfId="11730"/>
    <cellStyle name="Note 3 6 27 3" xfId="18980"/>
    <cellStyle name="Note 3 6 27 4" xfId="26298"/>
    <cellStyle name="Note 3 6 27 5" xfId="35013"/>
    <cellStyle name="Note 3 6 27 6" xfId="41707"/>
    <cellStyle name="Note 3 6 27 7" xfId="53639"/>
    <cellStyle name="Note 3 6 28" xfId="3095"/>
    <cellStyle name="Note 3 6 28 2" xfId="10901"/>
    <cellStyle name="Note 3 6 28 3" xfId="20255"/>
    <cellStyle name="Note 3 6 28 4" xfId="28344"/>
    <cellStyle name="Note 3 6 28 5" xfId="28820"/>
    <cellStyle name="Note 3 6 28 6" xfId="42398"/>
    <cellStyle name="Note 3 6 28 7" xfId="50996"/>
    <cellStyle name="Note 3 6 29" xfId="4147"/>
    <cellStyle name="Note 3 6 29 2" xfId="11906"/>
    <cellStyle name="Note 3 6 29 3" xfId="20857"/>
    <cellStyle name="Note 3 6 29 4" xfId="29044"/>
    <cellStyle name="Note 3 6 29 5" xfId="28147"/>
    <cellStyle name="Note 3 6 29 6" xfId="42709"/>
    <cellStyle name="Note 3 6 29 7" xfId="49489"/>
    <cellStyle name="Note 3 6 3" xfId="804"/>
    <cellStyle name="Note 3 6 3 2" xfId="8628"/>
    <cellStyle name="Note 3 6 3 3" xfId="16056"/>
    <cellStyle name="Note 3 6 3 4" xfId="19535"/>
    <cellStyle name="Note 3 6 3 5" xfId="28877"/>
    <cellStyle name="Note 3 6 3 6" xfId="37030"/>
    <cellStyle name="Note 3 6 3 7" xfId="48591"/>
    <cellStyle name="Note 3 6 30" xfId="2995"/>
    <cellStyle name="Note 3 6 30 2" xfId="20177"/>
    <cellStyle name="Note 3 6 30 3" xfId="28264"/>
    <cellStyle name="Note 3 6 30 4" xfId="36078"/>
    <cellStyle name="Note 3 6 30 5" xfId="42345"/>
    <cellStyle name="Note 3 6 30 6" xfId="53796"/>
    <cellStyle name="Note 3 6 31" xfId="4344"/>
    <cellStyle name="Note 3 6 31 2" xfId="12061"/>
    <cellStyle name="Note 3 6 31 3" xfId="21054"/>
    <cellStyle name="Note 3 6 31 4" xfId="29241"/>
    <cellStyle name="Note 3 6 31 5" xfId="26745"/>
    <cellStyle name="Note 3 6 31 6" xfId="42906"/>
    <cellStyle name="Note 3 6 31 7" xfId="47858"/>
    <cellStyle name="Note 3 6 32" xfId="4467"/>
    <cellStyle name="Note 3 6 32 2" xfId="12184"/>
    <cellStyle name="Note 3 6 32 3" xfId="21177"/>
    <cellStyle name="Note 3 6 32 4" xfId="29364"/>
    <cellStyle name="Note 3 6 32 5" xfId="33339"/>
    <cellStyle name="Note 3 6 32 6" xfId="43029"/>
    <cellStyle name="Note 3 6 32 7" xfId="47308"/>
    <cellStyle name="Note 3 6 33" xfId="4581"/>
    <cellStyle name="Note 3 6 33 2" xfId="12298"/>
    <cellStyle name="Note 3 6 33 3" xfId="21291"/>
    <cellStyle name="Note 3 6 33 4" xfId="29478"/>
    <cellStyle name="Note 3 6 33 5" xfId="35634"/>
    <cellStyle name="Note 3 6 33 6" xfId="43143"/>
    <cellStyle name="Note 3 6 33 7" xfId="51638"/>
    <cellStyle name="Note 3 6 34" xfId="4694"/>
    <cellStyle name="Note 3 6 34 2" xfId="12411"/>
    <cellStyle name="Note 3 6 34 3" xfId="21404"/>
    <cellStyle name="Note 3 6 34 4" xfId="29591"/>
    <cellStyle name="Note 3 6 34 5" xfId="28487"/>
    <cellStyle name="Note 3 6 34 6" xfId="43256"/>
    <cellStyle name="Note 3 6 34 7" xfId="50818"/>
    <cellStyle name="Note 3 6 35" xfId="4805"/>
    <cellStyle name="Note 3 6 35 2" xfId="12522"/>
    <cellStyle name="Note 3 6 35 3" xfId="21515"/>
    <cellStyle name="Note 3 6 35 4" xfId="29702"/>
    <cellStyle name="Note 3 6 35 5" xfId="27317"/>
    <cellStyle name="Note 3 6 35 6" xfId="43367"/>
    <cellStyle name="Note 3 6 35 7" xfId="51121"/>
    <cellStyle name="Note 3 6 36" xfId="4914"/>
    <cellStyle name="Note 3 6 36 2" xfId="12631"/>
    <cellStyle name="Note 3 6 36 3" xfId="21624"/>
    <cellStyle name="Note 3 6 36 4" xfId="29811"/>
    <cellStyle name="Note 3 6 36 5" xfId="34630"/>
    <cellStyle name="Note 3 6 36 6" xfId="43476"/>
    <cellStyle name="Note 3 6 36 7" xfId="47841"/>
    <cellStyle name="Note 3 6 37" xfId="5025"/>
    <cellStyle name="Note 3 6 37 2" xfId="12742"/>
    <cellStyle name="Note 3 6 37 3" xfId="21735"/>
    <cellStyle name="Note 3 6 37 4" xfId="29922"/>
    <cellStyle name="Note 3 6 37 5" xfId="35595"/>
    <cellStyle name="Note 3 6 37 6" xfId="43587"/>
    <cellStyle name="Note 3 6 37 7" xfId="51476"/>
    <cellStyle name="Note 3 6 38" xfId="5404"/>
    <cellStyle name="Note 3 6 38 2" xfId="13121"/>
    <cellStyle name="Note 3 6 38 3" xfId="22114"/>
    <cellStyle name="Note 3 6 38 4" xfId="30301"/>
    <cellStyle name="Note 3 6 38 5" xfId="34343"/>
    <cellStyle name="Note 3 6 38 6" xfId="43966"/>
    <cellStyle name="Note 3 6 38 7" xfId="50845"/>
    <cellStyle name="Note 3 6 39" xfId="5524"/>
    <cellStyle name="Note 3 6 39 2" xfId="13241"/>
    <cellStyle name="Note 3 6 39 3" xfId="22234"/>
    <cellStyle name="Note 3 6 39 4" xfId="30421"/>
    <cellStyle name="Note 3 6 39 5" xfId="34395"/>
    <cellStyle name="Note 3 6 39 6" xfId="44086"/>
    <cellStyle name="Note 3 6 39 7" xfId="50768"/>
    <cellStyle name="Note 3 6 4" xfId="915"/>
    <cellStyle name="Note 3 6 4 2" xfId="8739"/>
    <cellStyle name="Note 3 6 4 3" xfId="16167"/>
    <cellStyle name="Note 3 6 4 4" xfId="25772"/>
    <cellStyle name="Note 3 6 4 5" xfId="34330"/>
    <cellStyle name="Note 3 6 4 6" xfId="37954"/>
    <cellStyle name="Note 3 6 4 7" xfId="52480"/>
    <cellStyle name="Note 3 6 40" xfId="5648"/>
    <cellStyle name="Note 3 6 40 2" xfId="13365"/>
    <cellStyle name="Note 3 6 40 3" xfId="22358"/>
    <cellStyle name="Note 3 6 40 4" xfId="30545"/>
    <cellStyle name="Note 3 6 40 5" xfId="27997"/>
    <cellStyle name="Note 3 6 40 6" xfId="44210"/>
    <cellStyle name="Note 3 6 40 7" xfId="54517"/>
    <cellStyle name="Note 3 6 41" xfId="5764"/>
    <cellStyle name="Note 3 6 41 2" xfId="13481"/>
    <cellStyle name="Note 3 6 41 3" xfId="22474"/>
    <cellStyle name="Note 3 6 41 4" xfId="30661"/>
    <cellStyle name="Note 3 6 41 5" xfId="28223"/>
    <cellStyle name="Note 3 6 41 6" xfId="44326"/>
    <cellStyle name="Note 3 6 41 7" xfId="50615"/>
    <cellStyle name="Note 3 6 42" xfId="5880"/>
    <cellStyle name="Note 3 6 42 2" xfId="13597"/>
    <cellStyle name="Note 3 6 42 3" xfId="22590"/>
    <cellStyle name="Note 3 6 42 4" xfId="30777"/>
    <cellStyle name="Note 3 6 42 5" xfId="35628"/>
    <cellStyle name="Note 3 6 42 6" xfId="44442"/>
    <cellStyle name="Note 3 6 42 7" xfId="51287"/>
    <cellStyle name="Note 3 6 43" xfId="6009"/>
    <cellStyle name="Note 3 6 43 2" xfId="13726"/>
    <cellStyle name="Note 3 6 43 3" xfId="22719"/>
    <cellStyle name="Note 3 6 43 4" xfId="30906"/>
    <cellStyle name="Note 3 6 43 5" xfId="36093"/>
    <cellStyle name="Note 3 6 43 6" xfId="44571"/>
    <cellStyle name="Note 3 6 43 7" xfId="53500"/>
    <cellStyle name="Note 3 6 44" xfId="6105"/>
    <cellStyle name="Note 3 6 44 2" xfId="13822"/>
    <cellStyle name="Note 3 6 44 3" xfId="22815"/>
    <cellStyle name="Note 3 6 44 4" xfId="31002"/>
    <cellStyle name="Note 3 6 44 5" xfId="27703"/>
    <cellStyle name="Note 3 6 44 6" xfId="44667"/>
    <cellStyle name="Note 3 6 44 7" xfId="49815"/>
    <cellStyle name="Note 3 6 45" xfId="6136"/>
    <cellStyle name="Note 3 6 45 2" xfId="13853"/>
    <cellStyle name="Note 3 6 45 3" xfId="22846"/>
    <cellStyle name="Note 3 6 45 4" xfId="31033"/>
    <cellStyle name="Note 3 6 45 5" xfId="27730"/>
    <cellStyle name="Note 3 6 45 6" xfId="44698"/>
    <cellStyle name="Note 3 6 45 7" xfId="49750"/>
    <cellStyle name="Note 3 6 46" xfId="6265"/>
    <cellStyle name="Note 3 6 46 2" xfId="13982"/>
    <cellStyle name="Note 3 6 46 3" xfId="22975"/>
    <cellStyle name="Note 3 6 46 4" xfId="31162"/>
    <cellStyle name="Note 3 6 46 5" xfId="34672"/>
    <cellStyle name="Note 3 6 46 6" xfId="44827"/>
    <cellStyle name="Note 3 6 46 7" xfId="48640"/>
    <cellStyle name="Note 3 6 47" xfId="6381"/>
    <cellStyle name="Note 3 6 47 2" xfId="14098"/>
    <cellStyle name="Note 3 6 47 3" xfId="23091"/>
    <cellStyle name="Note 3 6 47 4" xfId="31278"/>
    <cellStyle name="Note 3 6 47 5" xfId="35748"/>
    <cellStyle name="Note 3 6 47 6" xfId="44943"/>
    <cellStyle name="Note 3 6 47 7" xfId="52018"/>
    <cellStyle name="Note 3 6 48" xfId="6492"/>
    <cellStyle name="Note 3 6 48 2" xfId="14209"/>
    <cellStyle name="Note 3 6 48 3" xfId="23202"/>
    <cellStyle name="Note 3 6 48 4" xfId="31389"/>
    <cellStyle name="Note 3 6 48 5" xfId="36146"/>
    <cellStyle name="Note 3 6 48 6" xfId="45054"/>
    <cellStyle name="Note 3 6 48 7" xfId="53880"/>
    <cellStyle name="Note 3 6 49" xfId="6197"/>
    <cellStyle name="Note 3 6 49 2" xfId="13914"/>
    <cellStyle name="Note 3 6 49 3" xfId="22907"/>
    <cellStyle name="Note 3 6 49 4" xfId="31094"/>
    <cellStyle name="Note 3 6 49 5" xfId="34737"/>
    <cellStyle name="Note 3 6 49 6" xfId="44759"/>
    <cellStyle name="Note 3 6 49 7" xfId="49797"/>
    <cellStyle name="Note 3 6 5" xfId="1381"/>
    <cellStyle name="Note 3 6 5 2" xfId="9204"/>
    <cellStyle name="Note 3 6 5 3" xfId="16632"/>
    <cellStyle name="Note 3 6 5 4" xfId="25611"/>
    <cellStyle name="Note 3 6 5 5" xfId="34123"/>
    <cellStyle name="Note 3 6 5 6" xfId="36456"/>
    <cellStyle name="Note 3 6 5 7" xfId="52115"/>
    <cellStyle name="Note 3 6 50" xfId="6638"/>
    <cellStyle name="Note 3 6 50 2" xfId="14355"/>
    <cellStyle name="Note 3 6 50 3" xfId="23348"/>
    <cellStyle name="Note 3 6 50 4" xfId="31535"/>
    <cellStyle name="Note 3 6 50 5" xfId="27727"/>
    <cellStyle name="Note 3 6 50 6" xfId="45200"/>
    <cellStyle name="Note 3 6 50 7" xfId="48224"/>
    <cellStyle name="Note 3 6 51" xfId="6750"/>
    <cellStyle name="Note 3 6 51 2" xfId="14467"/>
    <cellStyle name="Note 3 6 51 3" xfId="23460"/>
    <cellStyle name="Note 3 6 51 4" xfId="31647"/>
    <cellStyle name="Note 3 6 51 5" xfId="34604"/>
    <cellStyle name="Note 3 6 51 6" xfId="45312"/>
    <cellStyle name="Note 3 6 51 7" xfId="49874"/>
    <cellStyle name="Note 3 6 52" xfId="6865"/>
    <cellStyle name="Note 3 6 52 2" xfId="14582"/>
    <cellStyle name="Note 3 6 52 3" xfId="23575"/>
    <cellStyle name="Note 3 6 52 4" xfId="31762"/>
    <cellStyle name="Note 3 6 52 5" xfId="33744"/>
    <cellStyle name="Note 3 6 52 6" xfId="45427"/>
    <cellStyle name="Note 3 6 52 7" xfId="47069"/>
    <cellStyle name="Note 3 6 53" xfId="6978"/>
    <cellStyle name="Note 3 6 53 2" xfId="14695"/>
    <cellStyle name="Note 3 6 53 3" xfId="23688"/>
    <cellStyle name="Note 3 6 53 4" xfId="31875"/>
    <cellStyle name="Note 3 6 53 5" xfId="33977"/>
    <cellStyle name="Note 3 6 53 6" xfId="45540"/>
    <cellStyle name="Note 3 6 53 7" xfId="47026"/>
    <cellStyle name="Note 3 6 54" xfId="7089"/>
    <cellStyle name="Note 3 6 54 2" xfId="14806"/>
    <cellStyle name="Note 3 6 54 3" xfId="23799"/>
    <cellStyle name="Note 3 6 54 4" xfId="31986"/>
    <cellStyle name="Note 3 6 54 5" xfId="34758"/>
    <cellStyle name="Note 3 6 54 6" xfId="45651"/>
    <cellStyle name="Note 3 6 54 7" xfId="50276"/>
    <cellStyle name="Note 3 6 55" xfId="7190"/>
    <cellStyle name="Note 3 6 55 2" xfId="14907"/>
    <cellStyle name="Note 3 6 55 3" xfId="23900"/>
    <cellStyle name="Note 3 6 55 4" xfId="32087"/>
    <cellStyle name="Note 3 6 55 5" xfId="35910"/>
    <cellStyle name="Note 3 6 55 6" xfId="45752"/>
    <cellStyle name="Note 3 6 55 7" xfId="51774"/>
    <cellStyle name="Note 3 6 56" xfId="7228"/>
    <cellStyle name="Note 3 6 56 2" xfId="14945"/>
    <cellStyle name="Note 3 6 56 3" xfId="23938"/>
    <cellStyle name="Note 3 6 56 4" xfId="32125"/>
    <cellStyle name="Note 3 6 56 5" xfId="27749"/>
    <cellStyle name="Note 3 6 56 6" xfId="45790"/>
    <cellStyle name="Note 3 6 56 7" xfId="53527"/>
    <cellStyle name="Note 3 6 57" xfId="7486"/>
    <cellStyle name="Note 3 6 57 2" xfId="15203"/>
    <cellStyle name="Note 3 6 57 3" xfId="24196"/>
    <cellStyle name="Note 3 6 57 4" xfId="32383"/>
    <cellStyle name="Note 3 6 57 5" xfId="35770"/>
    <cellStyle name="Note 3 6 57 6" xfId="46048"/>
    <cellStyle name="Note 3 6 57 7" xfId="51899"/>
    <cellStyle name="Note 3 6 58" xfId="7607"/>
    <cellStyle name="Note 3 6 58 2" xfId="15324"/>
    <cellStyle name="Note 3 6 58 3" xfId="24317"/>
    <cellStyle name="Note 3 6 58 4" xfId="32504"/>
    <cellStyle name="Note 3 6 58 5" xfId="27993"/>
    <cellStyle name="Note 3 6 58 6" xfId="46169"/>
    <cellStyle name="Note 3 6 58 7" xfId="47820"/>
    <cellStyle name="Note 3 6 59" xfId="7883"/>
    <cellStyle name="Note 3 6 59 2" xfId="15600"/>
    <cellStyle name="Note 3 6 59 3" xfId="24587"/>
    <cellStyle name="Note 3 6 59 4" xfId="32780"/>
    <cellStyle name="Note 3 6 59 5" xfId="35619"/>
    <cellStyle name="Note 3 6 59 6" xfId="46445"/>
    <cellStyle name="Note 3 6 59 7" xfId="51730"/>
    <cellStyle name="Note 3 6 6" xfId="1504"/>
    <cellStyle name="Note 3 6 6 2" xfId="9327"/>
    <cellStyle name="Note 3 6 6 3" xfId="16755"/>
    <cellStyle name="Note 3 6 6 4" xfId="25594"/>
    <cellStyle name="Note 3 6 6 5" xfId="34104"/>
    <cellStyle name="Note 3 6 6 6" xfId="40827"/>
    <cellStyle name="Note 3 6 6 7" xfId="52083"/>
    <cellStyle name="Note 3 6 60" xfId="7774"/>
    <cellStyle name="Note 3 6 60 2" xfId="15491"/>
    <cellStyle name="Note 3 6 60 3" xfId="24480"/>
    <cellStyle name="Note 3 6 60 4" xfId="32671"/>
    <cellStyle name="Note 3 6 60 5" xfId="34509"/>
    <cellStyle name="Note 3 6 60 6" xfId="46336"/>
    <cellStyle name="Note 3 6 60 7" xfId="50653"/>
    <cellStyle name="Note 3 6 61" xfId="8011"/>
    <cellStyle name="Note 3 6 61 2" xfId="15728"/>
    <cellStyle name="Note 3 6 61 3" xfId="24713"/>
    <cellStyle name="Note 3 6 61 4" xfId="32908"/>
    <cellStyle name="Note 3 6 61 5" xfId="27134"/>
    <cellStyle name="Note 3 6 61 6" xfId="46573"/>
    <cellStyle name="Note 3 6 61 7" xfId="48744"/>
    <cellStyle name="Note 3 6 62" xfId="7743"/>
    <cellStyle name="Note 3 6 62 2" xfId="15460"/>
    <cellStyle name="Note 3 6 62 3" xfId="24451"/>
    <cellStyle name="Note 3 6 62 4" xfId="32640"/>
    <cellStyle name="Note 3 6 62 5" xfId="36207"/>
    <cellStyle name="Note 3 6 62 6" xfId="46305"/>
    <cellStyle name="Note 3 6 62 7" xfId="53908"/>
    <cellStyle name="Note 3 6 63" xfId="8159"/>
    <cellStyle name="Note 3 6 63 2" xfId="15876"/>
    <cellStyle name="Note 3 6 63 3" xfId="33056"/>
    <cellStyle name="Note 3 6 63 4" xfId="34266"/>
    <cellStyle name="Note 3 6 63 5" xfId="46721"/>
    <cellStyle name="Note 3 6 63 6" xfId="47824"/>
    <cellStyle name="Note 3 6 64" xfId="19223"/>
    <cellStyle name="Note 3 6 65" xfId="27739"/>
    <cellStyle name="Note 3 6 66" xfId="36307"/>
    <cellStyle name="Note 3 6 67" xfId="48409"/>
    <cellStyle name="Note 3 6 7" xfId="1148"/>
    <cellStyle name="Note 3 6 7 2" xfId="8971"/>
    <cellStyle name="Note 3 6 7 3" xfId="16399"/>
    <cellStyle name="Note 3 6 7 4" xfId="19054"/>
    <cellStyle name="Note 3 6 7 5" xfId="27605"/>
    <cellStyle name="Note 3 6 7 6" xfId="40306"/>
    <cellStyle name="Note 3 6 7 7" xfId="49870"/>
    <cellStyle name="Note 3 6 8" xfId="1741"/>
    <cellStyle name="Note 3 6 8 2" xfId="9564"/>
    <cellStyle name="Note 3 6 8 3" xfId="16992"/>
    <cellStyle name="Note 3 6 8 4" xfId="19868"/>
    <cellStyle name="Note 3 6 8 5" xfId="28674"/>
    <cellStyle name="Note 3 6 8 6" xfId="40682"/>
    <cellStyle name="Note 3 6 8 7" xfId="50033"/>
    <cellStyle name="Note 3 6 9" xfId="1875"/>
    <cellStyle name="Note 3 6 9 2" xfId="9698"/>
    <cellStyle name="Note 3 6 9 3" xfId="17126"/>
    <cellStyle name="Note 3 6 9 4" xfId="24957"/>
    <cellStyle name="Note 3 6 9 5" xfId="33295"/>
    <cellStyle name="Note 3 6 9 6" xfId="39833"/>
    <cellStyle name="Note 3 6 9 7" xfId="50688"/>
    <cellStyle name="Note 3 7" xfId="628"/>
    <cellStyle name="Note 3 7 2" xfId="8452"/>
    <cellStyle name="Note 3 7 3" xfId="8356"/>
    <cellStyle name="Note 3 7 4" xfId="20080"/>
    <cellStyle name="Note 3 7 5" xfId="27561"/>
    <cellStyle name="Note 3 7 6" xfId="37110"/>
    <cellStyle name="Note 3 7 7" xfId="46974"/>
    <cellStyle name="Note 3 8" xfId="611"/>
    <cellStyle name="Note 3 8 2" xfId="8435"/>
    <cellStyle name="Note 3 8 3" xfId="10863"/>
    <cellStyle name="Note 3 8 4" xfId="20583"/>
    <cellStyle name="Note 3 8 5" xfId="28094"/>
    <cellStyle name="Note 3 8 6" xfId="36782"/>
    <cellStyle name="Note 3 8 7" xfId="48010"/>
    <cellStyle name="Note 3 9" xfId="1107"/>
    <cellStyle name="Note 3 9 2" xfId="8931"/>
    <cellStyle name="Note 3 9 3" xfId="16359"/>
    <cellStyle name="Note 3 9 4" xfId="26479"/>
    <cellStyle name="Note 3 9 5" xfId="35263"/>
    <cellStyle name="Note 3 9 6" xfId="36731"/>
    <cellStyle name="Note 3 9 7" xfId="54030"/>
    <cellStyle name="Note 4" xfId="170"/>
    <cellStyle name="Note 4 10" xfId="1011"/>
    <cellStyle name="Note 4 10 2" xfId="8835"/>
    <cellStyle name="Note 4 10 3" xfId="16263"/>
    <cellStyle name="Note 4 10 4" xfId="19865"/>
    <cellStyle name="Note 4 10 5" xfId="26988"/>
    <cellStyle name="Note 4 10 6" xfId="36998"/>
    <cellStyle name="Note 4 10 7" xfId="49397"/>
    <cellStyle name="Note 4 11" xfId="1605"/>
    <cellStyle name="Note 4 11 2" xfId="9428"/>
    <cellStyle name="Note 4 11 3" xfId="16856"/>
    <cellStyle name="Note 4 11 4" xfId="19520"/>
    <cellStyle name="Note 4 11 5" xfId="28430"/>
    <cellStyle name="Note 4 11 6" xfId="38087"/>
    <cellStyle name="Note 4 11 7" xfId="49418"/>
    <cellStyle name="Note 4 12" xfId="2316"/>
    <cellStyle name="Note 4 12 2" xfId="10139"/>
    <cellStyle name="Note 4 12 3" xfId="17567"/>
    <cellStyle name="Note 4 12 4" xfId="25427"/>
    <cellStyle name="Note 4 12 5" xfId="33885"/>
    <cellStyle name="Note 4 12 6" xfId="36811"/>
    <cellStyle name="Note 4 12 7" xfId="51700"/>
    <cellStyle name="Note 4 13" xfId="1014"/>
    <cellStyle name="Note 4 13 2" xfId="8838"/>
    <cellStyle name="Note 4 13 3" xfId="16266"/>
    <cellStyle name="Note 4 13 4" xfId="24848"/>
    <cellStyle name="Note 4 13 5" xfId="26814"/>
    <cellStyle name="Note 4 13 6" xfId="36605"/>
    <cellStyle name="Note 4 13 7" xfId="49212"/>
    <cellStyle name="Note 4 14" xfId="2499"/>
    <cellStyle name="Note 4 14 2" xfId="10322"/>
    <cellStyle name="Note 4 14 3" xfId="17750"/>
    <cellStyle name="Note 4 14 4" xfId="25037"/>
    <cellStyle name="Note 4 14 5" xfId="33395"/>
    <cellStyle name="Note 4 14 6" xfId="37291"/>
    <cellStyle name="Note 4 14 7" xfId="50876"/>
    <cellStyle name="Note 4 15" xfId="3177"/>
    <cellStyle name="Note 4 15 2" xfId="10978"/>
    <cellStyle name="Note 4 15 3" xfId="18339"/>
    <cellStyle name="Note 4 15 4" xfId="25505"/>
    <cellStyle name="Note 4 15 5" xfId="33983"/>
    <cellStyle name="Note 4 15 6" xfId="37528"/>
    <cellStyle name="Note 4 15 7" xfId="51886"/>
    <cellStyle name="Note 4 16" xfId="3030"/>
    <cellStyle name="Note 4 16 2" xfId="10845"/>
    <cellStyle name="Note 4 16 3" xfId="18256"/>
    <cellStyle name="Note 4 16 4" xfId="19305"/>
    <cellStyle name="Note 4 16 5" xfId="28473"/>
    <cellStyle name="Note 4 16 6" xfId="37625"/>
    <cellStyle name="Note 4 16 7" xfId="50235"/>
    <cellStyle name="Note 4 17" xfId="3880"/>
    <cellStyle name="Note 4 17 2" xfId="11661"/>
    <cellStyle name="Note 4 17 3" xfId="18915"/>
    <cellStyle name="Note 4 17 4" xfId="26164"/>
    <cellStyle name="Note 4 17 5" xfId="34833"/>
    <cellStyle name="Note 4 17 6" xfId="41462"/>
    <cellStyle name="Note 4 17 7" xfId="53344"/>
    <cellStyle name="Note 4 18" xfId="4066"/>
    <cellStyle name="Note 4 18 2" xfId="11832"/>
    <cellStyle name="Note 4 18 3" xfId="20776"/>
    <cellStyle name="Note 4 18 4" xfId="28963"/>
    <cellStyle name="Note 4 18 5" xfId="33706"/>
    <cellStyle name="Note 4 18 6" xfId="42628"/>
    <cellStyle name="Note 4 18 7" xfId="50173"/>
    <cellStyle name="Note 4 19" xfId="4039"/>
    <cellStyle name="Note 4 19 2" xfId="11810"/>
    <cellStyle name="Note 4 19 3" xfId="20749"/>
    <cellStyle name="Note 4 19 4" xfId="28936"/>
    <cellStyle name="Note 4 19 5" xfId="35973"/>
    <cellStyle name="Note 4 19 6" xfId="42601"/>
    <cellStyle name="Note 4 19 7" xfId="53297"/>
    <cellStyle name="Note 4 2" xfId="266"/>
    <cellStyle name="Note 4 2 10" xfId="1134"/>
    <cellStyle name="Note 4 2 10 2" xfId="8957"/>
    <cellStyle name="Note 4 2 10 3" xfId="16385"/>
    <cellStyle name="Note 4 2 10 4" xfId="25228"/>
    <cellStyle name="Note 4 2 10 5" xfId="33629"/>
    <cellStyle name="Note 4 2 10 6" xfId="41634"/>
    <cellStyle name="Note 4 2 10 7" xfId="51281"/>
    <cellStyle name="Note 4 2 11" xfId="1419"/>
    <cellStyle name="Note 4 2 11 2" xfId="9242"/>
    <cellStyle name="Note 4 2 11 3" xfId="16670"/>
    <cellStyle name="Note 4 2 11 4" xfId="26591"/>
    <cellStyle name="Note 4 2 11 5" xfId="35412"/>
    <cellStyle name="Note 4 2 11 6" xfId="42075"/>
    <cellStyle name="Note 4 2 11 7" xfId="54259"/>
    <cellStyle name="Note 4 2 12" xfId="1047"/>
    <cellStyle name="Note 4 2 12 2" xfId="8871"/>
    <cellStyle name="Note 4 2 12 3" xfId="16299"/>
    <cellStyle name="Note 4 2 12 4" xfId="19813"/>
    <cellStyle name="Note 4 2 12 5" xfId="27903"/>
    <cellStyle name="Note 4 2 12 6" xfId="38197"/>
    <cellStyle name="Note 4 2 12 7" xfId="48023"/>
    <cellStyle name="Note 4 2 13" xfId="1282"/>
    <cellStyle name="Note 4 2 13 2" xfId="9105"/>
    <cellStyle name="Note 4 2 13 3" xfId="16533"/>
    <cellStyle name="Note 4 2 13 4" xfId="19659"/>
    <cellStyle name="Note 4 2 13 5" xfId="28831"/>
    <cellStyle name="Note 4 2 13 6" xfId="40067"/>
    <cellStyle name="Note 4 2 13 7" xfId="47187"/>
    <cellStyle name="Note 4 2 14" xfId="1015"/>
    <cellStyle name="Note 4 2 14 2" xfId="8839"/>
    <cellStyle name="Note 4 2 14 3" xfId="16267"/>
    <cellStyle name="Note 4 2 14 4" xfId="20074"/>
    <cellStyle name="Note 4 2 14 5" xfId="26934"/>
    <cellStyle name="Note 4 2 14 6" xfId="36741"/>
    <cellStyle name="Note 4 2 14 7" xfId="49107"/>
    <cellStyle name="Note 4 2 15" xfId="1307"/>
    <cellStyle name="Note 4 2 15 2" xfId="9130"/>
    <cellStyle name="Note 4 2 15 3" xfId="16558"/>
    <cellStyle name="Note 4 2 15 4" xfId="26190"/>
    <cellStyle name="Note 4 2 15 5" xfId="34868"/>
    <cellStyle name="Note 4 2 15 6" xfId="36417"/>
    <cellStyle name="Note 4 2 15 7" xfId="53403"/>
    <cellStyle name="Note 4 2 16" xfId="1573"/>
    <cellStyle name="Note 4 2 16 2" xfId="9396"/>
    <cellStyle name="Note 4 2 16 3" xfId="16824"/>
    <cellStyle name="Note 4 2 16 4" xfId="26013"/>
    <cellStyle name="Note 4 2 16 5" xfId="34640"/>
    <cellStyle name="Note 4 2 16 6" xfId="41207"/>
    <cellStyle name="Note 4 2 16 7" xfId="53020"/>
    <cellStyle name="Note 4 2 17" xfId="1664"/>
    <cellStyle name="Note 4 2 17 2" xfId="9487"/>
    <cellStyle name="Note 4 2 17 3" xfId="16915"/>
    <cellStyle name="Note 4 2 17 4" xfId="24917"/>
    <cellStyle name="Note 4 2 17 5" xfId="33242"/>
    <cellStyle name="Note 4 2 17 6" xfId="39625"/>
    <cellStyle name="Note 4 2 17 7" xfId="50602"/>
    <cellStyle name="Note 4 2 18" xfId="1786"/>
    <cellStyle name="Note 4 2 18 2" xfId="9609"/>
    <cellStyle name="Note 4 2 18 3" xfId="17037"/>
    <cellStyle name="Note 4 2 18 4" xfId="25891"/>
    <cellStyle name="Note 4 2 18 5" xfId="34486"/>
    <cellStyle name="Note 4 2 18 6" xfId="36737"/>
    <cellStyle name="Note 4 2 18 7" xfId="52766"/>
    <cellStyle name="Note 4 2 19" xfId="2308"/>
    <cellStyle name="Note 4 2 19 2" xfId="10131"/>
    <cellStyle name="Note 4 2 19 3" xfId="17559"/>
    <cellStyle name="Note 4 2 19 4" xfId="19716"/>
    <cellStyle name="Note 4 2 19 5" xfId="27156"/>
    <cellStyle name="Note 4 2 19 6" xfId="36385"/>
    <cellStyle name="Note 4 2 19 7" xfId="47867"/>
    <cellStyle name="Note 4 2 2" xfId="540"/>
    <cellStyle name="Note 4 2 2 10" xfId="1987"/>
    <cellStyle name="Note 4 2 2 10 2" xfId="9810"/>
    <cellStyle name="Note 4 2 2 10 3" xfId="17238"/>
    <cellStyle name="Note 4 2 2 10 4" xfId="26626"/>
    <cellStyle name="Note 4 2 2 10 5" xfId="35459"/>
    <cellStyle name="Note 4 2 2 10 6" xfId="36994"/>
    <cellStyle name="Note 4 2 2 10 7" xfId="54338"/>
    <cellStyle name="Note 4 2 2 11" xfId="2105"/>
    <cellStyle name="Note 4 2 2 11 2" xfId="9928"/>
    <cellStyle name="Note 4 2 2 11 3" xfId="17356"/>
    <cellStyle name="Note 4 2 2 11 4" xfId="19559"/>
    <cellStyle name="Note 4 2 2 11 5" xfId="27054"/>
    <cellStyle name="Note 4 2 2 11 6" xfId="39776"/>
    <cellStyle name="Note 4 2 2 11 7" xfId="48388"/>
    <cellStyle name="Note 4 2 2 12" xfId="2218"/>
    <cellStyle name="Note 4 2 2 12 2" xfId="10041"/>
    <cellStyle name="Note 4 2 2 12 3" xfId="17469"/>
    <cellStyle name="Note 4 2 2 12 4" xfId="25111"/>
    <cellStyle name="Note 4 2 2 12 5" xfId="33481"/>
    <cellStyle name="Note 4 2 2 12 6" xfId="37357"/>
    <cellStyle name="Note 4 2 2 12 7" xfId="51037"/>
    <cellStyle name="Note 4 2 2 13" xfId="2307"/>
    <cellStyle name="Note 4 2 2 13 2" xfId="10130"/>
    <cellStyle name="Note 4 2 2 13 3" xfId="17558"/>
    <cellStyle name="Note 4 2 2 13 4" xfId="24807"/>
    <cellStyle name="Note 4 2 2 13 5" xfId="28222"/>
    <cellStyle name="Note 4 2 2 13 6" xfId="36386"/>
    <cellStyle name="Note 4 2 2 13 7" xfId="48282"/>
    <cellStyle name="Note 4 2 2 14" xfId="2400"/>
    <cellStyle name="Note 4 2 2 14 2" xfId="10223"/>
    <cellStyle name="Note 4 2 2 14 3" xfId="17651"/>
    <cellStyle name="Note 4 2 2 14 4" xfId="26576"/>
    <cellStyle name="Note 4 2 2 14 5" xfId="35394"/>
    <cellStyle name="Note 4 2 2 14 6" xfId="39843"/>
    <cellStyle name="Note 4 2 2 14 7" xfId="54227"/>
    <cellStyle name="Note 4 2 2 15" xfId="2516"/>
    <cellStyle name="Note 4 2 2 15 2" xfId="10339"/>
    <cellStyle name="Note 4 2 2 15 3" xfId="17767"/>
    <cellStyle name="Note 4 2 2 15 4" xfId="19190"/>
    <cellStyle name="Note 4 2 2 15 5" xfId="33104"/>
    <cellStyle name="Note 4 2 2 15 6" xfId="36381"/>
    <cellStyle name="Note 4 2 2 15 7" xfId="49147"/>
    <cellStyle name="Note 4 2 2 16" xfId="2629"/>
    <cellStyle name="Note 4 2 2 16 2" xfId="10452"/>
    <cellStyle name="Note 4 2 2 16 3" xfId="17880"/>
    <cellStyle name="Note 4 2 2 16 4" xfId="26034"/>
    <cellStyle name="Note 4 2 2 16 5" xfId="34666"/>
    <cellStyle name="Note 4 2 2 16 6" xfId="39786"/>
    <cellStyle name="Note 4 2 2 16 7" xfId="53064"/>
    <cellStyle name="Note 4 2 2 17" xfId="2707"/>
    <cellStyle name="Note 4 2 2 17 2" xfId="10530"/>
    <cellStyle name="Note 4 2 2 17 3" xfId="17958"/>
    <cellStyle name="Note 4 2 2 17 4" xfId="25699"/>
    <cellStyle name="Note 4 2 2 17 5" xfId="34239"/>
    <cellStyle name="Note 4 2 2 17 6" xfId="38887"/>
    <cellStyle name="Note 4 2 2 17 7" xfId="52308"/>
    <cellStyle name="Note 4 2 2 18" xfId="2745"/>
    <cellStyle name="Note 4 2 2 18 2" xfId="10568"/>
    <cellStyle name="Note 4 2 2 18 3" xfId="17996"/>
    <cellStyle name="Note 4 2 2 18 4" xfId="25992"/>
    <cellStyle name="Note 4 2 2 18 5" xfId="34614"/>
    <cellStyle name="Note 4 2 2 18 6" xfId="37045"/>
    <cellStyle name="Note 4 2 2 18 7" xfId="52978"/>
    <cellStyle name="Note 4 2 2 19" xfId="2822"/>
    <cellStyle name="Note 4 2 2 19 2" xfId="10645"/>
    <cellStyle name="Note 4 2 2 19 3" xfId="18073"/>
    <cellStyle name="Note 4 2 2 19 4" xfId="20233"/>
    <cellStyle name="Note 4 2 2 19 5" xfId="26937"/>
    <cellStyle name="Note 4 2 2 19 6" xfId="41860"/>
    <cellStyle name="Note 4 2 2 19 7" xfId="49106"/>
    <cellStyle name="Note 4 2 2 2" xfId="690"/>
    <cellStyle name="Note 4 2 2 2 2" xfId="8514"/>
    <cellStyle name="Note 4 2 2 2 3" xfId="15942"/>
    <cellStyle name="Note 4 2 2 2 4" xfId="20054"/>
    <cellStyle name="Note 4 2 2 2 5" xfId="27263"/>
    <cellStyle name="Note 4 2 2 2 6" xfId="36703"/>
    <cellStyle name="Note 4 2 2 2 7" xfId="48486"/>
    <cellStyle name="Note 4 2 2 20" xfId="2929"/>
    <cellStyle name="Note 4 2 2 20 2" xfId="10752"/>
    <cellStyle name="Note 4 2 2 20 3" xfId="18180"/>
    <cellStyle name="Note 4 2 2 20 4" xfId="26029"/>
    <cellStyle name="Note 4 2 2 20 5" xfId="34660"/>
    <cellStyle name="Note 4 2 2 20 6" xfId="41347"/>
    <cellStyle name="Note 4 2 2 20 7" xfId="53054"/>
    <cellStyle name="Note 4 2 2 21" xfId="3305"/>
    <cellStyle name="Note 4 2 2 21 2" xfId="11098"/>
    <cellStyle name="Note 4 2 2 21 3" xfId="18427"/>
    <cellStyle name="Note 4 2 2 21 4" xfId="25282"/>
    <cellStyle name="Note 4 2 2 21 5" xfId="33694"/>
    <cellStyle name="Note 4 2 2 21 6" xfId="39062"/>
    <cellStyle name="Note 4 2 2 21 7" xfId="51393"/>
    <cellStyle name="Note 4 2 2 22" xfId="3425"/>
    <cellStyle name="Note 4 2 2 22 2" xfId="11216"/>
    <cellStyle name="Note 4 2 2 22 3" xfId="18538"/>
    <cellStyle name="Note 4 2 2 22 4" xfId="25723"/>
    <cellStyle name="Note 4 2 2 22 5" xfId="34269"/>
    <cellStyle name="Note 4 2 2 22 6" xfId="42000"/>
    <cellStyle name="Note 4 2 2 22 7" xfId="52369"/>
    <cellStyle name="Note 4 2 2 23" xfId="3551"/>
    <cellStyle name="Note 4 2 2 23 2" xfId="11340"/>
    <cellStyle name="Note 4 2 2 23 3" xfId="18626"/>
    <cellStyle name="Note 4 2 2 23 4" xfId="20029"/>
    <cellStyle name="Note 4 2 2 23 5" xfId="28471"/>
    <cellStyle name="Note 4 2 2 23 6" xfId="38071"/>
    <cellStyle name="Note 4 2 2 23 7" xfId="47459"/>
    <cellStyle name="Note 4 2 2 24" xfId="3124"/>
    <cellStyle name="Note 4 2 2 24 2" xfId="10929"/>
    <cellStyle name="Note 4 2 2 24 3" xfId="18307"/>
    <cellStyle name="Note 4 2 2 24 4" xfId="20698"/>
    <cellStyle name="Note 4 2 2 24 5" xfId="27706"/>
    <cellStyle name="Note 4 2 2 24 6" xfId="41467"/>
    <cellStyle name="Note 4 2 2 24 7" xfId="48257"/>
    <cellStyle name="Note 4 2 2 25" xfId="3696"/>
    <cellStyle name="Note 4 2 2 25 2" xfId="11481"/>
    <cellStyle name="Note 4 2 2 25 3" xfId="18754"/>
    <cellStyle name="Note 4 2 2 25 4" xfId="19782"/>
    <cellStyle name="Note 4 2 2 25 5" xfId="27387"/>
    <cellStyle name="Note 4 2 2 25 6" xfId="37212"/>
    <cellStyle name="Note 4 2 2 25 7" xfId="49535"/>
    <cellStyle name="Note 4 2 2 26" xfId="3826"/>
    <cellStyle name="Note 4 2 2 26 2" xfId="11608"/>
    <cellStyle name="Note 4 2 2 26 3" xfId="18865"/>
    <cellStyle name="Note 4 2 2 26 4" xfId="20106"/>
    <cellStyle name="Note 4 2 2 26 5" xfId="28229"/>
    <cellStyle name="Note 4 2 2 26 6" xfId="39383"/>
    <cellStyle name="Note 4 2 2 26 7" xfId="47615"/>
    <cellStyle name="Note 4 2 2 27" xfId="3944"/>
    <cellStyle name="Note 4 2 2 27 2" xfId="11724"/>
    <cellStyle name="Note 4 2 2 27 3" xfId="18974"/>
    <cellStyle name="Note 4 2 2 27 4" xfId="26515"/>
    <cellStyle name="Note 4 2 2 27 5" xfId="35312"/>
    <cellStyle name="Note 4 2 2 27 6" xfId="42236"/>
    <cellStyle name="Note 4 2 2 27 7" xfId="54103"/>
    <cellStyle name="Note 4 2 2 28" xfId="4017"/>
    <cellStyle name="Note 4 2 2 28 2" xfId="11792"/>
    <cellStyle name="Note 4 2 2 28 3" xfId="20727"/>
    <cellStyle name="Note 4 2 2 28 4" xfId="28914"/>
    <cellStyle name="Note 4 2 2 28 5" xfId="35931"/>
    <cellStyle name="Note 4 2 2 28 6" xfId="42579"/>
    <cellStyle name="Note 4 2 2 28 7" xfId="53083"/>
    <cellStyle name="Note 4 2 2 29" xfId="4141"/>
    <cellStyle name="Note 4 2 2 29 2" xfId="11900"/>
    <cellStyle name="Note 4 2 2 29 3" xfId="20851"/>
    <cellStyle name="Note 4 2 2 29 4" xfId="29038"/>
    <cellStyle name="Note 4 2 2 29 5" xfId="28183"/>
    <cellStyle name="Note 4 2 2 29 6" xfId="42703"/>
    <cellStyle name="Note 4 2 2 29 7" xfId="50343"/>
    <cellStyle name="Note 4 2 2 3" xfId="798"/>
    <cellStyle name="Note 4 2 2 3 2" xfId="8622"/>
    <cellStyle name="Note 4 2 2 3 3" xfId="16050"/>
    <cellStyle name="Note 4 2 2 3 4" xfId="24812"/>
    <cellStyle name="Note 4 2 2 3 5" xfId="27819"/>
    <cellStyle name="Note 4 2 2 3 6" xfId="36932"/>
    <cellStyle name="Note 4 2 2 3 7" xfId="47445"/>
    <cellStyle name="Note 4 2 2 30" xfId="4037"/>
    <cellStyle name="Note 4 2 2 30 2" xfId="20747"/>
    <cellStyle name="Note 4 2 2 30 3" xfId="28934"/>
    <cellStyle name="Note 4 2 2 30 4" xfId="36019"/>
    <cellStyle name="Note 4 2 2 30 5" xfId="42599"/>
    <cellStyle name="Note 4 2 2 30 6" xfId="53503"/>
    <cellStyle name="Note 4 2 2 31" xfId="4338"/>
    <cellStyle name="Note 4 2 2 31 2" xfId="12055"/>
    <cellStyle name="Note 4 2 2 31 3" xfId="21048"/>
    <cellStyle name="Note 4 2 2 31 4" xfId="29235"/>
    <cellStyle name="Note 4 2 2 31 5" xfId="27810"/>
    <cellStyle name="Note 4 2 2 31 6" xfId="42900"/>
    <cellStyle name="Note 4 2 2 31 7" xfId="46907"/>
    <cellStyle name="Note 4 2 2 32" xfId="4461"/>
    <cellStyle name="Note 4 2 2 32 2" xfId="12178"/>
    <cellStyle name="Note 4 2 2 32 3" xfId="21171"/>
    <cellStyle name="Note 4 2 2 32 4" xfId="29358"/>
    <cellStyle name="Note 4 2 2 32 5" xfId="27813"/>
    <cellStyle name="Note 4 2 2 32 6" xfId="43023"/>
    <cellStyle name="Note 4 2 2 32 7" xfId="49176"/>
    <cellStyle name="Note 4 2 2 33" xfId="4575"/>
    <cellStyle name="Note 4 2 2 33 2" xfId="12292"/>
    <cellStyle name="Note 4 2 2 33 3" xfId="21285"/>
    <cellStyle name="Note 4 2 2 33 4" xfId="29472"/>
    <cellStyle name="Note 4 2 2 33 5" xfId="35787"/>
    <cellStyle name="Note 4 2 2 33 6" xfId="43137"/>
    <cellStyle name="Note 4 2 2 33 7" xfId="52405"/>
    <cellStyle name="Note 4 2 2 34" xfId="4688"/>
    <cellStyle name="Note 4 2 2 34 2" xfId="12405"/>
    <cellStyle name="Note 4 2 2 34 3" xfId="21398"/>
    <cellStyle name="Note 4 2 2 34 4" xfId="29585"/>
    <cellStyle name="Note 4 2 2 34 5" xfId="35672"/>
    <cellStyle name="Note 4 2 2 34 6" xfId="43250"/>
    <cellStyle name="Note 4 2 2 34 7" xfId="51788"/>
    <cellStyle name="Note 4 2 2 35" xfId="4799"/>
    <cellStyle name="Note 4 2 2 35 2" xfId="12516"/>
    <cellStyle name="Note 4 2 2 35 3" xfId="21509"/>
    <cellStyle name="Note 4 2 2 35 4" xfId="29696"/>
    <cellStyle name="Note 4 2 2 35 5" xfId="35709"/>
    <cellStyle name="Note 4 2 2 35 6" xfId="43361"/>
    <cellStyle name="Note 4 2 2 35 7" xfId="52009"/>
    <cellStyle name="Note 4 2 2 36" xfId="4908"/>
    <cellStyle name="Note 4 2 2 36 2" xfId="12625"/>
    <cellStyle name="Note 4 2 2 36 3" xfId="21618"/>
    <cellStyle name="Note 4 2 2 36 4" xfId="29805"/>
    <cellStyle name="Note 4 2 2 36 5" xfId="35113"/>
    <cellStyle name="Note 4 2 2 36 6" xfId="43470"/>
    <cellStyle name="Note 4 2 2 36 7" xfId="47718"/>
    <cellStyle name="Note 4 2 2 37" xfId="5019"/>
    <cellStyle name="Note 4 2 2 37 2" xfId="12736"/>
    <cellStyle name="Note 4 2 2 37 3" xfId="21729"/>
    <cellStyle name="Note 4 2 2 37 4" xfId="29916"/>
    <cellStyle name="Note 4 2 2 37 5" xfId="35757"/>
    <cellStyle name="Note 4 2 2 37 6" xfId="43581"/>
    <cellStyle name="Note 4 2 2 37 7" xfId="52278"/>
    <cellStyle name="Note 4 2 2 38" xfId="5398"/>
    <cellStyle name="Note 4 2 2 38 2" xfId="13115"/>
    <cellStyle name="Note 4 2 2 38 3" xfId="22108"/>
    <cellStyle name="Note 4 2 2 38 4" xfId="30295"/>
    <cellStyle name="Note 4 2 2 38 5" xfId="35599"/>
    <cellStyle name="Note 4 2 2 38 6" xfId="43960"/>
    <cellStyle name="Note 4 2 2 38 7" xfId="51491"/>
    <cellStyle name="Note 4 2 2 39" xfId="5518"/>
    <cellStyle name="Note 4 2 2 39 2" xfId="13235"/>
    <cellStyle name="Note 4 2 2 39 3" xfId="22228"/>
    <cellStyle name="Note 4 2 2 39 4" xfId="30415"/>
    <cellStyle name="Note 4 2 2 39 5" xfId="35212"/>
    <cellStyle name="Note 4 2 2 39 6" xfId="44080"/>
    <cellStyle name="Note 4 2 2 39 7" xfId="49038"/>
    <cellStyle name="Note 4 2 2 4" xfId="909"/>
    <cellStyle name="Note 4 2 2 4 2" xfId="8733"/>
    <cellStyle name="Note 4 2 2 4 3" xfId="16161"/>
    <cellStyle name="Note 4 2 2 4 4" xfId="26040"/>
    <cellStyle name="Note 4 2 2 4 5" xfId="34674"/>
    <cellStyle name="Note 4 2 2 4 6" xfId="36553"/>
    <cellStyle name="Note 4 2 2 4 7" xfId="53075"/>
    <cellStyle name="Note 4 2 2 40" xfId="5642"/>
    <cellStyle name="Note 4 2 2 40 2" xfId="13359"/>
    <cellStyle name="Note 4 2 2 40 3" xfId="22352"/>
    <cellStyle name="Note 4 2 2 40 4" xfId="30539"/>
    <cellStyle name="Note 4 2 2 40 5" xfId="36226"/>
    <cellStyle name="Note 4 2 2 40 6" xfId="44204"/>
    <cellStyle name="Note 4 2 2 40 7" xfId="47208"/>
    <cellStyle name="Note 4 2 2 41" xfId="5758"/>
    <cellStyle name="Note 4 2 2 41 2" xfId="13475"/>
    <cellStyle name="Note 4 2 2 41 3" xfId="22468"/>
    <cellStyle name="Note 4 2 2 41 4" xfId="30655"/>
    <cellStyle name="Note 4 2 2 41 5" xfId="35685"/>
    <cellStyle name="Note 4 2 2 41 6" xfId="44320"/>
    <cellStyle name="Note 4 2 2 41 7" xfId="51304"/>
    <cellStyle name="Note 4 2 2 42" xfId="5874"/>
    <cellStyle name="Note 4 2 2 42 2" xfId="13591"/>
    <cellStyle name="Note 4 2 2 42 3" xfId="22584"/>
    <cellStyle name="Note 4 2 2 42 4" xfId="30771"/>
    <cellStyle name="Note 4 2 2 42 5" xfId="35793"/>
    <cellStyle name="Note 4 2 2 42 6" xfId="44436"/>
    <cellStyle name="Note 4 2 2 42 7" xfId="47602"/>
    <cellStyle name="Note 4 2 2 43" xfId="6003"/>
    <cellStyle name="Note 4 2 2 43 2" xfId="13720"/>
    <cellStyle name="Note 4 2 2 43 3" xfId="22713"/>
    <cellStyle name="Note 4 2 2 43 4" xfId="30900"/>
    <cellStyle name="Note 4 2 2 43 5" xfId="36224"/>
    <cellStyle name="Note 4 2 2 43 6" xfId="44565"/>
    <cellStyle name="Note 4 2 2 43 7" xfId="54371"/>
    <cellStyle name="Note 4 2 2 44" xfId="6101"/>
    <cellStyle name="Note 4 2 2 44 2" xfId="13818"/>
    <cellStyle name="Note 4 2 2 44 3" xfId="22811"/>
    <cellStyle name="Note 4 2 2 44 4" xfId="30998"/>
    <cellStyle name="Note 4 2 2 44 5" xfId="35582"/>
    <cellStyle name="Note 4 2 2 44 6" xfId="44663"/>
    <cellStyle name="Note 4 2 2 44 7" xfId="51105"/>
    <cellStyle name="Note 4 2 2 45" xfId="5581"/>
    <cellStyle name="Note 4 2 2 45 2" xfId="13298"/>
    <cellStyle name="Note 4 2 2 45 3" xfId="22291"/>
    <cellStyle name="Note 4 2 2 45 4" xfId="30478"/>
    <cellStyle name="Note 4 2 2 45 5" xfId="28779"/>
    <cellStyle name="Note 4 2 2 45 6" xfId="44143"/>
    <cellStyle name="Note 4 2 2 45 7" xfId="47156"/>
    <cellStyle name="Note 4 2 2 46" xfId="6259"/>
    <cellStyle name="Note 4 2 2 46 2" xfId="13976"/>
    <cellStyle name="Note 4 2 2 46 3" xfId="22969"/>
    <cellStyle name="Note 4 2 2 46 4" xfId="31156"/>
    <cellStyle name="Note 4 2 2 46 5" xfId="28730"/>
    <cellStyle name="Note 4 2 2 46 6" xfId="44821"/>
    <cellStyle name="Note 4 2 2 46 7" xfId="49247"/>
    <cellStyle name="Note 4 2 2 47" xfId="6375"/>
    <cellStyle name="Note 4 2 2 47 2" xfId="14092"/>
    <cellStyle name="Note 4 2 2 47 3" xfId="23085"/>
    <cellStyle name="Note 4 2 2 47 4" xfId="31272"/>
    <cellStyle name="Note 4 2 2 47 5" xfId="35896"/>
    <cellStyle name="Note 4 2 2 47 6" xfId="44937"/>
    <cellStyle name="Note 4 2 2 47 7" xfId="52595"/>
    <cellStyle name="Note 4 2 2 48" xfId="6486"/>
    <cellStyle name="Note 4 2 2 48 2" xfId="14203"/>
    <cellStyle name="Note 4 2 2 48 3" xfId="23196"/>
    <cellStyle name="Note 4 2 2 48 4" xfId="31383"/>
    <cellStyle name="Note 4 2 2 48 5" xfId="28876"/>
    <cellStyle name="Note 4 2 2 48 6" xfId="45048"/>
    <cellStyle name="Note 4 2 2 48 7" xfId="46977"/>
    <cellStyle name="Note 4 2 2 49" xfId="6552"/>
    <cellStyle name="Note 4 2 2 49 2" xfId="14269"/>
    <cellStyle name="Note 4 2 2 49 3" xfId="23262"/>
    <cellStyle name="Note 4 2 2 49 4" xfId="31449"/>
    <cellStyle name="Note 4 2 2 49 5" xfId="35320"/>
    <cellStyle name="Note 4 2 2 49 6" xfId="45114"/>
    <cellStyle name="Note 4 2 2 49 7" xfId="47797"/>
    <cellStyle name="Note 4 2 2 5" xfId="1375"/>
    <cellStyle name="Note 4 2 2 5 2" xfId="9198"/>
    <cellStyle name="Note 4 2 2 5 3" xfId="16626"/>
    <cellStyle name="Note 4 2 2 5 4" xfId="25862"/>
    <cellStyle name="Note 4 2 2 5 5" xfId="34450"/>
    <cellStyle name="Note 4 2 2 5 6" xfId="39006"/>
    <cellStyle name="Note 4 2 2 5 7" xfId="52698"/>
    <cellStyle name="Note 4 2 2 50" xfId="6632"/>
    <cellStyle name="Note 4 2 2 50 2" xfId="14349"/>
    <cellStyle name="Note 4 2 2 50 3" xfId="23342"/>
    <cellStyle name="Note 4 2 2 50 4" xfId="31529"/>
    <cellStyle name="Note 4 2 2 50 5" xfId="35638"/>
    <cellStyle name="Note 4 2 2 50 6" xfId="45194"/>
    <cellStyle name="Note 4 2 2 50 7" xfId="50936"/>
    <cellStyle name="Note 4 2 2 51" xfId="6744"/>
    <cellStyle name="Note 4 2 2 51 2" xfId="14461"/>
    <cellStyle name="Note 4 2 2 51 3" xfId="23454"/>
    <cellStyle name="Note 4 2 2 51 4" xfId="31641"/>
    <cellStyle name="Note 4 2 2 51 5" xfId="34926"/>
    <cellStyle name="Note 4 2 2 51 6" xfId="45306"/>
    <cellStyle name="Note 4 2 2 51 7" xfId="49788"/>
    <cellStyle name="Note 4 2 2 52" xfId="6859"/>
    <cellStyle name="Note 4 2 2 52 2" xfId="14576"/>
    <cellStyle name="Note 4 2 2 52 3" xfId="23569"/>
    <cellStyle name="Note 4 2 2 52 4" xfId="31756"/>
    <cellStyle name="Note 4 2 2 52 5" xfId="34216"/>
    <cellStyle name="Note 4 2 2 52 6" xfId="45421"/>
    <cellStyle name="Note 4 2 2 52 7" xfId="54530"/>
    <cellStyle name="Note 4 2 2 53" xfId="6972"/>
    <cellStyle name="Note 4 2 2 53 2" xfId="14689"/>
    <cellStyle name="Note 4 2 2 53 3" xfId="23682"/>
    <cellStyle name="Note 4 2 2 53 4" xfId="31869"/>
    <cellStyle name="Note 4 2 2 53 5" xfId="34074"/>
    <cellStyle name="Note 4 2 2 53 6" xfId="45534"/>
    <cellStyle name="Note 4 2 2 53 7" xfId="46806"/>
    <cellStyle name="Note 4 2 2 54" xfId="7083"/>
    <cellStyle name="Note 4 2 2 54 2" xfId="14800"/>
    <cellStyle name="Note 4 2 2 54 3" xfId="23793"/>
    <cellStyle name="Note 4 2 2 54 4" xfId="31980"/>
    <cellStyle name="Note 4 2 2 54 5" xfId="35376"/>
    <cellStyle name="Note 4 2 2 54 6" xfId="45645"/>
    <cellStyle name="Note 4 2 2 54 7" xfId="47530"/>
    <cellStyle name="Note 4 2 2 55" xfId="7196"/>
    <cellStyle name="Note 4 2 2 55 2" xfId="14913"/>
    <cellStyle name="Note 4 2 2 55 3" xfId="23906"/>
    <cellStyle name="Note 4 2 2 55 4" xfId="32093"/>
    <cellStyle name="Note 4 2 2 55 5" xfId="35788"/>
    <cellStyle name="Note 4 2 2 55 6" xfId="45758"/>
    <cellStyle name="Note 4 2 2 55 7" xfId="51951"/>
    <cellStyle name="Note 4 2 2 56" xfId="7252"/>
    <cellStyle name="Note 4 2 2 56 2" xfId="14969"/>
    <cellStyle name="Note 4 2 2 56 3" xfId="23962"/>
    <cellStyle name="Note 4 2 2 56 4" xfId="32149"/>
    <cellStyle name="Note 4 2 2 56 5" xfId="27479"/>
    <cellStyle name="Note 4 2 2 56 6" xfId="45814"/>
    <cellStyle name="Note 4 2 2 56 7" xfId="54411"/>
    <cellStyle name="Note 4 2 2 57" xfId="7480"/>
    <cellStyle name="Note 4 2 2 57 2" xfId="15197"/>
    <cellStyle name="Note 4 2 2 57 3" xfId="24190"/>
    <cellStyle name="Note 4 2 2 57 4" xfId="32377"/>
    <cellStyle name="Note 4 2 2 57 5" xfId="35658"/>
    <cellStyle name="Note 4 2 2 57 6" xfId="46042"/>
    <cellStyle name="Note 4 2 2 57 7" xfId="52467"/>
    <cellStyle name="Note 4 2 2 58" xfId="7601"/>
    <cellStyle name="Note 4 2 2 58 2" xfId="15318"/>
    <cellStyle name="Note 4 2 2 58 3" xfId="24311"/>
    <cellStyle name="Note 4 2 2 58 4" xfId="32498"/>
    <cellStyle name="Note 4 2 2 58 5" xfId="27808"/>
    <cellStyle name="Note 4 2 2 58 6" xfId="46163"/>
    <cellStyle name="Note 4 2 2 58 7" xfId="50627"/>
    <cellStyle name="Note 4 2 2 59" xfId="7877"/>
    <cellStyle name="Note 4 2 2 59 2" xfId="15594"/>
    <cellStyle name="Note 4 2 2 59 3" xfId="24581"/>
    <cellStyle name="Note 4 2 2 59 4" xfId="32774"/>
    <cellStyle name="Note 4 2 2 59 5" xfId="35160"/>
    <cellStyle name="Note 4 2 2 59 6" xfId="46439"/>
    <cellStyle name="Note 4 2 2 59 7" xfId="52372"/>
    <cellStyle name="Note 4 2 2 6" xfId="1498"/>
    <cellStyle name="Note 4 2 2 6 2" xfId="9321"/>
    <cellStyle name="Note 4 2 2 6 3" xfId="16749"/>
    <cellStyle name="Note 4 2 2 6 4" xfId="25847"/>
    <cellStyle name="Note 4 2 2 6 5" xfId="34434"/>
    <cellStyle name="Note 4 2 2 6 6" xfId="41469"/>
    <cellStyle name="Note 4 2 2 6 7" xfId="52666"/>
    <cellStyle name="Note 4 2 2 60" xfId="7968"/>
    <cellStyle name="Note 4 2 2 60 2" xfId="15685"/>
    <cellStyle name="Note 4 2 2 60 3" xfId="24671"/>
    <cellStyle name="Note 4 2 2 60 4" xfId="32865"/>
    <cellStyle name="Note 4 2 2 60 5" xfId="36083"/>
    <cellStyle name="Note 4 2 2 60 6" xfId="46530"/>
    <cellStyle name="Note 4 2 2 60 7" xfId="53237"/>
    <cellStyle name="Note 4 2 2 61" xfId="7980"/>
    <cellStyle name="Note 4 2 2 61 2" xfId="15697"/>
    <cellStyle name="Note 4 2 2 61 3" xfId="24682"/>
    <cellStyle name="Note 4 2 2 61 4" xfId="32877"/>
    <cellStyle name="Note 4 2 2 61 5" xfId="35850"/>
    <cellStyle name="Note 4 2 2 61 6" xfId="46542"/>
    <cellStyle name="Note 4 2 2 61 7" xfId="47616"/>
    <cellStyle name="Note 4 2 2 62" xfId="8080"/>
    <cellStyle name="Note 4 2 2 62 2" xfId="15797"/>
    <cellStyle name="Note 4 2 2 62 3" xfId="24781"/>
    <cellStyle name="Note 4 2 2 62 4" xfId="32977"/>
    <cellStyle name="Note 4 2 2 62 5" xfId="35157"/>
    <cellStyle name="Note 4 2 2 62 6" xfId="46642"/>
    <cellStyle name="Note 4 2 2 62 7" xfId="48812"/>
    <cellStyle name="Note 4 2 2 63" xfId="8153"/>
    <cellStyle name="Note 4 2 2 63 2" xfId="15870"/>
    <cellStyle name="Note 4 2 2 63 3" xfId="33050"/>
    <cellStyle name="Note 4 2 2 63 4" xfId="27004"/>
    <cellStyle name="Note 4 2 2 63 5" xfId="46715"/>
    <cellStyle name="Note 4 2 2 63 6" xfId="47272"/>
    <cellStyle name="Note 4 2 2 64" xfId="20181"/>
    <cellStyle name="Note 4 2 2 65" xfId="28816"/>
    <cellStyle name="Note 4 2 2 66" xfId="36265"/>
    <cellStyle name="Note 4 2 2 67" xfId="47688"/>
    <cellStyle name="Note 4 2 2 7" xfId="1604"/>
    <cellStyle name="Note 4 2 2 7 2" xfId="9427"/>
    <cellStyle name="Note 4 2 2 7 3" xfId="16855"/>
    <cellStyle name="Note 4 2 2 7 4" xfId="20065"/>
    <cellStyle name="Note 4 2 2 7 5" xfId="28845"/>
    <cellStyle name="Note 4 2 2 7 6" xfId="38165"/>
    <cellStyle name="Note 4 2 2 7 7" xfId="47402"/>
    <cellStyle name="Note 4 2 2 8" xfId="1735"/>
    <cellStyle name="Note 4 2 2 8 2" xfId="9558"/>
    <cellStyle name="Note 4 2 2 8 3" xfId="16986"/>
    <cellStyle name="Note 4 2 2 8 4" xfId="24965"/>
    <cellStyle name="Note 4 2 2 8 5" xfId="33303"/>
    <cellStyle name="Note 4 2 2 8 6" xfId="41143"/>
    <cellStyle name="Note 4 2 2 8 7" xfId="50707"/>
    <cellStyle name="Note 4 2 2 9" xfId="1869"/>
    <cellStyle name="Note 4 2 2 9 2" xfId="9692"/>
    <cellStyle name="Note 4 2 2 9 3" xfId="17120"/>
    <cellStyle name="Note 4 2 2 9 4" xfId="25195"/>
    <cellStyle name="Note 4 2 2 9 5" xfId="33579"/>
    <cellStyle name="Note 4 2 2 9 6" xfId="40429"/>
    <cellStyle name="Note 4 2 2 9 7" xfId="51206"/>
    <cellStyle name="Note 4 2 20" xfId="2302"/>
    <cellStyle name="Note 4 2 20 2" xfId="10125"/>
    <cellStyle name="Note 4 2 20 3" xfId="17553"/>
    <cellStyle name="Note 4 2 20 4" xfId="19275"/>
    <cellStyle name="Note 4 2 20 5" xfId="28190"/>
    <cellStyle name="Note 4 2 20 6" xfId="37958"/>
    <cellStyle name="Note 4 2 20 7" xfId="49471"/>
    <cellStyle name="Note 4 2 21" xfId="2330"/>
    <cellStyle name="Note 4 2 21 2" xfId="10153"/>
    <cellStyle name="Note 4 2 21 3" xfId="17581"/>
    <cellStyle name="Note 4 2 21 4" xfId="26541"/>
    <cellStyle name="Note 4 2 21 5" xfId="35341"/>
    <cellStyle name="Note 4 2 21 6" xfId="40521"/>
    <cellStyle name="Note 4 2 21 7" xfId="54150"/>
    <cellStyle name="Note 4 2 22" xfId="2346"/>
    <cellStyle name="Note 4 2 22 2" xfId="10169"/>
    <cellStyle name="Note 4 2 22 3" xfId="17597"/>
    <cellStyle name="Note 4 2 22 4" xfId="25729"/>
    <cellStyle name="Note 4 2 22 5" xfId="34277"/>
    <cellStyle name="Note 4 2 22 6" xfId="38676"/>
    <cellStyle name="Note 4 2 22 7" xfId="52384"/>
    <cellStyle name="Note 4 2 23" xfId="1671"/>
    <cellStyle name="Note 4 2 23 2" xfId="9494"/>
    <cellStyle name="Note 4 2 23 3" xfId="16922"/>
    <cellStyle name="Note 4 2 23 4" xfId="19306"/>
    <cellStyle name="Note 4 2 23 5" xfId="27426"/>
    <cellStyle name="Note 4 2 23 6" xfId="38605"/>
    <cellStyle name="Note 4 2 23 7" xfId="49999"/>
    <cellStyle name="Note 4 2 24" xfId="975"/>
    <cellStyle name="Note 4 2 24 2" xfId="8799"/>
    <cellStyle name="Note 4 2 24 3" xfId="16227"/>
    <cellStyle name="Note 4 2 24 4" xfId="26148"/>
    <cellStyle name="Note 4 2 24 5" xfId="34814"/>
    <cellStyle name="Note 4 2 24 6" xfId="36995"/>
    <cellStyle name="Note 4 2 24 7" xfId="53314"/>
    <cellStyle name="Note 4 2 25" xfId="966"/>
    <cellStyle name="Note 4 2 25 2" xfId="8790"/>
    <cellStyle name="Note 4 2 25 3" xfId="16218"/>
    <cellStyle name="Note 4 2 25 4" xfId="19626"/>
    <cellStyle name="Note 4 2 25 5" xfId="28042"/>
    <cellStyle name="Note 4 2 25 6" xfId="38274"/>
    <cellStyle name="Note 4 2 25 7" xfId="48142"/>
    <cellStyle name="Note 4 2 26" xfId="3116"/>
    <cellStyle name="Note 4 2 26 2" xfId="10921"/>
    <cellStyle name="Note 4 2 26 3" xfId="18302"/>
    <cellStyle name="Note 4 2 26 4" xfId="20494"/>
    <cellStyle name="Note 4 2 26 5" xfId="27653"/>
    <cellStyle name="Note 4 2 26 6" xfId="41811"/>
    <cellStyle name="Note 4 2 26 7" xfId="48950"/>
    <cellStyle name="Note 4 2 27" xfId="3354"/>
    <cellStyle name="Note 4 2 27 2" xfId="11147"/>
    <cellStyle name="Note 4 2 27 3" xfId="18473"/>
    <cellStyle name="Note 4 2 27 4" xfId="19538"/>
    <cellStyle name="Note 4 2 27 5" xfId="28191"/>
    <cellStyle name="Note 4 2 27 6" xfId="41642"/>
    <cellStyle name="Note 4 2 27 7" xfId="48497"/>
    <cellStyle name="Note 4 2 28" xfId="3146"/>
    <cellStyle name="Note 4 2 28 2" xfId="10950"/>
    <cellStyle name="Note 4 2 28 3" xfId="18322"/>
    <cellStyle name="Note 4 2 28 4" xfId="19418"/>
    <cellStyle name="Note 4 2 28 5" xfId="27532"/>
    <cellStyle name="Note 4 2 28 6" xfId="40527"/>
    <cellStyle name="Note 4 2 28 7" xfId="48544"/>
    <cellStyle name="Note 4 2 29" xfId="3167"/>
    <cellStyle name="Note 4 2 29 2" xfId="10969"/>
    <cellStyle name="Note 4 2 29 3" xfId="18336"/>
    <cellStyle name="Note 4 2 29 4" xfId="25910"/>
    <cellStyle name="Note 4 2 29 5" xfId="34510"/>
    <cellStyle name="Note 4 2 29 6" xfId="38005"/>
    <cellStyle name="Note 4 2 29 7" xfId="52805"/>
    <cellStyle name="Note 4 2 3" xfId="502"/>
    <cellStyle name="Note 4 2 3 10" xfId="1949"/>
    <cellStyle name="Note 4 2 3 10 2" xfId="9772"/>
    <cellStyle name="Note 4 2 3 10 3" xfId="17200"/>
    <cellStyle name="Note 4 2 3 10 4" xfId="25549"/>
    <cellStyle name="Note 4 2 3 10 5" xfId="34042"/>
    <cellStyle name="Note 4 2 3 10 6" xfId="40634"/>
    <cellStyle name="Note 4 2 3 10 7" xfId="51976"/>
    <cellStyle name="Note 4 2 3 11" xfId="2067"/>
    <cellStyle name="Note 4 2 3 11 2" xfId="9890"/>
    <cellStyle name="Note 4 2 3 11 3" xfId="17318"/>
    <cellStyle name="Note 4 2 3 11 4" xfId="19722"/>
    <cellStyle name="Note 4 2 3 11 5" xfId="27657"/>
    <cellStyle name="Note 4 2 3 11 6" xfId="39435"/>
    <cellStyle name="Note 4 2 3 11 7" xfId="47654"/>
    <cellStyle name="Note 4 2 3 12" xfId="2180"/>
    <cellStyle name="Note 4 2 3 12 2" xfId="10003"/>
    <cellStyle name="Note 4 2 3 12 3" xfId="17431"/>
    <cellStyle name="Note 4 2 3 12 4" xfId="26498"/>
    <cellStyle name="Note 4 2 3 12 5" xfId="35291"/>
    <cellStyle name="Note 4 2 3 12 6" xfId="39231"/>
    <cellStyle name="Note 4 2 3 12 7" xfId="54075"/>
    <cellStyle name="Note 4 2 3 13" xfId="1196"/>
    <cellStyle name="Note 4 2 3 13 2" xfId="9019"/>
    <cellStyle name="Note 4 2 3 13 3" xfId="16447"/>
    <cellStyle name="Note 4 2 3 13 4" xfId="25707"/>
    <cellStyle name="Note 4 2 3 13 5" xfId="34247"/>
    <cellStyle name="Note 4 2 3 13 6" xfId="41760"/>
    <cellStyle name="Note 4 2 3 13 7" xfId="52324"/>
    <cellStyle name="Note 4 2 3 14" xfId="2365"/>
    <cellStyle name="Note 4 2 3 14 2" xfId="10188"/>
    <cellStyle name="Note 4 2 3 14 3" xfId="17616"/>
    <cellStyle name="Note 4 2 3 14 4" xfId="19812"/>
    <cellStyle name="Note 4 2 3 14 5" xfId="26802"/>
    <cellStyle name="Note 4 2 3 14 6" xfId="37360"/>
    <cellStyle name="Note 4 2 3 14 7" xfId="50327"/>
    <cellStyle name="Note 4 2 3 15" xfId="2478"/>
    <cellStyle name="Note 4 2 3 15 2" xfId="10301"/>
    <cellStyle name="Note 4 2 3 15 3" xfId="17729"/>
    <cellStyle name="Note 4 2 3 15 4" xfId="19710"/>
    <cellStyle name="Note 4 2 3 15 5" xfId="27979"/>
    <cellStyle name="Note 4 2 3 15 6" xfId="38710"/>
    <cellStyle name="Note 4 2 3 15 7" xfId="48066"/>
    <cellStyle name="Note 4 2 3 16" xfId="2591"/>
    <cellStyle name="Note 4 2 3 16 2" xfId="10414"/>
    <cellStyle name="Note 4 2 3 16 3" xfId="17842"/>
    <cellStyle name="Note 4 2 3 16 4" xfId="20369"/>
    <cellStyle name="Note 4 2 3 16 5" xfId="26894"/>
    <cellStyle name="Note 4 2 3 16 6" xfId="39681"/>
    <cellStyle name="Note 4 2 3 16 7" xfId="49713"/>
    <cellStyle name="Note 4 2 3 17" xfId="2686"/>
    <cellStyle name="Note 4 2 3 17 2" xfId="10509"/>
    <cellStyle name="Note 4 2 3 17 3" xfId="17937"/>
    <cellStyle name="Note 4 2 3 17 4" xfId="26613"/>
    <cellStyle name="Note 4 2 3 17 5" xfId="35441"/>
    <cellStyle name="Note 4 2 3 17 6" xfId="41084"/>
    <cellStyle name="Note 4 2 3 17 7" xfId="54312"/>
    <cellStyle name="Note 4 2 3 18" xfId="2443"/>
    <cellStyle name="Note 4 2 3 18 2" xfId="10266"/>
    <cellStyle name="Note 4 2 3 18 3" xfId="17694"/>
    <cellStyle name="Note 4 2 3 18 4" xfId="20425"/>
    <cellStyle name="Note 4 2 3 18 5" xfId="27372"/>
    <cellStyle name="Note 4 2 3 18 6" xfId="36913"/>
    <cellStyle name="Note 4 2 3 18 7" xfId="49037"/>
    <cellStyle name="Note 4 2 3 19" xfId="2785"/>
    <cellStyle name="Note 4 2 3 19 2" xfId="10608"/>
    <cellStyle name="Note 4 2 3 19 3" xfId="18036"/>
    <cellStyle name="Note 4 2 3 19 4" xfId="25406"/>
    <cellStyle name="Note 4 2 3 19 5" xfId="33861"/>
    <cellStyle name="Note 4 2 3 19 6" xfId="36490"/>
    <cellStyle name="Note 4 2 3 19 7" xfId="51659"/>
    <cellStyle name="Note 4 2 3 2" xfId="653"/>
    <cellStyle name="Note 4 2 3 2 2" xfId="8477"/>
    <cellStyle name="Note 4 2 3 2 3" xfId="8281"/>
    <cellStyle name="Note 4 2 3 2 4" xfId="25743"/>
    <cellStyle name="Note 4 2 3 2 5" xfId="34294"/>
    <cellStyle name="Note 4 2 3 2 6" xfId="36575"/>
    <cellStyle name="Note 4 2 3 2 7" xfId="52420"/>
    <cellStyle name="Note 4 2 3 20" xfId="2892"/>
    <cellStyle name="Note 4 2 3 20 2" xfId="10715"/>
    <cellStyle name="Note 4 2 3 20 3" xfId="18143"/>
    <cellStyle name="Note 4 2 3 20 4" xfId="19627"/>
    <cellStyle name="Note 4 2 3 20 5" xfId="27626"/>
    <cellStyle name="Note 4 2 3 20 6" xfId="38291"/>
    <cellStyle name="Note 4 2 3 20 7" xfId="49322"/>
    <cellStyle name="Note 4 2 3 21" xfId="3268"/>
    <cellStyle name="Note 4 2 3 21 2" xfId="11061"/>
    <cellStyle name="Note 4 2 3 21 3" xfId="18390"/>
    <cellStyle name="Note 4 2 3 21 4" xfId="20562"/>
    <cellStyle name="Note 4 2 3 21 5" xfId="27861"/>
    <cellStyle name="Note 4 2 3 21 6" xfId="38545"/>
    <cellStyle name="Note 4 2 3 21 7" xfId="48893"/>
    <cellStyle name="Note 4 2 3 22" xfId="3388"/>
    <cellStyle name="Note 4 2 3 22 2" xfId="11179"/>
    <cellStyle name="Note 4 2 3 22 3" xfId="18501"/>
    <cellStyle name="Note 4 2 3 22 4" xfId="25226"/>
    <cellStyle name="Note 4 2 3 22 5" xfId="33626"/>
    <cellStyle name="Note 4 2 3 22 6" xfId="38198"/>
    <cellStyle name="Note 4 2 3 22 7" xfId="51275"/>
    <cellStyle name="Note 4 2 3 23" xfId="3522"/>
    <cellStyle name="Note 4 2 3 23 2" xfId="11313"/>
    <cellStyle name="Note 4 2 3 23 3" xfId="18610"/>
    <cellStyle name="Note 4 2 3 23 4" xfId="25876"/>
    <cellStyle name="Note 4 2 3 23 5" xfId="34466"/>
    <cellStyle name="Note 4 2 3 23 6" xfId="40850"/>
    <cellStyle name="Note 4 2 3 23 7" xfId="52727"/>
    <cellStyle name="Note 4 2 3 24" xfId="3006"/>
    <cellStyle name="Note 4 2 3 24 2" xfId="10825"/>
    <cellStyle name="Note 4 2 3 24 3" xfId="18248"/>
    <cellStyle name="Note 4 2 3 24 4" xfId="25889"/>
    <cellStyle name="Note 4 2 3 24 5" xfId="34484"/>
    <cellStyle name="Note 4 2 3 24 6" xfId="40110"/>
    <cellStyle name="Note 4 2 3 24 7" xfId="52763"/>
    <cellStyle name="Note 4 2 3 25" xfId="3658"/>
    <cellStyle name="Note 4 2 3 25 2" xfId="11443"/>
    <cellStyle name="Note 4 2 3 25 3" xfId="18716"/>
    <cellStyle name="Note 4 2 3 25 4" xfId="26282"/>
    <cellStyle name="Note 4 2 3 25 5" xfId="34988"/>
    <cellStyle name="Note 4 2 3 25 6" xfId="40551"/>
    <cellStyle name="Note 4 2 3 25 7" xfId="53606"/>
    <cellStyle name="Note 4 2 3 26" xfId="3789"/>
    <cellStyle name="Note 4 2 3 26 2" xfId="11571"/>
    <cellStyle name="Note 4 2 3 26 3" xfId="18828"/>
    <cellStyle name="Note 4 2 3 26 4" xfId="19048"/>
    <cellStyle name="Note 4 2 3 26 5" xfId="26825"/>
    <cellStyle name="Note 4 2 3 26 6" xfId="40285"/>
    <cellStyle name="Note 4 2 3 26 7" xfId="49206"/>
    <cellStyle name="Note 4 2 3 27" xfId="3906"/>
    <cellStyle name="Note 4 2 3 27 2" xfId="11686"/>
    <cellStyle name="Note 4 2 3 27 3" xfId="18937"/>
    <cellStyle name="Note 4 2 3 27 4" xfId="19525"/>
    <cellStyle name="Note 4 2 3 27 5" xfId="28149"/>
    <cellStyle name="Note 4 2 3 27 6" xfId="38559"/>
    <cellStyle name="Note 4 2 3 27 7" xfId="47513"/>
    <cellStyle name="Note 4 2 3 28" xfId="3998"/>
    <cellStyle name="Note 4 2 3 28 2" xfId="11777"/>
    <cellStyle name="Note 4 2 3 28 3" xfId="20708"/>
    <cellStyle name="Note 4 2 3 28 4" xfId="28895"/>
    <cellStyle name="Note 4 2 3 28 5" xfId="34379"/>
    <cellStyle name="Note 4 2 3 28 6" xfId="42560"/>
    <cellStyle name="Note 4 2 3 28 7" xfId="50151"/>
    <cellStyle name="Note 4 2 3 29" xfId="4103"/>
    <cellStyle name="Note 4 2 3 29 2" xfId="11863"/>
    <cellStyle name="Note 4 2 3 29 3" xfId="20813"/>
    <cellStyle name="Note 4 2 3 29 4" xfId="29000"/>
    <cellStyle name="Note 4 2 3 29 5" xfId="36133"/>
    <cellStyle name="Note 4 2 3 29 6" xfId="42665"/>
    <cellStyle name="Note 4 2 3 29 7" xfId="54039"/>
    <cellStyle name="Note 4 2 3 3" xfId="760"/>
    <cellStyle name="Note 4 2 3 3 2" xfId="8584"/>
    <cellStyle name="Note 4 2 3 3 3" xfId="16012"/>
    <cellStyle name="Note 4 2 3 3 4" xfId="26239"/>
    <cellStyle name="Note 4 2 3 3 5" xfId="34929"/>
    <cellStyle name="Note 4 2 3 3 6" xfId="37270"/>
    <cellStyle name="Note 4 2 3 3 7" xfId="53511"/>
    <cellStyle name="Note 4 2 3 30" xfId="3235"/>
    <cellStyle name="Note 4 2 3 30 2" xfId="20355"/>
    <cellStyle name="Note 4 2 3 30 3" xfId="28444"/>
    <cellStyle name="Note 4 2 3 30 4" xfId="35771"/>
    <cellStyle name="Note 4 2 3 30 5" xfId="42459"/>
    <cellStyle name="Note 4 2 3 30 6" xfId="52353"/>
    <cellStyle name="Note 4 2 3 31" xfId="4300"/>
    <cellStyle name="Note 4 2 3 31 2" xfId="12017"/>
    <cellStyle name="Note 4 2 3 31 3" xfId="21010"/>
    <cellStyle name="Note 4 2 3 31 4" xfId="29197"/>
    <cellStyle name="Note 4 2 3 31 5" xfId="35381"/>
    <cellStyle name="Note 4 2 3 31 6" xfId="42862"/>
    <cellStyle name="Note 4 2 3 31 7" xfId="48991"/>
    <cellStyle name="Note 4 2 3 32" xfId="4423"/>
    <cellStyle name="Note 4 2 3 32 2" xfId="12140"/>
    <cellStyle name="Note 4 2 3 32 3" xfId="21133"/>
    <cellStyle name="Note 4 2 3 32 4" xfId="29320"/>
    <cellStyle name="Note 4 2 3 32 5" xfId="28722"/>
    <cellStyle name="Note 4 2 3 32 6" xfId="42985"/>
    <cellStyle name="Note 4 2 3 32 7" xfId="48096"/>
    <cellStyle name="Note 4 2 3 33" xfId="4537"/>
    <cellStyle name="Note 4 2 3 33 2" xfId="12254"/>
    <cellStyle name="Note 4 2 3 33 3" xfId="21247"/>
    <cellStyle name="Note 4 2 3 33 4" xfId="29434"/>
    <cellStyle name="Note 4 2 3 33 5" xfId="35843"/>
    <cellStyle name="Note 4 2 3 33 6" xfId="43099"/>
    <cellStyle name="Note 4 2 3 33 7" xfId="52617"/>
    <cellStyle name="Note 4 2 3 34" xfId="4650"/>
    <cellStyle name="Note 4 2 3 34 2" xfId="12367"/>
    <cellStyle name="Note 4 2 3 34 3" xfId="21360"/>
    <cellStyle name="Note 4 2 3 34 4" xfId="29547"/>
    <cellStyle name="Note 4 2 3 34 5" xfId="35738"/>
    <cellStyle name="Note 4 2 3 34 6" xfId="43212"/>
    <cellStyle name="Note 4 2 3 34 7" xfId="52171"/>
    <cellStyle name="Note 4 2 3 35" xfId="4762"/>
    <cellStyle name="Note 4 2 3 35 2" xfId="12479"/>
    <cellStyle name="Note 4 2 3 35 3" xfId="21472"/>
    <cellStyle name="Note 4 2 3 35 4" xfId="29659"/>
    <cellStyle name="Note 4 2 3 35 5" xfId="27650"/>
    <cellStyle name="Note 4 2 3 35 6" xfId="43324"/>
    <cellStyle name="Note 4 2 3 35 7" xfId="50583"/>
    <cellStyle name="Note 4 2 3 36" xfId="4870"/>
    <cellStyle name="Note 4 2 3 36 2" xfId="12587"/>
    <cellStyle name="Note 4 2 3 36 3" xfId="21580"/>
    <cellStyle name="Note 4 2 3 36 4" xfId="29767"/>
    <cellStyle name="Note 4 2 3 36 5" xfId="35725"/>
    <cellStyle name="Note 4 2 3 36 6" xfId="43432"/>
    <cellStyle name="Note 4 2 3 36 7" xfId="52102"/>
    <cellStyle name="Note 4 2 3 37" xfId="4982"/>
    <cellStyle name="Note 4 2 3 37 2" xfId="12699"/>
    <cellStyle name="Note 4 2 3 37 3" xfId="21692"/>
    <cellStyle name="Note 4 2 3 37 4" xfId="29879"/>
    <cellStyle name="Note 4 2 3 37 5" xfId="34127"/>
    <cellStyle name="Note 4 2 3 37 6" xfId="43544"/>
    <cellStyle name="Note 4 2 3 37 7" xfId="49474"/>
    <cellStyle name="Note 4 2 3 38" xfId="5131"/>
    <cellStyle name="Note 4 2 3 38 2" xfId="12848"/>
    <cellStyle name="Note 4 2 3 38 3" xfId="21841"/>
    <cellStyle name="Note 4 2 3 38 4" xfId="30028"/>
    <cellStyle name="Note 4 2 3 38 5" xfId="27713"/>
    <cellStyle name="Note 4 2 3 38 6" xfId="43693"/>
    <cellStyle name="Note 4 2 3 38 7" xfId="50620"/>
    <cellStyle name="Note 4 2 3 39" xfId="5480"/>
    <cellStyle name="Note 4 2 3 39 2" xfId="13197"/>
    <cellStyle name="Note 4 2 3 39 3" xfId="22190"/>
    <cellStyle name="Note 4 2 3 39 4" xfId="30377"/>
    <cellStyle name="Note 4 2 3 39 5" xfId="28391"/>
    <cellStyle name="Note 4 2 3 39 6" xfId="44042"/>
    <cellStyle name="Note 4 2 3 39 7" xfId="50692"/>
    <cellStyle name="Note 4 2 3 4" xfId="872"/>
    <cellStyle name="Note 4 2 3 4 2" xfId="8696"/>
    <cellStyle name="Note 4 2 3 4 3" xfId="16124"/>
    <cellStyle name="Note 4 2 3 4 4" xfId="19332"/>
    <cellStyle name="Note 4 2 3 4 5" xfId="27902"/>
    <cellStyle name="Note 4 2 3 4 6" xfId="37330"/>
    <cellStyle name="Note 4 2 3 4 7" xfId="47260"/>
    <cellStyle name="Note 4 2 3 40" xfId="5605"/>
    <cellStyle name="Note 4 2 3 40 2" xfId="13322"/>
    <cellStyle name="Note 4 2 3 40 3" xfId="22315"/>
    <cellStyle name="Note 4 2 3 40 4" xfId="30502"/>
    <cellStyle name="Note 4 2 3 40 5" xfId="28348"/>
    <cellStyle name="Note 4 2 3 40 6" xfId="44167"/>
    <cellStyle name="Note 4 2 3 40 7" xfId="47131"/>
    <cellStyle name="Note 4 2 3 41" xfId="5720"/>
    <cellStyle name="Note 4 2 3 41 2" xfId="13437"/>
    <cellStyle name="Note 4 2 3 41 3" xfId="22430"/>
    <cellStyle name="Note 4 2 3 41 4" xfId="30617"/>
    <cellStyle name="Note 4 2 3 41 5" xfId="27691"/>
    <cellStyle name="Note 4 2 3 41 6" xfId="44282"/>
    <cellStyle name="Note 4 2 3 41 7" xfId="46900"/>
    <cellStyle name="Note 4 2 3 42" xfId="5837"/>
    <cellStyle name="Note 4 2 3 42 2" xfId="13554"/>
    <cellStyle name="Note 4 2 3 42 3" xfId="22547"/>
    <cellStyle name="Note 4 2 3 42 4" xfId="30734"/>
    <cellStyle name="Note 4 2 3 42 5" xfId="28868"/>
    <cellStyle name="Note 4 2 3 42 6" xfId="44399"/>
    <cellStyle name="Note 4 2 3 42 7" xfId="48924"/>
    <cellStyle name="Note 4 2 3 43" xfId="5965"/>
    <cellStyle name="Note 4 2 3 43 2" xfId="13682"/>
    <cellStyle name="Note 4 2 3 43 3" xfId="22675"/>
    <cellStyle name="Note 4 2 3 43 4" xfId="30862"/>
    <cellStyle name="Note 4 2 3 43 5" xfId="28208"/>
    <cellStyle name="Note 4 2 3 43 6" xfId="44527"/>
    <cellStyle name="Note 4 2 3 43 7" xfId="50802"/>
    <cellStyle name="Note 4 2 3 44" xfId="6077"/>
    <cellStyle name="Note 4 2 3 44 2" xfId="13794"/>
    <cellStyle name="Note 4 2 3 44 3" xfId="22787"/>
    <cellStyle name="Note 4 2 3 44 4" xfId="30974"/>
    <cellStyle name="Note 4 2 3 44 5" xfId="36165"/>
    <cellStyle name="Note 4 2 3 44 6" xfId="44639"/>
    <cellStyle name="Note 4 2 3 44 7" xfId="53744"/>
    <cellStyle name="Note 4 2 3 45" xfId="5809"/>
    <cellStyle name="Note 4 2 3 45 2" xfId="13526"/>
    <cellStyle name="Note 4 2 3 45 3" xfId="22519"/>
    <cellStyle name="Note 4 2 3 45 4" xfId="30706"/>
    <cellStyle name="Note 4 2 3 45 5" xfId="35876"/>
    <cellStyle name="Note 4 2 3 45 6" xfId="44371"/>
    <cellStyle name="Note 4 2 3 45 7" xfId="52476"/>
    <cellStyle name="Note 4 2 3 46" xfId="6221"/>
    <cellStyle name="Note 4 2 3 46 2" xfId="13938"/>
    <cellStyle name="Note 4 2 3 46 3" xfId="22931"/>
    <cellStyle name="Note 4 2 3 46 4" xfId="31118"/>
    <cellStyle name="Note 4 2 3 46 5" xfId="36055"/>
    <cellStyle name="Note 4 2 3 46 6" xfId="44783"/>
    <cellStyle name="Note 4 2 3 46 7" xfId="53244"/>
    <cellStyle name="Note 4 2 3 47" xfId="6338"/>
    <cellStyle name="Note 4 2 3 47 2" xfId="14055"/>
    <cellStyle name="Note 4 2 3 47 3" xfId="23048"/>
    <cellStyle name="Note 4 2 3 47 4" xfId="31235"/>
    <cellStyle name="Note 4 2 3 47 5" xfId="27907"/>
    <cellStyle name="Note 4 2 3 47 6" xfId="44900"/>
    <cellStyle name="Note 4 2 3 47 7" xfId="50059"/>
    <cellStyle name="Note 4 2 3 48" xfId="6448"/>
    <cellStyle name="Note 4 2 3 48 2" xfId="14165"/>
    <cellStyle name="Note 4 2 3 48 3" xfId="23158"/>
    <cellStyle name="Note 4 2 3 48 4" xfId="31345"/>
    <cellStyle name="Note 4 2 3 48 5" xfId="35601"/>
    <cellStyle name="Note 4 2 3 48 6" xfId="45010"/>
    <cellStyle name="Note 4 2 3 48 7" xfId="51181"/>
    <cellStyle name="Note 4 2 3 49" xfId="6187"/>
    <cellStyle name="Note 4 2 3 49 2" xfId="13904"/>
    <cellStyle name="Note 4 2 3 49 3" xfId="22897"/>
    <cellStyle name="Note 4 2 3 49 4" xfId="31084"/>
    <cellStyle name="Note 4 2 3 49 5" xfId="35383"/>
    <cellStyle name="Note 4 2 3 49 6" xfId="44749"/>
    <cellStyle name="Note 4 2 3 49 7" xfId="48993"/>
    <cellStyle name="Note 4 2 3 5" xfId="1337"/>
    <cellStyle name="Note 4 2 3 5 2" xfId="9160"/>
    <cellStyle name="Note 4 2 3 5 3" xfId="16588"/>
    <cellStyle name="Note 4 2 3 5 4" xfId="20001"/>
    <cellStyle name="Note 4 2 3 5 5" xfId="28611"/>
    <cellStyle name="Note 4 2 3 5 6" xfId="41682"/>
    <cellStyle name="Note 4 2 3 5 7" xfId="50322"/>
    <cellStyle name="Note 4 2 3 50" xfId="6595"/>
    <cellStyle name="Note 4 2 3 50 2" xfId="14312"/>
    <cellStyle name="Note 4 2 3 50 3" xfId="23305"/>
    <cellStyle name="Note 4 2 3 50 4" xfId="31492"/>
    <cellStyle name="Note 4 2 3 50 5" xfId="35707"/>
    <cellStyle name="Note 4 2 3 50 6" xfId="45157"/>
    <cellStyle name="Note 4 2 3 50 7" xfId="51431"/>
    <cellStyle name="Note 4 2 3 51" xfId="6706"/>
    <cellStyle name="Note 4 2 3 51 2" xfId="14423"/>
    <cellStyle name="Note 4 2 3 51 3" xfId="23416"/>
    <cellStyle name="Note 4 2 3 51 4" xfId="31603"/>
    <cellStyle name="Note 4 2 3 51 5" xfId="33612"/>
    <cellStyle name="Note 4 2 3 51 6" xfId="45268"/>
    <cellStyle name="Note 4 2 3 51 7" xfId="47860"/>
    <cellStyle name="Note 4 2 3 52" xfId="6821"/>
    <cellStyle name="Note 4 2 3 52 2" xfId="14538"/>
    <cellStyle name="Note 4 2 3 52 3" xfId="23531"/>
    <cellStyle name="Note 4 2 3 52 4" xfId="31718"/>
    <cellStyle name="Note 4 2 3 52 5" xfId="34782"/>
    <cellStyle name="Note 4 2 3 52 6" xfId="45383"/>
    <cellStyle name="Note 4 2 3 52 7" xfId="49534"/>
    <cellStyle name="Note 4 2 3 53" xfId="6934"/>
    <cellStyle name="Note 4 2 3 53 2" xfId="14651"/>
    <cellStyle name="Note 4 2 3 53 3" xfId="23644"/>
    <cellStyle name="Note 4 2 3 53 4" xfId="31831"/>
    <cellStyle name="Note 4 2 3 53 5" xfId="27531"/>
    <cellStyle name="Note 4 2 3 53 6" xfId="45496"/>
    <cellStyle name="Note 4 2 3 53 7" xfId="46935"/>
    <cellStyle name="Note 4 2 3 54" xfId="7046"/>
    <cellStyle name="Note 4 2 3 54 2" xfId="14763"/>
    <cellStyle name="Note 4 2 3 54 3" xfId="23756"/>
    <cellStyle name="Note 4 2 3 54 4" xfId="31943"/>
    <cellStyle name="Note 4 2 3 54 5" xfId="35486"/>
    <cellStyle name="Note 4 2 3 54 6" xfId="45608"/>
    <cellStyle name="Note 4 2 3 54 7" xfId="48541"/>
    <cellStyle name="Note 4 2 3 55" xfId="7310"/>
    <cellStyle name="Note 4 2 3 55 2" xfId="15027"/>
    <cellStyle name="Note 4 2 3 55 3" xfId="24020"/>
    <cellStyle name="Note 4 2 3 55 4" xfId="32207"/>
    <cellStyle name="Note 4 2 3 55 5" xfId="34358"/>
    <cellStyle name="Note 4 2 3 55 6" xfId="45872"/>
    <cellStyle name="Note 4 2 3 55 7" xfId="52539"/>
    <cellStyle name="Note 4 2 3 56" xfId="7146"/>
    <cellStyle name="Note 4 2 3 56 2" xfId="14863"/>
    <cellStyle name="Note 4 2 3 56 3" xfId="23856"/>
    <cellStyle name="Note 4 2 3 56 4" xfId="32043"/>
    <cellStyle name="Note 4 2 3 56 5" xfId="28203"/>
    <cellStyle name="Note 4 2 3 56 6" xfId="45708"/>
    <cellStyle name="Note 4 2 3 56 7" xfId="50288"/>
    <cellStyle name="Note 4 2 3 57" xfId="7443"/>
    <cellStyle name="Note 4 2 3 57 2" xfId="15160"/>
    <cellStyle name="Note 4 2 3 57 3" xfId="24153"/>
    <cellStyle name="Note 4 2 3 57 4" xfId="32340"/>
    <cellStyle name="Note 4 2 3 57 5" xfId="27435"/>
    <cellStyle name="Note 4 2 3 57 6" xfId="46005"/>
    <cellStyle name="Note 4 2 3 57 7" xfId="48867"/>
    <cellStyle name="Note 4 2 3 58" xfId="7564"/>
    <cellStyle name="Note 4 2 3 58 2" xfId="15281"/>
    <cellStyle name="Note 4 2 3 58 3" xfId="24274"/>
    <cellStyle name="Note 4 2 3 58 4" xfId="32461"/>
    <cellStyle name="Note 4 2 3 58 5" xfId="27744"/>
    <cellStyle name="Note 4 2 3 58 6" xfId="46126"/>
    <cellStyle name="Note 4 2 3 58 7" xfId="47516"/>
    <cellStyle name="Note 4 2 3 59" xfId="7840"/>
    <cellStyle name="Note 4 2 3 59 2" xfId="15557"/>
    <cellStyle name="Note 4 2 3 59 3" xfId="24544"/>
    <cellStyle name="Note 4 2 3 59 4" xfId="32737"/>
    <cellStyle name="Note 4 2 3 59 5" xfId="35863"/>
    <cellStyle name="Note 4 2 3 59 6" xfId="46402"/>
    <cellStyle name="Note 4 2 3 59 7" xfId="47668"/>
    <cellStyle name="Note 4 2 3 6" xfId="1460"/>
    <cellStyle name="Note 4 2 3 6 2" xfId="9283"/>
    <cellStyle name="Note 4 2 3 6 3" xfId="16711"/>
    <cellStyle name="Note 4 2 3 6 4" xfId="19072"/>
    <cellStyle name="Note 4 2 3 6 5" xfId="28702"/>
    <cellStyle name="Note 4 2 3 6 6" xfId="37821"/>
    <cellStyle name="Note 4 2 3 6 7" xfId="49929"/>
    <cellStyle name="Note 4 2 3 60" xfId="7933"/>
    <cellStyle name="Note 4 2 3 60 2" xfId="15650"/>
    <cellStyle name="Note 4 2 3 60 3" xfId="24637"/>
    <cellStyle name="Note 4 2 3 60 4" xfId="32830"/>
    <cellStyle name="Note 4 2 3 60 5" xfId="33790"/>
    <cellStyle name="Note 4 2 3 60 6" xfId="46495"/>
    <cellStyle name="Note 4 2 3 60 7" xfId="49452"/>
    <cellStyle name="Note 4 2 3 61" xfId="7940"/>
    <cellStyle name="Note 4 2 3 61 2" xfId="15657"/>
    <cellStyle name="Note 4 2 3 61 3" xfId="24643"/>
    <cellStyle name="Note 4 2 3 61 4" xfId="32837"/>
    <cellStyle name="Note 4 2 3 61 5" xfId="28711"/>
    <cellStyle name="Note 4 2 3 61 6" xfId="46502"/>
    <cellStyle name="Note 4 2 3 61 7" xfId="48877"/>
    <cellStyle name="Note 4 2 3 62" xfId="8070"/>
    <cellStyle name="Note 4 2 3 62 2" xfId="15787"/>
    <cellStyle name="Note 4 2 3 62 3" xfId="24772"/>
    <cellStyle name="Note 4 2 3 62 4" xfId="32967"/>
    <cellStyle name="Note 4 2 3 62 5" xfId="35255"/>
    <cellStyle name="Note 4 2 3 62 6" xfId="46632"/>
    <cellStyle name="Note 4 2 3 62 7" xfId="49852"/>
    <cellStyle name="Note 4 2 3 63" xfId="8116"/>
    <cellStyle name="Note 4 2 3 63 2" xfId="15833"/>
    <cellStyle name="Note 4 2 3 63 3" xfId="33013"/>
    <cellStyle name="Note 4 2 3 63 4" xfId="35915"/>
    <cellStyle name="Note 4 2 3 63 5" xfId="46678"/>
    <cellStyle name="Note 4 2 3 63 6" xfId="51596"/>
    <cellStyle name="Note 4 2 3 64" xfId="25590"/>
    <cellStyle name="Note 4 2 3 65" xfId="34099"/>
    <cellStyle name="Note 4 2 3 66" xfId="36478"/>
    <cellStyle name="Note 4 2 3 67" xfId="52075"/>
    <cellStyle name="Note 4 2 3 7" xfId="1565"/>
    <cellStyle name="Note 4 2 3 7 2" xfId="9388"/>
    <cellStyle name="Note 4 2 3 7 3" xfId="16816"/>
    <cellStyle name="Note 4 2 3 7 4" xfId="26381"/>
    <cellStyle name="Note 4 2 3 7 5" xfId="35125"/>
    <cellStyle name="Note 4 2 3 7 6" xfId="42066"/>
    <cellStyle name="Note 4 2 3 7 7" xfId="53810"/>
    <cellStyle name="Note 4 2 3 8" xfId="1697"/>
    <cellStyle name="Note 4 2 3 8 2" xfId="9520"/>
    <cellStyle name="Note 4 2 3 8 3" xfId="16948"/>
    <cellStyle name="Note 4 2 3 8 4" xfId="19291"/>
    <cellStyle name="Note 4 2 3 8 5" xfId="28668"/>
    <cellStyle name="Note 4 2 3 8 6" xfId="36991"/>
    <cellStyle name="Note 4 2 3 8 7" xfId="48426"/>
    <cellStyle name="Note 4 2 3 9" xfId="1831"/>
    <cellStyle name="Note 4 2 3 9 2" xfId="9654"/>
    <cellStyle name="Note 4 2 3 9 3" xfId="17082"/>
    <cellStyle name="Note 4 2 3 9 4" xfId="20496"/>
    <cellStyle name="Note 4 2 3 9 5" xfId="28113"/>
    <cellStyle name="Note 4 2 3 9 6" xfId="38038"/>
    <cellStyle name="Note 4 2 3 9 7" xfId="49036"/>
    <cellStyle name="Note 4 2 30" xfId="2980"/>
    <cellStyle name="Note 4 2 30 2" xfId="10802"/>
    <cellStyle name="Note 4 2 30 3" xfId="18229"/>
    <cellStyle name="Note 4 2 30 4" xfId="19430"/>
    <cellStyle name="Note 4 2 30 5" xfId="28600"/>
    <cellStyle name="Note 4 2 30 6" xfId="37052"/>
    <cellStyle name="Note 4 2 30 7" xfId="49607"/>
    <cellStyle name="Note 4 2 31" xfId="3189"/>
    <cellStyle name="Note 4 2 31 2" xfId="10990"/>
    <cellStyle name="Note 4 2 31 3" xfId="18344"/>
    <cellStyle name="Note 4 2 31 4" xfId="24877"/>
    <cellStyle name="Note 4 2 31 5" xfId="33191"/>
    <cellStyle name="Note 4 2 31 6" xfId="40865"/>
    <cellStyle name="Note 4 2 31 7" xfId="50515"/>
    <cellStyle name="Note 4 2 32" xfId="3067"/>
    <cellStyle name="Note 4 2 32 2" xfId="10876"/>
    <cellStyle name="Note 4 2 32 3" xfId="18271"/>
    <cellStyle name="Note 4 2 32 4" xfId="26444"/>
    <cellStyle name="Note 4 2 32 5" xfId="35217"/>
    <cellStyle name="Note 4 2 32 6" xfId="40283"/>
    <cellStyle name="Note 4 2 32 7" xfId="53946"/>
    <cellStyle name="Note 4 2 33" xfId="3050"/>
    <cellStyle name="Note 4 2 33 2" xfId="10862"/>
    <cellStyle name="Note 4 2 33 3" xfId="20216"/>
    <cellStyle name="Note 4 2 33 4" xfId="28308"/>
    <cellStyle name="Note 4 2 33 5" xfId="34863"/>
    <cellStyle name="Note 4 2 33 6" xfId="42373"/>
    <cellStyle name="Note 4 2 33 7" xfId="49951"/>
    <cellStyle name="Note 4 2 34" xfId="2997"/>
    <cellStyle name="Note 4 2 34 2" xfId="10816"/>
    <cellStyle name="Note 4 2 34 3" xfId="20179"/>
    <cellStyle name="Note 4 2 34 4" xfId="28265"/>
    <cellStyle name="Note 4 2 34 5" xfId="36052"/>
    <cellStyle name="Note 4 2 34 6" xfId="42346"/>
    <cellStyle name="Note 4 2 34 7" xfId="53670"/>
    <cellStyle name="Note 4 2 35" xfId="4222"/>
    <cellStyle name="Note 4 2 35 2" xfId="20932"/>
    <cellStyle name="Note 4 2 35 3" xfId="29119"/>
    <cellStyle name="Note 4 2 35 4" xfId="35401"/>
    <cellStyle name="Note 4 2 35 5" xfId="42784"/>
    <cellStyle name="Note 4 2 35 6" xfId="49456"/>
    <cellStyle name="Note 4 2 36" xfId="3487"/>
    <cellStyle name="Note 4 2 36 2" xfId="11278"/>
    <cellStyle name="Note 4 2 36 3" xfId="20473"/>
    <cellStyle name="Note 4 2 36 4" xfId="28595"/>
    <cellStyle name="Note 4 2 36 5" xfId="27326"/>
    <cellStyle name="Note 4 2 36 6" xfId="42483"/>
    <cellStyle name="Note 4 2 36 7" xfId="48793"/>
    <cellStyle name="Note 4 2 37" xfId="4353"/>
    <cellStyle name="Note 4 2 37 2" xfId="12070"/>
    <cellStyle name="Note 4 2 37 3" xfId="21063"/>
    <cellStyle name="Note 4 2 37 4" xfId="29250"/>
    <cellStyle name="Note 4 2 37 5" xfId="36071"/>
    <cellStyle name="Note 4 2 37 6" xfId="42915"/>
    <cellStyle name="Note 4 2 37 7" xfId="53761"/>
    <cellStyle name="Note 4 2 38" xfId="4476"/>
    <cellStyle name="Note 4 2 38 2" xfId="12193"/>
    <cellStyle name="Note 4 2 38 3" xfId="21186"/>
    <cellStyle name="Note 4 2 38 4" xfId="29373"/>
    <cellStyle name="Note 4 2 38 5" xfId="36157"/>
    <cellStyle name="Note 4 2 38 6" xfId="43038"/>
    <cellStyle name="Note 4 2 38 7" xfId="54185"/>
    <cellStyle name="Note 4 2 39" xfId="4395"/>
    <cellStyle name="Note 4 2 39 2" xfId="12112"/>
    <cellStyle name="Note 4 2 39 3" xfId="21105"/>
    <cellStyle name="Note 4 2 39 4" xfId="29292"/>
    <cellStyle name="Note 4 2 39 5" xfId="33950"/>
    <cellStyle name="Note 4 2 39 6" xfId="42957"/>
    <cellStyle name="Note 4 2 39 7" xfId="49324"/>
    <cellStyle name="Note 4 2 4" xfId="552"/>
    <cellStyle name="Note 4 2 4 10" xfId="1999"/>
    <cellStyle name="Note 4 2 4 10 2" xfId="9822"/>
    <cellStyle name="Note 4 2 4 10 3" xfId="17250"/>
    <cellStyle name="Note 4 2 4 10 4" xfId="25486"/>
    <cellStyle name="Note 4 2 4 10 5" xfId="33960"/>
    <cellStyle name="Note 4 2 4 10 6" xfId="40374"/>
    <cellStyle name="Note 4 2 4 10 7" xfId="51843"/>
    <cellStyle name="Note 4 2 4 11" xfId="2117"/>
    <cellStyle name="Note 4 2 4 11 2" xfId="9940"/>
    <cellStyle name="Note 4 2 4 11 3" xfId="17368"/>
    <cellStyle name="Note 4 2 4 11 4" xfId="26157"/>
    <cellStyle name="Note 4 2 4 11 5" xfId="34826"/>
    <cellStyle name="Note 4 2 4 11 6" xfId="38040"/>
    <cellStyle name="Note 4 2 4 11 7" xfId="53334"/>
    <cellStyle name="Note 4 2 4 12" xfId="2230"/>
    <cellStyle name="Note 4 2 4 12 2" xfId="10053"/>
    <cellStyle name="Note 4 2 4 12 3" xfId="17481"/>
    <cellStyle name="Note 4 2 4 12 4" xfId="19898"/>
    <cellStyle name="Note 4 2 4 12 5" xfId="27292"/>
    <cellStyle name="Note 4 2 4 12 6" xfId="41734"/>
    <cellStyle name="Note 4 2 4 12 7" xfId="49582"/>
    <cellStyle name="Note 4 2 4 13" xfId="1579"/>
    <cellStyle name="Note 4 2 4 13 2" xfId="9402"/>
    <cellStyle name="Note 4 2 4 13 3" xfId="16830"/>
    <cellStyle name="Note 4 2 4 13 4" xfId="25747"/>
    <cellStyle name="Note 4 2 4 13 5" xfId="34298"/>
    <cellStyle name="Note 4 2 4 13 6" xfId="40385"/>
    <cellStyle name="Note 4 2 4 13 7" xfId="52425"/>
    <cellStyle name="Note 4 2 4 14" xfId="2285"/>
    <cellStyle name="Note 4 2 4 14 2" xfId="10108"/>
    <cellStyle name="Note 4 2 4 14 3" xfId="17536"/>
    <cellStyle name="Note 4 2 4 14 4" xfId="25262"/>
    <cellStyle name="Note 4 2 4 14 5" xfId="33669"/>
    <cellStyle name="Note 4 2 4 14 6" xfId="36650"/>
    <cellStyle name="Note 4 2 4 14 7" xfId="51347"/>
    <cellStyle name="Note 4 2 4 15" xfId="2528"/>
    <cellStyle name="Note 4 2 4 15 2" xfId="10351"/>
    <cellStyle name="Note 4 2 4 15 3" xfId="17779"/>
    <cellStyle name="Note 4 2 4 15 4" xfId="20107"/>
    <cellStyle name="Note 4 2 4 15 5" xfId="28584"/>
    <cellStyle name="Note 4 2 4 15 6" xfId="36742"/>
    <cellStyle name="Note 4 2 4 15 7" xfId="48427"/>
    <cellStyle name="Note 4 2 4 16" xfId="2641"/>
    <cellStyle name="Note 4 2 4 16 2" xfId="10464"/>
    <cellStyle name="Note 4 2 4 16 3" xfId="17892"/>
    <cellStyle name="Note 4 2 4 16 4" xfId="19238"/>
    <cellStyle name="Note 4 2 4 16 5" xfId="27734"/>
    <cellStyle name="Note 4 2 4 16 6" xfId="38052"/>
    <cellStyle name="Note 4 2 4 16 7" xfId="47652"/>
    <cellStyle name="Note 4 2 4 17" xfId="2411"/>
    <cellStyle name="Note 4 2 4 17 2" xfId="10234"/>
    <cellStyle name="Note 4 2 4 17 3" xfId="17662"/>
    <cellStyle name="Note 4 2 4 17 4" xfId="25882"/>
    <cellStyle name="Note 4 2 4 17 5" xfId="34473"/>
    <cellStyle name="Note 4 2 4 17 6" xfId="38301"/>
    <cellStyle name="Note 4 2 4 17 7" xfId="52744"/>
    <cellStyle name="Note 4 2 4 18" xfId="2372"/>
    <cellStyle name="Note 4 2 4 18 2" xfId="10195"/>
    <cellStyle name="Note 4 2 4 18 3" xfId="17623"/>
    <cellStyle name="Note 4 2 4 18 4" xfId="20697"/>
    <cellStyle name="Note 4 2 4 18 5" xfId="28692"/>
    <cellStyle name="Note 4 2 4 18 6" xfId="37024"/>
    <cellStyle name="Note 4 2 4 18 7" xfId="49384"/>
    <cellStyle name="Note 4 2 4 19" xfId="2834"/>
    <cellStyle name="Note 4 2 4 19 2" xfId="10657"/>
    <cellStyle name="Note 4 2 4 19 3" xfId="18085"/>
    <cellStyle name="Note 4 2 4 19 4" xfId="25432"/>
    <cellStyle name="Note 4 2 4 19 5" xfId="33891"/>
    <cellStyle name="Note 4 2 4 19 6" xfId="40925"/>
    <cellStyle name="Note 4 2 4 19 7" xfId="51712"/>
    <cellStyle name="Note 4 2 4 2" xfId="702"/>
    <cellStyle name="Note 4 2 4 2 2" xfId="8526"/>
    <cellStyle name="Note 4 2 4 2 3" xfId="15954"/>
    <cellStyle name="Note 4 2 4 2 4" xfId="26192"/>
    <cellStyle name="Note 4 2 4 2 5" xfId="34871"/>
    <cellStyle name="Note 4 2 4 2 6" xfId="36414"/>
    <cellStyle name="Note 4 2 4 2 7" xfId="53410"/>
    <cellStyle name="Note 4 2 4 20" xfId="2941"/>
    <cellStyle name="Note 4 2 4 20 2" xfId="10764"/>
    <cellStyle name="Note 4 2 4 20 3" xfId="18192"/>
    <cellStyle name="Note 4 2 4 20 4" xfId="19960"/>
    <cellStyle name="Note 4 2 4 20 5" xfId="27871"/>
    <cellStyle name="Note 4 2 4 20 6" xfId="40303"/>
    <cellStyle name="Note 4 2 4 20 7" xfId="47644"/>
    <cellStyle name="Note 4 2 4 21" xfId="3317"/>
    <cellStyle name="Note 4 2 4 21 2" xfId="11110"/>
    <cellStyle name="Note 4 2 4 21 3" xfId="18439"/>
    <cellStyle name="Note 4 2 4 21 4" xfId="19821"/>
    <cellStyle name="Note 4 2 4 21 5" xfId="27823"/>
    <cellStyle name="Note 4 2 4 21 6" xfId="38056"/>
    <cellStyle name="Note 4 2 4 21 7" xfId="50245"/>
    <cellStyle name="Note 4 2 4 22" xfId="3437"/>
    <cellStyle name="Note 4 2 4 22 2" xfId="11228"/>
    <cellStyle name="Note 4 2 4 22 3" xfId="18550"/>
    <cellStyle name="Note 4 2 4 22 4" xfId="26407"/>
    <cellStyle name="Note 4 2 4 22 5" xfId="35163"/>
    <cellStyle name="Note 4 2 4 22 6" xfId="40671"/>
    <cellStyle name="Note 4 2 4 22 7" xfId="53864"/>
    <cellStyle name="Note 4 2 4 23" xfId="3560"/>
    <cellStyle name="Note 4 2 4 23 2" xfId="11349"/>
    <cellStyle name="Note 4 2 4 23 3" xfId="18634"/>
    <cellStyle name="Note 4 2 4 23 4" xfId="20119"/>
    <cellStyle name="Note 4 2 4 23 5" xfId="27442"/>
    <cellStyle name="Note 4 2 4 23 6" xfId="37476"/>
    <cellStyle name="Note 4 2 4 23 7" xfId="48796"/>
    <cellStyle name="Note 4 2 4 24" xfId="3596"/>
    <cellStyle name="Note 4 2 4 24 2" xfId="11382"/>
    <cellStyle name="Note 4 2 4 24 3" xfId="18657"/>
    <cellStyle name="Note 4 2 4 24 4" xfId="25461"/>
    <cellStyle name="Note 4 2 4 24 5" xfId="33926"/>
    <cellStyle name="Note 4 2 4 24 6" xfId="39811"/>
    <cellStyle name="Note 4 2 4 24 7" xfId="51782"/>
    <cellStyle name="Note 4 2 4 25" xfId="3708"/>
    <cellStyle name="Note 4 2 4 25 2" xfId="11493"/>
    <cellStyle name="Note 4 2 4 25 3" xfId="18766"/>
    <cellStyle name="Note 4 2 4 25 4" xfId="19932"/>
    <cellStyle name="Note 4 2 4 25 5" xfId="26866"/>
    <cellStyle name="Note 4 2 4 25 6" xfId="37962"/>
    <cellStyle name="Note 4 2 4 25 7" xfId="47275"/>
    <cellStyle name="Note 4 2 4 26" xfId="3838"/>
    <cellStyle name="Note 4 2 4 26 2" xfId="11620"/>
    <cellStyle name="Note 4 2 4 26 3" xfId="18877"/>
    <cellStyle name="Note 4 2 4 26 4" xfId="24952"/>
    <cellStyle name="Note 4 2 4 26 5" xfId="33288"/>
    <cellStyle name="Note 4 2 4 26 6" xfId="38219"/>
    <cellStyle name="Note 4 2 4 26 7" xfId="50675"/>
    <cellStyle name="Note 4 2 4 27" xfId="3956"/>
    <cellStyle name="Note 4 2 4 27 2" xfId="11736"/>
    <cellStyle name="Note 4 2 4 27 3" xfId="18986"/>
    <cellStyle name="Note 4 2 4 27 4" xfId="26631"/>
    <cellStyle name="Note 4 2 4 27 5" xfId="35466"/>
    <cellStyle name="Note 4 2 4 27 6" xfId="40995"/>
    <cellStyle name="Note 4 2 4 27 7" xfId="54350"/>
    <cellStyle name="Note 4 2 4 28" xfId="3045"/>
    <cellStyle name="Note 4 2 4 28 2" xfId="10858"/>
    <cellStyle name="Note 4 2 4 28 3" xfId="20211"/>
    <cellStyle name="Note 4 2 4 28 4" xfId="28303"/>
    <cellStyle name="Note 4 2 4 28 5" xfId="33222"/>
    <cellStyle name="Note 4 2 4 28 6" xfId="42368"/>
    <cellStyle name="Note 4 2 4 28 7" xfId="48722"/>
    <cellStyle name="Note 4 2 4 29" xfId="4153"/>
    <cellStyle name="Note 4 2 4 29 2" xfId="11912"/>
    <cellStyle name="Note 4 2 4 29 3" xfId="20863"/>
    <cellStyle name="Note 4 2 4 29 4" xfId="29050"/>
    <cellStyle name="Note 4 2 4 29 5" xfId="35566"/>
    <cellStyle name="Note 4 2 4 29 6" xfId="42715"/>
    <cellStyle name="Note 4 2 4 29 7" xfId="49098"/>
    <cellStyle name="Note 4 2 4 3" xfId="810"/>
    <cellStyle name="Note 4 2 4 3 2" xfId="8634"/>
    <cellStyle name="Note 4 2 4 3 3" xfId="16062"/>
    <cellStyle name="Note 4 2 4 3 4" xfId="26485"/>
    <cellStyle name="Note 4 2 4 3 5" xfId="35274"/>
    <cellStyle name="Note 4 2 4 3 6" xfId="36475"/>
    <cellStyle name="Note 4 2 4 3 7" xfId="54047"/>
    <cellStyle name="Note 4 2 4 30" xfId="4199"/>
    <cellStyle name="Note 4 2 4 30 2" xfId="20909"/>
    <cellStyle name="Note 4 2 4 30 3" xfId="29096"/>
    <cellStyle name="Note 4 2 4 30 4" xfId="35502"/>
    <cellStyle name="Note 4 2 4 30 5" xfId="42761"/>
    <cellStyle name="Note 4 2 4 30 6" xfId="47647"/>
    <cellStyle name="Note 4 2 4 31" xfId="4350"/>
    <cellStyle name="Note 4 2 4 31 2" xfId="12067"/>
    <cellStyle name="Note 4 2 4 31 3" xfId="21060"/>
    <cellStyle name="Note 4 2 4 31 4" xfId="29247"/>
    <cellStyle name="Note 4 2 4 31 5" xfId="36166"/>
    <cellStyle name="Note 4 2 4 31 6" xfId="42912"/>
    <cellStyle name="Note 4 2 4 31 7" xfId="54215"/>
    <cellStyle name="Note 4 2 4 32" xfId="4473"/>
    <cellStyle name="Note 4 2 4 32 2" xfId="12190"/>
    <cellStyle name="Note 4 2 4 32 3" xfId="21183"/>
    <cellStyle name="Note 4 2 4 32 4" xfId="29370"/>
    <cellStyle name="Note 4 2 4 32 5" xfId="36184"/>
    <cellStyle name="Note 4 2 4 32 6" xfId="43035"/>
    <cellStyle name="Note 4 2 4 32 7" xfId="54303"/>
    <cellStyle name="Note 4 2 4 33" xfId="4587"/>
    <cellStyle name="Note 4 2 4 33 2" xfId="12304"/>
    <cellStyle name="Note 4 2 4 33 3" xfId="21297"/>
    <cellStyle name="Note 4 2 4 33 4" xfId="29484"/>
    <cellStyle name="Note 4 2 4 33 5" xfId="27321"/>
    <cellStyle name="Note 4 2 4 33 6" xfId="43149"/>
    <cellStyle name="Note 4 2 4 33 7" xfId="50952"/>
    <cellStyle name="Note 4 2 4 34" xfId="4700"/>
    <cellStyle name="Note 4 2 4 34 2" xfId="12417"/>
    <cellStyle name="Note 4 2 4 34 3" xfId="21410"/>
    <cellStyle name="Note 4 2 4 34 4" xfId="29597"/>
    <cellStyle name="Note 4 2 4 34 5" xfId="36144"/>
    <cellStyle name="Note 4 2 4 34 6" xfId="43262"/>
    <cellStyle name="Note 4 2 4 34 7" xfId="54088"/>
    <cellStyle name="Note 4 2 4 35" xfId="4811"/>
    <cellStyle name="Note 4 2 4 35 2" xfId="12528"/>
    <cellStyle name="Note 4 2 4 35 3" xfId="21521"/>
    <cellStyle name="Note 4 2 4 35 4" xfId="29708"/>
    <cellStyle name="Note 4 2 4 35 5" xfId="35079"/>
    <cellStyle name="Note 4 2 4 35 6" xfId="43373"/>
    <cellStyle name="Note 4 2 4 35 7" xfId="49775"/>
    <cellStyle name="Note 4 2 4 36" xfId="4920"/>
    <cellStyle name="Note 4 2 4 36 2" xfId="12637"/>
    <cellStyle name="Note 4 2 4 36 3" xfId="21630"/>
    <cellStyle name="Note 4 2 4 36 4" xfId="29817"/>
    <cellStyle name="Note 4 2 4 36 5" xfId="35624"/>
    <cellStyle name="Note 4 2 4 36 6" xfId="43482"/>
    <cellStyle name="Note 4 2 4 36 7" xfId="51602"/>
    <cellStyle name="Note 4 2 4 37" xfId="5031"/>
    <cellStyle name="Note 4 2 4 37 2" xfId="12748"/>
    <cellStyle name="Note 4 2 4 37 3" xfId="21741"/>
    <cellStyle name="Note 4 2 4 37 4" xfId="29928"/>
    <cellStyle name="Note 4 2 4 37 5" xfId="34191"/>
    <cellStyle name="Note 4 2 4 37 6" xfId="43593"/>
    <cellStyle name="Note 4 2 4 37 7" xfId="50831"/>
    <cellStyle name="Note 4 2 4 38" xfId="5410"/>
    <cellStyle name="Note 4 2 4 38 2" xfId="13127"/>
    <cellStyle name="Note 4 2 4 38 3" xfId="22120"/>
    <cellStyle name="Note 4 2 4 38 4" xfId="30307"/>
    <cellStyle name="Note 4 2 4 38 5" xfId="35104"/>
    <cellStyle name="Note 4 2 4 38 6" xfId="43972"/>
    <cellStyle name="Note 4 2 4 38 7" xfId="50362"/>
    <cellStyle name="Note 4 2 4 39" xfId="5530"/>
    <cellStyle name="Note 4 2 4 39 2" xfId="13247"/>
    <cellStyle name="Note 4 2 4 39 3" xfId="22240"/>
    <cellStyle name="Note 4 2 4 39 4" xfId="30427"/>
    <cellStyle name="Note 4 2 4 39 5" xfId="27067"/>
    <cellStyle name="Note 4 2 4 39 6" xfId="44092"/>
    <cellStyle name="Note 4 2 4 39 7" xfId="48969"/>
    <cellStyle name="Note 4 2 4 4" xfId="921"/>
    <cellStyle name="Note 4 2 4 4 2" xfId="8745"/>
    <cellStyle name="Note 4 2 4 4 3" xfId="16173"/>
    <cellStyle name="Note 4 2 4 4 4" xfId="25520"/>
    <cellStyle name="Note 4 2 4 4 5" xfId="34001"/>
    <cellStyle name="Note 4 2 4 4 6" xfId="37348"/>
    <cellStyle name="Note 4 2 4 4 7" xfId="51912"/>
    <cellStyle name="Note 4 2 4 40" xfId="5654"/>
    <cellStyle name="Note 4 2 4 40 2" xfId="13371"/>
    <cellStyle name="Note 4 2 4 40 3" xfId="22364"/>
    <cellStyle name="Note 4 2 4 40 4" xfId="30551"/>
    <cellStyle name="Note 4 2 4 40 5" xfId="27477"/>
    <cellStyle name="Note 4 2 4 40 6" xfId="44216"/>
    <cellStyle name="Note 4 2 4 40 7" xfId="46921"/>
    <cellStyle name="Note 4 2 4 41" xfId="5770"/>
    <cellStyle name="Note 4 2 4 41 2" xfId="13487"/>
    <cellStyle name="Note 4 2 4 41 3" xfId="22480"/>
    <cellStyle name="Note 4 2 4 41 4" xfId="30667"/>
    <cellStyle name="Note 4 2 4 41 5" xfId="35420"/>
    <cellStyle name="Note 4 2 4 41 6" xfId="44332"/>
    <cellStyle name="Note 4 2 4 41 7" xfId="49738"/>
    <cellStyle name="Note 4 2 4 42" xfId="5886"/>
    <cellStyle name="Note 4 2 4 42 2" xfId="13603"/>
    <cellStyle name="Note 4 2 4 42 3" xfId="22596"/>
    <cellStyle name="Note 4 2 4 42 4" xfId="30783"/>
    <cellStyle name="Note 4 2 4 42 5" xfId="34170"/>
    <cellStyle name="Note 4 2 4 42 6" xfId="44448"/>
    <cellStyle name="Note 4 2 4 42 7" xfId="50629"/>
    <cellStyle name="Note 4 2 4 43" xfId="6015"/>
    <cellStyle name="Note 4 2 4 43 2" xfId="13732"/>
    <cellStyle name="Note 4 2 4 43 3" xfId="22725"/>
    <cellStyle name="Note 4 2 4 43 4" xfId="30912"/>
    <cellStyle name="Note 4 2 4 43 5" xfId="33100"/>
    <cellStyle name="Note 4 2 4 43 6" xfId="44577"/>
    <cellStyle name="Note 4 2 4 43 7" xfId="51579"/>
    <cellStyle name="Note 4 2 4 44" xfId="6110"/>
    <cellStyle name="Note 4 2 4 44 2" xfId="13827"/>
    <cellStyle name="Note 4 2 4 44 3" xfId="22820"/>
    <cellStyle name="Note 4 2 4 44 4" xfId="31007"/>
    <cellStyle name="Note 4 2 4 44 5" xfId="34478"/>
    <cellStyle name="Note 4 2 4 44 6" xfId="44672"/>
    <cellStyle name="Note 4 2 4 44 7" xfId="50275"/>
    <cellStyle name="Note 4 2 4 45" xfId="6142"/>
    <cellStyle name="Note 4 2 4 45 2" xfId="13859"/>
    <cellStyle name="Note 4 2 4 45 3" xfId="22852"/>
    <cellStyle name="Note 4 2 4 45 4" xfId="31039"/>
    <cellStyle name="Note 4 2 4 45 5" xfId="35096"/>
    <cellStyle name="Note 4 2 4 45 6" xfId="44704"/>
    <cellStyle name="Note 4 2 4 45 7" xfId="54021"/>
    <cellStyle name="Note 4 2 4 46" xfId="6271"/>
    <cellStyle name="Note 4 2 4 46 2" xfId="13988"/>
    <cellStyle name="Note 4 2 4 46 3" xfId="22981"/>
    <cellStyle name="Note 4 2 4 46 4" xfId="31168"/>
    <cellStyle name="Note 4 2 4 46 5" xfId="33934"/>
    <cellStyle name="Note 4 2 4 46 6" xfId="44833"/>
    <cellStyle name="Note 4 2 4 46 7" xfId="47826"/>
    <cellStyle name="Note 4 2 4 47" xfId="6387"/>
    <cellStyle name="Note 4 2 4 47 2" xfId="14104"/>
    <cellStyle name="Note 4 2 4 47 3" xfId="23097"/>
    <cellStyle name="Note 4 2 4 47 4" xfId="31284"/>
    <cellStyle name="Note 4 2 4 47 5" xfId="35586"/>
    <cellStyle name="Note 4 2 4 47 6" xfId="44949"/>
    <cellStyle name="Note 4 2 4 47 7" xfId="51130"/>
    <cellStyle name="Note 4 2 4 48" xfId="6498"/>
    <cellStyle name="Note 4 2 4 48 2" xfId="14215"/>
    <cellStyle name="Note 4 2 4 48 3" xfId="23208"/>
    <cellStyle name="Note 4 2 4 48 4" xfId="31395"/>
    <cellStyle name="Note 4 2 4 48 5" xfId="28503"/>
    <cellStyle name="Note 4 2 4 48 6" xfId="45060"/>
    <cellStyle name="Note 4 2 4 48 7" xfId="48121"/>
    <cellStyle name="Note 4 2 4 49" xfId="5338"/>
    <cellStyle name="Note 4 2 4 49 2" xfId="13055"/>
    <cellStyle name="Note 4 2 4 49 3" xfId="22048"/>
    <cellStyle name="Note 4 2 4 49 4" xfId="30235"/>
    <cellStyle name="Note 4 2 4 49 5" xfId="33823"/>
    <cellStyle name="Note 4 2 4 49 6" xfId="43900"/>
    <cellStyle name="Note 4 2 4 49 7" xfId="50224"/>
    <cellStyle name="Note 4 2 4 5" xfId="1387"/>
    <cellStyle name="Note 4 2 4 5 2" xfId="9210"/>
    <cellStyle name="Note 4 2 4 5 3" xfId="16638"/>
    <cellStyle name="Note 4 2 4 5 4" xfId="25200"/>
    <cellStyle name="Note 4 2 4 5 5" xfId="33589"/>
    <cellStyle name="Note 4 2 4 5 6" xfId="38026"/>
    <cellStyle name="Note 4 2 4 5 7" xfId="51218"/>
    <cellStyle name="Note 4 2 4 50" xfId="6644"/>
    <cellStyle name="Note 4 2 4 50 2" xfId="14361"/>
    <cellStyle name="Note 4 2 4 50 3" xfId="23354"/>
    <cellStyle name="Note 4 2 4 50 4" xfId="31541"/>
    <cellStyle name="Note 4 2 4 50 5" xfId="36171"/>
    <cellStyle name="Note 4 2 4 50 6" xfId="45206"/>
    <cellStyle name="Note 4 2 4 50 7" xfId="53704"/>
    <cellStyle name="Note 4 2 4 51" xfId="6756"/>
    <cellStyle name="Note 4 2 4 51 2" xfId="14473"/>
    <cellStyle name="Note 4 2 4 51 3" xfId="23466"/>
    <cellStyle name="Note 4 2 4 51 4" xfId="31653"/>
    <cellStyle name="Note 4 2 4 51 5" xfId="33846"/>
    <cellStyle name="Note 4 2 4 51 6" xfId="45318"/>
    <cellStyle name="Note 4 2 4 51 7" xfId="49224"/>
    <cellStyle name="Note 4 2 4 52" xfId="6871"/>
    <cellStyle name="Note 4 2 4 52 2" xfId="14588"/>
    <cellStyle name="Note 4 2 4 52 3" xfId="23581"/>
    <cellStyle name="Note 4 2 4 52 4" xfId="31768"/>
    <cellStyle name="Note 4 2 4 52 5" xfId="36236"/>
    <cellStyle name="Note 4 2 4 52 6" xfId="45433"/>
    <cellStyle name="Note 4 2 4 52 7" xfId="46897"/>
    <cellStyle name="Note 4 2 4 53" xfId="6984"/>
    <cellStyle name="Note 4 2 4 53 2" xfId="14701"/>
    <cellStyle name="Note 4 2 4 53 3" xfId="23694"/>
    <cellStyle name="Note 4 2 4 53 4" xfId="31881"/>
    <cellStyle name="Note 4 2 4 53 5" xfId="34014"/>
    <cellStyle name="Note 4 2 4 53 6" xfId="45546"/>
    <cellStyle name="Note 4 2 4 53 7" xfId="54537"/>
    <cellStyle name="Note 4 2 4 54" xfId="7095"/>
    <cellStyle name="Note 4 2 4 54 2" xfId="14812"/>
    <cellStyle name="Note 4 2 4 54 3" xfId="23805"/>
    <cellStyle name="Note 4 2 4 54 4" xfId="31992"/>
    <cellStyle name="Note 4 2 4 54 5" xfId="27863"/>
    <cellStyle name="Note 4 2 4 54 6" xfId="45657"/>
    <cellStyle name="Note 4 2 4 54 7" xfId="49444"/>
    <cellStyle name="Note 4 2 4 55" xfId="7184"/>
    <cellStyle name="Note 4 2 4 55 2" xfId="14901"/>
    <cellStyle name="Note 4 2 4 55 3" xfId="23894"/>
    <cellStyle name="Note 4 2 4 55 4" xfId="32081"/>
    <cellStyle name="Note 4 2 4 55 5" xfId="36054"/>
    <cellStyle name="Note 4 2 4 55 6" xfId="45746"/>
    <cellStyle name="Note 4 2 4 55 7" xfId="53107"/>
    <cellStyle name="Note 4 2 4 56" xfId="7316"/>
    <cellStyle name="Note 4 2 4 56 2" xfId="15033"/>
    <cellStyle name="Note 4 2 4 56 3" xfId="24026"/>
    <cellStyle name="Note 4 2 4 56 4" xfId="32213"/>
    <cellStyle name="Note 4 2 4 56 5" xfId="35901"/>
    <cellStyle name="Note 4 2 4 56 6" xfId="45878"/>
    <cellStyle name="Note 4 2 4 56 7" xfId="51845"/>
    <cellStyle name="Note 4 2 4 57" xfId="7492"/>
    <cellStyle name="Note 4 2 4 57 2" xfId="15209"/>
    <cellStyle name="Note 4 2 4 57 3" xfId="24202"/>
    <cellStyle name="Note 4 2 4 57 4" xfId="32389"/>
    <cellStyle name="Note 4 2 4 57 5" xfId="35610"/>
    <cellStyle name="Note 4 2 4 57 6" xfId="46054"/>
    <cellStyle name="Note 4 2 4 57 7" xfId="51015"/>
    <cellStyle name="Note 4 2 4 58" xfId="7613"/>
    <cellStyle name="Note 4 2 4 58 2" xfId="15330"/>
    <cellStyle name="Note 4 2 4 58 3" xfId="24323"/>
    <cellStyle name="Note 4 2 4 58 4" xfId="32510"/>
    <cellStyle name="Note 4 2 4 58 5" xfId="27620"/>
    <cellStyle name="Note 4 2 4 58 6" xfId="46175"/>
    <cellStyle name="Note 4 2 4 58 7" xfId="48526"/>
    <cellStyle name="Note 4 2 4 59" xfId="7889"/>
    <cellStyle name="Note 4 2 4 59 2" xfId="15606"/>
    <cellStyle name="Note 4 2 4 59 3" xfId="24593"/>
    <cellStyle name="Note 4 2 4 59 4" xfId="32786"/>
    <cellStyle name="Note 4 2 4 59 5" xfId="33129"/>
    <cellStyle name="Note 4 2 4 59 6" xfId="46451"/>
    <cellStyle name="Note 4 2 4 59 7" xfId="54122"/>
    <cellStyle name="Note 4 2 4 6" xfId="1510"/>
    <cellStyle name="Note 4 2 4 6 2" xfId="9333"/>
    <cellStyle name="Note 4 2 4 6 3" xfId="16761"/>
    <cellStyle name="Note 4 2 4 6 4" xfId="25184"/>
    <cellStyle name="Note 4 2 4 6 5" xfId="33567"/>
    <cellStyle name="Note 4 2 4 6 6" xfId="40340"/>
    <cellStyle name="Note 4 2 4 6 7" xfId="51185"/>
    <cellStyle name="Note 4 2 4 60" xfId="7667"/>
    <cellStyle name="Note 4 2 4 60 2" xfId="15384"/>
    <cellStyle name="Note 4 2 4 60 3" xfId="24376"/>
    <cellStyle name="Note 4 2 4 60 4" xfId="32564"/>
    <cellStyle name="Note 4 2 4 60 5" xfId="34369"/>
    <cellStyle name="Note 4 2 4 60 6" xfId="46229"/>
    <cellStyle name="Note 4 2 4 60 7" xfId="49079"/>
    <cellStyle name="Note 4 2 4 61" xfId="8017"/>
    <cellStyle name="Note 4 2 4 61 2" xfId="15734"/>
    <cellStyle name="Note 4 2 4 61 3" xfId="24719"/>
    <cellStyle name="Note 4 2 4 61 4" xfId="32914"/>
    <cellStyle name="Note 4 2 4 61 5" xfId="26985"/>
    <cellStyle name="Note 4 2 4 61 6" xfId="46579"/>
    <cellStyle name="Note 4 2 4 61 7" xfId="50922"/>
    <cellStyle name="Note 4 2 4 62" xfId="7698"/>
    <cellStyle name="Note 4 2 4 62 2" xfId="15415"/>
    <cellStyle name="Note 4 2 4 62 3" xfId="24406"/>
    <cellStyle name="Note 4 2 4 62 4" xfId="32595"/>
    <cellStyle name="Note 4 2 4 62 5" xfId="35877"/>
    <cellStyle name="Note 4 2 4 62 6" xfId="46260"/>
    <cellStyle name="Note 4 2 4 62 7" xfId="52246"/>
    <cellStyle name="Note 4 2 4 63" xfId="8165"/>
    <cellStyle name="Note 4 2 4 63 2" xfId="15882"/>
    <cellStyle name="Note 4 2 4 63 3" xfId="33062"/>
    <cellStyle name="Note 4 2 4 63 4" xfId="33550"/>
    <cellStyle name="Note 4 2 4 63 5" xfId="46727"/>
    <cellStyle name="Note 4 2 4 63 6" xfId="50817"/>
    <cellStyle name="Note 4 2 4 64" xfId="26567"/>
    <cellStyle name="Note 4 2 4 65" xfId="35379"/>
    <cellStyle name="Note 4 2 4 66" xfId="36268"/>
    <cellStyle name="Note 4 2 4 67" xfId="54207"/>
    <cellStyle name="Note 4 2 4 7" xfId="1146"/>
    <cellStyle name="Note 4 2 4 7 2" xfId="8969"/>
    <cellStyle name="Note 4 2 4 7 3" xfId="16397"/>
    <cellStyle name="Note 4 2 4 7 4" xfId="19029"/>
    <cellStyle name="Note 4 2 4 7 5" xfId="26857"/>
    <cellStyle name="Note 4 2 4 7 6" xfId="40465"/>
    <cellStyle name="Note 4 2 4 7 7" xfId="49825"/>
    <cellStyle name="Note 4 2 4 8" xfId="1747"/>
    <cellStyle name="Note 4 2 4 8 2" xfId="9570"/>
    <cellStyle name="Note 4 2 4 8 3" xfId="16998"/>
    <cellStyle name="Note 4 2 4 8 4" xfId="19551"/>
    <cellStyle name="Note 4 2 4 8 5" xfId="28167"/>
    <cellStyle name="Note 4 2 4 8 6" xfId="40090"/>
    <cellStyle name="Note 4 2 4 8 7" xfId="48284"/>
    <cellStyle name="Note 4 2 4 9" xfId="1881"/>
    <cellStyle name="Note 4 2 4 9 2" xfId="9704"/>
    <cellStyle name="Note 4 2 4 9 3" xfId="17132"/>
    <cellStyle name="Note 4 2 4 9 4" xfId="24802"/>
    <cellStyle name="Note 4 2 4 9 5" xfId="27989"/>
    <cellStyle name="Note 4 2 4 9 6" xfId="39023"/>
    <cellStyle name="Note 4 2 4 9 7" xfId="50014"/>
    <cellStyle name="Note 4 2 40" xfId="4703"/>
    <cellStyle name="Note 4 2 40 2" xfId="12420"/>
    <cellStyle name="Note 4 2 40 3" xfId="21413"/>
    <cellStyle name="Note 4 2 40 4" xfId="29600"/>
    <cellStyle name="Note 4 2 40 5" xfId="34328"/>
    <cellStyle name="Note 4 2 40 6" xfId="43265"/>
    <cellStyle name="Note 4 2 40 7" xfId="48198"/>
    <cellStyle name="Note 4 2 41" xfId="3082"/>
    <cellStyle name="Note 4 2 41 2" xfId="10890"/>
    <cellStyle name="Note 4 2 41 3" xfId="20243"/>
    <cellStyle name="Note 4 2 41 4" xfId="28333"/>
    <cellStyle name="Note 4 2 41 5" xfId="35825"/>
    <cellStyle name="Note 4 2 41 6" xfId="42390"/>
    <cellStyle name="Note 4 2 41 7" xfId="52542"/>
    <cellStyle name="Note 4 2 42" xfId="4923"/>
    <cellStyle name="Note 4 2 42 2" xfId="12640"/>
    <cellStyle name="Note 4 2 42 3" xfId="21633"/>
    <cellStyle name="Note 4 2 42 4" xfId="29820"/>
    <cellStyle name="Note 4 2 42 5" xfId="34762"/>
    <cellStyle name="Note 4 2 42 6" xfId="43485"/>
    <cellStyle name="Note 4 2 42 7" xfId="49632"/>
    <cellStyle name="Note 4 2 43" xfId="5238"/>
    <cellStyle name="Note 4 2 43 2" xfId="12955"/>
    <cellStyle name="Note 4 2 43 3" xfId="21948"/>
    <cellStyle name="Note 4 2 43 4" xfId="30135"/>
    <cellStyle name="Note 4 2 43 5" xfId="34416"/>
    <cellStyle name="Note 4 2 43 6" xfId="43800"/>
    <cellStyle name="Note 4 2 43 7" xfId="48019"/>
    <cellStyle name="Note 4 2 44" xfId="5413"/>
    <cellStyle name="Note 4 2 44 2" xfId="13130"/>
    <cellStyle name="Note 4 2 44 3" xfId="22123"/>
    <cellStyle name="Note 4 2 44 4" xfId="30310"/>
    <cellStyle name="Note 4 2 44 5" xfId="34418"/>
    <cellStyle name="Note 4 2 44 6" xfId="43975"/>
    <cellStyle name="Note 4 2 44 7" xfId="50112"/>
    <cellStyle name="Note 4 2 45" xfId="5364"/>
    <cellStyle name="Note 4 2 45 2" xfId="13081"/>
    <cellStyle name="Note 4 2 45 3" xfId="22074"/>
    <cellStyle name="Note 4 2 45 4" xfId="30261"/>
    <cellStyle name="Note 4 2 45 5" xfId="33637"/>
    <cellStyle name="Note 4 2 45 6" xfId="43926"/>
    <cellStyle name="Note 4 2 45 7" xfId="50289"/>
    <cellStyle name="Note 4 2 46" xfId="5350"/>
    <cellStyle name="Note 4 2 46 2" xfId="13067"/>
    <cellStyle name="Note 4 2 46 3" xfId="22060"/>
    <cellStyle name="Note 4 2 46 4" xfId="30247"/>
    <cellStyle name="Note 4 2 46 5" xfId="33595"/>
    <cellStyle name="Note 4 2 46 6" xfId="43912"/>
    <cellStyle name="Note 4 2 46 7" xfId="48999"/>
    <cellStyle name="Note 4 2 47" xfId="5285"/>
    <cellStyle name="Note 4 2 47 2" xfId="13002"/>
    <cellStyle name="Note 4 2 47 3" xfId="21995"/>
    <cellStyle name="Note 4 2 47 4" xfId="30182"/>
    <cellStyle name="Note 4 2 47 5" xfId="35649"/>
    <cellStyle name="Note 4 2 47 6" xfId="43847"/>
    <cellStyle name="Note 4 2 47 7" xfId="51705"/>
    <cellStyle name="Note 4 2 48" xfId="5379"/>
    <cellStyle name="Note 4 2 48 2" xfId="13096"/>
    <cellStyle name="Note 4 2 48 3" xfId="22089"/>
    <cellStyle name="Note 4 2 48 4" xfId="30276"/>
    <cellStyle name="Note 4 2 48 5" xfId="36004"/>
    <cellStyle name="Note 4 2 48 6" xfId="43941"/>
    <cellStyle name="Note 4 2 48 7" xfId="53427"/>
    <cellStyle name="Note 4 2 49" xfId="5265"/>
    <cellStyle name="Note 4 2 49 2" xfId="12982"/>
    <cellStyle name="Note 4 2 49 3" xfId="21975"/>
    <cellStyle name="Note 4 2 49 4" xfId="30162"/>
    <cellStyle name="Note 4 2 49 5" xfId="28324"/>
    <cellStyle name="Note 4 2 49 6" xfId="43827"/>
    <cellStyle name="Note 4 2 49 7" xfId="50220"/>
    <cellStyle name="Note 4 2 5" xfId="501"/>
    <cellStyle name="Note 4 2 5 10" xfId="1948"/>
    <cellStyle name="Note 4 2 5 10 2" xfId="9771"/>
    <cellStyle name="Note 4 2 5 10 3" xfId="17199"/>
    <cellStyle name="Note 4 2 5 10 4" xfId="25602"/>
    <cellStyle name="Note 4 2 5 10 5" xfId="34112"/>
    <cellStyle name="Note 4 2 5 10 6" xfId="40312"/>
    <cellStyle name="Note 4 2 5 10 7" xfId="52093"/>
    <cellStyle name="Note 4 2 5 11" xfId="2066"/>
    <cellStyle name="Note 4 2 5 11 2" xfId="9889"/>
    <cellStyle name="Note 4 2 5 11 3" xfId="17317"/>
    <cellStyle name="Note 4 2 5 11 4" xfId="25670"/>
    <cellStyle name="Note 4 2 5 11 5" xfId="34202"/>
    <cellStyle name="Note 4 2 5 11 6" xfId="39326"/>
    <cellStyle name="Note 4 2 5 11 7" xfId="52240"/>
    <cellStyle name="Note 4 2 5 12" xfId="2179"/>
    <cellStyle name="Note 4 2 5 12 2" xfId="10002"/>
    <cellStyle name="Note 4 2 5 12 3" xfId="17430"/>
    <cellStyle name="Note 4 2 5 12 4" xfId="26518"/>
    <cellStyle name="Note 4 2 5 12 5" xfId="35315"/>
    <cellStyle name="Note 4 2 5 12 6" xfId="39363"/>
    <cellStyle name="Note 4 2 5 12 7" xfId="54106"/>
    <cellStyle name="Note 4 2 5 13" xfId="1006"/>
    <cellStyle name="Note 4 2 5 13 2" xfId="8830"/>
    <cellStyle name="Note 4 2 5 13 3" xfId="16258"/>
    <cellStyle name="Note 4 2 5 13 4" xfId="19340"/>
    <cellStyle name="Note 4 2 5 13 5" xfId="27012"/>
    <cellStyle name="Note 4 2 5 13 6" xfId="36671"/>
    <cellStyle name="Note 4 2 5 13 7" xfId="50126"/>
    <cellStyle name="Note 4 2 5 14" xfId="2334"/>
    <cellStyle name="Note 4 2 5 14 2" xfId="10157"/>
    <cellStyle name="Note 4 2 5 14 3" xfId="17585"/>
    <cellStyle name="Note 4 2 5 14 4" xfId="26288"/>
    <cellStyle name="Note 4 2 5 14 5" xfId="34997"/>
    <cellStyle name="Note 4 2 5 14 6" xfId="40159"/>
    <cellStyle name="Note 4 2 5 14 7" xfId="53618"/>
    <cellStyle name="Note 4 2 5 15" xfId="2477"/>
    <cellStyle name="Note 4 2 5 15 2" xfId="10300"/>
    <cellStyle name="Note 4 2 5 15 3" xfId="17728"/>
    <cellStyle name="Note 4 2 5 15 4" xfId="26119"/>
    <cellStyle name="Note 4 2 5 15 5" xfId="34778"/>
    <cellStyle name="Note 4 2 5 15 6" xfId="38819"/>
    <cellStyle name="Note 4 2 5 15 7" xfId="53249"/>
    <cellStyle name="Note 4 2 5 16" xfId="2590"/>
    <cellStyle name="Note 4 2 5 16 2" xfId="10413"/>
    <cellStyle name="Note 4 2 5 16 3" xfId="17841"/>
    <cellStyle name="Note 4 2 5 16 4" xfId="24963"/>
    <cellStyle name="Note 4 2 5 16 5" xfId="33301"/>
    <cellStyle name="Note 4 2 5 16 6" xfId="39580"/>
    <cellStyle name="Note 4 2 5 16 7" xfId="50702"/>
    <cellStyle name="Note 4 2 5 17" xfId="1809"/>
    <cellStyle name="Note 4 2 5 17 2" xfId="9632"/>
    <cellStyle name="Note 4 2 5 17 3" xfId="17060"/>
    <cellStyle name="Note 4 2 5 17 4" xfId="19954"/>
    <cellStyle name="Note 4 2 5 17 5" xfId="28163"/>
    <cellStyle name="Note 4 2 5 17 6" xfId="40234"/>
    <cellStyle name="Note 4 2 5 17 7" xfId="50238"/>
    <cellStyle name="Note 4 2 5 18" xfId="2700"/>
    <cellStyle name="Note 4 2 5 18 2" xfId="10523"/>
    <cellStyle name="Note 4 2 5 18 3" xfId="17951"/>
    <cellStyle name="Note 4 2 5 18 4" xfId="25980"/>
    <cellStyle name="Note 4 2 5 18 5" xfId="34597"/>
    <cellStyle name="Note 4 2 5 18 6" xfId="39805"/>
    <cellStyle name="Note 4 2 5 18 7" xfId="52952"/>
    <cellStyle name="Note 4 2 5 19" xfId="2784"/>
    <cellStyle name="Note 4 2 5 19 2" xfId="10607"/>
    <cellStyle name="Note 4 2 5 19 3" xfId="18035"/>
    <cellStyle name="Note 4 2 5 19 4" xfId="20231"/>
    <cellStyle name="Note 4 2 5 19 5" xfId="27878"/>
    <cellStyle name="Note 4 2 5 19 6" xfId="38520"/>
    <cellStyle name="Note 4 2 5 19 7" xfId="48025"/>
    <cellStyle name="Note 4 2 5 2" xfId="652"/>
    <cellStyle name="Note 4 2 5 2 2" xfId="8476"/>
    <cellStyle name="Note 4 2 5 2 3" xfId="8284"/>
    <cellStyle name="Note 4 2 5 2 4" xfId="25450"/>
    <cellStyle name="Note 4 2 5 2 5" xfId="33912"/>
    <cellStyle name="Note 4 2 5 2 6" xfId="37406"/>
    <cellStyle name="Note 4 2 5 2 7" xfId="51754"/>
    <cellStyle name="Note 4 2 5 20" xfId="2891"/>
    <cellStyle name="Note 4 2 5 20 2" xfId="10714"/>
    <cellStyle name="Note 4 2 5 20 3" xfId="18142"/>
    <cellStyle name="Note 4 2 5 20 4" xfId="24839"/>
    <cellStyle name="Note 4 2 5 20 5" xfId="27875"/>
    <cellStyle name="Note 4 2 5 20 6" xfId="36294"/>
    <cellStyle name="Note 4 2 5 20 7" xfId="49403"/>
    <cellStyle name="Note 4 2 5 21" xfId="3267"/>
    <cellStyle name="Note 4 2 5 21 2" xfId="11060"/>
    <cellStyle name="Note 4 2 5 21 3" xfId="18389"/>
    <cellStyle name="Note 4 2 5 21 4" xfId="24800"/>
    <cellStyle name="Note 4 2 5 21 5" xfId="28563"/>
    <cellStyle name="Note 4 2 5 21 6" xfId="39471"/>
    <cellStyle name="Note 4 2 5 21 7" xfId="48701"/>
    <cellStyle name="Note 4 2 5 22" xfId="3387"/>
    <cellStyle name="Note 4 2 5 22 2" xfId="11178"/>
    <cellStyle name="Note 4 2 5 22 3" xfId="18500"/>
    <cellStyle name="Note 4 2 5 22 4" xfId="25274"/>
    <cellStyle name="Note 4 2 5 22 5" xfId="33684"/>
    <cellStyle name="Note 4 2 5 22 6" xfId="38263"/>
    <cellStyle name="Note 4 2 5 22 7" xfId="51378"/>
    <cellStyle name="Note 4 2 5 23" xfId="3521"/>
    <cellStyle name="Note 4 2 5 23 2" xfId="11312"/>
    <cellStyle name="Note 4 2 5 23 3" xfId="18609"/>
    <cellStyle name="Note 4 2 5 23 4" xfId="25925"/>
    <cellStyle name="Note 4 2 5 23 5" xfId="34527"/>
    <cellStyle name="Note 4 2 5 23 6" xfId="40956"/>
    <cellStyle name="Note 4 2 5 23 7" xfId="52834"/>
    <cellStyle name="Note 4 2 5 24" xfId="3218"/>
    <cellStyle name="Note 4 2 5 24 2" xfId="11015"/>
    <cellStyle name="Note 4 2 5 24 3" xfId="18355"/>
    <cellStyle name="Note 4 2 5 24 4" xfId="26456"/>
    <cellStyle name="Note 4 2 5 24 5" xfId="35232"/>
    <cellStyle name="Note 4 2 5 24 6" xfId="40631"/>
    <cellStyle name="Note 4 2 5 24 7" xfId="53971"/>
    <cellStyle name="Note 4 2 5 25" xfId="3657"/>
    <cellStyle name="Note 4 2 5 25 2" xfId="11442"/>
    <cellStyle name="Note 4 2 5 25 3" xfId="18715"/>
    <cellStyle name="Note 4 2 5 25 4" xfId="26301"/>
    <cellStyle name="Note 4 2 5 25 5" xfId="35018"/>
    <cellStyle name="Note 4 2 5 25 6" xfId="40657"/>
    <cellStyle name="Note 4 2 5 25 7" xfId="53648"/>
    <cellStyle name="Note 4 2 5 26" xfId="3788"/>
    <cellStyle name="Note 4 2 5 26 2" xfId="11570"/>
    <cellStyle name="Note 4 2 5 26 3" xfId="18827"/>
    <cellStyle name="Note 4 2 5 26 4" xfId="19173"/>
    <cellStyle name="Note 4 2 5 26 5" xfId="26903"/>
    <cellStyle name="Note 4 2 5 26 6" xfId="39404"/>
    <cellStyle name="Note 4 2 5 26 7" xfId="49200"/>
    <cellStyle name="Note 4 2 5 27" xfId="3905"/>
    <cellStyle name="Note 4 2 5 27 2" xfId="11685"/>
    <cellStyle name="Note 4 2 5 27 3" xfId="18936"/>
    <cellStyle name="Note 4 2 5 27 4" xfId="25008"/>
    <cellStyle name="Note 4 2 5 27 5" xfId="33360"/>
    <cellStyle name="Note 4 2 5 27 6" xfId="38679"/>
    <cellStyle name="Note 4 2 5 27 7" xfId="50813"/>
    <cellStyle name="Note 4 2 5 28" xfId="3188"/>
    <cellStyle name="Note 4 2 5 28 2" xfId="10989"/>
    <cellStyle name="Note 4 2 5 28 3" xfId="20316"/>
    <cellStyle name="Note 4 2 5 28 4" xfId="28408"/>
    <cellStyle name="Note 4 2 5 28 5" xfId="34717"/>
    <cellStyle name="Note 4 2 5 28 6" xfId="42431"/>
    <cellStyle name="Note 4 2 5 28 7" xfId="49705"/>
    <cellStyle name="Note 4 2 5 29" xfId="4102"/>
    <cellStyle name="Note 4 2 5 29 2" xfId="11862"/>
    <cellStyle name="Note 4 2 5 29 3" xfId="20812"/>
    <cellStyle name="Note 4 2 5 29 4" xfId="28999"/>
    <cellStyle name="Note 4 2 5 29 5" xfId="36124"/>
    <cellStyle name="Note 4 2 5 29 6" xfId="42664"/>
    <cellStyle name="Note 4 2 5 29 7" xfId="53993"/>
    <cellStyle name="Note 4 2 5 3" xfId="759"/>
    <cellStyle name="Note 4 2 5 3 2" xfId="8583"/>
    <cellStyle name="Note 4 2 5 3 3" xfId="16011"/>
    <cellStyle name="Note 4 2 5 3 4" xfId="26402"/>
    <cellStyle name="Note 4 2 5 3 5" xfId="35154"/>
    <cellStyle name="Note 4 2 5 3 6" xfId="37399"/>
    <cellStyle name="Note 4 2 5 3 7" xfId="53853"/>
    <cellStyle name="Note 4 2 5 30" xfId="3766"/>
    <cellStyle name="Note 4 2 5 30 2" xfId="20616"/>
    <cellStyle name="Note 4 2 5 30 3" xfId="28766"/>
    <cellStyle name="Note 4 2 5 30 4" xfId="35594"/>
    <cellStyle name="Note 4 2 5 30 5" xfId="42542"/>
    <cellStyle name="Note 4 2 5 30 6" xfId="51475"/>
    <cellStyle name="Note 4 2 5 31" xfId="4299"/>
    <cellStyle name="Note 4 2 5 31 2" xfId="12016"/>
    <cellStyle name="Note 4 2 5 31 3" xfId="21009"/>
    <cellStyle name="Note 4 2 5 31 4" xfId="29196"/>
    <cellStyle name="Note 4 2 5 31 5" xfId="26845"/>
    <cellStyle name="Note 4 2 5 31 6" xfId="42861"/>
    <cellStyle name="Note 4 2 5 31 7" xfId="49155"/>
    <cellStyle name="Note 4 2 5 32" xfId="4422"/>
    <cellStyle name="Note 4 2 5 32 2" xfId="12139"/>
    <cellStyle name="Note 4 2 5 32 3" xfId="21132"/>
    <cellStyle name="Note 4 2 5 32 4" xfId="29319"/>
    <cellStyle name="Note 4 2 5 32 5" xfId="35925"/>
    <cellStyle name="Note 4 2 5 32 6" xfId="42984"/>
    <cellStyle name="Note 4 2 5 32 7" xfId="53068"/>
    <cellStyle name="Note 4 2 5 33" xfId="4536"/>
    <cellStyle name="Note 4 2 5 33 2" xfId="12253"/>
    <cellStyle name="Note 4 2 5 33 3" xfId="21246"/>
    <cellStyle name="Note 4 2 5 33 4" xfId="29433"/>
    <cellStyle name="Note 4 2 5 33 5" xfId="35812"/>
    <cellStyle name="Note 4 2 5 33 6" xfId="43098"/>
    <cellStyle name="Note 4 2 5 33 7" xfId="52498"/>
    <cellStyle name="Note 4 2 5 34" xfId="4649"/>
    <cellStyle name="Note 4 2 5 34 2" xfId="12366"/>
    <cellStyle name="Note 4 2 5 34 3" xfId="21359"/>
    <cellStyle name="Note 4 2 5 34 4" xfId="29546"/>
    <cellStyle name="Note 4 2 5 34 5" xfId="35758"/>
    <cellStyle name="Note 4 2 5 34 6" xfId="43211"/>
    <cellStyle name="Note 4 2 5 34 7" xfId="52281"/>
    <cellStyle name="Note 4 2 5 35" xfId="4761"/>
    <cellStyle name="Note 4 2 5 35 2" xfId="12478"/>
    <cellStyle name="Note 4 2 5 35 3" xfId="21471"/>
    <cellStyle name="Note 4 2 5 35 4" xfId="29658"/>
    <cellStyle name="Note 4 2 5 35 5" xfId="27098"/>
    <cellStyle name="Note 4 2 5 35 6" xfId="43323"/>
    <cellStyle name="Note 4 2 5 35 7" xfId="50605"/>
    <cellStyle name="Note 4 2 5 36" xfId="4869"/>
    <cellStyle name="Note 4 2 5 36 2" xfId="12586"/>
    <cellStyle name="Note 4 2 5 36 3" xfId="21579"/>
    <cellStyle name="Note 4 2 5 36 4" xfId="29766"/>
    <cellStyle name="Note 4 2 5 36 5" xfId="35744"/>
    <cellStyle name="Note 4 2 5 36 6" xfId="43431"/>
    <cellStyle name="Note 4 2 5 36 7" xfId="52211"/>
    <cellStyle name="Note 4 2 5 37" xfId="4981"/>
    <cellStyle name="Note 4 2 5 37 2" xfId="12698"/>
    <cellStyle name="Note 4 2 5 37 3" xfId="21691"/>
    <cellStyle name="Note 4 2 5 37 4" xfId="29878"/>
    <cellStyle name="Note 4 2 5 37 5" xfId="28318"/>
    <cellStyle name="Note 4 2 5 37 6" xfId="43543"/>
    <cellStyle name="Note 4 2 5 37 7" xfId="47457"/>
    <cellStyle name="Note 4 2 5 38" xfId="5130"/>
    <cellStyle name="Note 4 2 5 38 2" xfId="12847"/>
    <cellStyle name="Note 4 2 5 38 3" xfId="21840"/>
    <cellStyle name="Note 4 2 5 38 4" xfId="30027"/>
    <cellStyle name="Note 4 2 5 38 5" xfId="35674"/>
    <cellStyle name="Note 4 2 5 38 6" xfId="43692"/>
    <cellStyle name="Note 4 2 5 38 7" xfId="51798"/>
    <cellStyle name="Note 4 2 5 39" xfId="5479"/>
    <cellStyle name="Note 4 2 5 39 2" xfId="13196"/>
    <cellStyle name="Note 4 2 5 39 3" xfId="22189"/>
    <cellStyle name="Note 4 2 5 39 4" xfId="30376"/>
    <cellStyle name="Note 4 2 5 39 5" xfId="35427"/>
    <cellStyle name="Note 4 2 5 39 6" xfId="44041"/>
    <cellStyle name="Note 4 2 5 39 7" xfId="47526"/>
    <cellStyle name="Note 4 2 5 4" xfId="871"/>
    <cellStyle name="Note 4 2 5 4 2" xfId="8695"/>
    <cellStyle name="Note 4 2 5 4 3" xfId="16123"/>
    <cellStyle name="Note 4 2 5 4 4" xfId="20386"/>
    <cellStyle name="Note 4 2 5 4 5" xfId="28043"/>
    <cellStyle name="Note 4 2 5 4 6" xfId="37382"/>
    <cellStyle name="Note 4 2 5 4 7" xfId="48627"/>
    <cellStyle name="Note 4 2 5 40" xfId="5604"/>
    <cellStyle name="Note 4 2 5 40 2" xfId="13321"/>
    <cellStyle name="Note 4 2 5 40 3" xfId="22314"/>
    <cellStyle name="Note 4 2 5 40 4" xfId="30501"/>
    <cellStyle name="Note 4 2 5 40 5" xfId="35558"/>
    <cellStyle name="Note 4 2 5 40 6" xfId="44166"/>
    <cellStyle name="Note 4 2 5 40 7" xfId="47137"/>
    <cellStyle name="Note 4 2 5 41" xfId="5719"/>
    <cellStyle name="Note 4 2 5 41 2" xfId="13436"/>
    <cellStyle name="Note 4 2 5 41 3" xfId="22429"/>
    <cellStyle name="Note 4 2 5 41 4" xfId="30616"/>
    <cellStyle name="Note 4 2 5 41 5" xfId="33479"/>
    <cellStyle name="Note 4 2 5 41 6" xfId="44281"/>
    <cellStyle name="Note 4 2 5 41 7" xfId="46903"/>
    <cellStyle name="Note 4 2 5 42" xfId="5836"/>
    <cellStyle name="Note 4 2 5 42 2" xfId="13553"/>
    <cellStyle name="Note 4 2 5 42 3" xfId="22546"/>
    <cellStyle name="Note 4 2 5 42 4" xfId="30733"/>
    <cellStyle name="Note 4 2 5 42 5" xfId="35087"/>
    <cellStyle name="Note 4 2 5 42 6" xfId="44398"/>
    <cellStyle name="Note 4 2 5 42 7" xfId="47809"/>
    <cellStyle name="Note 4 2 5 43" xfId="5964"/>
    <cellStyle name="Note 4 2 5 43 2" xfId="13681"/>
    <cellStyle name="Note 4 2 5 43 3" xfId="22674"/>
    <cellStyle name="Note 4 2 5 43 4" xfId="30861"/>
    <cellStyle name="Note 4 2 5 43 5" xfId="28055"/>
    <cellStyle name="Note 4 2 5 43 6" xfId="44526"/>
    <cellStyle name="Note 4 2 5 43 7" xfId="47562"/>
    <cellStyle name="Note 4 2 5 44" xfId="6076"/>
    <cellStyle name="Note 4 2 5 44 2" xfId="13793"/>
    <cellStyle name="Note 4 2 5 44 3" xfId="22786"/>
    <cellStyle name="Note 4 2 5 44 4" xfId="30973"/>
    <cellStyle name="Note 4 2 5 44 5" xfId="36178"/>
    <cellStyle name="Note 4 2 5 44 6" xfId="44638"/>
    <cellStyle name="Note 4 2 5 44 7" xfId="53834"/>
    <cellStyle name="Note 4 2 5 45" xfId="5181"/>
    <cellStyle name="Note 4 2 5 45 2" xfId="12898"/>
    <cellStyle name="Note 4 2 5 45 3" xfId="21891"/>
    <cellStyle name="Note 4 2 5 45 4" xfId="30078"/>
    <cellStyle name="Note 4 2 5 45 5" xfId="34695"/>
    <cellStyle name="Note 4 2 5 45 6" xfId="43743"/>
    <cellStyle name="Note 4 2 5 45 7" xfId="51276"/>
    <cellStyle name="Note 4 2 5 46" xfId="6220"/>
    <cellStyle name="Note 4 2 5 46 2" xfId="13937"/>
    <cellStyle name="Note 4 2 5 46 3" xfId="22930"/>
    <cellStyle name="Note 4 2 5 46 4" xfId="31117"/>
    <cellStyle name="Note 4 2 5 46 5" xfId="36068"/>
    <cellStyle name="Note 4 2 5 46 6" xfId="44782"/>
    <cellStyle name="Note 4 2 5 46 7" xfId="53349"/>
    <cellStyle name="Note 4 2 5 47" xfId="6337"/>
    <cellStyle name="Note 4 2 5 47 2" xfId="14054"/>
    <cellStyle name="Note 4 2 5 47 3" xfId="23047"/>
    <cellStyle name="Note 4 2 5 47 4" xfId="31234"/>
    <cellStyle name="Note 4 2 5 47 5" xfId="34443"/>
    <cellStyle name="Note 4 2 5 47 6" xfId="44899"/>
    <cellStyle name="Note 4 2 5 47 7" xfId="50207"/>
    <cellStyle name="Note 4 2 5 48" xfId="6447"/>
    <cellStyle name="Note 4 2 5 48 2" xfId="14164"/>
    <cellStyle name="Note 4 2 5 48 3" xfId="23157"/>
    <cellStyle name="Note 4 2 5 48 4" xfId="31344"/>
    <cellStyle name="Note 4 2 5 48 5" xfId="35629"/>
    <cellStyle name="Note 4 2 5 48 6" xfId="45009"/>
    <cellStyle name="Note 4 2 5 48 7" xfId="51288"/>
    <cellStyle name="Note 4 2 5 49" xfId="6194"/>
    <cellStyle name="Note 4 2 5 49 2" xfId="13911"/>
    <cellStyle name="Note 4 2 5 49 3" xfId="22904"/>
    <cellStyle name="Note 4 2 5 49 4" xfId="31091"/>
    <cellStyle name="Note 4 2 5 49 5" xfId="34874"/>
    <cellStyle name="Note 4 2 5 49 6" xfId="44756"/>
    <cellStyle name="Note 4 2 5 49 7" xfId="48704"/>
    <cellStyle name="Note 4 2 5 5" xfId="1336"/>
    <cellStyle name="Note 4 2 5 5 2" xfId="9159"/>
    <cellStyle name="Note 4 2 5 5 3" xfId="16587"/>
    <cellStyle name="Note 4 2 5 5 4" xfId="19070"/>
    <cellStyle name="Note 4 2 5 5 5" xfId="33156"/>
    <cellStyle name="Note 4 2 5 5 6" xfId="41873"/>
    <cellStyle name="Note 4 2 5 5 7" xfId="50445"/>
    <cellStyle name="Note 4 2 5 50" xfId="6594"/>
    <cellStyle name="Note 4 2 5 50 2" xfId="14311"/>
    <cellStyle name="Note 4 2 5 50 3" xfId="23304"/>
    <cellStyle name="Note 4 2 5 50 4" xfId="31491"/>
    <cellStyle name="Note 4 2 5 50 5" xfId="35727"/>
    <cellStyle name="Note 4 2 5 50 6" xfId="45156"/>
    <cellStyle name="Note 4 2 5 50 7" xfId="51536"/>
    <cellStyle name="Note 4 2 5 51" xfId="6705"/>
    <cellStyle name="Note 4 2 5 51 2" xfId="14422"/>
    <cellStyle name="Note 4 2 5 51 3" xfId="23415"/>
    <cellStyle name="Note 4 2 5 51 4" xfId="31602"/>
    <cellStyle name="Note 4 2 5 51 5" xfId="34041"/>
    <cellStyle name="Note 4 2 5 51 6" xfId="45267"/>
    <cellStyle name="Note 4 2 5 51 7" xfId="48380"/>
    <cellStyle name="Note 4 2 5 52" xfId="6820"/>
    <cellStyle name="Note 4 2 5 52 2" xfId="14537"/>
    <cellStyle name="Note 4 2 5 52 3" xfId="23530"/>
    <cellStyle name="Note 4 2 5 52 4" xfId="31717"/>
    <cellStyle name="Note 4 2 5 52 5" xfId="27401"/>
    <cellStyle name="Note 4 2 5 52 6" xfId="45382"/>
    <cellStyle name="Note 4 2 5 52 7" xfId="49898"/>
    <cellStyle name="Note 4 2 5 53" xfId="6933"/>
    <cellStyle name="Note 4 2 5 53 2" xfId="14650"/>
    <cellStyle name="Note 4 2 5 53 3" xfId="23643"/>
    <cellStyle name="Note 4 2 5 53 4" xfId="31830"/>
    <cellStyle name="Note 4 2 5 53 5" xfId="34968"/>
    <cellStyle name="Note 4 2 5 53 6" xfId="45495"/>
    <cellStyle name="Note 4 2 5 53 7" xfId="47016"/>
    <cellStyle name="Note 4 2 5 54" xfId="7045"/>
    <cellStyle name="Note 4 2 5 54 2" xfId="14762"/>
    <cellStyle name="Note 4 2 5 54 3" xfId="23755"/>
    <cellStyle name="Note 4 2 5 54 4" xfId="31942"/>
    <cellStyle name="Note 4 2 5 54 5" xfId="33306"/>
    <cellStyle name="Note 4 2 5 54 6" xfId="45607"/>
    <cellStyle name="Note 4 2 5 54 7" xfId="46992"/>
    <cellStyle name="Note 4 2 5 55" xfId="7225"/>
    <cellStyle name="Note 4 2 5 55 2" xfId="14942"/>
    <cellStyle name="Note 4 2 5 55 3" xfId="23935"/>
    <cellStyle name="Note 4 2 5 55 4" xfId="32122"/>
    <cellStyle name="Note 4 2 5 55 5" xfId="33370"/>
    <cellStyle name="Note 4 2 5 55 6" xfId="45787"/>
    <cellStyle name="Note 4 2 5 55 7" xfId="48719"/>
    <cellStyle name="Note 4 2 5 56" xfId="7222"/>
    <cellStyle name="Note 4 2 5 56 2" xfId="14939"/>
    <cellStyle name="Note 4 2 5 56 3" xfId="23932"/>
    <cellStyle name="Note 4 2 5 56 4" xfId="32119"/>
    <cellStyle name="Note 4 2 5 56 5" xfId="27343"/>
    <cellStyle name="Note 4 2 5 56 6" xfId="45784"/>
    <cellStyle name="Note 4 2 5 56 7" xfId="47937"/>
    <cellStyle name="Note 4 2 5 57" xfId="7442"/>
    <cellStyle name="Note 4 2 5 57 2" xfId="15159"/>
    <cellStyle name="Note 4 2 5 57 3" xfId="24152"/>
    <cellStyle name="Note 4 2 5 57 4" xfId="32339"/>
    <cellStyle name="Note 4 2 5 57 5" xfId="33826"/>
    <cellStyle name="Note 4 2 5 57 6" xfId="46004"/>
    <cellStyle name="Note 4 2 5 57 7" xfId="48923"/>
    <cellStyle name="Note 4 2 5 58" xfId="7563"/>
    <cellStyle name="Note 4 2 5 58 2" xfId="15280"/>
    <cellStyle name="Note 4 2 5 58 3" xfId="24273"/>
    <cellStyle name="Note 4 2 5 58 4" xfId="32460"/>
    <cellStyle name="Note 4 2 5 58 5" xfId="34860"/>
    <cellStyle name="Note 4 2 5 58 6" xfId="46125"/>
    <cellStyle name="Note 4 2 5 58 7" xfId="50869"/>
    <cellStyle name="Note 4 2 5 59" xfId="7839"/>
    <cellStyle name="Note 4 2 5 59 2" xfId="15556"/>
    <cellStyle name="Note 4 2 5 59 3" xfId="24543"/>
    <cellStyle name="Note 4 2 5 59 4" xfId="32736"/>
    <cellStyle name="Note 4 2 5 59 5" xfId="35878"/>
    <cellStyle name="Note 4 2 5 59 6" xfId="46401"/>
    <cellStyle name="Note 4 2 5 59 7" xfId="52254"/>
    <cellStyle name="Note 4 2 5 6" xfId="1459"/>
    <cellStyle name="Note 4 2 5 6 2" xfId="9282"/>
    <cellStyle name="Note 4 2 5 6 3" xfId="16710"/>
    <cellStyle name="Note 4 2 5 6 4" xfId="19786"/>
    <cellStyle name="Note 4 2 5 6 5" xfId="28004"/>
    <cellStyle name="Note 4 2 5 6 6" xfId="38086"/>
    <cellStyle name="Note 4 2 5 6 7" xfId="50042"/>
    <cellStyle name="Note 4 2 5 60" xfId="7700"/>
    <cellStyle name="Note 4 2 5 60 2" xfId="15417"/>
    <cellStyle name="Note 4 2 5 60 3" xfId="24408"/>
    <cellStyle name="Note 4 2 5 60 4" xfId="32597"/>
    <cellStyle name="Note 4 2 5 60 5" xfId="35839"/>
    <cellStyle name="Note 4 2 5 60 6" xfId="46262"/>
    <cellStyle name="Note 4 2 5 60 7" xfId="52137"/>
    <cellStyle name="Note 4 2 5 61" xfId="7949"/>
    <cellStyle name="Note 4 2 5 61 2" xfId="15666"/>
    <cellStyle name="Note 4 2 5 61 3" xfId="24652"/>
    <cellStyle name="Note 4 2 5 61 4" xfId="32846"/>
    <cellStyle name="Note 4 2 5 61 5" xfId="35782"/>
    <cellStyle name="Note 4 2 5 61 6" xfId="46511"/>
    <cellStyle name="Note 4 2 5 61 7" xfId="51748"/>
    <cellStyle name="Note 4 2 5 62" xfId="8051"/>
    <cellStyle name="Note 4 2 5 62 2" xfId="15768"/>
    <cellStyle name="Note 4 2 5 62 3" xfId="24753"/>
    <cellStyle name="Note 4 2 5 62 4" xfId="32948"/>
    <cellStyle name="Note 4 2 5 62 5" xfId="35830"/>
    <cellStyle name="Note 4 2 5 62 6" xfId="46613"/>
    <cellStyle name="Note 4 2 5 62 7" xfId="52054"/>
    <cellStyle name="Note 4 2 5 63" xfId="8115"/>
    <cellStyle name="Note 4 2 5 63 2" xfId="15832"/>
    <cellStyle name="Note 4 2 5 63 3" xfId="33012"/>
    <cellStyle name="Note 4 2 5 63 4" xfId="35942"/>
    <cellStyle name="Note 4 2 5 63 5" xfId="46677"/>
    <cellStyle name="Note 4 2 5 63 6" xfId="52681"/>
    <cellStyle name="Note 4 2 5 64" xfId="19757"/>
    <cellStyle name="Note 4 2 5 65" xfId="27767"/>
    <cellStyle name="Note 4 2 5 66" xfId="36537"/>
    <cellStyle name="Note 4 2 5 67" xfId="47599"/>
    <cellStyle name="Note 4 2 5 7" xfId="1551"/>
    <cellStyle name="Note 4 2 5 7 2" xfId="9374"/>
    <cellStyle name="Note 4 2 5 7 3" xfId="16802"/>
    <cellStyle name="Note 4 2 5 7 4" xfId="26511"/>
    <cellStyle name="Note 4 2 5 7 5" xfId="35307"/>
    <cellStyle name="Note 4 2 5 7 6" xfId="38738"/>
    <cellStyle name="Note 4 2 5 7 7" xfId="54094"/>
    <cellStyle name="Note 4 2 5 8" xfId="1696"/>
    <cellStyle name="Note 4 2 5 8 2" xfId="9519"/>
    <cellStyle name="Note 4 2 5 8 3" xfId="16947"/>
    <cellStyle name="Note 4 2 5 8 4" xfId="20268"/>
    <cellStyle name="Note 4 2 5 8 5" xfId="27937"/>
    <cellStyle name="Note 4 2 5 8 6" xfId="37274"/>
    <cellStyle name="Note 4 2 5 8 7" xfId="48552"/>
    <cellStyle name="Note 4 2 5 9" xfId="1830"/>
    <cellStyle name="Note 4 2 5 9 2" xfId="9653"/>
    <cellStyle name="Note 4 2 5 9 3" xfId="17081"/>
    <cellStyle name="Note 4 2 5 9 4" xfId="19269"/>
    <cellStyle name="Note 4 2 5 9 5" xfId="27453"/>
    <cellStyle name="Note 4 2 5 9 6" xfId="38067"/>
    <cellStyle name="Note 4 2 5 9 7" xfId="48356"/>
    <cellStyle name="Note 4 2 50" xfId="5082"/>
    <cellStyle name="Note 4 2 50 2" xfId="12799"/>
    <cellStyle name="Note 4 2 50 3" xfId="21792"/>
    <cellStyle name="Note 4 2 50 4" xfId="29979"/>
    <cellStyle name="Note 4 2 50 5" xfId="35886"/>
    <cellStyle name="Note 4 2 50 6" xfId="43644"/>
    <cellStyle name="Note 4 2 50 7" xfId="52883"/>
    <cellStyle name="Note 4 2 51" xfId="6094"/>
    <cellStyle name="Note 4 2 51 2" xfId="13811"/>
    <cellStyle name="Note 4 2 51 3" xfId="22804"/>
    <cellStyle name="Note 4 2 51 4" xfId="30991"/>
    <cellStyle name="Note 4 2 51 5" xfId="35765"/>
    <cellStyle name="Note 4 2 51 6" xfId="44656"/>
    <cellStyle name="Note 4 2 51 7" xfId="52110"/>
    <cellStyle name="Note 4 2 52" xfId="5986"/>
    <cellStyle name="Note 4 2 52 2" xfId="13703"/>
    <cellStyle name="Note 4 2 52 3" xfId="22696"/>
    <cellStyle name="Note 4 2 52 4" xfId="30883"/>
    <cellStyle name="Note 4 2 52 5" xfId="34012"/>
    <cellStyle name="Note 4 2 52 6" xfId="44548"/>
    <cellStyle name="Note 4 2 52 7" xfId="47319"/>
    <cellStyle name="Note 4 2 53" xfId="6184"/>
    <cellStyle name="Note 4 2 53 2" xfId="13901"/>
    <cellStyle name="Note 4 2 53 3" xfId="22894"/>
    <cellStyle name="Note 4 2 53 4" xfId="31081"/>
    <cellStyle name="Note 4 2 53 5" xfId="34424"/>
    <cellStyle name="Note 4 2 53 6" xfId="44746"/>
    <cellStyle name="Note 4 2 53 7" xfId="49487"/>
    <cellStyle name="Note 4 2 54" xfId="5217"/>
    <cellStyle name="Note 4 2 54 2" xfId="12934"/>
    <cellStyle name="Note 4 2 54 3" xfId="21927"/>
    <cellStyle name="Note 4 2 54 4" xfId="30114"/>
    <cellStyle name="Note 4 2 54 5" xfId="35824"/>
    <cellStyle name="Note 4 2 54 6" xfId="43779"/>
    <cellStyle name="Note 4 2 54 7" xfId="52540"/>
    <cellStyle name="Note 4 2 55" xfId="5349"/>
    <cellStyle name="Note 4 2 55 2" xfId="13066"/>
    <cellStyle name="Note 4 2 55 3" xfId="22059"/>
    <cellStyle name="Note 4 2 55 4" xfId="30246"/>
    <cellStyle name="Note 4 2 55 5" xfId="33584"/>
    <cellStyle name="Note 4 2 55 6" xfId="43911"/>
    <cellStyle name="Note 4 2 55 7" xfId="49103"/>
    <cellStyle name="Note 4 2 56" xfId="5943"/>
    <cellStyle name="Note 4 2 56 2" xfId="13660"/>
    <cellStyle name="Note 4 2 56 3" xfId="22653"/>
    <cellStyle name="Note 4 2 56 4" xfId="30840"/>
    <cellStyle name="Note 4 2 56 5" xfId="35996"/>
    <cellStyle name="Note 4 2 56 6" xfId="44505"/>
    <cellStyle name="Note 4 2 56 7" xfId="53182"/>
    <cellStyle name="Note 4 2 57" xfId="6759"/>
    <cellStyle name="Note 4 2 57 2" xfId="14476"/>
    <cellStyle name="Note 4 2 57 3" xfId="23469"/>
    <cellStyle name="Note 4 2 57 4" xfId="31656"/>
    <cellStyle name="Note 4 2 57 5" xfId="27020"/>
    <cellStyle name="Note 4 2 57 6" xfId="45321"/>
    <cellStyle name="Note 4 2 57 7" xfId="48271"/>
    <cellStyle name="Note 4 2 58" xfId="6874"/>
    <cellStyle name="Note 4 2 58 2" xfId="14591"/>
    <cellStyle name="Note 4 2 58 3" xfId="23584"/>
    <cellStyle name="Note 4 2 58 4" xfId="31771"/>
    <cellStyle name="Note 4 2 58 5" xfId="33450"/>
    <cellStyle name="Note 4 2 58 6" xfId="45436"/>
    <cellStyle name="Note 4 2 58 7" xfId="46890"/>
    <cellStyle name="Note 4 2 59" xfId="6987"/>
    <cellStyle name="Note 4 2 59 2" xfId="14704"/>
    <cellStyle name="Note 4 2 59 3" xfId="23697"/>
    <cellStyle name="Note 4 2 59 4" xfId="31884"/>
    <cellStyle name="Note 4 2 59 5" xfId="27079"/>
    <cellStyle name="Note 4 2 59 6" xfId="45549"/>
    <cellStyle name="Note 4 2 59 7" xfId="54553"/>
    <cellStyle name="Note 4 2 6" xfId="494"/>
    <cellStyle name="Note 4 2 6 10" xfId="1941"/>
    <cellStyle name="Note 4 2 6 10 2" xfId="9764"/>
    <cellStyle name="Note 4 2 6 10 3" xfId="17192"/>
    <cellStyle name="Note 4 2 6 10 4" xfId="25903"/>
    <cellStyle name="Note 4 2 6 10 5" xfId="34498"/>
    <cellStyle name="Note 4 2 6 10 6" xfId="41360"/>
    <cellStyle name="Note 4 2 6 10 7" xfId="52784"/>
    <cellStyle name="Note 4 2 6 11" xfId="2059"/>
    <cellStyle name="Note 4 2 6 11 2" xfId="9882"/>
    <cellStyle name="Note 4 2 6 11 3" xfId="17310"/>
    <cellStyle name="Note 4 2 6 11 4" xfId="25881"/>
    <cellStyle name="Note 4 2 6 11 5" xfId="34471"/>
    <cellStyle name="Note 4 2 6 11 6" xfId="37268"/>
    <cellStyle name="Note 4 2 6 11 7" xfId="52741"/>
    <cellStyle name="Note 4 2 6 12" xfId="2172"/>
    <cellStyle name="Note 4 2 6 12 2" xfId="9995"/>
    <cellStyle name="Note 4 2 6 12 3" xfId="17423"/>
    <cellStyle name="Note 4 2 6 12 4" xfId="25004"/>
    <cellStyle name="Note 4 2 6 12 5" xfId="33356"/>
    <cellStyle name="Note 4 2 6 12 6" xfId="40281"/>
    <cellStyle name="Note 4 2 6 12 7" xfId="50808"/>
    <cellStyle name="Note 4 2 6 13" xfId="993"/>
    <cellStyle name="Note 4 2 6 13 2" xfId="8817"/>
    <cellStyle name="Note 4 2 6 13 3" xfId="16245"/>
    <cellStyle name="Note 4 2 6 13 4" xfId="25273"/>
    <cellStyle name="Note 4 2 6 13 5" xfId="33683"/>
    <cellStyle name="Note 4 2 6 13 6" xfId="38204"/>
    <cellStyle name="Note 4 2 6 13 7" xfId="51376"/>
    <cellStyle name="Note 4 2 6 14" xfId="1925"/>
    <cellStyle name="Note 4 2 6 14 2" xfId="9748"/>
    <cellStyle name="Note 4 2 6 14 3" xfId="17176"/>
    <cellStyle name="Note 4 2 6 14 4" xfId="19367"/>
    <cellStyle name="Note 4 2 6 14 5" xfId="28034"/>
    <cellStyle name="Note 4 2 6 14 6" xfId="41675"/>
    <cellStyle name="Note 4 2 6 14 7" xfId="48170"/>
    <cellStyle name="Note 4 2 6 15" xfId="2470"/>
    <cellStyle name="Note 4 2 6 15 2" xfId="10293"/>
    <cellStyle name="Note 4 2 6 15 3" xfId="17721"/>
    <cellStyle name="Note 4 2 6 15 4" xfId="26566"/>
    <cellStyle name="Note 4 2 6 15 5" xfId="35378"/>
    <cellStyle name="Note 4 2 6 15 6" xfId="36531"/>
    <cellStyle name="Note 4 2 6 15 7" xfId="54206"/>
    <cellStyle name="Note 4 2 6 16" xfId="2583"/>
    <cellStyle name="Note 4 2 6 16 2" xfId="10406"/>
    <cellStyle name="Note 4 2 6 16 3" xfId="17834"/>
    <cellStyle name="Note 4 2 6 16 4" xfId="25252"/>
    <cellStyle name="Note 4 2 6 16 5" xfId="33657"/>
    <cellStyle name="Note 4 2 6 16 6" xfId="37121"/>
    <cellStyle name="Note 4 2 6 16 7" xfId="51326"/>
    <cellStyle name="Note 4 2 6 17" xfId="1088"/>
    <cellStyle name="Note 4 2 6 17 2" xfId="8912"/>
    <cellStyle name="Note 4 2 6 17 3" xfId="16340"/>
    <cellStyle name="Note 4 2 6 17 4" xfId="19376"/>
    <cellStyle name="Note 4 2 6 17 5" xfId="27399"/>
    <cellStyle name="Note 4 2 6 17 6" xfId="37606"/>
    <cellStyle name="Note 4 2 6 17 7" xfId="48819"/>
    <cellStyle name="Note 4 2 6 18" xfId="2333"/>
    <cellStyle name="Note 4 2 6 18 2" xfId="10156"/>
    <cellStyle name="Note 4 2 6 18 3" xfId="17584"/>
    <cellStyle name="Note 4 2 6 18 4" xfId="26361"/>
    <cellStyle name="Note 4 2 6 18 5" xfId="35093"/>
    <cellStyle name="Note 4 2 6 18 6" xfId="40267"/>
    <cellStyle name="Note 4 2 6 18 7" xfId="53760"/>
    <cellStyle name="Note 4 2 6 19" xfId="2777"/>
    <cellStyle name="Note 4 2 6 19 2" xfId="10600"/>
    <cellStyle name="Note 4 2 6 19 3" xfId="18028"/>
    <cellStyle name="Note 4 2 6 19 4" xfId="26357"/>
    <cellStyle name="Note 4 2 6 19 5" xfId="35089"/>
    <cellStyle name="Note 4 2 6 19 6" xfId="39276"/>
    <cellStyle name="Note 4 2 6 19 7" xfId="53751"/>
    <cellStyle name="Note 4 2 6 2" xfId="645"/>
    <cellStyle name="Note 4 2 6 2 2" xfId="8469"/>
    <cellStyle name="Note 4 2 6 2 3" xfId="8289"/>
    <cellStyle name="Note 4 2 6 2 4" xfId="20367"/>
    <cellStyle name="Note 4 2 6 2 5" xfId="28172"/>
    <cellStyle name="Note 4 2 6 2 6" xfId="37888"/>
    <cellStyle name="Note 4 2 6 2 7" xfId="48042"/>
    <cellStyle name="Note 4 2 6 20" xfId="2884"/>
    <cellStyle name="Note 4 2 6 20 2" xfId="10707"/>
    <cellStyle name="Note 4 2 6 20 3" xfId="18135"/>
    <cellStyle name="Note 4 2 6 20 4" xfId="20161"/>
    <cellStyle name="Note 4 2 6 20 5" xfId="28543"/>
    <cellStyle name="Note 4 2 6 20 6" xfId="37125"/>
    <cellStyle name="Note 4 2 6 20 7" xfId="50234"/>
    <cellStyle name="Note 4 2 6 21" xfId="3260"/>
    <cellStyle name="Note 4 2 6 21 2" xfId="11053"/>
    <cellStyle name="Note 4 2 6 21 3" xfId="18382"/>
    <cellStyle name="Note 4 2 6 21 4" xfId="19327"/>
    <cellStyle name="Note 4 2 6 21 5" xfId="27658"/>
    <cellStyle name="Note 4 2 6 21 6" xfId="36316"/>
    <cellStyle name="Note 4 2 6 21 7" xfId="47449"/>
    <cellStyle name="Note 4 2 6 22" xfId="3380"/>
    <cellStyle name="Note 4 2 6 22 2" xfId="11171"/>
    <cellStyle name="Note 4 2 6 22 3" xfId="18493"/>
    <cellStyle name="Note 4 2 6 22 4" xfId="25687"/>
    <cellStyle name="Note 4 2 6 22 5" xfId="34225"/>
    <cellStyle name="Note 4 2 6 22 6" xfId="38850"/>
    <cellStyle name="Note 4 2 6 22 7" xfId="52285"/>
    <cellStyle name="Note 4 2 6 23" xfId="3514"/>
    <cellStyle name="Note 4 2 6 23 2" xfId="11305"/>
    <cellStyle name="Note 4 2 6 23 3" xfId="18603"/>
    <cellStyle name="Note 4 2 6 23 4" xfId="26187"/>
    <cellStyle name="Note 4 2 6 23 5" xfId="34861"/>
    <cellStyle name="Note 4 2 6 23 6" xfId="41775"/>
    <cellStyle name="Note 4 2 6 23 7" xfId="53394"/>
    <cellStyle name="Note 4 2 6 24" xfId="3559"/>
    <cellStyle name="Note 4 2 6 24 2" xfId="11348"/>
    <cellStyle name="Note 4 2 6 24 3" xfId="18633"/>
    <cellStyle name="Note 4 2 6 24 4" xfId="19405"/>
    <cellStyle name="Note 4 2 6 24 5" xfId="28828"/>
    <cellStyle name="Note 4 2 6 24 6" xfId="36922"/>
    <cellStyle name="Note 4 2 6 24 7" xfId="48903"/>
    <cellStyle name="Note 4 2 6 25" xfId="3650"/>
    <cellStyle name="Note 4 2 6 25 2" xfId="11435"/>
    <cellStyle name="Note 4 2 6 25 3" xfId="18708"/>
    <cellStyle name="Note 4 2 6 25 4" xfId="26654"/>
    <cellStyle name="Note 4 2 6 25 5" xfId="35498"/>
    <cellStyle name="Note 4 2 6 25 6" xfId="41224"/>
    <cellStyle name="Note 4 2 6 25 7" xfId="54397"/>
    <cellStyle name="Note 4 2 6 26" xfId="3781"/>
    <cellStyle name="Note 4 2 6 26 2" xfId="11563"/>
    <cellStyle name="Note 4 2 6 26 3" xfId="18820"/>
    <cellStyle name="Note 4 2 6 26 4" xfId="19379"/>
    <cellStyle name="Note 4 2 6 26 5" xfId="26801"/>
    <cellStyle name="Note 4 2 6 26 6" xfId="37200"/>
    <cellStyle name="Note 4 2 6 26 7" xfId="50097"/>
    <cellStyle name="Note 4 2 6 27" xfId="3898"/>
    <cellStyle name="Note 4 2 6 27 2" xfId="11678"/>
    <cellStyle name="Note 4 2 6 27 3" xfId="18929"/>
    <cellStyle name="Note 4 2 6 27 4" xfId="25342"/>
    <cellStyle name="Note 4 2 6 27 5" xfId="33774"/>
    <cellStyle name="Note 4 2 6 27 6" xfId="39694"/>
    <cellStyle name="Note 4 2 6 27 7" xfId="51512"/>
    <cellStyle name="Note 4 2 6 28" xfId="3019"/>
    <cellStyle name="Note 4 2 6 28 2" xfId="10835"/>
    <cellStyle name="Note 4 2 6 28 3" xfId="20192"/>
    <cellStyle name="Note 4 2 6 28 4" xfId="28283"/>
    <cellStyle name="Note 4 2 6 28 5" xfId="26860"/>
    <cellStyle name="Note 4 2 6 28 6" xfId="42357"/>
    <cellStyle name="Note 4 2 6 28 7" xfId="51280"/>
    <cellStyle name="Note 4 2 6 29" xfId="4095"/>
    <cellStyle name="Note 4 2 6 29 2" xfId="11855"/>
    <cellStyle name="Note 4 2 6 29 3" xfId="20805"/>
    <cellStyle name="Note 4 2 6 29 4" xfId="28992"/>
    <cellStyle name="Note 4 2 6 29 5" xfId="28189"/>
    <cellStyle name="Note 4 2 6 29 6" xfId="42657"/>
    <cellStyle name="Note 4 2 6 29 7" xfId="51356"/>
    <cellStyle name="Note 4 2 6 3" xfId="752"/>
    <cellStyle name="Note 4 2 6 3 2" xfId="8576"/>
    <cellStyle name="Note 4 2 6 3 3" xfId="16004"/>
    <cellStyle name="Note 4 2 6 3 4" xfId="19618"/>
    <cellStyle name="Note 4 2 6 3 5" xfId="28531"/>
    <cellStyle name="Note 4 2 6 3 6" xfId="37880"/>
    <cellStyle name="Note 4 2 6 3 7" xfId="48004"/>
    <cellStyle name="Note 4 2 6 30" xfId="3231"/>
    <cellStyle name="Note 4 2 6 30 2" xfId="20351"/>
    <cellStyle name="Note 4 2 6 30 3" xfId="28441"/>
    <cellStyle name="Note 4 2 6 30 4" xfId="35859"/>
    <cellStyle name="Note 4 2 6 30 5" xfId="42456"/>
    <cellStyle name="Note 4 2 6 30 6" xfId="52717"/>
    <cellStyle name="Note 4 2 6 31" xfId="4292"/>
    <cellStyle name="Note 4 2 6 31 2" xfId="12009"/>
    <cellStyle name="Note 4 2 6 31 3" xfId="21002"/>
    <cellStyle name="Note 4 2 6 31 4" xfId="29189"/>
    <cellStyle name="Note 4 2 6 31 5" xfId="27936"/>
    <cellStyle name="Note 4 2 6 31 6" xfId="42854"/>
    <cellStyle name="Note 4 2 6 31 7" xfId="49909"/>
    <cellStyle name="Note 4 2 6 32" xfId="4415"/>
    <cellStyle name="Note 4 2 6 32 2" xfId="12132"/>
    <cellStyle name="Note 4 2 6 32 3" xfId="21125"/>
    <cellStyle name="Note 4 2 6 32 4" xfId="29312"/>
    <cellStyle name="Note 4 2 6 32 5" xfId="36089"/>
    <cellStyle name="Note 4 2 6 32 6" xfId="42977"/>
    <cellStyle name="Note 4 2 6 32 7" xfId="53856"/>
    <cellStyle name="Note 4 2 6 33" xfId="4529"/>
    <cellStyle name="Note 4 2 6 33 2" xfId="12246"/>
    <cellStyle name="Note 4 2 6 33 3" xfId="21239"/>
    <cellStyle name="Note 4 2 6 33 4" xfId="29426"/>
    <cellStyle name="Note 4 2 6 33 5" xfId="34010"/>
    <cellStyle name="Note 4 2 6 33 6" xfId="43091"/>
    <cellStyle name="Note 4 2 6 33 7" xfId="48622"/>
    <cellStyle name="Note 4 2 6 34" xfId="4642"/>
    <cellStyle name="Note 4 2 6 34 2" xfId="12359"/>
    <cellStyle name="Note 4 2 6 34 3" xfId="21352"/>
    <cellStyle name="Note 4 2 6 34 4" xfId="29539"/>
    <cellStyle name="Note 4 2 6 34 5" xfId="35769"/>
    <cellStyle name="Note 4 2 6 34 6" xfId="43204"/>
    <cellStyle name="Note 4 2 6 34 7" xfId="52342"/>
    <cellStyle name="Note 4 2 6 35" xfId="4754"/>
    <cellStyle name="Note 4 2 6 35 2" xfId="12471"/>
    <cellStyle name="Note 4 2 6 35 3" xfId="21464"/>
    <cellStyle name="Note 4 2 6 35 4" xfId="29651"/>
    <cellStyle name="Note 4 2 6 35 5" xfId="27768"/>
    <cellStyle name="Note 4 2 6 35 6" xfId="43316"/>
    <cellStyle name="Note 4 2 6 35 7" xfId="47975"/>
    <cellStyle name="Note 4 2 6 36" xfId="4862"/>
    <cellStyle name="Note 4 2 6 36 2" xfId="12579"/>
    <cellStyle name="Note 4 2 6 36 3" xfId="21572"/>
    <cellStyle name="Note 4 2 6 36 4" xfId="29759"/>
    <cellStyle name="Note 4 2 6 36 5" xfId="35891"/>
    <cellStyle name="Note 4 2 6 36 6" xfId="43424"/>
    <cellStyle name="Note 4 2 6 36 7" xfId="52897"/>
    <cellStyle name="Note 4 2 6 37" xfId="4974"/>
    <cellStyle name="Note 4 2 6 37 2" xfId="12691"/>
    <cellStyle name="Note 4 2 6 37 3" xfId="21684"/>
    <cellStyle name="Note 4 2 6 37 4" xfId="29871"/>
    <cellStyle name="Note 4 2 6 37 5" xfId="27271"/>
    <cellStyle name="Note 4 2 6 37 6" xfId="43536"/>
    <cellStyle name="Note 4 2 6 37 7" xfId="50432"/>
    <cellStyle name="Note 4 2 6 38" xfId="5139"/>
    <cellStyle name="Note 4 2 6 38 2" xfId="12856"/>
    <cellStyle name="Note 4 2 6 38 3" xfId="21849"/>
    <cellStyle name="Note 4 2 6 38 4" xfId="30036"/>
    <cellStyle name="Note 4 2 6 38 5" xfId="36149"/>
    <cellStyle name="Note 4 2 6 38 6" xfId="43701"/>
    <cellStyle name="Note 4 2 6 38 7" xfId="54137"/>
    <cellStyle name="Note 4 2 6 39" xfId="5472"/>
    <cellStyle name="Note 4 2 6 39 2" xfId="13189"/>
    <cellStyle name="Note 4 2 6 39 3" xfId="22182"/>
    <cellStyle name="Note 4 2 6 39 4" xfId="30369"/>
    <cellStyle name="Note 4 2 6 39 5" xfId="35581"/>
    <cellStyle name="Note 4 2 6 39 6" xfId="44034"/>
    <cellStyle name="Note 4 2 6 39 7" xfId="51420"/>
    <cellStyle name="Note 4 2 6 4" xfId="864"/>
    <cellStyle name="Note 4 2 6 4 2" xfId="8688"/>
    <cellStyle name="Note 4 2 6 4 3" xfId="16116"/>
    <cellStyle name="Note 4 2 6 4 4" xfId="20594"/>
    <cellStyle name="Note 4 2 6 4 5" xfId="27557"/>
    <cellStyle name="Note 4 2 6 4 6" xfId="37866"/>
    <cellStyle name="Note 4 2 6 4 7" xfId="47740"/>
    <cellStyle name="Note 4 2 6 40" xfId="5597"/>
    <cellStyle name="Note 4 2 6 40 2" xfId="13314"/>
    <cellStyle name="Note 4 2 6 40 3" xfId="22307"/>
    <cellStyle name="Note 4 2 6 40 4" xfId="30494"/>
    <cellStyle name="Note 4 2 6 40 5" xfId="35570"/>
    <cellStyle name="Note 4 2 6 40 6" xfId="44159"/>
    <cellStyle name="Note 4 2 6 40 7" xfId="46842"/>
    <cellStyle name="Note 4 2 6 41" xfId="5712"/>
    <cellStyle name="Note 4 2 6 41 2" xfId="13429"/>
    <cellStyle name="Note 4 2 6 41 3" xfId="22422"/>
    <cellStyle name="Note 4 2 6 41 4" xfId="30609"/>
    <cellStyle name="Note 4 2 6 41 5" xfId="35179"/>
    <cellStyle name="Note 4 2 6 41 6" xfId="44274"/>
    <cellStyle name="Note 4 2 6 41 7" xfId="46949"/>
    <cellStyle name="Note 4 2 6 42" xfId="5829"/>
    <cellStyle name="Note 4 2 6 42 2" xfId="13546"/>
    <cellStyle name="Note 4 2 6 42 3" xfId="22539"/>
    <cellStyle name="Note 4 2 6 42 4" xfId="30726"/>
    <cellStyle name="Note 4 2 6 42 5" xfId="34910"/>
    <cellStyle name="Note 4 2 6 42 6" xfId="44391"/>
    <cellStyle name="Note 4 2 6 42 7" xfId="50302"/>
    <cellStyle name="Note 4 2 6 43" xfId="5957"/>
    <cellStyle name="Note 4 2 6 43 2" xfId="13674"/>
    <cellStyle name="Note 4 2 6 43 3" xfId="22667"/>
    <cellStyle name="Note 4 2 6 43 4" xfId="30854"/>
    <cellStyle name="Note 4 2 6 43 5" xfId="35731"/>
    <cellStyle name="Note 4 2 6 43 6" xfId="44519"/>
    <cellStyle name="Note 4 2 6 43 7" xfId="51560"/>
    <cellStyle name="Note 4 2 6 44" xfId="6070"/>
    <cellStyle name="Note 4 2 6 44 2" xfId="13787"/>
    <cellStyle name="Note 4 2 6 44 3" xfId="22780"/>
    <cellStyle name="Note 4 2 6 44 4" xfId="30967"/>
    <cellStyle name="Note 4 2 6 44 5" xfId="33954"/>
    <cellStyle name="Note 4 2 6 44 6" xfId="44632"/>
    <cellStyle name="Note 4 2 6 44 7" xfId="54470"/>
    <cellStyle name="Note 4 2 6 45" xfId="5286"/>
    <cellStyle name="Note 4 2 6 45 2" xfId="13003"/>
    <cellStyle name="Note 4 2 6 45 3" xfId="21996"/>
    <cellStyle name="Note 4 2 6 45 4" xfId="30183"/>
    <cellStyle name="Note 4 2 6 45 5" xfId="35663"/>
    <cellStyle name="Note 4 2 6 45 6" xfId="43848"/>
    <cellStyle name="Note 4 2 6 45 7" xfId="51752"/>
    <cellStyle name="Note 4 2 6 46" xfId="6213"/>
    <cellStyle name="Note 4 2 6 46 2" xfId="13930"/>
    <cellStyle name="Note 4 2 6 46 3" xfId="22923"/>
    <cellStyle name="Note 4 2 6 46 4" xfId="31110"/>
    <cellStyle name="Note 4 2 6 46 5" xfId="36213"/>
    <cellStyle name="Note 4 2 6 46 6" xfId="44775"/>
    <cellStyle name="Note 4 2 6 46 7" xfId="54285"/>
    <cellStyle name="Note 4 2 6 47" xfId="6330"/>
    <cellStyle name="Note 4 2 6 47 2" xfId="14047"/>
    <cellStyle name="Note 4 2 6 47 3" xfId="23040"/>
    <cellStyle name="Note 4 2 6 47 4" xfId="31227"/>
    <cellStyle name="Note 4 2 6 47 5" xfId="28199"/>
    <cellStyle name="Note 4 2 6 47 6" xfId="44892"/>
    <cellStyle name="Note 4 2 6 47 7" xfId="47566"/>
    <cellStyle name="Note 4 2 6 48" xfId="6440"/>
    <cellStyle name="Note 4 2 6 48 2" xfId="14157"/>
    <cellStyle name="Note 4 2 6 48 3" xfId="23150"/>
    <cellStyle name="Note 4 2 6 48 4" xfId="31337"/>
    <cellStyle name="Note 4 2 6 48 5" xfId="35734"/>
    <cellStyle name="Note 4 2 6 48 6" xfId="45002"/>
    <cellStyle name="Note 4 2 6 48 7" xfId="52188"/>
    <cellStyle name="Note 4 2 6 49" xfId="5161"/>
    <cellStyle name="Note 4 2 6 49 2" xfId="12878"/>
    <cellStyle name="Note 4 2 6 49 3" xfId="21871"/>
    <cellStyle name="Note 4 2 6 49 4" xfId="30058"/>
    <cellStyle name="Note 4 2 6 49 5" xfId="35977"/>
    <cellStyle name="Note 4 2 6 49 6" xfId="43723"/>
    <cellStyle name="Note 4 2 6 49 7" xfId="53317"/>
    <cellStyle name="Note 4 2 6 5" xfId="1329"/>
    <cellStyle name="Note 4 2 6 5 2" xfId="9152"/>
    <cellStyle name="Note 4 2 6 5 3" xfId="16580"/>
    <cellStyle name="Note 4 2 6 5 4" xfId="25113"/>
    <cellStyle name="Note 4 2 6 5 5" xfId="33483"/>
    <cellStyle name="Note 4 2 6 5 6" xfId="36280"/>
    <cellStyle name="Note 4 2 6 5 7" xfId="51041"/>
    <cellStyle name="Note 4 2 6 50" xfId="6587"/>
    <cellStyle name="Note 4 2 6 50 2" xfId="14304"/>
    <cellStyle name="Note 4 2 6 50 3" xfId="23297"/>
    <cellStyle name="Note 4 2 6 50 4" xfId="31484"/>
    <cellStyle name="Note 4 2 6 50 5" xfId="35875"/>
    <cellStyle name="Note 4 2 6 50 6" xfId="45149"/>
    <cellStyle name="Note 4 2 6 50 7" xfId="52458"/>
    <cellStyle name="Note 4 2 6 51" xfId="6698"/>
    <cellStyle name="Note 4 2 6 51 2" xfId="14415"/>
    <cellStyle name="Note 4 2 6 51 3" xfId="23408"/>
    <cellStyle name="Note 4 2 6 51 4" xfId="31595"/>
    <cellStyle name="Note 4 2 6 51 5" xfId="28559"/>
    <cellStyle name="Note 4 2 6 51 6" xfId="45260"/>
    <cellStyle name="Note 4 2 6 51 7" xfId="49801"/>
    <cellStyle name="Note 4 2 6 52" xfId="6813"/>
    <cellStyle name="Note 4 2 6 52 2" xfId="14530"/>
    <cellStyle name="Note 4 2 6 52 3" xfId="23523"/>
    <cellStyle name="Note 4 2 6 52 4" xfId="31710"/>
    <cellStyle name="Note 4 2 6 52 5" xfId="28799"/>
    <cellStyle name="Note 4 2 6 52 6" xfId="45375"/>
    <cellStyle name="Note 4 2 6 52 7" xfId="50685"/>
    <cellStyle name="Note 4 2 6 53" xfId="6926"/>
    <cellStyle name="Note 4 2 6 53 2" xfId="14643"/>
    <cellStyle name="Note 4 2 6 53 3" xfId="23636"/>
    <cellStyle name="Note 4 2 6 53 4" xfId="31823"/>
    <cellStyle name="Note 4 2 6 53 5" xfId="34317"/>
    <cellStyle name="Note 4 2 6 53 6" xfId="45488"/>
    <cellStyle name="Note 4 2 6 53 7" xfId="47045"/>
    <cellStyle name="Note 4 2 6 54" xfId="7038"/>
    <cellStyle name="Note 4 2 6 54 2" xfId="14755"/>
    <cellStyle name="Note 4 2 6 54 3" xfId="23748"/>
    <cellStyle name="Note 4 2 6 54 4" xfId="31935"/>
    <cellStyle name="Note 4 2 6 54 5" xfId="36238"/>
    <cellStyle name="Note 4 2 6 54 6" xfId="45600"/>
    <cellStyle name="Note 4 2 6 54 7" xfId="47219"/>
    <cellStyle name="Note 4 2 6 55" xfId="7324"/>
    <cellStyle name="Note 4 2 6 55 2" xfId="15041"/>
    <cellStyle name="Note 4 2 6 55 3" xfId="24034"/>
    <cellStyle name="Note 4 2 6 55 4" xfId="32221"/>
    <cellStyle name="Note 4 2 6 55 5" xfId="35325"/>
    <cellStyle name="Note 4 2 6 55 6" xfId="45886"/>
    <cellStyle name="Note 4 2 6 55 7" xfId="54253"/>
    <cellStyle name="Note 4 2 6 56" xfId="7395"/>
    <cellStyle name="Note 4 2 6 56 2" xfId="15112"/>
    <cellStyle name="Note 4 2 6 56 3" xfId="24105"/>
    <cellStyle name="Note 4 2 6 56 4" xfId="32292"/>
    <cellStyle name="Note 4 2 6 56 5" xfId="36216"/>
    <cellStyle name="Note 4 2 6 56 6" xfId="45957"/>
    <cellStyle name="Note 4 2 6 56 7" xfId="53947"/>
    <cellStyle name="Note 4 2 6 57" xfId="7435"/>
    <cellStyle name="Note 4 2 6 57 2" xfId="15152"/>
    <cellStyle name="Note 4 2 6 57 3" xfId="24145"/>
    <cellStyle name="Note 4 2 6 57 4" xfId="32332"/>
    <cellStyle name="Note 4 2 6 57 5" xfId="26899"/>
    <cellStyle name="Note 4 2 6 57 6" xfId="45997"/>
    <cellStyle name="Note 4 2 6 57 7" xfId="47425"/>
    <cellStyle name="Note 4 2 6 58" xfId="7556"/>
    <cellStyle name="Note 4 2 6 58 2" xfId="15273"/>
    <cellStyle name="Note 4 2 6 58 3" xfId="24266"/>
    <cellStyle name="Note 4 2 6 58 4" xfId="32453"/>
    <cellStyle name="Note 4 2 6 58 5" xfId="35764"/>
    <cellStyle name="Note 4 2 6 58 6" xfId="46118"/>
    <cellStyle name="Note 4 2 6 58 7" xfId="51870"/>
    <cellStyle name="Note 4 2 6 59" xfId="7832"/>
    <cellStyle name="Note 4 2 6 59 2" xfId="15549"/>
    <cellStyle name="Note 4 2 6 59 3" xfId="24536"/>
    <cellStyle name="Note 4 2 6 59 4" xfId="32729"/>
    <cellStyle name="Note 4 2 6 59 5" xfId="35997"/>
    <cellStyle name="Note 4 2 6 59 6" xfId="46394"/>
    <cellStyle name="Note 4 2 6 59 7" xfId="52706"/>
    <cellStyle name="Note 4 2 6 6" xfId="1452"/>
    <cellStyle name="Note 4 2 6 6 2" xfId="9275"/>
    <cellStyle name="Note 4 2 6 6 3" xfId="16703"/>
    <cellStyle name="Note 4 2 6 6 4" xfId="19503"/>
    <cellStyle name="Note 4 2 6 6 5" xfId="27542"/>
    <cellStyle name="Note 4 2 6 6 6" xfId="38568"/>
    <cellStyle name="Note 4 2 6 6 7" xfId="49646"/>
    <cellStyle name="Note 4 2 6 60" xfId="7928"/>
    <cellStyle name="Note 4 2 6 60 2" xfId="15645"/>
    <cellStyle name="Note 4 2 6 60 3" xfId="24632"/>
    <cellStyle name="Note 4 2 6 60 4" xfId="32825"/>
    <cellStyle name="Note 4 2 6 60 5" xfId="33258"/>
    <cellStyle name="Note 4 2 6 60 6" xfId="46490"/>
    <cellStyle name="Note 4 2 6 60 7" xfId="50179"/>
    <cellStyle name="Note 4 2 6 61" xfId="7653"/>
    <cellStyle name="Note 4 2 6 61 2" xfId="15370"/>
    <cellStyle name="Note 4 2 6 61 3" xfId="24362"/>
    <cellStyle name="Note 4 2 6 61 4" xfId="32550"/>
    <cellStyle name="Note 4 2 6 61 5" xfId="27162"/>
    <cellStyle name="Note 4 2 6 61 6" xfId="46215"/>
    <cellStyle name="Note 4 2 6 61 7" xfId="50606"/>
    <cellStyle name="Note 4 2 6 62" xfId="8063"/>
    <cellStyle name="Note 4 2 6 62 2" xfId="15780"/>
    <cellStyle name="Note 4 2 6 62 3" xfId="24765"/>
    <cellStyle name="Note 4 2 6 62 4" xfId="32960"/>
    <cellStyle name="Note 4 2 6 62 5" xfId="34815"/>
    <cellStyle name="Note 4 2 6 62 6" xfId="46625"/>
    <cellStyle name="Note 4 2 6 62 7" xfId="50638"/>
    <cellStyle name="Note 4 2 6 63" xfId="8108"/>
    <cellStyle name="Note 4 2 6 63 2" xfId="15825"/>
    <cellStyle name="Note 4 2 6 63 3" xfId="33005"/>
    <cellStyle name="Note 4 2 6 63 4" xfId="36085"/>
    <cellStyle name="Note 4 2 6 63 5" xfId="46670"/>
    <cellStyle name="Note 4 2 6 63 6" xfId="53243"/>
    <cellStyle name="Note 4 2 6 64" xfId="25940"/>
    <cellStyle name="Note 4 2 6 65" xfId="34545"/>
    <cellStyle name="Note 4 2 6 66" xfId="37265"/>
    <cellStyle name="Note 4 2 6 67" xfId="52870"/>
    <cellStyle name="Note 4 2 6 7" xfId="1224"/>
    <cellStyle name="Note 4 2 6 7 2" xfId="9047"/>
    <cellStyle name="Note 4 2 6 7 3" xfId="16475"/>
    <cellStyle name="Note 4 2 6 7 4" xfId="19156"/>
    <cellStyle name="Note 4 2 6 7 5" xfId="28740"/>
    <cellStyle name="Note 4 2 6 7 6" xfId="38744"/>
    <cellStyle name="Note 4 2 6 7 7" xfId="49254"/>
    <cellStyle name="Note 4 2 6 8" xfId="1689"/>
    <cellStyle name="Note 4 2 6 8 2" xfId="9512"/>
    <cellStyle name="Note 4 2 6 8 3" xfId="16940"/>
    <cellStyle name="Note 4 2 6 8 4" xfId="25472"/>
    <cellStyle name="Note 4 2 6 8 5" xfId="33941"/>
    <cellStyle name="Note 4 2 6 8 6" xfId="37390"/>
    <cellStyle name="Note 4 2 6 8 7" xfId="51809"/>
    <cellStyle name="Note 4 2 6 9" xfId="1823"/>
    <cellStyle name="Note 4 2 6 9 2" xfId="9646"/>
    <cellStyle name="Note 4 2 6 9 3" xfId="17074"/>
    <cellStyle name="Note 4 2 6 9 4" xfId="24798"/>
    <cellStyle name="Note 4 2 6 9 5" xfId="28673"/>
    <cellStyle name="Note 4 2 6 9 6" xfId="38512"/>
    <cellStyle name="Note 4 2 6 9 7" xfId="48725"/>
    <cellStyle name="Note 4 2 60" xfId="7276"/>
    <cellStyle name="Note 4 2 60 2" xfId="14993"/>
    <cellStyle name="Note 4 2 60 3" xfId="23986"/>
    <cellStyle name="Note 4 2 60 4" xfId="32173"/>
    <cellStyle name="Note 4 2 60 5" xfId="35779"/>
    <cellStyle name="Note 4 2 60 6" xfId="45838"/>
    <cellStyle name="Note 4 2 60 7" xfId="51927"/>
    <cellStyle name="Note 4 2 61" xfId="7257"/>
    <cellStyle name="Note 4 2 61 2" xfId="14974"/>
    <cellStyle name="Note 4 2 61 3" xfId="23967"/>
    <cellStyle name="Note 4 2 61 4" xfId="32154"/>
    <cellStyle name="Note 4 2 61 5" xfId="36204"/>
    <cellStyle name="Note 4 2 61 6" xfId="45819"/>
    <cellStyle name="Note 4 2 61 7" xfId="53517"/>
    <cellStyle name="Note 4 2 62" xfId="7210"/>
    <cellStyle name="Note 4 2 62 2" xfId="14927"/>
    <cellStyle name="Note 4 2 62 3" xfId="23920"/>
    <cellStyle name="Note 4 2 62 4" xfId="32107"/>
    <cellStyle name="Note 4 2 62 5" xfId="34472"/>
    <cellStyle name="Note 4 2 62 6" xfId="45772"/>
    <cellStyle name="Note 4 2 62 7" xfId="50357"/>
    <cellStyle name="Note 4 2 63" xfId="7539"/>
    <cellStyle name="Note 4 2 63 2" xfId="15256"/>
    <cellStyle name="Note 4 2 63 3" xfId="24249"/>
    <cellStyle name="Note 4 2 63 4" xfId="32436"/>
    <cellStyle name="Note 4 2 63 5" xfId="36161"/>
    <cellStyle name="Note 4 2 63 6" xfId="46101"/>
    <cellStyle name="Note 4 2 63 7" xfId="53450"/>
    <cellStyle name="Note 4 2 64" xfId="7740"/>
    <cellStyle name="Note 4 2 64 2" xfId="15457"/>
    <cellStyle name="Note 4 2 64 3" xfId="24448"/>
    <cellStyle name="Note 4 2 64 4" xfId="32637"/>
    <cellStyle name="Note 4 2 64 5" xfId="33748"/>
    <cellStyle name="Note 4 2 64 6" xfId="46302"/>
    <cellStyle name="Note 4 2 64 7" xfId="54387"/>
    <cellStyle name="Note 4 2 65" xfId="7709"/>
    <cellStyle name="Note 4 2 65 2" xfId="15426"/>
    <cellStyle name="Note 4 2 65 3" xfId="24417"/>
    <cellStyle name="Note 4 2 65 4" xfId="32606"/>
    <cellStyle name="Note 4 2 65 5" xfId="35587"/>
    <cellStyle name="Note 4 2 65 6" xfId="46271"/>
    <cellStyle name="Note 4 2 65 7" xfId="50910"/>
    <cellStyle name="Note 4 2 66" xfId="7770"/>
    <cellStyle name="Note 4 2 66 2" xfId="15487"/>
    <cellStyle name="Note 4 2 66 3" xfId="24476"/>
    <cellStyle name="Note 4 2 66 4" xfId="32667"/>
    <cellStyle name="Note 4 2 66 5" xfId="35598"/>
    <cellStyle name="Note 4 2 66 6" xfId="46332"/>
    <cellStyle name="Note 4 2 66 7" xfId="50956"/>
    <cellStyle name="Note 4 2 67" xfId="7762"/>
    <cellStyle name="Note 4 2 67 2" xfId="15479"/>
    <cellStyle name="Note 4 2 67 3" xfId="24468"/>
    <cellStyle name="Note 4 2 67 4" xfId="32659"/>
    <cellStyle name="Note 4 2 67 5" xfId="35671"/>
    <cellStyle name="Note 4 2 67 6" xfId="46324"/>
    <cellStyle name="Note 4 2 67 7" xfId="52069"/>
    <cellStyle name="Note 4 2 68" xfId="7795"/>
    <cellStyle name="Note 4 2 68 2" xfId="15512"/>
    <cellStyle name="Note 4 2 68 3" xfId="32692"/>
    <cellStyle name="Note 4 2 68 4" xfId="27666"/>
    <cellStyle name="Note 4 2 68 5" xfId="46357"/>
    <cellStyle name="Note 4 2 68 6" xfId="53659"/>
    <cellStyle name="Note 4 2 69" xfId="24796"/>
    <cellStyle name="Note 4 2 7" xfId="607"/>
    <cellStyle name="Note 4 2 7 2" xfId="8431"/>
    <cellStyle name="Note 4 2 7 3" xfId="8401"/>
    <cellStyle name="Note 4 2 7 4" xfId="20146"/>
    <cellStyle name="Note 4 2 7 5" xfId="28582"/>
    <cellStyle name="Note 4 2 7 6" xfId="37038"/>
    <cellStyle name="Note 4 2 7 7" xfId="47691"/>
    <cellStyle name="Note 4 2 70" xfId="27007"/>
    <cellStyle name="Note 4 2 71" xfId="37055"/>
    <cellStyle name="Note 4 2 72" xfId="48361"/>
    <cellStyle name="Note 4 2 8" xfId="612"/>
    <cellStyle name="Note 4 2 8 2" xfId="8436"/>
    <cellStyle name="Note 4 2 8 3" xfId="8400"/>
    <cellStyle name="Note 4 2 8 4" xfId="19784"/>
    <cellStyle name="Note 4 2 8 5" xfId="27536"/>
    <cellStyle name="Note 4 2 8 6" xfId="36542"/>
    <cellStyle name="Note 4 2 8 7" xfId="47776"/>
    <cellStyle name="Note 4 2 9" xfId="223"/>
    <cellStyle name="Note 4 2 9 2" xfId="8327"/>
    <cellStyle name="Note 4 2 9 3" xfId="8310"/>
    <cellStyle name="Note 4 2 9 4" xfId="20390"/>
    <cellStyle name="Note 4 2 9 5" xfId="27128"/>
    <cellStyle name="Note 4 2 9 6" xfId="36639"/>
    <cellStyle name="Note 4 2 9 7" xfId="47504"/>
    <cellStyle name="Note 4 20" xfId="3195"/>
    <cellStyle name="Note 4 20 2" xfId="10995"/>
    <cellStyle name="Note 4 20 3" xfId="20322"/>
    <cellStyle name="Note 4 20 4" xfId="28415"/>
    <cellStyle name="Note 4 20 5" xfId="34584"/>
    <cellStyle name="Note 4 20 6" xfId="42436"/>
    <cellStyle name="Note 4 20 7" xfId="49911"/>
    <cellStyle name="Note 4 21" xfId="3028"/>
    <cellStyle name="Note 4 21 2" xfId="10843"/>
    <cellStyle name="Note 4 21 3" xfId="20199"/>
    <cellStyle name="Note 4 21 4" xfId="28290"/>
    <cellStyle name="Note 4 21 5" xfId="28525"/>
    <cellStyle name="Note 4 21 6" xfId="42362"/>
    <cellStyle name="Note 4 21 7" xfId="50471"/>
    <cellStyle name="Note 4 22" xfId="3502"/>
    <cellStyle name="Note 4 22 2" xfId="11293"/>
    <cellStyle name="Note 4 22 3" xfId="20486"/>
    <cellStyle name="Note 4 22 4" xfId="28608"/>
    <cellStyle name="Note 4 22 5" xfId="35344"/>
    <cellStyle name="Note 4 22 6" xfId="42492"/>
    <cellStyle name="Note 4 22 7" xfId="48005"/>
    <cellStyle name="Note 4 23" xfId="3011"/>
    <cellStyle name="Note 4 23 2" xfId="10829"/>
    <cellStyle name="Note 4 23 3" xfId="20185"/>
    <cellStyle name="Note 4 23 4" xfId="28275"/>
    <cellStyle name="Note 4 23 5" xfId="35760"/>
    <cellStyle name="Note 4 23 6" xfId="42350"/>
    <cellStyle name="Note 4 23 7" xfId="52290"/>
    <cellStyle name="Note 4 24" xfId="5306"/>
    <cellStyle name="Note 4 24 2" xfId="13023"/>
    <cellStyle name="Note 4 24 3" xfId="22016"/>
    <cellStyle name="Note 4 24 4" xfId="30203"/>
    <cellStyle name="Note 4 24 5" xfId="36001"/>
    <cellStyle name="Note 4 24 6" xfId="43868"/>
    <cellStyle name="Note 4 24 7" xfId="53414"/>
    <cellStyle name="Note 4 25" xfId="5369"/>
    <cellStyle name="Note 4 25 2" xfId="13086"/>
    <cellStyle name="Note 4 25 3" xfId="22079"/>
    <cellStyle name="Note 4 25 4" xfId="30266"/>
    <cellStyle name="Note 4 25 5" xfId="36208"/>
    <cellStyle name="Note 4 25 6" xfId="43931"/>
    <cellStyle name="Note 4 25 7" xfId="54435"/>
    <cellStyle name="Note 4 26" xfId="5277"/>
    <cellStyle name="Note 4 26 2" xfId="12994"/>
    <cellStyle name="Note 4 26 3" xfId="21987"/>
    <cellStyle name="Note 4 26 4" xfId="30174"/>
    <cellStyle name="Note 4 26 5" xfId="28196"/>
    <cellStyle name="Note 4 26 6" xfId="43839"/>
    <cellStyle name="Note 4 26 7" xfId="47958"/>
    <cellStyle name="Note 4 27" xfId="5320"/>
    <cellStyle name="Note 4 27 2" xfId="13037"/>
    <cellStyle name="Note 4 27 3" xfId="22030"/>
    <cellStyle name="Note 4 27 4" xfId="30217"/>
    <cellStyle name="Note 4 27 5" xfId="35737"/>
    <cellStyle name="Note 4 27 6" xfId="43882"/>
    <cellStyle name="Note 4 27 7" xfId="52169"/>
    <cellStyle name="Note 4 28" xfId="6564"/>
    <cellStyle name="Note 4 28 2" xfId="14281"/>
    <cellStyle name="Note 4 28 3" xfId="23274"/>
    <cellStyle name="Note 4 28 4" xfId="31461"/>
    <cellStyle name="Note 4 28 5" xfId="35653"/>
    <cellStyle name="Note 4 28 6" xfId="45126"/>
    <cellStyle name="Note 4 28 7" xfId="48548"/>
    <cellStyle name="Note 4 29" xfId="5929"/>
    <cellStyle name="Note 4 29 2" xfId="13646"/>
    <cellStyle name="Note 4 29 3" xfId="22639"/>
    <cellStyle name="Note 4 29 4" xfId="30826"/>
    <cellStyle name="Note 4 29 5" xfId="36042"/>
    <cellStyle name="Note 4 29 6" xfId="44491"/>
    <cellStyle name="Note 4 29 7" xfId="47833"/>
    <cellStyle name="Note 4 3" xfId="521"/>
    <cellStyle name="Note 4 3 10" xfId="1968"/>
    <cellStyle name="Note 4 3 10 2" xfId="9791"/>
    <cellStyle name="Note 4 3 10 3" xfId="17219"/>
    <cellStyle name="Note 4 3 10 4" xfId="19436"/>
    <cellStyle name="Note 4 3 10 5" xfId="27003"/>
    <cellStyle name="Note 4 3 10 6" xfId="38296"/>
    <cellStyle name="Note 4 3 10 7" xfId="49527"/>
    <cellStyle name="Note 4 3 11" xfId="2086"/>
    <cellStyle name="Note 4 3 11 2" xfId="9909"/>
    <cellStyle name="Note 4 3 11 3" xfId="17337"/>
    <cellStyle name="Note 4 3 11 4" xfId="24516"/>
    <cellStyle name="Note 4 3 11 5" xfId="28072"/>
    <cellStyle name="Note 4 3 11 6" xfId="41381"/>
    <cellStyle name="Note 4 3 11 7" xfId="50041"/>
    <cellStyle name="Note 4 3 12" xfId="2199"/>
    <cellStyle name="Note 4 3 12 2" xfId="10022"/>
    <cellStyle name="Note 4 3 12 3" xfId="17450"/>
    <cellStyle name="Note 4 3 12 4" xfId="26091"/>
    <cellStyle name="Note 4 3 12 5" xfId="34741"/>
    <cellStyle name="Note 4 3 12 6" xfId="36409"/>
    <cellStyle name="Note 4 3 12 7" xfId="53189"/>
    <cellStyle name="Note 4 3 13" xfId="2272"/>
    <cellStyle name="Note 4 3 13 2" xfId="10095"/>
    <cellStyle name="Note 4 3 13 3" xfId="17523"/>
    <cellStyle name="Note 4 3 13 4" xfId="25972"/>
    <cellStyle name="Note 4 3 13 5" xfId="34583"/>
    <cellStyle name="Note 4 3 13 6" xfId="36421"/>
    <cellStyle name="Note 4 3 13 7" xfId="52934"/>
    <cellStyle name="Note 4 3 14" xfId="2366"/>
    <cellStyle name="Note 4 3 14 2" xfId="10189"/>
    <cellStyle name="Note 4 3 14 3" xfId="17617"/>
    <cellStyle name="Note 4 3 14 4" xfId="20438"/>
    <cellStyle name="Note 4 3 14 5" xfId="26884"/>
    <cellStyle name="Note 4 3 14 6" xfId="36916"/>
    <cellStyle name="Note 4 3 14 7" xfId="49747"/>
    <cellStyle name="Note 4 3 15" xfId="2497"/>
    <cellStyle name="Note 4 3 15 2" xfId="10320"/>
    <cellStyle name="Note 4 3 15 3" xfId="17748"/>
    <cellStyle name="Note 4 3 15 4" xfId="25144"/>
    <cellStyle name="Note 4 3 15 5" xfId="33519"/>
    <cellStyle name="Note 4 3 15 6" xfId="37383"/>
    <cellStyle name="Note 4 3 15 7" xfId="51099"/>
    <cellStyle name="Note 4 3 16" xfId="2610"/>
    <cellStyle name="Note 4 3 16 2" xfId="10433"/>
    <cellStyle name="Note 4 3 16 3" xfId="17861"/>
    <cellStyle name="Note 4 3 16 4" xfId="20122"/>
    <cellStyle name="Note 4 3 16 5" xfId="27966"/>
    <cellStyle name="Note 4 3 16 6" xfId="41373"/>
    <cellStyle name="Note 4 3 16 7" xfId="48658"/>
    <cellStyle name="Note 4 3 17" xfId="2687"/>
    <cellStyle name="Note 4 3 17 2" xfId="10510"/>
    <cellStyle name="Note 4 3 17 3" xfId="17938"/>
    <cellStyle name="Note 4 3 17 4" xfId="26490"/>
    <cellStyle name="Note 4 3 17 5" xfId="35279"/>
    <cellStyle name="Note 4 3 17 6" xfId="40977"/>
    <cellStyle name="Note 4 3 17 7" xfId="54053"/>
    <cellStyle name="Note 4 3 18" xfId="2738"/>
    <cellStyle name="Note 4 3 18 2" xfId="10561"/>
    <cellStyle name="Note 4 3 18 3" xfId="17989"/>
    <cellStyle name="Note 4 3 18 4" xfId="20136"/>
    <cellStyle name="Note 4 3 18 5" xfId="27892"/>
    <cellStyle name="Note 4 3 18 6" xfId="37657"/>
    <cellStyle name="Note 4 3 18 7" xfId="49009"/>
    <cellStyle name="Note 4 3 19" xfId="2804"/>
    <cellStyle name="Note 4 3 19 2" xfId="10627"/>
    <cellStyle name="Note 4 3 19 3" xfId="18055"/>
    <cellStyle name="Note 4 3 19 4" xfId="25016"/>
    <cellStyle name="Note 4 3 19 5" xfId="33371"/>
    <cellStyle name="Note 4 3 19 6" xfId="37235"/>
    <cellStyle name="Note 4 3 19 7" xfId="50835"/>
    <cellStyle name="Note 4 3 2" xfId="672"/>
    <cellStyle name="Note 4 3 2 2" xfId="8496"/>
    <cellStyle name="Note 4 3 2 3" xfId="8264"/>
    <cellStyle name="Note 4 3 2 4" xfId="20132"/>
    <cellStyle name="Note 4 3 2 5" xfId="26775"/>
    <cellStyle name="Note 4 3 2 6" xfId="37594"/>
    <cellStyle name="Note 4 3 2 7" xfId="50369"/>
    <cellStyle name="Note 4 3 20" xfId="2911"/>
    <cellStyle name="Note 4 3 20 2" xfId="10734"/>
    <cellStyle name="Note 4 3 20 3" xfId="18162"/>
    <cellStyle name="Note 4 3 20 4" xfId="25205"/>
    <cellStyle name="Note 4 3 20 5" xfId="33594"/>
    <cellStyle name="Note 4 3 20 6" xfId="36669"/>
    <cellStyle name="Note 4 3 20 7" xfId="51226"/>
    <cellStyle name="Note 4 3 21" xfId="3287"/>
    <cellStyle name="Note 4 3 21 2" xfId="11080"/>
    <cellStyle name="Note 4 3 21 3" xfId="18409"/>
    <cellStyle name="Note 4 3 21 4" xfId="26108"/>
    <cellStyle name="Note 4 3 21 5" xfId="34764"/>
    <cellStyle name="Note 4 3 21 6" xfId="40934"/>
    <cellStyle name="Note 4 3 21 7" xfId="53226"/>
    <cellStyle name="Note 4 3 22" xfId="3407"/>
    <cellStyle name="Note 4 3 22 2" xfId="11198"/>
    <cellStyle name="Note 4 3 22 3" xfId="18520"/>
    <cellStyle name="Note 4 3 22 4" xfId="20291"/>
    <cellStyle name="Note 4 3 22 5" xfId="27262"/>
    <cellStyle name="Note 4 3 22 6" xfId="37646"/>
    <cellStyle name="Note 4 3 22 7" xfId="48808"/>
    <cellStyle name="Note 4 3 23" xfId="3535"/>
    <cellStyle name="Note 4 3 23 2" xfId="11325"/>
    <cellStyle name="Note 4 3 23 3" xfId="18616"/>
    <cellStyle name="Note 4 3 23 4" xfId="25214"/>
    <cellStyle name="Note 4 3 23 5" xfId="33611"/>
    <cellStyle name="Note 4 3 23 6" xfId="39774"/>
    <cellStyle name="Note 4 3 23 7" xfId="51247"/>
    <cellStyle name="Note 4 3 24" xfId="3366"/>
    <cellStyle name="Note 4 3 24 2" xfId="11157"/>
    <cellStyle name="Note 4 3 24 3" xfId="18479"/>
    <cellStyle name="Note 4 3 24 4" xfId="26267"/>
    <cellStyle name="Note 4 3 24 5" xfId="34965"/>
    <cellStyle name="Note 4 3 24 6" xfId="40474"/>
    <cellStyle name="Note 4 3 24 7" xfId="53574"/>
    <cellStyle name="Note 4 3 25" xfId="3677"/>
    <cellStyle name="Note 4 3 25 2" xfId="11462"/>
    <cellStyle name="Note 4 3 25 3" xfId="18735"/>
    <cellStyle name="Note 4 3 25 4" xfId="25500"/>
    <cellStyle name="Note 4 3 25 5" xfId="33978"/>
    <cellStyle name="Note 4 3 25 6" xfId="36469"/>
    <cellStyle name="Note 4 3 25 7" xfId="51874"/>
    <cellStyle name="Note 4 3 26" xfId="3808"/>
    <cellStyle name="Note 4 3 26 2" xfId="11590"/>
    <cellStyle name="Note 4 3 26 3" xfId="18847"/>
    <cellStyle name="Note 4 3 26 4" xfId="26330"/>
    <cellStyle name="Note 4 3 26 5" xfId="35054"/>
    <cellStyle name="Note 4 3 26 6" xfId="41194"/>
    <cellStyle name="Note 4 3 26 7" xfId="53698"/>
    <cellStyle name="Note 4 3 27" xfId="3925"/>
    <cellStyle name="Note 4 3 27 2" xfId="11705"/>
    <cellStyle name="Note 4 3 27 3" xfId="18956"/>
    <cellStyle name="Note 4 3 27 4" xfId="19499"/>
    <cellStyle name="Note 4 3 27 5" xfId="28630"/>
    <cellStyle name="Note 4 3 27 6" xfId="37301"/>
    <cellStyle name="Note 4 3 27 7" xfId="48852"/>
    <cellStyle name="Note 4 3 28" xfId="3999"/>
    <cellStyle name="Note 4 3 28 2" xfId="11778"/>
    <cellStyle name="Note 4 3 28 3" xfId="20709"/>
    <cellStyle name="Note 4 3 28 4" xfId="28896"/>
    <cellStyle name="Note 4 3 28 5" xfId="27722"/>
    <cellStyle name="Note 4 3 28 6" xfId="42561"/>
    <cellStyle name="Note 4 3 28 7" xfId="50038"/>
    <cellStyle name="Note 4 3 29" xfId="4122"/>
    <cellStyle name="Note 4 3 29 2" xfId="11882"/>
    <cellStyle name="Note 4 3 29 3" xfId="20832"/>
    <cellStyle name="Note 4 3 29 4" xfId="29019"/>
    <cellStyle name="Note 4 3 29 5" xfId="35783"/>
    <cellStyle name="Note 4 3 29 6" xfId="42684"/>
    <cellStyle name="Note 4 3 29 7" xfId="52395"/>
    <cellStyle name="Note 4 3 3" xfId="779"/>
    <cellStyle name="Note 4 3 3 2" xfId="8603"/>
    <cellStyle name="Note 4 3 3 3" xfId="16031"/>
    <cellStyle name="Note 4 3 3 4" xfId="25515"/>
    <cellStyle name="Note 4 3 3 5" xfId="33993"/>
    <cellStyle name="Note 4 3 3 6" xfId="37921"/>
    <cellStyle name="Note 4 3 3 7" xfId="51902"/>
    <cellStyle name="Note 4 3 30" xfId="4079"/>
    <cellStyle name="Note 4 3 30 2" xfId="20789"/>
    <cellStyle name="Note 4 3 30 3" xfId="28976"/>
    <cellStyle name="Note 4 3 30 4" xfId="27390"/>
    <cellStyle name="Note 4 3 30 5" xfId="42641"/>
    <cellStyle name="Note 4 3 30 6" xfId="49301"/>
    <cellStyle name="Note 4 3 31" xfId="4319"/>
    <cellStyle name="Note 4 3 31 2" xfId="12036"/>
    <cellStyle name="Note 4 3 31 3" xfId="21029"/>
    <cellStyle name="Note 4 3 31 4" xfId="29216"/>
    <cellStyle name="Note 4 3 31 5" xfId="27944"/>
    <cellStyle name="Note 4 3 31 6" xfId="42881"/>
    <cellStyle name="Note 4 3 31 7" xfId="49844"/>
    <cellStyle name="Note 4 3 32" xfId="4442"/>
    <cellStyle name="Note 4 3 32 2" xfId="12159"/>
    <cellStyle name="Note 4 3 32 3" xfId="21152"/>
    <cellStyle name="Note 4 3 32 4" xfId="29339"/>
    <cellStyle name="Note 4 3 32 5" xfId="28021"/>
    <cellStyle name="Note 4 3 32 6" xfId="43004"/>
    <cellStyle name="Note 4 3 32 7" xfId="51021"/>
    <cellStyle name="Note 4 3 33" xfId="4556"/>
    <cellStyle name="Note 4 3 33 2" xfId="12273"/>
    <cellStyle name="Note 4 3 33 3" xfId="21266"/>
    <cellStyle name="Note 4 3 33 4" xfId="29453"/>
    <cellStyle name="Note 4 3 33 5" xfId="36174"/>
    <cellStyle name="Note 4 3 33 6" xfId="43118"/>
    <cellStyle name="Note 4 3 33 7" xfId="54264"/>
    <cellStyle name="Note 4 3 34" xfId="4669"/>
    <cellStyle name="Note 4 3 34 2" xfId="12386"/>
    <cellStyle name="Note 4 3 34 3" xfId="21379"/>
    <cellStyle name="Note 4 3 34 4" xfId="29566"/>
    <cellStyle name="Note 4 3 34 5" xfId="27044"/>
    <cellStyle name="Note 4 3 34 6" xfId="43231"/>
    <cellStyle name="Note 4 3 34 7" xfId="50169"/>
    <cellStyle name="Note 4 3 35" xfId="4781"/>
    <cellStyle name="Note 4 3 35 2" xfId="12498"/>
    <cellStyle name="Note 4 3 35 3" xfId="21491"/>
    <cellStyle name="Note 4 3 35 4" xfId="29678"/>
    <cellStyle name="Note 4 3 35 5" xfId="36027"/>
    <cellStyle name="Note 4 3 35 6" xfId="43343"/>
    <cellStyle name="Note 4 3 35 7" xfId="53548"/>
    <cellStyle name="Note 4 3 36" xfId="4889"/>
    <cellStyle name="Note 4 3 36 2" xfId="12606"/>
    <cellStyle name="Note 4 3 36 3" xfId="21599"/>
    <cellStyle name="Note 4 3 36 4" xfId="29786"/>
    <cellStyle name="Note 4 3 36 5" xfId="27126"/>
    <cellStyle name="Note 4 3 36 6" xfId="43451"/>
    <cellStyle name="Note 4 3 36 7" xfId="50133"/>
    <cellStyle name="Note 4 3 37" xfId="5001"/>
    <cellStyle name="Note 4 3 37 2" xfId="12718"/>
    <cellStyle name="Note 4 3 37 3" xfId="21711"/>
    <cellStyle name="Note 4 3 37 4" xfId="29898"/>
    <cellStyle name="Note 4 3 37 5" xfId="36154"/>
    <cellStyle name="Note 4 3 37 6" xfId="43563"/>
    <cellStyle name="Note 4 3 37 7" xfId="54162"/>
    <cellStyle name="Note 4 3 38" xfId="5110"/>
    <cellStyle name="Note 4 3 38 2" xfId="12827"/>
    <cellStyle name="Note 4 3 38 3" xfId="21820"/>
    <cellStyle name="Note 4 3 38 4" xfId="30007"/>
    <cellStyle name="Note 4 3 38 5" xfId="27174"/>
    <cellStyle name="Note 4 3 38 6" xfId="43672"/>
    <cellStyle name="Note 4 3 38 7" xfId="50000"/>
    <cellStyle name="Note 4 3 39" xfId="5499"/>
    <cellStyle name="Note 4 3 39 2" xfId="13216"/>
    <cellStyle name="Note 4 3 39 3" xfId="22209"/>
    <cellStyle name="Note 4 3 39 4" xfId="30396"/>
    <cellStyle name="Note 4 3 39 5" xfId="34953"/>
    <cellStyle name="Note 4 3 39 6" xfId="44061"/>
    <cellStyle name="Note 4 3 39 7" xfId="48759"/>
    <cellStyle name="Note 4 3 4" xfId="891"/>
    <cellStyle name="Note 4 3 4 2" xfId="8715"/>
    <cellStyle name="Note 4 3 4 3" xfId="16143"/>
    <cellStyle name="Note 4 3 4 4" xfId="26240"/>
    <cellStyle name="Note 4 3 4 5" xfId="34930"/>
    <cellStyle name="Note 4 3 4 6" xfId="37613"/>
    <cellStyle name="Note 4 3 4 7" xfId="53513"/>
    <cellStyle name="Note 4 3 40" xfId="5624"/>
    <cellStyle name="Note 4 3 40 2" xfId="13341"/>
    <cellStyle name="Note 4 3 40 3" xfId="22334"/>
    <cellStyle name="Note 4 3 40 4" xfId="30521"/>
    <cellStyle name="Note 4 3 40 5" xfId="33247"/>
    <cellStyle name="Note 4 3 40 6" xfId="44186"/>
    <cellStyle name="Note 4 3 40 7" xfId="47124"/>
    <cellStyle name="Note 4 3 41" xfId="5739"/>
    <cellStyle name="Note 4 3 41 2" xfId="13456"/>
    <cellStyle name="Note 4 3 41 3" xfId="22449"/>
    <cellStyle name="Note 4 3 41 4" xfId="30636"/>
    <cellStyle name="Note 4 3 41 5" xfId="36045"/>
    <cellStyle name="Note 4 3 41 6" xfId="44301"/>
    <cellStyle name="Note 4 3 41 7" xfId="53345"/>
    <cellStyle name="Note 4 3 42" xfId="5856"/>
    <cellStyle name="Note 4 3 42 2" xfId="13573"/>
    <cellStyle name="Note 4 3 42 3" xfId="22566"/>
    <cellStyle name="Note 4 3 42 4" xfId="30753"/>
    <cellStyle name="Note 4 3 42 5" xfId="36147"/>
    <cellStyle name="Note 4 3 42 6" xfId="44418"/>
    <cellStyle name="Note 4 3 42 7" xfId="53917"/>
    <cellStyle name="Note 4 3 43" xfId="5984"/>
    <cellStyle name="Note 4 3 43 2" xfId="13701"/>
    <cellStyle name="Note 4 3 43 3" xfId="22694"/>
    <cellStyle name="Note 4 3 43 4" xfId="30881"/>
    <cellStyle name="Note 4 3 43 5" xfId="35001"/>
    <cellStyle name="Note 4 3 43 6" xfId="44546"/>
    <cellStyle name="Note 4 3 43 7" xfId="48795"/>
    <cellStyle name="Note 4 3 44" xfId="6086"/>
    <cellStyle name="Note 4 3 44 2" xfId="13803"/>
    <cellStyle name="Note 4 3 44 3" xfId="22796"/>
    <cellStyle name="Note 4 3 44 4" xfId="30983"/>
    <cellStyle name="Note 4 3 44 5" xfId="35945"/>
    <cellStyle name="Note 4 3 44 6" xfId="44648"/>
    <cellStyle name="Note 4 3 44 7" xfId="52905"/>
    <cellStyle name="Note 4 3 45" xfId="5108"/>
    <cellStyle name="Note 4 3 45 2" xfId="12825"/>
    <cellStyle name="Note 4 3 45 3" xfId="21818"/>
    <cellStyle name="Note 4 3 45 4" xfId="30005"/>
    <cellStyle name="Note 4 3 45 5" xfId="33542"/>
    <cellStyle name="Note 4 3 45 6" xfId="43670"/>
    <cellStyle name="Note 4 3 45 7" xfId="49643"/>
    <cellStyle name="Note 4 3 46" xfId="6240"/>
    <cellStyle name="Note 4 3 46 2" xfId="13957"/>
    <cellStyle name="Note 4 3 46 3" xfId="22950"/>
    <cellStyle name="Note 4 3 46 4" xfId="31137"/>
    <cellStyle name="Note 4 3 46 5" xfId="35602"/>
    <cellStyle name="Note 4 3 46 6" xfId="44802"/>
    <cellStyle name="Note 4 3 46 7" xfId="51202"/>
    <cellStyle name="Note 4 3 47" xfId="6357"/>
    <cellStyle name="Note 4 3 47 2" xfId="14074"/>
    <cellStyle name="Note 4 3 47 3" xfId="23067"/>
    <cellStyle name="Note 4 3 47 4" xfId="31254"/>
    <cellStyle name="Note 4 3 47 5" xfId="35268"/>
    <cellStyle name="Note 4 3 47 6" xfId="44919"/>
    <cellStyle name="Note 4 3 47 7" xfId="48213"/>
    <cellStyle name="Note 4 3 48" xfId="6467"/>
    <cellStyle name="Note 4 3 48 2" xfId="14184"/>
    <cellStyle name="Note 4 3 48 3" xfId="23177"/>
    <cellStyle name="Note 4 3 48 4" xfId="31364"/>
    <cellStyle name="Note 4 3 48 5" xfId="26846"/>
    <cellStyle name="Note 4 3 48 6" xfId="45029"/>
    <cellStyle name="Note 4 3 48 7" xfId="49227"/>
    <cellStyle name="Note 4 3 49" xfId="6538"/>
    <cellStyle name="Note 4 3 49 2" xfId="14255"/>
    <cellStyle name="Note 4 3 49 3" xfId="23248"/>
    <cellStyle name="Note 4 3 49 4" xfId="31435"/>
    <cellStyle name="Note 4 3 49 5" xfId="26803"/>
    <cellStyle name="Note 4 3 49 6" xfId="45100"/>
    <cellStyle name="Note 4 3 49 7" xfId="50063"/>
    <cellStyle name="Note 4 3 5" xfId="1356"/>
    <cellStyle name="Note 4 3 5 2" xfId="9179"/>
    <cellStyle name="Note 4 3 5 3" xfId="16607"/>
    <cellStyle name="Note 4 3 5 4" xfId="19467"/>
    <cellStyle name="Note 4 3 5 5" xfId="28063"/>
    <cellStyle name="Note 4 3 5 6" xfId="40986"/>
    <cellStyle name="Note 4 3 5 7" xfId="47855"/>
    <cellStyle name="Note 4 3 50" xfId="6614"/>
    <cellStyle name="Note 4 3 50 2" xfId="14331"/>
    <cellStyle name="Note 4 3 50 3" xfId="23324"/>
    <cellStyle name="Note 4 3 50 4" xfId="31511"/>
    <cellStyle name="Note 4 3 50 5" xfId="33111"/>
    <cellStyle name="Note 4 3 50 6" xfId="45176"/>
    <cellStyle name="Note 4 3 50 7" xfId="49345"/>
    <cellStyle name="Note 4 3 51" xfId="6725"/>
    <cellStyle name="Note 4 3 51 2" xfId="14442"/>
    <cellStyle name="Note 4 3 51 3" xfId="23435"/>
    <cellStyle name="Note 4 3 51 4" xfId="31622"/>
    <cellStyle name="Note 4 3 51 5" xfId="35641"/>
    <cellStyle name="Note 4 3 51 6" xfId="45287"/>
    <cellStyle name="Note 4 3 51 7" xfId="52659"/>
    <cellStyle name="Note 4 3 52" xfId="6840"/>
    <cellStyle name="Note 4 3 52 2" xfId="14557"/>
    <cellStyle name="Note 4 3 52 3" xfId="23550"/>
    <cellStyle name="Note 4 3 52 4" xfId="31737"/>
    <cellStyle name="Note 4 3 52 5" xfId="26789"/>
    <cellStyle name="Note 4 3 52 6" xfId="45402"/>
    <cellStyle name="Note 4 3 52 7" xfId="48332"/>
    <cellStyle name="Note 4 3 53" xfId="6953"/>
    <cellStyle name="Note 4 3 53 2" xfId="14670"/>
    <cellStyle name="Note 4 3 53 3" xfId="23663"/>
    <cellStyle name="Note 4 3 53 4" xfId="31850"/>
    <cellStyle name="Note 4 3 53 5" xfId="28875"/>
    <cellStyle name="Note 4 3 53 6" xfId="45515"/>
    <cellStyle name="Note 4 3 53 7" xfId="46813"/>
    <cellStyle name="Note 4 3 54" xfId="7065"/>
    <cellStyle name="Note 4 3 54 2" xfId="14782"/>
    <cellStyle name="Note 4 3 54 3" xfId="23775"/>
    <cellStyle name="Note 4 3 54 4" xfId="31962"/>
    <cellStyle name="Note 4 3 54 5" xfId="35965"/>
    <cellStyle name="Note 4 3 54 6" xfId="45627"/>
    <cellStyle name="Note 4 3 54 7" xfId="52906"/>
    <cellStyle name="Note 4 3 55" xfId="7361"/>
    <cellStyle name="Note 4 3 55 2" xfId="15078"/>
    <cellStyle name="Note 4 3 55 3" xfId="24071"/>
    <cellStyle name="Note 4 3 55 4" xfId="32258"/>
    <cellStyle name="Note 4 3 55 5" xfId="27211"/>
    <cellStyle name="Note 4 3 55 6" xfId="45923"/>
    <cellStyle name="Note 4 3 55 7" xfId="50211"/>
    <cellStyle name="Note 4 3 56" xfId="7330"/>
    <cellStyle name="Note 4 3 56 2" xfId="15047"/>
    <cellStyle name="Note 4 3 56 3" xfId="24040"/>
    <cellStyle name="Note 4 3 56 4" xfId="32227"/>
    <cellStyle name="Note 4 3 56 5" xfId="36122"/>
    <cellStyle name="Note 4 3 56 6" xfId="45892"/>
    <cellStyle name="Note 4 3 56 7" xfId="53400"/>
    <cellStyle name="Note 4 3 57" xfId="7462"/>
    <cellStyle name="Note 4 3 57 2" xfId="15179"/>
    <cellStyle name="Note 4 3 57 3" xfId="24172"/>
    <cellStyle name="Note 4 3 57 4" xfId="32359"/>
    <cellStyle name="Note 4 3 57 5" xfId="33331"/>
    <cellStyle name="Note 4 3 57 6" xfId="46024"/>
    <cellStyle name="Note 4 3 57 7" xfId="54314"/>
    <cellStyle name="Note 4 3 58" xfId="7583"/>
    <cellStyle name="Note 4 3 58 2" xfId="15300"/>
    <cellStyle name="Note 4 3 58 3" xfId="24293"/>
    <cellStyle name="Note 4 3 58 4" xfId="32480"/>
    <cellStyle name="Note 4 3 58 5" xfId="35219"/>
    <cellStyle name="Note 4 3 58 6" xfId="46145"/>
    <cellStyle name="Note 4 3 58 7" xfId="48855"/>
    <cellStyle name="Note 4 3 59" xfId="7859"/>
    <cellStyle name="Note 4 3 59 2" xfId="15576"/>
    <cellStyle name="Note 4 3 59 3" xfId="24563"/>
    <cellStyle name="Note 4 3 59 4" xfId="32756"/>
    <cellStyle name="Note 4 3 59 5" xfId="33243"/>
    <cellStyle name="Note 4 3 59 6" xfId="46421"/>
    <cellStyle name="Note 4 3 59 7" xfId="50056"/>
    <cellStyle name="Note 4 3 6" xfId="1479"/>
    <cellStyle name="Note 4 3 6 2" xfId="9302"/>
    <cellStyle name="Note 4 3 6 3" xfId="16730"/>
    <cellStyle name="Note 4 3 6 4" xfId="19733"/>
    <cellStyle name="Note 4 3 6 5" xfId="27498"/>
    <cellStyle name="Note 4 3 6 6" xfId="39516"/>
    <cellStyle name="Note 4 3 6 7" xfId="47708"/>
    <cellStyle name="Note 4 3 60" xfId="7713"/>
    <cellStyle name="Note 4 3 60 2" xfId="15430"/>
    <cellStyle name="Note 4 3 60 3" xfId="24421"/>
    <cellStyle name="Note 4 3 60 4" xfId="32610"/>
    <cellStyle name="Note 4 3 60 5" xfId="27551"/>
    <cellStyle name="Note 4 3 60 6" xfId="46275"/>
    <cellStyle name="Note 4 3 60 7" xfId="50335"/>
    <cellStyle name="Note 4 3 61" xfId="7985"/>
    <cellStyle name="Note 4 3 61 2" xfId="15702"/>
    <cellStyle name="Note 4 3 61 3" xfId="24687"/>
    <cellStyle name="Note 4 3 61 4" xfId="32882"/>
    <cellStyle name="Note 4 3 61 5" xfId="28561"/>
    <cellStyle name="Note 4 3 61 6" xfId="46547"/>
    <cellStyle name="Note 4 3 61 7" xfId="51405"/>
    <cellStyle name="Note 4 3 62" xfId="8002"/>
    <cellStyle name="Note 4 3 62 2" xfId="15719"/>
    <cellStyle name="Note 4 3 62 3" xfId="24704"/>
    <cellStyle name="Note 4 3 62 4" xfId="32899"/>
    <cellStyle name="Note 4 3 62 5" xfId="27836"/>
    <cellStyle name="Note 4 3 62 6" xfId="46564"/>
    <cellStyle name="Note 4 3 62 7" xfId="47408"/>
    <cellStyle name="Note 4 3 63" xfId="8135"/>
    <cellStyle name="Note 4 3 63 2" xfId="15852"/>
    <cellStyle name="Note 4 3 63 3" xfId="33032"/>
    <cellStyle name="Note 4 3 63 4" xfId="33328"/>
    <cellStyle name="Note 4 3 63 5" xfId="46697"/>
    <cellStyle name="Note 4 3 63 6" xfId="50499"/>
    <cellStyle name="Note 4 3 64" xfId="19128"/>
    <cellStyle name="Note 4 3 65" xfId="27428"/>
    <cellStyle name="Note 4 3 66" xfId="36341"/>
    <cellStyle name="Note 4 3 67" xfId="49873"/>
    <cellStyle name="Note 4 3 7" xfId="1566"/>
    <cellStyle name="Note 4 3 7 2" xfId="9389"/>
    <cellStyle name="Note 4 3 7 3" xfId="16817"/>
    <cellStyle name="Note 4 3 7 4" xfId="26294"/>
    <cellStyle name="Note 4 3 7 5" xfId="35008"/>
    <cellStyle name="Note 4 3 7 6" xfId="42061"/>
    <cellStyle name="Note 4 3 7 7" xfId="53630"/>
    <cellStyle name="Note 4 3 8" xfId="1716"/>
    <cellStyle name="Note 4 3 8 2" xfId="9539"/>
    <cellStyle name="Note 4 3 8 3" xfId="16967"/>
    <cellStyle name="Note 4 3 8 4" xfId="25915"/>
    <cellStyle name="Note 4 3 8 5" xfId="34516"/>
    <cellStyle name="Note 4 3 8 6" xfId="36598"/>
    <cellStyle name="Note 4 3 8 7" xfId="52813"/>
    <cellStyle name="Note 4 3 9" xfId="1850"/>
    <cellStyle name="Note 4 3 9 2" xfId="9673"/>
    <cellStyle name="Note 4 3 9 3" xfId="17101"/>
    <cellStyle name="Note 4 3 9 4" xfId="26118"/>
    <cellStyle name="Note 4 3 9 5" xfId="34777"/>
    <cellStyle name="Note 4 3 9 6" xfId="42244"/>
    <cellStyle name="Note 4 3 9 7" xfId="53248"/>
    <cellStyle name="Note 4 30" xfId="6570"/>
    <cellStyle name="Note 4 30 2" xfId="14287"/>
    <cellStyle name="Note 4 30 3" xfId="23280"/>
    <cellStyle name="Note 4 30 4" xfId="31467"/>
    <cellStyle name="Note 4 30 5" xfId="36219"/>
    <cellStyle name="Note 4 30 6" xfId="45132"/>
    <cellStyle name="Note 4 30 7" xfId="54340"/>
    <cellStyle name="Note 4 31" xfId="7413"/>
    <cellStyle name="Note 4 31 2" xfId="15130"/>
    <cellStyle name="Note 4 31 3" xfId="24123"/>
    <cellStyle name="Note 4 31 4" xfId="32310"/>
    <cellStyle name="Note 4 31 5" xfId="35855"/>
    <cellStyle name="Note 4 31 6" xfId="45975"/>
    <cellStyle name="Note 4 31 7" xfId="47633"/>
    <cellStyle name="Note 4 32" xfId="7290"/>
    <cellStyle name="Note 4 32 2" xfId="15007"/>
    <cellStyle name="Note 4 32 3" xfId="24000"/>
    <cellStyle name="Note 4 32 4" xfId="32187"/>
    <cellStyle name="Note 4 32 5" xfId="34187"/>
    <cellStyle name="Note 4 32 6" xfId="45852"/>
    <cellStyle name="Note 4 32 7" xfId="50323"/>
    <cellStyle name="Note 4 33" xfId="7692"/>
    <cellStyle name="Note 4 33 2" xfId="15409"/>
    <cellStyle name="Note 4 33 3" xfId="24400"/>
    <cellStyle name="Note 4 33 4" xfId="32589"/>
    <cellStyle name="Note 4 33 5" xfId="35970"/>
    <cellStyle name="Note 4 33 6" xfId="46254"/>
    <cellStyle name="Note 4 33 7" xfId="52932"/>
    <cellStyle name="Note 4 34" xfId="7751"/>
    <cellStyle name="Note 4 34 2" xfId="15468"/>
    <cellStyle name="Note 4 34 3" xfId="24459"/>
    <cellStyle name="Note 4 34 4" xfId="32648"/>
    <cellStyle name="Note 4 34 5" xfId="36038"/>
    <cellStyle name="Note 4 34 6" xfId="46313"/>
    <cellStyle name="Note 4 34 7" xfId="53108"/>
    <cellStyle name="Note 4 35" xfId="7764"/>
    <cellStyle name="Note 4 35 2" xfId="15481"/>
    <cellStyle name="Note 4 35 3" xfId="24470"/>
    <cellStyle name="Note 4 35 4" xfId="32661"/>
    <cellStyle name="Note 4 35 5" xfId="35759"/>
    <cellStyle name="Note 4 35 6" xfId="46326"/>
    <cellStyle name="Note 4 35 7" xfId="51634"/>
    <cellStyle name="Note 4 36" xfId="24833"/>
    <cellStyle name="Note 4 37" xfId="27661"/>
    <cellStyle name="Note 4 38" xfId="36560"/>
    <cellStyle name="Note 4 39" xfId="50223"/>
    <cellStyle name="Note 4 4" xfId="562"/>
    <cellStyle name="Note 4 4 10" xfId="2009"/>
    <cellStyle name="Note 4 4 10 2" xfId="9832"/>
    <cellStyle name="Note 4 4 10 3" xfId="17260"/>
    <cellStyle name="Note 4 4 10 4" xfId="25559"/>
    <cellStyle name="Note 4 4 10 5" xfId="34055"/>
    <cellStyle name="Note 4 4 10 6" xfId="36860"/>
    <cellStyle name="Note 4 4 10 7" xfId="51999"/>
    <cellStyle name="Note 4 4 11" xfId="2126"/>
    <cellStyle name="Note 4 4 11 2" xfId="9949"/>
    <cellStyle name="Note 4 4 11 3" xfId="17377"/>
    <cellStyle name="Note 4 4 11 4" xfId="25428"/>
    <cellStyle name="Note 4 4 11 5" xfId="33886"/>
    <cellStyle name="Note 4 4 11 6" xfId="36447"/>
    <cellStyle name="Note 4 4 11 7" xfId="51701"/>
    <cellStyle name="Note 4 4 12" xfId="2240"/>
    <cellStyle name="Note 4 4 12 2" xfId="10063"/>
    <cellStyle name="Note 4 4 12 3" xfId="17491"/>
    <cellStyle name="Note 4 4 12 4" xfId="19894"/>
    <cellStyle name="Note 4 4 12 5" xfId="28663"/>
    <cellStyle name="Note 4 4 12 6" xfId="40384"/>
    <cellStyle name="Note 4 4 12 7" xfId="48802"/>
    <cellStyle name="Note 4 4 13" xfId="2044"/>
    <cellStyle name="Note 4 4 13 2" xfId="9867"/>
    <cellStyle name="Note 4 4 13 3" xfId="17295"/>
    <cellStyle name="Note 4 4 13 4" xfId="26699"/>
    <cellStyle name="Note 4 4 13 5" xfId="35551"/>
    <cellStyle name="Note 4 4 13 6" xfId="37970"/>
    <cellStyle name="Note 4 4 13 7" xfId="54490"/>
    <cellStyle name="Note 4 4 14" xfId="2347"/>
    <cellStyle name="Note 4 4 14 2" xfId="10170"/>
    <cellStyle name="Note 4 4 14 3" xfId="17598"/>
    <cellStyle name="Note 4 4 14 4" xfId="25410"/>
    <cellStyle name="Note 4 4 14 5" xfId="33866"/>
    <cellStyle name="Note 4 4 14 6" xfId="38556"/>
    <cellStyle name="Note 4 4 14 7" xfId="51671"/>
    <cellStyle name="Note 4 4 15" xfId="2537"/>
    <cellStyle name="Note 4 4 15 2" xfId="10360"/>
    <cellStyle name="Note 4 4 15 3" xfId="17788"/>
    <cellStyle name="Note 4 4 15 4" xfId="19781"/>
    <cellStyle name="Note 4 4 15 5" xfId="27344"/>
    <cellStyle name="Note 4 4 15 6" xfId="41520"/>
    <cellStyle name="Note 4 4 15 7" xfId="49671"/>
    <cellStyle name="Note 4 4 16" xfId="2651"/>
    <cellStyle name="Note 4 4 16 2" xfId="10474"/>
    <cellStyle name="Note 4 4 16 3" xfId="17902"/>
    <cellStyle name="Note 4 4 16 4" xfId="24984"/>
    <cellStyle name="Note 4 4 16 5" xfId="33327"/>
    <cellStyle name="Note 4 4 16 6" xfId="37577"/>
    <cellStyle name="Note 4 4 16 7" xfId="50756"/>
    <cellStyle name="Note 4 4 17" xfId="1063"/>
    <cellStyle name="Note 4 4 17 2" xfId="8887"/>
    <cellStyle name="Note 4 4 17 3" xfId="16315"/>
    <cellStyle name="Note 4 4 17 4" xfId="25271"/>
    <cellStyle name="Note 4 4 17 5" xfId="33681"/>
    <cellStyle name="Note 4 4 17 6" xfId="37112"/>
    <cellStyle name="Note 4 4 17 7" xfId="51373"/>
    <cellStyle name="Note 4 4 18" xfId="1203"/>
    <cellStyle name="Note 4 4 18 2" xfId="9026"/>
    <cellStyle name="Note 4 4 18 3" xfId="16454"/>
    <cellStyle name="Note 4 4 18 4" xfId="25297"/>
    <cellStyle name="Note 4 4 18 5" xfId="33711"/>
    <cellStyle name="Note 4 4 18 6" xfId="40941"/>
    <cellStyle name="Note 4 4 18 7" xfId="51419"/>
    <cellStyle name="Note 4 4 19" xfId="2842"/>
    <cellStyle name="Note 4 4 19 2" xfId="10665"/>
    <cellStyle name="Note 4 4 19 3" xfId="18093"/>
    <cellStyle name="Note 4 4 19 4" xfId="26668"/>
    <cellStyle name="Note 4 4 19 5" xfId="35515"/>
    <cellStyle name="Note 4 4 19 6" xfId="40302"/>
    <cellStyle name="Note 4 4 19 7" xfId="54432"/>
    <cellStyle name="Note 4 4 2" xfId="710"/>
    <cellStyle name="Note 4 4 2 2" xfId="8534"/>
    <cellStyle name="Note 4 4 2 3" xfId="15962"/>
    <cellStyle name="Note 4 4 2 4" xfId="25883"/>
    <cellStyle name="Note 4 4 2 5" xfId="34475"/>
    <cellStyle name="Note 4 4 2 6" xfId="37210"/>
    <cellStyle name="Note 4 4 2 7" xfId="52748"/>
    <cellStyle name="Note 4 4 20" xfId="2949"/>
    <cellStyle name="Note 4 4 20 2" xfId="10772"/>
    <cellStyle name="Note 4 4 20 3" xfId="18200"/>
    <cellStyle name="Note 4 4 20 4" xfId="25099"/>
    <cellStyle name="Note 4 4 20 5" xfId="33463"/>
    <cellStyle name="Note 4 4 20 6" xfId="39266"/>
    <cellStyle name="Note 4 4 20 7" xfId="51008"/>
    <cellStyle name="Note 4 4 21" xfId="3326"/>
    <cellStyle name="Note 4 4 21 2" xfId="11119"/>
    <cellStyle name="Note 4 4 21 3" xfId="18447"/>
    <cellStyle name="Note 4 4 21 4" xfId="19644"/>
    <cellStyle name="Note 4 4 21 5" xfId="28400"/>
    <cellStyle name="Note 4 4 21 6" xfId="37460"/>
    <cellStyle name="Note 4 4 21 7" xfId="49026"/>
    <cellStyle name="Note 4 4 22" xfId="3445"/>
    <cellStyle name="Note 4 4 22 2" xfId="11236"/>
    <cellStyle name="Note 4 4 22 3" xfId="18558"/>
    <cellStyle name="Note 4 4 22 4" xfId="20201"/>
    <cellStyle name="Note 4 4 22 5" xfId="27496"/>
    <cellStyle name="Note 4 4 22 6" xfId="39854"/>
    <cellStyle name="Note 4 4 22 7" xfId="48104"/>
    <cellStyle name="Note 4 4 23" xfId="3568"/>
    <cellStyle name="Note 4 4 23 2" xfId="11357"/>
    <cellStyle name="Note 4 4 23 3" xfId="18640"/>
    <cellStyle name="Note 4 4 23 4" xfId="19068"/>
    <cellStyle name="Note 4 4 23 5" xfId="33158"/>
    <cellStyle name="Note 4 4 23 6" xfId="37005"/>
    <cellStyle name="Note 4 4 23 7" xfId="50449"/>
    <cellStyle name="Note 4 4 24" xfId="3605"/>
    <cellStyle name="Note 4 4 24 2" xfId="11391"/>
    <cellStyle name="Note 4 4 24 3" xfId="18665"/>
    <cellStyle name="Note 4 4 24 4" xfId="25330"/>
    <cellStyle name="Note 4 4 24 5" xfId="33760"/>
    <cellStyle name="Note 4 4 24 6" xfId="38677"/>
    <cellStyle name="Note 4 4 24 7" xfId="51495"/>
    <cellStyle name="Note 4 4 25" xfId="3718"/>
    <cellStyle name="Note 4 4 25 2" xfId="11503"/>
    <cellStyle name="Note 4 4 25 3" xfId="18775"/>
    <cellStyle name="Note 4 4 25 4" xfId="20037"/>
    <cellStyle name="Note 4 4 25 5" xfId="27313"/>
    <cellStyle name="Note 4 4 25 6" xfId="41681"/>
    <cellStyle name="Note 4 4 25 7" xfId="47840"/>
    <cellStyle name="Note 4 4 26" xfId="3847"/>
    <cellStyle name="Note 4 4 26 2" xfId="11629"/>
    <cellStyle name="Note 4 4 26 3" xfId="18885"/>
    <cellStyle name="Note 4 4 26 4" xfId="20361"/>
    <cellStyle name="Note 4 4 26 5" xfId="27760"/>
    <cellStyle name="Note 4 4 26 6" xfId="37522"/>
    <cellStyle name="Note 4 4 26 7" xfId="49525"/>
    <cellStyle name="Note 4 4 27" xfId="3966"/>
    <cellStyle name="Note 4 4 27 2" xfId="11745"/>
    <cellStyle name="Note 4 4 27 3" xfId="18994"/>
    <cellStyle name="Note 4 4 27 4" xfId="26130"/>
    <cellStyle name="Note 4 4 27 5" xfId="34792"/>
    <cellStyle name="Note 4 4 27 6" xfId="40174"/>
    <cellStyle name="Note 4 4 27 7" xfId="53273"/>
    <cellStyle name="Note 4 4 28" xfId="3338"/>
    <cellStyle name="Note 4 4 28 2" xfId="11131"/>
    <cellStyle name="Note 4 4 28 3" xfId="20399"/>
    <cellStyle name="Note 4 4 28 4" xfId="28502"/>
    <cellStyle name="Note 4 4 28 5" xfId="36043"/>
    <cellStyle name="Note 4 4 28 6" xfId="42464"/>
    <cellStyle name="Note 4 4 28 7" xfId="53631"/>
    <cellStyle name="Note 4 4 29" xfId="4162"/>
    <cellStyle name="Note 4 4 29 2" xfId="11921"/>
    <cellStyle name="Note 4 4 29 3" xfId="20872"/>
    <cellStyle name="Note 4 4 29 4" xfId="29059"/>
    <cellStyle name="Note 4 4 29 5" xfId="28137"/>
    <cellStyle name="Note 4 4 29 6" xfId="42724"/>
    <cellStyle name="Note 4 4 29 7" xfId="49828"/>
    <cellStyle name="Note 4 4 3" xfId="819"/>
    <cellStyle name="Note 4 4 3 2" xfId="8643"/>
    <cellStyle name="Note 4 4 3 3" xfId="16071"/>
    <cellStyle name="Note 4 4 3 4" xfId="26586"/>
    <cellStyle name="Note 4 4 3 5" xfId="35406"/>
    <cellStyle name="Note 4 4 3 6" xfId="37549"/>
    <cellStyle name="Note 4 4 3 7" xfId="54249"/>
    <cellStyle name="Note 4 4 30" xfId="4207"/>
    <cellStyle name="Note 4 4 30 2" xfId="20917"/>
    <cellStyle name="Note 4 4 30 3" xfId="29104"/>
    <cellStyle name="Note 4 4 30 4" xfId="28635"/>
    <cellStyle name="Note 4 4 30 5" xfId="42769"/>
    <cellStyle name="Note 4 4 30 6" xfId="51012"/>
    <cellStyle name="Note 4 4 31" xfId="4360"/>
    <cellStyle name="Note 4 4 31 2" xfId="12077"/>
    <cellStyle name="Note 4 4 31 3" xfId="21070"/>
    <cellStyle name="Note 4 4 31 4" xfId="29257"/>
    <cellStyle name="Note 4 4 31 5" xfId="27909"/>
    <cellStyle name="Note 4 4 31 6" xfId="42922"/>
    <cellStyle name="Note 4 4 31 7" xfId="48075"/>
    <cellStyle name="Note 4 4 32" xfId="4482"/>
    <cellStyle name="Note 4 4 32 2" xfId="12199"/>
    <cellStyle name="Note 4 4 32 3" xfId="21192"/>
    <cellStyle name="Note 4 4 32 4" xfId="29379"/>
    <cellStyle name="Note 4 4 32 5" xfId="35979"/>
    <cellStyle name="Note 4 4 32 6" xfId="43044"/>
    <cellStyle name="Note 4 4 32 7" xfId="53332"/>
    <cellStyle name="Note 4 4 33" xfId="4596"/>
    <cellStyle name="Note 4 4 33 2" xfId="12313"/>
    <cellStyle name="Note 4 4 33 3" xfId="21306"/>
    <cellStyle name="Note 4 4 33 4" xfId="29493"/>
    <cellStyle name="Note 4 4 33 5" xfId="27801"/>
    <cellStyle name="Note 4 4 33 6" xfId="43158"/>
    <cellStyle name="Note 4 4 33 7" xfId="50093"/>
    <cellStyle name="Note 4 4 34" xfId="4709"/>
    <cellStyle name="Note 4 4 34 2" xfId="12426"/>
    <cellStyle name="Note 4 4 34 3" xfId="21419"/>
    <cellStyle name="Note 4 4 34 4" xfId="29606"/>
    <cellStyle name="Note 4 4 34 5" xfId="36011"/>
    <cellStyle name="Note 4 4 34 6" xfId="43271"/>
    <cellStyle name="Note 4 4 34 7" xfId="53474"/>
    <cellStyle name="Note 4 4 35" xfId="4819"/>
    <cellStyle name="Note 4 4 35 2" xfId="12536"/>
    <cellStyle name="Note 4 4 35 3" xfId="21529"/>
    <cellStyle name="Note 4 4 35 4" xfId="29716"/>
    <cellStyle name="Note 4 4 35 5" xfId="34238"/>
    <cellStyle name="Note 4 4 35 6" xfId="43381"/>
    <cellStyle name="Note 4 4 35 7" xfId="49559"/>
    <cellStyle name="Note 4 4 36" xfId="4929"/>
    <cellStyle name="Note 4 4 36 2" xfId="12646"/>
    <cellStyle name="Note 4 4 36 3" xfId="21639"/>
    <cellStyle name="Note 4 4 36 4" xfId="29826"/>
    <cellStyle name="Note 4 4 36 5" xfId="27494"/>
    <cellStyle name="Note 4 4 36 6" xfId="43491"/>
    <cellStyle name="Note 4 4 36 7" xfId="47358"/>
    <cellStyle name="Note 4 4 37" xfId="5039"/>
    <cellStyle name="Note 4 4 37 2" xfId="12756"/>
    <cellStyle name="Note 4 4 37 3" xfId="21749"/>
    <cellStyle name="Note 4 4 37 4" xfId="29936"/>
    <cellStyle name="Note 4 4 37 5" xfId="28235"/>
    <cellStyle name="Note 4 4 37 6" xfId="43601"/>
    <cellStyle name="Note 4 4 37 7" xfId="49617"/>
    <cellStyle name="Note 4 4 38" xfId="5419"/>
    <cellStyle name="Note 4 4 38 2" xfId="13136"/>
    <cellStyle name="Note 4 4 38 3" xfId="22129"/>
    <cellStyle name="Note 4 4 38 4" xfId="30316"/>
    <cellStyle name="Note 4 4 38 5" xfId="33918"/>
    <cellStyle name="Note 4 4 38 6" xfId="43981"/>
    <cellStyle name="Note 4 4 38 7" xfId="49361"/>
    <cellStyle name="Note 4 4 39" xfId="5539"/>
    <cellStyle name="Note 4 4 39 2" xfId="13256"/>
    <cellStyle name="Note 4 4 39 3" xfId="22249"/>
    <cellStyle name="Note 4 4 39 4" xfId="30436"/>
    <cellStyle name="Note 4 4 39 5" xfId="35108"/>
    <cellStyle name="Note 4 4 39 6" xfId="44101"/>
    <cellStyle name="Note 4 4 39 7" xfId="46920"/>
    <cellStyle name="Note 4 4 4" xfId="929"/>
    <cellStyle name="Note 4 4 4 2" xfId="8753"/>
    <cellStyle name="Note 4 4 4 3" xfId="16181"/>
    <cellStyle name="Note 4 4 4 4" xfId="24818"/>
    <cellStyle name="Note 4 4 4 5" xfId="27890"/>
    <cellStyle name="Note 4 4 4 6" xfId="36358"/>
    <cellStyle name="Note 4 4 4 7" xfId="47559"/>
    <cellStyle name="Note 4 4 40" xfId="5663"/>
    <cellStyle name="Note 4 4 40 2" xfId="13380"/>
    <cellStyle name="Note 4 4 40 3" xfId="22373"/>
    <cellStyle name="Note 4 4 40 4" xfId="30560"/>
    <cellStyle name="Note 4 4 40 5" xfId="27958"/>
    <cellStyle name="Note 4 4 40 6" xfId="44225"/>
    <cellStyle name="Note 4 4 40 7" xfId="47107"/>
    <cellStyle name="Note 4 4 41" xfId="5779"/>
    <cellStyle name="Note 4 4 41 2" xfId="13496"/>
    <cellStyle name="Note 4 4 41 3" xfId="22489"/>
    <cellStyle name="Note 4 4 41 4" xfId="30676"/>
    <cellStyle name="Note 4 4 41 5" xfId="35540"/>
    <cellStyle name="Note 4 4 41 6" xfId="44341"/>
    <cellStyle name="Note 4 4 41 7" xfId="49138"/>
    <cellStyle name="Note 4 4 42" xfId="5896"/>
    <cellStyle name="Note 4 4 42 2" xfId="13613"/>
    <cellStyle name="Note 4 4 42 3" xfId="22606"/>
    <cellStyle name="Note 4 4 42 4" xfId="30793"/>
    <cellStyle name="Note 4 4 42 5" xfId="28068"/>
    <cellStyle name="Note 4 4 42 6" xfId="44458"/>
    <cellStyle name="Note 4 4 42 7" xfId="47395"/>
    <cellStyle name="Note 4 4 43" xfId="6024"/>
    <cellStyle name="Note 4 4 43 2" xfId="13741"/>
    <cellStyle name="Note 4 4 43 3" xfId="22734"/>
    <cellStyle name="Note 4 4 43 4" xfId="30921"/>
    <cellStyle name="Note 4 4 43 5" xfId="35777"/>
    <cellStyle name="Note 4 4 43 6" xfId="44586"/>
    <cellStyle name="Note 4 4 43 7" xfId="52151"/>
    <cellStyle name="Note 4 4 44" xfId="6118"/>
    <cellStyle name="Note 4 4 44 2" xfId="13835"/>
    <cellStyle name="Note 4 4 44 3" xfId="22828"/>
    <cellStyle name="Note 4 4 44 4" xfId="31015"/>
    <cellStyle name="Note 4 4 44 5" xfId="35037"/>
    <cellStyle name="Note 4 4 44 6" xfId="44680"/>
    <cellStyle name="Note 4 4 44 7" xfId="49333"/>
    <cellStyle name="Note 4 4 45" xfId="6151"/>
    <cellStyle name="Note 4 4 45 2" xfId="13868"/>
    <cellStyle name="Note 4 4 45 3" xfId="22861"/>
    <cellStyle name="Note 4 4 45 4" xfId="31048"/>
    <cellStyle name="Note 4 4 45 5" xfId="36053"/>
    <cellStyle name="Note 4 4 45 6" xfId="44713"/>
    <cellStyle name="Note 4 4 45 7" xfId="53199"/>
    <cellStyle name="Note 4 4 46" xfId="6280"/>
    <cellStyle name="Note 4 4 46 2" xfId="13997"/>
    <cellStyle name="Note 4 4 46 3" xfId="22990"/>
    <cellStyle name="Note 4 4 46 4" xfId="31177"/>
    <cellStyle name="Note 4 4 46 5" xfId="33619"/>
    <cellStyle name="Note 4 4 46 6" xfId="44842"/>
    <cellStyle name="Note 4 4 46 7" xfId="49960"/>
    <cellStyle name="Note 4 4 47" xfId="6395"/>
    <cellStyle name="Note 4 4 47 2" xfId="14112"/>
    <cellStyle name="Note 4 4 47 3" xfId="23105"/>
    <cellStyle name="Note 4 4 47 4" xfId="31292"/>
    <cellStyle name="Note 4 4 47 5" xfId="28245"/>
    <cellStyle name="Note 4 4 47 6" xfId="44957"/>
    <cellStyle name="Note 4 4 47 7" xfId="50424"/>
    <cellStyle name="Note 4 4 48" xfId="6507"/>
    <cellStyle name="Note 4 4 48 2" xfId="14224"/>
    <cellStyle name="Note 4 4 48 3" xfId="23217"/>
    <cellStyle name="Note 4 4 48 4" xfId="31404"/>
    <cellStyle name="Note 4 4 48 5" xfId="36073"/>
    <cellStyle name="Note 4 4 48 6" xfId="45069"/>
    <cellStyle name="Note 4 4 48 7" xfId="53301"/>
    <cellStyle name="Note 4 4 49" xfId="5812"/>
    <cellStyle name="Note 4 4 49 2" xfId="13529"/>
    <cellStyle name="Note 4 4 49 3" xfId="22522"/>
    <cellStyle name="Note 4 4 49 4" xfId="30709"/>
    <cellStyle name="Note 4 4 49 5" xfId="35804"/>
    <cellStyle name="Note 4 4 49 6" xfId="44374"/>
    <cellStyle name="Note 4 4 49 7" xfId="47659"/>
    <cellStyle name="Note 4 4 5" xfId="1397"/>
    <cellStyle name="Note 4 4 5 2" xfId="9220"/>
    <cellStyle name="Note 4 4 5 3" xfId="16648"/>
    <cellStyle name="Note 4 4 5 4" xfId="19526"/>
    <cellStyle name="Note 4 4 5 5" xfId="28353"/>
    <cellStyle name="Note 4 4 5 6" xfId="37364"/>
    <cellStyle name="Note 4 4 5 7" xfId="50280"/>
    <cellStyle name="Note 4 4 50" xfId="6654"/>
    <cellStyle name="Note 4 4 50 2" xfId="14371"/>
    <cellStyle name="Note 4 4 50 3" xfId="23364"/>
    <cellStyle name="Note 4 4 50 4" xfId="31551"/>
    <cellStyle name="Note 4 4 50 5" xfId="35929"/>
    <cellStyle name="Note 4 4 50 6" xfId="45216"/>
    <cellStyle name="Note 4 4 50 7" xfId="52836"/>
    <cellStyle name="Note 4 4 51" xfId="6765"/>
    <cellStyle name="Note 4 4 51 2" xfId="14482"/>
    <cellStyle name="Note 4 4 51 3" xfId="23475"/>
    <cellStyle name="Note 4 4 51 4" xfId="31662"/>
    <cellStyle name="Note 4 4 51 5" xfId="33943"/>
    <cellStyle name="Note 4 4 51 6" xfId="45327"/>
    <cellStyle name="Note 4 4 51 7" xfId="49711"/>
    <cellStyle name="Note 4 4 52" xfId="6880"/>
    <cellStyle name="Note 4 4 52 2" xfId="14597"/>
    <cellStyle name="Note 4 4 52 3" xfId="23590"/>
    <cellStyle name="Note 4 4 52 4" xfId="31777"/>
    <cellStyle name="Note 4 4 52 5" xfId="34474"/>
    <cellStyle name="Note 4 4 52 6" xfId="45442"/>
    <cellStyle name="Note 4 4 52 7" xfId="46887"/>
    <cellStyle name="Note 4 4 53" xfId="6993"/>
    <cellStyle name="Note 4 4 53 2" xfId="14710"/>
    <cellStyle name="Note 4 4 53 3" xfId="23703"/>
    <cellStyle name="Note 4 4 53 4" xfId="31890"/>
    <cellStyle name="Note 4 4 53 5" xfId="26797"/>
    <cellStyle name="Note 4 4 53 6" xfId="45555"/>
    <cellStyle name="Note 4 4 53 7" xfId="54554"/>
    <cellStyle name="Note 4 4 54" xfId="7103"/>
    <cellStyle name="Note 4 4 54 2" xfId="14820"/>
    <cellStyle name="Note 4 4 54 3" xfId="23813"/>
    <cellStyle name="Note 4 4 54 4" xfId="32000"/>
    <cellStyle name="Note 4 4 54 5" xfId="33149"/>
    <cellStyle name="Note 4 4 54 6" xfId="45665"/>
    <cellStyle name="Note 4 4 54 7" xfId="48763"/>
    <cellStyle name="Note 4 4 55" xfId="7175"/>
    <cellStyle name="Note 4 4 55 2" xfId="14892"/>
    <cellStyle name="Note 4 4 55 3" xfId="23885"/>
    <cellStyle name="Note 4 4 55 4" xfId="32072"/>
    <cellStyle name="Note 4 4 55 5" xfId="28272"/>
    <cellStyle name="Note 4 4 55 6" xfId="45737"/>
    <cellStyle name="Note 4 4 55 7" xfId="54171"/>
    <cellStyle name="Note 4 4 56" xfId="7205"/>
    <cellStyle name="Note 4 4 56 2" xfId="14922"/>
    <cellStyle name="Note 4 4 56 3" xfId="23915"/>
    <cellStyle name="Note 4 4 56 4" xfId="32102"/>
    <cellStyle name="Note 4 4 56 5" xfId="35106"/>
    <cellStyle name="Note 4 4 56 6" xfId="45767"/>
    <cellStyle name="Note 4 4 56 7" xfId="47486"/>
    <cellStyle name="Note 4 4 57" xfId="7500"/>
    <cellStyle name="Note 4 4 57 2" xfId="15217"/>
    <cellStyle name="Note 4 4 57 3" xfId="24210"/>
    <cellStyle name="Note 4 4 57 4" xfId="32397"/>
    <cellStyle name="Note 4 4 57 5" xfId="35354"/>
    <cellStyle name="Note 4 4 57 6" xfId="46062"/>
    <cellStyle name="Note 4 4 57 7" xfId="50293"/>
    <cellStyle name="Note 4 4 58" xfId="7621"/>
    <cellStyle name="Note 4 4 58 2" xfId="15338"/>
    <cellStyle name="Note 4 4 58 3" xfId="24331"/>
    <cellStyle name="Note 4 4 58 4" xfId="32518"/>
    <cellStyle name="Note 4 4 58 5" xfId="36211"/>
    <cellStyle name="Note 4 4 58 6" xfId="46183"/>
    <cellStyle name="Note 4 4 58 7" xfId="53934"/>
    <cellStyle name="Note 4 4 59" xfId="7898"/>
    <cellStyle name="Note 4 4 59 2" xfId="15615"/>
    <cellStyle name="Note 4 4 59 3" xfId="24602"/>
    <cellStyle name="Note 4 4 59 4" xfId="32795"/>
    <cellStyle name="Note 4 4 59 5" xfId="36087"/>
    <cellStyle name="Note 4 4 59 6" xfId="46460"/>
    <cellStyle name="Note 4 4 59 7" xfId="53264"/>
    <cellStyle name="Note 4 4 6" xfId="1520"/>
    <cellStyle name="Note 4 4 6 2" xfId="9343"/>
    <cellStyle name="Note 4 4 6 3" xfId="16771"/>
    <cellStyle name="Note 4 4 6 4" xfId="19751"/>
    <cellStyle name="Note 4 4 6 5" xfId="27714"/>
    <cellStyle name="Note 4 4 6 6" xfId="39165"/>
    <cellStyle name="Note 4 4 6 7" xfId="50247"/>
    <cellStyle name="Note 4 4 60" xfId="7783"/>
    <cellStyle name="Note 4 4 60 2" xfId="15500"/>
    <cellStyle name="Note 4 4 60 3" xfId="24489"/>
    <cellStyle name="Note 4 4 60 4" xfId="32680"/>
    <cellStyle name="Note 4 4 60 5" xfId="34027"/>
    <cellStyle name="Note 4 4 60 6" xfId="46345"/>
    <cellStyle name="Note 4 4 60 7" xfId="47387"/>
    <cellStyle name="Note 4 4 61" xfId="8026"/>
    <cellStyle name="Note 4 4 61 2" xfId="15743"/>
    <cellStyle name="Note 4 4 61 3" xfId="24728"/>
    <cellStyle name="Note 4 4 61 4" xfId="32923"/>
    <cellStyle name="Note 4 4 61 5" xfId="34364"/>
    <cellStyle name="Note 4 4 61 6" xfId="46588"/>
    <cellStyle name="Note 4 4 61 7" xfId="47754"/>
    <cellStyle name="Note 4 4 62" xfId="7665"/>
    <cellStyle name="Note 4 4 62 2" xfId="15382"/>
    <cellStyle name="Note 4 4 62 3" xfId="24374"/>
    <cellStyle name="Note 4 4 62 4" xfId="32562"/>
    <cellStyle name="Note 4 4 62 5" xfId="28860"/>
    <cellStyle name="Note 4 4 62 6" xfId="46227"/>
    <cellStyle name="Note 4 4 62 7" xfId="49244"/>
    <cellStyle name="Note 4 4 63" xfId="8173"/>
    <cellStyle name="Note 4 4 63 2" xfId="15890"/>
    <cellStyle name="Note 4 4 63 3" xfId="33070"/>
    <cellStyle name="Note 4 4 63 4" xfId="27998"/>
    <cellStyle name="Note 4 4 63 5" xfId="46735"/>
    <cellStyle name="Note 4 4 63 6" xfId="48469"/>
    <cellStyle name="Note 4 4 64" xfId="26022"/>
    <cellStyle name="Note 4 4 65" xfId="34651"/>
    <cellStyle name="Note 4 4 66" xfId="36302"/>
    <cellStyle name="Note 4 4 67" xfId="53039"/>
    <cellStyle name="Note 4 4 7" xfId="1296"/>
    <cellStyle name="Note 4 4 7 2" xfId="9119"/>
    <cellStyle name="Note 4 4 7 3" xfId="16547"/>
    <cellStyle name="Note 4 4 7 4" xfId="20382"/>
    <cellStyle name="Note 4 4 7 5" xfId="27354"/>
    <cellStyle name="Note 4 4 7 6" xfId="36470"/>
    <cellStyle name="Note 4 4 7 7" xfId="47834"/>
    <cellStyle name="Note 4 4 8" xfId="1757"/>
    <cellStyle name="Note 4 4 8 2" xfId="9580"/>
    <cellStyle name="Note 4 4 8 3" xfId="17008"/>
    <cellStyle name="Note 4 4 8 4" xfId="25165"/>
    <cellStyle name="Note 4 4 8 5" xfId="33545"/>
    <cellStyle name="Note 4 4 8 6" xfId="38838"/>
    <cellStyle name="Note 4 4 8 7" xfId="51143"/>
    <cellStyle name="Note 4 4 9" xfId="1890"/>
    <cellStyle name="Note 4 4 9 2" xfId="9713"/>
    <cellStyle name="Note 4 4 9 3" xfId="17141"/>
    <cellStyle name="Note 4 4 9 4" xfId="19981"/>
    <cellStyle name="Note 4 4 9 5" xfId="26823"/>
    <cellStyle name="Note 4 4 9 6" xfId="38231"/>
    <cellStyle name="Note 4 4 9 7" xfId="49045"/>
    <cellStyle name="Note 4 5" xfId="549"/>
    <cellStyle name="Note 4 5 10" xfId="1996"/>
    <cellStyle name="Note 4 5 10 2" xfId="9819"/>
    <cellStyle name="Note 4 5 10 3" xfId="17247"/>
    <cellStyle name="Note 4 5 10 4" xfId="20442"/>
    <cellStyle name="Note 4 5 10 5" xfId="27484"/>
    <cellStyle name="Note 4 5 10 6" xfId="39480"/>
    <cellStyle name="Note 4 5 10 7" xfId="48078"/>
    <cellStyle name="Note 4 5 11" xfId="2114"/>
    <cellStyle name="Note 4 5 11 2" xfId="9937"/>
    <cellStyle name="Note 4 5 11 3" xfId="17365"/>
    <cellStyle name="Note 4 5 11 4" xfId="26323"/>
    <cellStyle name="Note 4 5 11 5" xfId="35047"/>
    <cellStyle name="Note 4 5 11 6" xfId="38528"/>
    <cellStyle name="Note 4 5 11 7" xfId="53688"/>
    <cellStyle name="Note 4 5 12" xfId="2227"/>
    <cellStyle name="Note 4 5 12 2" xfId="10050"/>
    <cellStyle name="Note 4 5 12 3" xfId="17478"/>
    <cellStyle name="Note 4 5 12 4" xfId="20377"/>
    <cellStyle name="Note 4 5 12 5" xfId="28731"/>
    <cellStyle name="Note 4 5 12 6" xfId="42090"/>
    <cellStyle name="Note 4 5 12 7" xfId="50210"/>
    <cellStyle name="Note 4 5 13" xfId="1177"/>
    <cellStyle name="Note 4 5 13 2" xfId="9000"/>
    <cellStyle name="Note 4 5 13 3" xfId="16428"/>
    <cellStyle name="Note 4 5 13 4" xfId="26653"/>
    <cellStyle name="Note 4 5 13 5" xfId="35497"/>
    <cellStyle name="Note 4 5 13 6" xfId="37299"/>
    <cellStyle name="Note 4 5 13 7" xfId="54396"/>
    <cellStyle name="Note 4 5 14" xfId="2002"/>
    <cellStyle name="Note 4 5 14 2" xfId="9825"/>
    <cellStyle name="Note 4 5 14 3" xfId="17253"/>
    <cellStyle name="Note 4 5 14 4" xfId="25863"/>
    <cellStyle name="Note 4 5 14 5" xfId="34451"/>
    <cellStyle name="Note 4 5 14 6" xfId="37056"/>
    <cellStyle name="Note 4 5 14 7" xfId="52699"/>
    <cellStyle name="Note 4 5 15" xfId="2525"/>
    <cellStyle name="Note 4 5 15 2" xfId="10348"/>
    <cellStyle name="Note 4 5 15 3" xfId="17776"/>
    <cellStyle name="Note 4 5 15 4" xfId="20270"/>
    <cellStyle name="Note 4 5 15 5" xfId="28025"/>
    <cellStyle name="Note 4 5 15 6" xfId="41426"/>
    <cellStyle name="Note 4 5 15 7" xfId="48327"/>
    <cellStyle name="Note 4 5 16" xfId="2638"/>
    <cellStyle name="Note 4 5 16 2" xfId="10461"/>
    <cellStyle name="Note 4 5 16 3" xfId="17889"/>
    <cellStyle name="Note 4 5 16 4" xfId="25715"/>
    <cellStyle name="Note 4 5 16 5" xfId="34257"/>
    <cellStyle name="Note 4 5 16 6" xfId="38478"/>
    <cellStyle name="Note 4 5 16 7" xfId="52348"/>
    <cellStyle name="Note 4 5 17" xfId="1718"/>
    <cellStyle name="Note 4 5 17 2" xfId="9541"/>
    <cellStyle name="Note 4 5 17 3" xfId="16969"/>
    <cellStyle name="Note 4 5 17 4" xfId="25807"/>
    <cellStyle name="Note 4 5 17 5" xfId="34386"/>
    <cellStyle name="Note 4 5 17 6" xfId="36649"/>
    <cellStyle name="Note 4 5 17 7" xfId="52582"/>
    <cellStyle name="Note 4 5 18" xfId="2349"/>
    <cellStyle name="Note 4 5 18 2" xfId="10172"/>
    <cellStyle name="Note 4 5 18 3" xfId="17600"/>
    <cellStyle name="Note 4 5 18 4" xfId="19946"/>
    <cellStyle name="Note 4 5 18 5" xfId="26818"/>
    <cellStyle name="Note 4 5 18 6" xfId="36453"/>
    <cellStyle name="Note 4 5 18 7" xfId="47575"/>
    <cellStyle name="Note 4 5 19" xfId="2831"/>
    <cellStyle name="Note 4 5 19 2" xfId="10654"/>
    <cellStyle name="Note 4 5 19 3" xfId="18082"/>
    <cellStyle name="Note 4 5 19 4" xfId="26077"/>
    <cellStyle name="Note 4 5 19 5" xfId="34723"/>
    <cellStyle name="Note 4 5 19 6" xfId="41246"/>
    <cellStyle name="Note 4 5 19 7" xfId="53162"/>
    <cellStyle name="Note 4 5 2" xfId="699"/>
    <cellStyle name="Note 4 5 2 2" xfId="8523"/>
    <cellStyle name="Note 4 5 2 3" xfId="15951"/>
    <cellStyle name="Note 4 5 2 4" xfId="26367"/>
    <cellStyle name="Note 4 5 2 5" xfId="35102"/>
    <cellStyle name="Note 4 5 2 6" xfId="37927"/>
    <cellStyle name="Note 4 5 2 7" xfId="53780"/>
    <cellStyle name="Note 4 5 20" xfId="2938"/>
    <cellStyle name="Note 4 5 20 2" xfId="10761"/>
    <cellStyle name="Note 4 5 20 3" xfId="18189"/>
    <cellStyle name="Note 4 5 20 4" xfId="25711"/>
    <cellStyle name="Note 4 5 20 5" xfId="34253"/>
    <cellStyle name="Note 4 5 20 6" xfId="40574"/>
    <cellStyle name="Note 4 5 20 7" xfId="52338"/>
    <cellStyle name="Note 4 5 21" xfId="3314"/>
    <cellStyle name="Note 4 5 21 2" xfId="11107"/>
    <cellStyle name="Note 4 5 21 3" xfId="18436"/>
    <cellStyle name="Note 4 5 21 4" xfId="20633"/>
    <cellStyle name="Note 4 5 21 5" xfId="26885"/>
    <cellStyle name="Note 4 5 21 6" xfId="38257"/>
    <cellStyle name="Note 4 5 21 7" xfId="49744"/>
    <cellStyle name="Note 4 5 22" xfId="3434"/>
    <cellStyle name="Note 4 5 22 2" xfId="11225"/>
    <cellStyle name="Note 4 5 22 3" xfId="18547"/>
    <cellStyle name="Note 4 5 22 4" xfId="19873"/>
    <cellStyle name="Note 4 5 22 5" xfId="27106"/>
    <cellStyle name="Note 4 5 22 6" xfId="40810"/>
    <cellStyle name="Note 4 5 22 7" xfId="48219"/>
    <cellStyle name="Note 4 5 23" xfId="3557"/>
    <cellStyle name="Note 4 5 23 2" xfId="11346"/>
    <cellStyle name="Note 4 5 23 3" xfId="18632"/>
    <cellStyle name="Note 4 5 23 4" xfId="24500"/>
    <cellStyle name="Note 4 5 23 5" xfId="28778"/>
    <cellStyle name="Note 4 5 23 6" xfId="37573"/>
    <cellStyle name="Note 4 5 23 7" xfId="47947"/>
    <cellStyle name="Note 4 5 24" xfId="3239"/>
    <cellStyle name="Note 4 5 24 2" xfId="11032"/>
    <cellStyle name="Note 4 5 24 3" xfId="18363"/>
    <cellStyle name="Note 4 5 24 4" xfId="25570"/>
    <cellStyle name="Note 4 5 24 5" xfId="34069"/>
    <cellStyle name="Note 4 5 24 6" xfId="38370"/>
    <cellStyle name="Note 4 5 24 7" xfId="52017"/>
    <cellStyle name="Note 4 5 25" xfId="3705"/>
    <cellStyle name="Note 4 5 25 2" xfId="11490"/>
    <cellStyle name="Note 4 5 25 3" xfId="18763"/>
    <cellStyle name="Note 4 5 25 4" xfId="19629"/>
    <cellStyle name="Note 4 5 25 5" xfId="27950"/>
    <cellStyle name="Note 4 5 25 6" xfId="39538"/>
    <cellStyle name="Note 4 5 25 7" xfId="48859"/>
    <cellStyle name="Note 4 5 26" xfId="3835"/>
    <cellStyle name="Note 4 5 26 2" xfId="11617"/>
    <cellStyle name="Note 4 5 26 3" xfId="18874"/>
    <cellStyle name="Note 4 5 26 4" xfId="25032"/>
    <cellStyle name="Note 4 5 26 5" xfId="33388"/>
    <cellStyle name="Note 4 5 26 6" xfId="36452"/>
    <cellStyle name="Note 4 5 26 7" xfId="50862"/>
    <cellStyle name="Note 4 5 27" xfId="3953"/>
    <cellStyle name="Note 4 5 27 2" xfId="11733"/>
    <cellStyle name="Note 4 5 27 3" xfId="18983"/>
    <cellStyle name="Note 4 5 27 4" xfId="19475"/>
    <cellStyle name="Note 4 5 27 5" xfId="28271"/>
    <cellStyle name="Note 4 5 27 6" xfId="41388"/>
    <cellStyle name="Note 4 5 27 7" xfId="48002"/>
    <cellStyle name="Note 4 5 28" xfId="3103"/>
    <cellStyle name="Note 4 5 28 2" xfId="10908"/>
    <cellStyle name="Note 4 5 28 3" xfId="20259"/>
    <cellStyle name="Note 4 5 28 4" xfId="28350"/>
    <cellStyle name="Note 4 5 28 5" xfId="26869"/>
    <cellStyle name="Note 4 5 28 6" xfId="42401"/>
    <cellStyle name="Note 4 5 28 7" xfId="50273"/>
    <cellStyle name="Note 4 5 29" xfId="4150"/>
    <cellStyle name="Note 4 5 29 2" xfId="11909"/>
    <cellStyle name="Note 4 5 29 3" xfId="20860"/>
    <cellStyle name="Note 4 5 29 4" xfId="29047"/>
    <cellStyle name="Note 4 5 29 5" xfId="34375"/>
    <cellStyle name="Note 4 5 29 6" xfId="42712"/>
    <cellStyle name="Note 4 5 29 7" xfId="47742"/>
    <cellStyle name="Note 4 5 3" xfId="807"/>
    <cellStyle name="Note 4 5 3 2" xfId="8631"/>
    <cellStyle name="Note 4 5 3 3" xfId="16059"/>
    <cellStyle name="Note 4 5 3 4" xfId="19719"/>
    <cellStyle name="Note 4 5 3 5" xfId="27243"/>
    <cellStyle name="Note 4 5 3 6" xfId="36834"/>
    <cellStyle name="Note 4 5 3 7" xfId="48782"/>
    <cellStyle name="Note 4 5 30" xfId="4203"/>
    <cellStyle name="Note 4 5 30 2" xfId="20913"/>
    <cellStyle name="Note 4 5 30 3" xfId="29100"/>
    <cellStyle name="Note 4 5 30 4" xfId="35584"/>
    <cellStyle name="Note 4 5 30 5" xfId="42765"/>
    <cellStyle name="Note 4 5 30 6" xfId="51437"/>
    <cellStyle name="Note 4 5 31" xfId="4347"/>
    <cellStyle name="Note 4 5 31 2" xfId="12064"/>
    <cellStyle name="Note 4 5 31 3" xfId="21057"/>
    <cellStyle name="Note 4 5 31 4" xfId="29244"/>
    <cellStyle name="Note 4 5 31 5" xfId="36193"/>
    <cellStyle name="Note 4 5 31 6" xfId="42909"/>
    <cellStyle name="Note 4 5 31 7" xfId="54335"/>
    <cellStyle name="Note 4 5 32" xfId="4470"/>
    <cellStyle name="Note 4 5 32 2" xfId="12187"/>
    <cellStyle name="Note 4 5 32 3" xfId="21180"/>
    <cellStyle name="Note 4 5 32 4" xfId="29367"/>
    <cellStyle name="Note 4 5 32 5" xfId="35011"/>
    <cellStyle name="Note 4 5 32 6" xfId="43032"/>
    <cellStyle name="Note 4 5 32 7" xfId="48245"/>
    <cellStyle name="Note 4 5 33" xfId="4584"/>
    <cellStyle name="Note 4 5 33 2" xfId="12301"/>
    <cellStyle name="Note 4 5 33 3" xfId="21294"/>
    <cellStyle name="Note 4 5 33 4" xfId="29481"/>
    <cellStyle name="Note 4 5 33 5" xfId="27891"/>
    <cellStyle name="Note 4 5 33 6" xfId="43146"/>
    <cellStyle name="Note 4 5 33 7" xfId="51274"/>
    <cellStyle name="Note 4 5 34" xfId="4697"/>
    <cellStyle name="Note 4 5 34 2" xfId="12414"/>
    <cellStyle name="Note 4 5 34 3" xfId="21407"/>
    <cellStyle name="Note 4 5 34 4" xfId="29594"/>
    <cellStyle name="Note 4 5 34 5" xfId="35384"/>
    <cellStyle name="Note 4 5 34 6" xfId="43259"/>
    <cellStyle name="Note 4 5 34 7" xfId="48425"/>
    <cellStyle name="Note 4 5 35" xfId="4808"/>
    <cellStyle name="Note 4 5 35 2" xfId="12525"/>
    <cellStyle name="Note 4 5 35 3" xfId="21518"/>
    <cellStyle name="Note 4 5 35 4" xfId="29705"/>
    <cellStyle name="Note 4 5 35 5" xfId="35447"/>
    <cellStyle name="Note 4 5 35 6" xfId="43370"/>
    <cellStyle name="Note 4 5 35 7" xfId="50753"/>
    <cellStyle name="Note 4 5 36" xfId="4917"/>
    <cellStyle name="Note 4 5 36 2" xfId="12634"/>
    <cellStyle name="Note 4 5 36 3" xfId="21627"/>
    <cellStyle name="Note 4 5 36 4" xfId="29814"/>
    <cellStyle name="Note 4 5 36 5" xfId="35646"/>
    <cellStyle name="Note 4 5 36 6" xfId="43479"/>
    <cellStyle name="Note 4 5 36 7" xfId="51697"/>
    <cellStyle name="Note 4 5 37" xfId="5028"/>
    <cellStyle name="Note 4 5 37 2" xfId="12745"/>
    <cellStyle name="Note 4 5 37 3" xfId="21738"/>
    <cellStyle name="Note 4 5 37 4" xfId="29925"/>
    <cellStyle name="Note 4 5 37 5" xfId="33935"/>
    <cellStyle name="Note 4 5 37 6" xfId="43590"/>
    <cellStyle name="Note 4 5 37 7" xfId="51160"/>
    <cellStyle name="Note 4 5 38" xfId="5407"/>
    <cellStyle name="Note 4 5 38 2" xfId="13124"/>
    <cellStyle name="Note 4 5 38 3" xfId="22117"/>
    <cellStyle name="Note 4 5 38 4" xfId="30304"/>
    <cellStyle name="Note 4 5 38 5" xfId="27549"/>
    <cellStyle name="Note 4 5 38 6" xfId="43969"/>
    <cellStyle name="Note 4 5 38 7" xfId="50657"/>
    <cellStyle name="Note 4 5 39" xfId="5527"/>
    <cellStyle name="Note 4 5 39 2" xfId="13244"/>
    <cellStyle name="Note 4 5 39 3" xfId="22237"/>
    <cellStyle name="Note 4 5 39 4" xfId="30424"/>
    <cellStyle name="Note 4 5 39 5" xfId="34609"/>
    <cellStyle name="Note 4 5 39 6" xfId="44089"/>
    <cellStyle name="Note 4 5 39 7" xfId="49681"/>
    <cellStyle name="Note 4 5 4" xfId="918"/>
    <cellStyle name="Note 4 5 4 2" xfId="8742"/>
    <cellStyle name="Note 4 5 4 3" xfId="16170"/>
    <cellStyle name="Note 4 5 4 4" xfId="20548"/>
    <cellStyle name="Note 4 5 4 5" xfId="28267"/>
    <cellStyle name="Note 4 5 4 6" xfId="36440"/>
    <cellStyle name="Note 4 5 4 7" xfId="47663"/>
    <cellStyle name="Note 4 5 40" xfId="5651"/>
    <cellStyle name="Note 4 5 40 2" xfId="13368"/>
    <cellStyle name="Note 4 5 40 3" xfId="22361"/>
    <cellStyle name="Note 4 5 40 4" xfId="30548"/>
    <cellStyle name="Note 4 5 40 5" xfId="36228"/>
    <cellStyle name="Note 4 5 40 6" xfId="44213"/>
    <cellStyle name="Note 4 5 40 7" xfId="47115"/>
    <cellStyle name="Note 4 5 41" xfId="5767"/>
    <cellStyle name="Note 4 5 41 2" xfId="13484"/>
    <cellStyle name="Note 4 5 41 3" xfId="22477"/>
    <cellStyle name="Note 4 5 41 4" xfId="30664"/>
    <cellStyle name="Note 4 5 41 5" xfId="27858"/>
    <cellStyle name="Note 4 5 41 6" xfId="44329"/>
    <cellStyle name="Note 4 5 41 7" xfId="50496"/>
    <cellStyle name="Note 4 5 42" xfId="5883"/>
    <cellStyle name="Note 4 5 42 2" xfId="13600"/>
    <cellStyle name="Note 4 5 42 3" xfId="22593"/>
    <cellStyle name="Note 4 5 42 4" xfId="30780"/>
    <cellStyle name="Note 4 5 42 5" xfId="33742"/>
    <cellStyle name="Note 4 5 42 6" xfId="44445"/>
    <cellStyle name="Note 4 5 42 7" xfId="50965"/>
    <cellStyle name="Note 4 5 43" xfId="6012"/>
    <cellStyle name="Note 4 5 43 2" xfId="13729"/>
    <cellStyle name="Note 4 5 43 3" xfId="22722"/>
    <cellStyle name="Note 4 5 43 4" xfId="30909"/>
    <cellStyle name="Note 4 5 43 5" xfId="36018"/>
    <cellStyle name="Note 4 5 43 6" xfId="44574"/>
    <cellStyle name="Note 4 5 43 7" xfId="48113"/>
    <cellStyle name="Note 4 5 44" xfId="6107"/>
    <cellStyle name="Note 4 5 44 2" xfId="13824"/>
    <cellStyle name="Note 4 5 44 3" xfId="22817"/>
    <cellStyle name="Note 4 5 44 4" xfId="31004"/>
    <cellStyle name="Note 4 5 44 5" xfId="33151"/>
    <cellStyle name="Note 4 5 44 6" xfId="44669"/>
    <cellStyle name="Note 4 5 44 7" xfId="50580"/>
    <cellStyle name="Note 4 5 45" xfId="6139"/>
    <cellStyle name="Note 4 5 45 2" xfId="13856"/>
    <cellStyle name="Note 4 5 45 3" xfId="22849"/>
    <cellStyle name="Note 4 5 45 4" xfId="31036"/>
    <cellStyle name="Note 4 5 45 5" xfId="27621"/>
    <cellStyle name="Note 4 5 45 6" xfId="44701"/>
    <cellStyle name="Note 4 5 45 7" xfId="47933"/>
    <cellStyle name="Note 4 5 46" xfId="6268"/>
    <cellStyle name="Note 4 5 46 2" xfId="13985"/>
    <cellStyle name="Note 4 5 46 3" xfId="22978"/>
    <cellStyle name="Note 4 5 46 4" xfId="31165"/>
    <cellStyle name="Note 4 5 46 5" xfId="34710"/>
    <cellStyle name="Note 4 5 46 6" xfId="44830"/>
    <cellStyle name="Note 4 5 46 7" xfId="48346"/>
    <cellStyle name="Note 4 5 47" xfId="6384"/>
    <cellStyle name="Note 4 5 47 2" xfId="14101"/>
    <cellStyle name="Note 4 5 47 3" xfId="23094"/>
    <cellStyle name="Note 4 5 47 4" xfId="31281"/>
    <cellStyle name="Note 4 5 47 5" xfId="35710"/>
    <cellStyle name="Note 4 5 47 6" xfId="44946"/>
    <cellStyle name="Note 4 5 47 7" xfId="51448"/>
    <cellStyle name="Note 4 5 48" xfId="6495"/>
    <cellStyle name="Note 4 5 48 2" xfId="14212"/>
    <cellStyle name="Note 4 5 48 3" xfId="23205"/>
    <cellStyle name="Note 4 5 48 4" xfId="31392"/>
    <cellStyle name="Note 4 5 48 5" xfId="36097"/>
    <cellStyle name="Note 4 5 48 6" xfId="45057"/>
    <cellStyle name="Note 4 5 48 7" xfId="48344"/>
    <cellStyle name="Note 4 5 49" xfId="6310"/>
    <cellStyle name="Note 4 5 49 2" xfId="14027"/>
    <cellStyle name="Note 4 5 49 3" xfId="23020"/>
    <cellStyle name="Note 4 5 49 4" xfId="31207"/>
    <cellStyle name="Note 4 5 49 5" xfId="35972"/>
    <cellStyle name="Note 4 5 49 6" xfId="44872"/>
    <cellStyle name="Note 4 5 49 7" xfId="53082"/>
    <cellStyle name="Note 4 5 5" xfId="1384"/>
    <cellStyle name="Note 4 5 5 2" xfId="9207"/>
    <cellStyle name="Note 4 5 5 3" xfId="16635"/>
    <cellStyle name="Note 4 5 5 4" xfId="25349"/>
    <cellStyle name="Note 4 5 5 5" xfId="33784"/>
    <cellStyle name="Note 4 5 5 6" xfId="38223"/>
    <cellStyle name="Note 4 5 5 7" xfId="51533"/>
    <cellStyle name="Note 4 5 50" xfId="6641"/>
    <cellStyle name="Note 4 5 50 2" xfId="14358"/>
    <cellStyle name="Note 4 5 50 3" xfId="23351"/>
    <cellStyle name="Note 4 5 50 4" xfId="31538"/>
    <cellStyle name="Note 4 5 50 5" xfId="33392"/>
    <cellStyle name="Note 4 5 50 6" xfId="45203"/>
    <cellStyle name="Note 4 5 50 7" xfId="54248"/>
    <cellStyle name="Note 4 5 51" xfId="6753"/>
    <cellStyle name="Note 4 5 51 2" xfId="14470"/>
    <cellStyle name="Note 4 5 51 3" xfId="23463"/>
    <cellStyle name="Note 4 5 51 4" xfId="31650"/>
    <cellStyle name="Note 4 5 51 5" xfId="26763"/>
    <cellStyle name="Note 4 5 51 6" xfId="45315"/>
    <cellStyle name="Note 4 5 51 7" xfId="49409"/>
    <cellStyle name="Note 4 5 52" xfId="6868"/>
    <cellStyle name="Note 4 5 52 2" xfId="14585"/>
    <cellStyle name="Note 4 5 52 3" xfId="23578"/>
    <cellStyle name="Note 4 5 52 4" xfId="31765"/>
    <cellStyle name="Note 4 5 52 5" xfId="27423"/>
    <cellStyle name="Note 4 5 52 6" xfId="45430"/>
    <cellStyle name="Note 4 5 52 7" xfId="54534"/>
    <cellStyle name="Note 4 5 53" xfId="6981"/>
    <cellStyle name="Note 4 5 53 2" xfId="14698"/>
    <cellStyle name="Note 4 5 53 3" xfId="23691"/>
    <cellStyle name="Note 4 5 53 4" xfId="31878"/>
    <cellStyle name="Note 4 5 53 5" xfId="36229"/>
    <cellStyle name="Note 4 5 53 6" xfId="45543"/>
    <cellStyle name="Note 4 5 53 7" xfId="47024"/>
    <cellStyle name="Note 4 5 54" xfId="7092"/>
    <cellStyle name="Note 4 5 54 2" xfId="14809"/>
    <cellStyle name="Note 4 5 54 3" xfId="23802"/>
    <cellStyle name="Note 4 5 54 4" xfId="31989"/>
    <cellStyle name="Note 4 5 54 5" xfId="33439"/>
    <cellStyle name="Note 4 5 54 6" xfId="45654"/>
    <cellStyle name="Note 4 5 54 7" xfId="49908"/>
    <cellStyle name="Note 4 5 55" xfId="7185"/>
    <cellStyle name="Note 4 5 55 2" xfId="14902"/>
    <cellStyle name="Note 4 5 55 3" xfId="23895"/>
    <cellStyle name="Note 4 5 55 4" xfId="32082"/>
    <cellStyle name="Note 4 5 55 5" xfId="36003"/>
    <cellStyle name="Note 4 5 55 6" xfId="45747"/>
    <cellStyle name="Note 4 5 55 7" xfId="53003"/>
    <cellStyle name="Note 4 5 56" xfId="7386"/>
    <cellStyle name="Note 4 5 56 2" xfId="15103"/>
    <cellStyle name="Note 4 5 56 3" xfId="24096"/>
    <cellStyle name="Note 4 5 56 4" xfId="32283"/>
    <cellStyle name="Note 4 5 56 5" xfId="35657"/>
    <cellStyle name="Note 4 5 56 6" xfId="45948"/>
    <cellStyle name="Note 4 5 56 7" xfId="50807"/>
    <cellStyle name="Note 4 5 57" xfId="7489"/>
    <cellStyle name="Note 4 5 57 2" xfId="15206"/>
    <cellStyle name="Note 4 5 57 3" xfId="24199"/>
    <cellStyle name="Note 4 5 57 4" xfId="32386"/>
    <cellStyle name="Note 4 5 57 5" xfId="35729"/>
    <cellStyle name="Note 4 5 57 6" xfId="46051"/>
    <cellStyle name="Note 4 5 57 7" xfId="51335"/>
    <cellStyle name="Note 4 5 58" xfId="7610"/>
    <cellStyle name="Note 4 5 58 2" xfId="15327"/>
    <cellStyle name="Note 4 5 58 3" xfId="24320"/>
    <cellStyle name="Note 4 5 58 4" xfId="32507"/>
    <cellStyle name="Note 4 5 58 5" xfId="33338"/>
    <cellStyle name="Note 4 5 58 6" xfId="46172"/>
    <cellStyle name="Note 4 5 58 7" xfId="47936"/>
    <cellStyle name="Note 4 5 59" xfId="7886"/>
    <cellStyle name="Note 4 5 59 2" xfId="15603"/>
    <cellStyle name="Note 4 5 59 3" xfId="24590"/>
    <cellStyle name="Note 4 5 59 4" xfId="32783"/>
    <cellStyle name="Note 4 5 59 5" xfId="35681"/>
    <cellStyle name="Note 4 5 59 6" xfId="46448"/>
    <cellStyle name="Note 4 5 59 7" xfId="47814"/>
    <cellStyle name="Note 4 5 6" xfId="1507"/>
    <cellStyle name="Note 4 5 6 2" xfId="9330"/>
    <cellStyle name="Note 4 5 6 3" xfId="16758"/>
    <cellStyle name="Note 4 5 6 4" xfId="25333"/>
    <cellStyle name="Note 4 5 6 5" xfId="33764"/>
    <cellStyle name="Note 4 5 6 6" xfId="40688"/>
    <cellStyle name="Note 4 5 6 7" xfId="51501"/>
    <cellStyle name="Note 4 5 60" xfId="7776"/>
    <cellStyle name="Note 4 5 60 2" xfId="15493"/>
    <cellStyle name="Note 4 5 60 3" xfId="24482"/>
    <cellStyle name="Note 4 5 60 4" xfId="32673"/>
    <cellStyle name="Note 4 5 60 5" xfId="33155"/>
    <cellStyle name="Note 4 5 60 6" xfId="46338"/>
    <cellStyle name="Note 4 5 60 7" xfId="50469"/>
    <cellStyle name="Note 4 5 61" xfId="8014"/>
    <cellStyle name="Note 4 5 61 2" xfId="15731"/>
    <cellStyle name="Note 4 5 61 3" xfId="24716"/>
    <cellStyle name="Note 4 5 61 4" xfId="32911"/>
    <cellStyle name="Note 4 5 61 5" xfId="27811"/>
    <cellStyle name="Note 4 5 61 6" xfId="46576"/>
    <cellStyle name="Note 4 5 61 7" xfId="50616"/>
    <cellStyle name="Note 4 5 62" xfId="7655"/>
    <cellStyle name="Note 4 5 62 2" xfId="15372"/>
    <cellStyle name="Note 4 5 62 3" xfId="24364"/>
    <cellStyle name="Note 4 5 62 4" xfId="32552"/>
    <cellStyle name="Note 4 5 62 5" xfId="34372"/>
    <cellStyle name="Note 4 5 62 6" xfId="46217"/>
    <cellStyle name="Note 4 5 62 7" xfId="50385"/>
    <cellStyle name="Note 4 5 63" xfId="8162"/>
    <cellStyle name="Note 4 5 63 2" xfId="15879"/>
    <cellStyle name="Note 4 5 63 3" xfId="33059"/>
    <cellStyle name="Note 4 5 63 4" xfId="27181"/>
    <cellStyle name="Note 4 5 63 5" xfId="46724"/>
    <cellStyle name="Note 4 5 63 6" xfId="47894"/>
    <cellStyle name="Note 4 5 64" xfId="20062"/>
    <cellStyle name="Note 4 5 65" xfId="27441"/>
    <cellStyle name="Note 4 5 66" xfId="36305"/>
    <cellStyle name="Note 4 5 67" xfId="48182"/>
    <cellStyle name="Note 4 5 7" xfId="1145"/>
    <cellStyle name="Note 4 5 7 2" xfId="8968"/>
    <cellStyle name="Note 4 5 7 3" xfId="16396"/>
    <cellStyle name="Note 4 5 7 4" xfId="20124"/>
    <cellStyle name="Note 4 5 7 5" xfId="28216"/>
    <cellStyle name="Note 4 5 7 6" xfId="40578"/>
    <cellStyle name="Note 4 5 7 7" xfId="50236"/>
    <cellStyle name="Note 4 5 8" xfId="1744"/>
    <cellStyle name="Note 4 5 8 2" xfId="9567"/>
    <cellStyle name="Note 4 5 8 3" xfId="16995"/>
    <cellStyle name="Note 4 5 8 4" xfId="19350"/>
    <cellStyle name="Note 4 5 8 5" xfId="28157"/>
    <cellStyle name="Note 4 5 8 6" xfId="40334"/>
    <cellStyle name="Note 4 5 8 7" xfId="47438"/>
    <cellStyle name="Note 4 5 9" xfId="1878"/>
    <cellStyle name="Note 4 5 9 2" xfId="9701"/>
    <cellStyle name="Note 4 5 9 3" xfId="17129"/>
    <cellStyle name="Note 4 5 9 4" xfId="19761"/>
    <cellStyle name="Note 4 5 9 5" xfId="33131"/>
    <cellStyle name="Note 4 5 9 6" xfId="39359"/>
    <cellStyle name="Note 4 5 9 7" xfId="50392"/>
    <cellStyle name="Note 4 6" xfId="618"/>
    <cellStyle name="Note 4 6 2" xfId="8442"/>
    <cellStyle name="Note 4 6 3" xfId="8412"/>
    <cellStyle name="Note 4 6 4" xfId="24918"/>
    <cellStyle name="Note 4 6 5" xfId="33244"/>
    <cellStyle name="Note 4 6 6" xfId="37943"/>
    <cellStyle name="Note 4 6 7" xfId="50604"/>
    <cellStyle name="Note 4 7" xfId="224"/>
    <cellStyle name="Note 4 7 2" xfId="8328"/>
    <cellStyle name="Note 4 7 3" xfId="8313"/>
    <cellStyle name="Note 4 7 4" xfId="19321"/>
    <cellStyle name="Note 4 7 5" xfId="26808"/>
    <cellStyle name="Note 4 7 6" xfId="36915"/>
    <cellStyle name="Note 4 7 7" xfId="49707"/>
    <cellStyle name="Note 4 8" xfId="1212"/>
    <cellStyle name="Note 4 8 2" xfId="9035"/>
    <cellStyle name="Note 4 8 3" xfId="16463"/>
    <cellStyle name="Note 4 8 4" xfId="24915"/>
    <cellStyle name="Note 4 8 5" xfId="33239"/>
    <cellStyle name="Note 4 8 6" xfId="40229"/>
    <cellStyle name="Note 4 8 7" xfId="50599"/>
    <cellStyle name="Note 4 9" xfId="1234"/>
    <cellStyle name="Note 4 9 2" xfId="9057"/>
    <cellStyle name="Note 4 9 3" xfId="16485"/>
    <cellStyle name="Note 4 9 4" xfId="19485"/>
    <cellStyle name="Note 4 9 5" xfId="27084"/>
    <cellStyle name="Note 4 9 6" xfId="38034"/>
    <cellStyle name="Note 4 9 7" xfId="48350"/>
    <cellStyle name="Output 2" xfId="160"/>
    <cellStyle name="Output 2 10" xfId="1052"/>
    <cellStyle name="Output 2 10 2" xfId="8876"/>
    <cellStyle name="Output 2 10 3" xfId="16304"/>
    <cellStyle name="Output 2 10 4" xfId="25884"/>
    <cellStyle name="Output 2 10 5" xfId="34479"/>
    <cellStyle name="Output 2 10 6" xfId="37619"/>
    <cellStyle name="Output 2 10 7" xfId="52753"/>
    <cellStyle name="Output 2 11" xfId="1611"/>
    <cellStyle name="Output 2 11 2" xfId="9434"/>
    <cellStyle name="Output 2 11 3" xfId="16862"/>
    <cellStyle name="Output 2 11 4" xfId="19557"/>
    <cellStyle name="Output 2 11 5" xfId="28085"/>
    <cellStyle name="Output 2 11 6" xfId="36407"/>
    <cellStyle name="Output 2 11 7" xfId="48913"/>
    <cellStyle name="Output 2 12" xfId="1218"/>
    <cellStyle name="Output 2 12 2" xfId="9041"/>
    <cellStyle name="Output 2 12 3" xfId="16469"/>
    <cellStyle name="Output 2 12 4" xfId="24858"/>
    <cellStyle name="Output 2 12 5" xfId="28742"/>
    <cellStyle name="Output 2 12 6" xfId="39646"/>
    <cellStyle name="Output 2 12 7" xfId="49903"/>
    <cellStyle name="Output 2 13" xfId="1009"/>
    <cellStyle name="Output 2 13 2" xfId="8833"/>
    <cellStyle name="Output 2 13 3" xfId="16261"/>
    <cellStyle name="Output 2 13 4" xfId="20342"/>
    <cellStyle name="Output 2 13 5" xfId="27847"/>
    <cellStyle name="Output 2 13 6" xfId="37120"/>
    <cellStyle name="Output 2 13 7" xfId="49498"/>
    <cellStyle name="Output 2 14" xfId="998"/>
    <cellStyle name="Output 2 14 2" xfId="8822"/>
    <cellStyle name="Output 2 14 3" xfId="16250"/>
    <cellStyle name="Output 2 14 4" xfId="25017"/>
    <cellStyle name="Output 2 14 5" xfId="33372"/>
    <cellStyle name="Output 2 14 6" xfId="37627"/>
    <cellStyle name="Output 2 14 7" xfId="50836"/>
    <cellStyle name="Output 2 15" xfId="3144"/>
    <cellStyle name="Output 2 15 2" xfId="10948"/>
    <cellStyle name="Output 2 15 3" xfId="18321"/>
    <cellStyle name="Output 2 15 4" xfId="19312"/>
    <cellStyle name="Output 2 15 5" xfId="27485"/>
    <cellStyle name="Output 2 15 6" xfId="40393"/>
    <cellStyle name="Output 2 15 7" xfId="47350"/>
    <cellStyle name="Output 2 16" xfId="3061"/>
    <cellStyle name="Output 2 16 2" xfId="10871"/>
    <cellStyle name="Output 2 16 3" xfId="20227"/>
    <cellStyle name="Output 2 16 4" xfId="26689"/>
    <cellStyle name="Output 2 16 5" xfId="35539"/>
    <cellStyle name="Output 2 16 6" xfId="36762"/>
    <cellStyle name="Output 2 16 7" xfId="54468"/>
    <cellStyle name="Output 2 17" xfId="3207"/>
    <cellStyle name="Output 2 17 2" xfId="20333"/>
    <cellStyle name="Output 2 17 3" xfId="28424"/>
    <cellStyle name="Output 2 17 4" xfId="37812"/>
    <cellStyle name="Output 2 17 5" xfId="42444"/>
    <cellStyle name="Output 2 17 6" xfId="48655"/>
    <cellStyle name="Output 2 18" xfId="4035"/>
    <cellStyle name="Output 2 18 2" xfId="11806"/>
    <cellStyle name="Output 2 18 3" xfId="20745"/>
    <cellStyle name="Output 2 18 4" xfId="28932"/>
    <cellStyle name="Output 2 18 5" xfId="38312"/>
    <cellStyle name="Output 2 18 6" xfId="42597"/>
    <cellStyle name="Output 2 18 7" xfId="53586"/>
    <cellStyle name="Output 2 19" xfId="3573"/>
    <cellStyle name="Output 2 19 2" xfId="11362"/>
    <cellStyle name="Output 2 19 3" xfId="20530"/>
    <cellStyle name="Output 2 19 4" xfId="28656"/>
    <cellStyle name="Output 2 19 5" xfId="38039"/>
    <cellStyle name="Output 2 19 6" xfId="42512"/>
    <cellStyle name="Output 2 19 7" xfId="48507"/>
    <cellStyle name="Output 2 2" xfId="262"/>
    <cellStyle name="Output 2 2 10" xfId="1130"/>
    <cellStyle name="Output 2 2 10 2" xfId="8953"/>
    <cellStyle name="Output 2 2 10 3" xfId="16381"/>
    <cellStyle name="Output 2 2 10 4" xfId="25535"/>
    <cellStyle name="Output 2 2 10 5" xfId="34024"/>
    <cellStyle name="Output 2 2 10 6" xfId="41909"/>
    <cellStyle name="Output 2 2 10 7" xfId="51955"/>
    <cellStyle name="Output 2 2 11" xfId="962"/>
    <cellStyle name="Output 2 2 11 2" xfId="8786"/>
    <cellStyle name="Output 2 2 11 3" xfId="16214"/>
    <cellStyle name="Output 2 2 11 4" xfId="24795"/>
    <cellStyle name="Output 2 2 11 5" xfId="28508"/>
    <cellStyle name="Output 2 2 11 6" xfId="36863"/>
    <cellStyle name="Output 2 2 11 7" xfId="48495"/>
    <cellStyle name="Output 2 2 12" xfId="1049"/>
    <cellStyle name="Output 2 2 12 2" xfId="8873"/>
    <cellStyle name="Output 2 2 12 3" xfId="16301"/>
    <cellStyle name="Output 2 2 12 4" xfId="25999"/>
    <cellStyle name="Output 2 2 12 5" xfId="34623"/>
    <cellStyle name="Output 2 2 12 6" xfId="38060"/>
    <cellStyle name="Output 2 2 12 7" xfId="52996"/>
    <cellStyle name="Output 2 2 13" xfId="1281"/>
    <cellStyle name="Output 2 2 13 2" xfId="9104"/>
    <cellStyle name="Output 2 2 13 3" xfId="16532"/>
    <cellStyle name="Output 2 2 13 4" xfId="19650"/>
    <cellStyle name="Output 2 2 13 5" xfId="28141"/>
    <cellStyle name="Output 2 2 13 6" xfId="40190"/>
    <cellStyle name="Output 2 2 13 7" xfId="46849"/>
    <cellStyle name="Output 2 2 14" xfId="1750"/>
    <cellStyle name="Output 2 2 14 2" xfId="9573"/>
    <cellStyle name="Output 2 2 14 3" xfId="17001"/>
    <cellStyle name="Output 2 2 14 4" xfId="20661"/>
    <cellStyle name="Output 2 2 14 5" xfId="26994"/>
    <cellStyle name="Output 2 2 14 6" xfId="36541"/>
    <cellStyle name="Output 2 2 14 7" xfId="48946"/>
    <cellStyle name="Output 2 2 15" xfId="1417"/>
    <cellStyle name="Output 2 2 15 2" xfId="9240"/>
    <cellStyle name="Output 2 2 15 3" xfId="16668"/>
    <cellStyle name="Output 2 2 15 4" xfId="26700"/>
    <cellStyle name="Output 2 2 15 5" xfId="35552"/>
    <cellStyle name="Output 2 2 15 6" xfId="42233"/>
    <cellStyle name="Output 2 2 15 7" xfId="54491"/>
    <cellStyle name="Output 2 2 16" xfId="1646"/>
    <cellStyle name="Output 2 2 16 2" xfId="9469"/>
    <cellStyle name="Output 2 2 16 3" xfId="16897"/>
    <cellStyle name="Output 2 2 16 4" xfId="25900"/>
    <cellStyle name="Output 2 2 16 5" xfId="34495"/>
    <cellStyle name="Output 2 2 16 6" xfId="41242"/>
    <cellStyle name="Output 2 2 16 7" xfId="52779"/>
    <cellStyle name="Output 2 2 17" xfId="1645"/>
    <cellStyle name="Output 2 2 17 2" xfId="9468"/>
    <cellStyle name="Output 2 2 17 3" xfId="16896"/>
    <cellStyle name="Output 2 2 17 4" xfId="25948"/>
    <cellStyle name="Output 2 2 17 5" xfId="34553"/>
    <cellStyle name="Output 2 2 17 6" xfId="41353"/>
    <cellStyle name="Output 2 2 17 7" xfId="52882"/>
    <cellStyle name="Output 2 2 18" xfId="1197"/>
    <cellStyle name="Output 2 2 18 2" xfId="9020"/>
    <cellStyle name="Output 2 2 18 3" xfId="16448"/>
    <cellStyle name="Output 2 2 18 4" xfId="25660"/>
    <cellStyle name="Output 2 2 18 5" xfId="34182"/>
    <cellStyle name="Output 2 2 18 6" xfId="41645"/>
    <cellStyle name="Output 2 2 18 7" xfId="52215"/>
    <cellStyle name="Output 2 2 19" xfId="1254"/>
    <cellStyle name="Output 2 2 19 2" xfId="9077"/>
    <cellStyle name="Output 2 2 19 3" xfId="16505"/>
    <cellStyle name="Output 2 2 19 4" xfId="20009"/>
    <cellStyle name="Output 2 2 19 5" xfId="27849"/>
    <cellStyle name="Output 2 2 19 6" xfId="41562"/>
    <cellStyle name="Output 2 2 19 7" xfId="46912"/>
    <cellStyle name="Output 2 2 2" xfId="536"/>
    <cellStyle name="Output 2 2 2 10" xfId="1983"/>
    <cellStyle name="Output 2 2 2 10 2" xfId="9806"/>
    <cellStyle name="Output 2 2 2 10 3" xfId="17234"/>
    <cellStyle name="Output 2 2 2 10 4" xfId="19883"/>
    <cellStyle name="Output 2 2 2 10 5" xfId="27337"/>
    <cellStyle name="Output 2 2 2 10 6" xfId="37312"/>
    <cellStyle name="Output 2 2 2 10 7" xfId="47699"/>
    <cellStyle name="Output 2 2 2 11" xfId="2101"/>
    <cellStyle name="Output 2 2 2 11 2" xfId="9924"/>
    <cellStyle name="Output 2 2 2 11 3" xfId="17352"/>
    <cellStyle name="Output 2 2 2 11 4" xfId="26645"/>
    <cellStyle name="Output 2 2 2 11 5" xfId="35487"/>
    <cellStyle name="Output 2 2 2 11 6" xfId="40123"/>
    <cellStyle name="Output 2 2 2 11 7" xfId="54383"/>
    <cellStyle name="Output 2 2 2 12" xfId="2214"/>
    <cellStyle name="Output 2 2 2 12 2" xfId="10037"/>
    <cellStyle name="Output 2 2 2 12 3" xfId="17465"/>
    <cellStyle name="Output 2 2 2 12 4" xfId="25316"/>
    <cellStyle name="Output 2 2 2 12 5" xfId="33740"/>
    <cellStyle name="Output 2 2 2 12 6" xfId="37731"/>
    <cellStyle name="Output 2 2 2 12 7" xfId="51462"/>
    <cellStyle name="Output 2 2 2 13" xfId="2338"/>
    <cellStyle name="Output 2 2 2 13 2" xfId="10161"/>
    <cellStyle name="Output 2 2 2 13 3" xfId="17589"/>
    <cellStyle name="Output 2 2 2 13 4" xfId="19218"/>
    <cellStyle name="Output 2 2 2 13 5" xfId="28838"/>
    <cellStyle name="Output 2 2 2 13 6" xfId="36509"/>
    <cellStyle name="Output 2 2 2 13 7" xfId="47999"/>
    <cellStyle name="Output 2 2 2 14" xfId="2425"/>
    <cellStyle name="Output 2 2 2 14 2" xfId="10248"/>
    <cellStyle name="Output 2 2 2 14 3" xfId="17676"/>
    <cellStyle name="Output 2 2 2 14 4" xfId="25255"/>
    <cellStyle name="Output 2 2 2 14 5" xfId="33661"/>
    <cellStyle name="Output 2 2 2 14 6" xfId="37271"/>
    <cellStyle name="Output 2 2 2 14 7" xfId="51333"/>
    <cellStyle name="Output 2 2 2 15" xfId="2512"/>
    <cellStyle name="Output 2 2 2 15 2" xfId="10335"/>
    <cellStyle name="Output 2 2 2 15 3" xfId="17763"/>
    <cellStyle name="Output 2 2 2 15 4" xfId="20579"/>
    <cellStyle name="Output 2 2 2 15 5" xfId="27636"/>
    <cellStyle name="Output 2 2 2 15 6" xfId="37738"/>
    <cellStyle name="Output 2 2 2 15 7" xfId="49437"/>
    <cellStyle name="Output 2 2 2 16" xfId="2625"/>
    <cellStyle name="Output 2 2 2 16 2" xfId="10448"/>
    <cellStyle name="Output 2 2 2 16 3" xfId="17876"/>
    <cellStyle name="Output 2 2 2 16 4" xfId="26229"/>
    <cellStyle name="Output 2 2 2 16 5" xfId="34916"/>
    <cellStyle name="Output 2 2 2 16 6" xfId="40134"/>
    <cellStyle name="Output 2 2 2 16 7" xfId="53481"/>
    <cellStyle name="Output 2 2 2 17" xfId="2727"/>
    <cellStyle name="Output 2 2 2 17 2" xfId="10550"/>
    <cellStyle name="Output 2 2 2 17 3" xfId="17978"/>
    <cellStyle name="Output 2 2 2 17 4" xfId="24821"/>
    <cellStyle name="Output 2 2 2 17 5" xfId="27954"/>
    <cellStyle name="Output 2 2 2 17 6" xfId="37418"/>
    <cellStyle name="Output 2 2 2 17 7" xfId="49963"/>
    <cellStyle name="Output 2 2 2 18" xfId="2754"/>
    <cellStyle name="Output 2 2 2 18 2" xfId="10577"/>
    <cellStyle name="Output 2 2 2 18 3" xfId="18005"/>
    <cellStyle name="Output 2 2 2 18 4" xfId="20171"/>
    <cellStyle name="Output 2 2 2 18 5" xfId="27884"/>
    <cellStyle name="Output 2 2 2 18 6" xfId="41755"/>
    <cellStyle name="Output 2 2 2 18 7" xfId="46972"/>
    <cellStyle name="Output 2 2 2 19" xfId="2818"/>
    <cellStyle name="Output 2 2 2 19 2" xfId="10641"/>
    <cellStyle name="Output 2 2 2 19 3" xfId="18069"/>
    <cellStyle name="Output 2 2 2 19 4" xfId="19900"/>
    <cellStyle name="Output 2 2 2 19 5" xfId="27698"/>
    <cellStyle name="Output 2 2 2 19 6" xfId="37035"/>
    <cellStyle name="Output 2 2 2 19 7" xfId="49396"/>
    <cellStyle name="Output 2 2 2 2" xfId="686"/>
    <cellStyle name="Output 2 2 2 2 2" xfId="8510"/>
    <cellStyle name="Output 2 2 2 2 3" xfId="15938"/>
    <cellStyle name="Output 2 2 2 2 4" xfId="19848"/>
    <cellStyle name="Output 2 2 2 2 5" xfId="27806"/>
    <cellStyle name="Output 2 2 2 2 6" xfId="36286"/>
    <cellStyle name="Output 2 2 2 2 7" xfId="48838"/>
    <cellStyle name="Output 2 2 2 20" xfId="2925"/>
    <cellStyle name="Output 2 2 2 20 2" xfId="10748"/>
    <cellStyle name="Output 2 2 2 20 3" xfId="18176"/>
    <cellStyle name="Output 2 2 2 20 4" xfId="26225"/>
    <cellStyle name="Output 2 2 2 20 5" xfId="34911"/>
    <cellStyle name="Output 2 2 2 20 6" xfId="42010"/>
    <cellStyle name="Output 2 2 2 20 7" xfId="53473"/>
    <cellStyle name="Output 2 2 2 21" xfId="3301"/>
    <cellStyle name="Output 2 2 2 21 2" xfId="11094"/>
    <cellStyle name="Output 2 2 2 21 3" xfId="18423"/>
    <cellStyle name="Output 2 2 2 21 4" xfId="19372"/>
    <cellStyle name="Output 2 2 2 21 5" xfId="27486"/>
    <cellStyle name="Output 2 2 2 21 6" xfId="39752"/>
    <cellStyle name="Output 2 2 2 21 7" xfId="47605"/>
    <cellStyle name="Output 2 2 2 22" xfId="3421"/>
    <cellStyle name="Output 2 2 2 22 2" xfId="11212"/>
    <cellStyle name="Output 2 2 2 22 3" xfId="18534"/>
    <cellStyle name="Output 2 2 2 22 4" xfId="25447"/>
    <cellStyle name="Output 2 2 2 22 5" xfId="33907"/>
    <cellStyle name="Output 2 2 2 22 6" xfId="42205"/>
    <cellStyle name="Output 2 2 2 22 7" xfId="51742"/>
    <cellStyle name="Output 2 2 2 23" xfId="3126"/>
    <cellStyle name="Output 2 2 2 23 2" xfId="10931"/>
    <cellStyle name="Output 2 2 2 23 3" xfId="18309"/>
    <cellStyle name="Output 2 2 2 23 4" xfId="19777"/>
    <cellStyle name="Output 2 2 2 23 5" xfId="27256"/>
    <cellStyle name="Output 2 2 2 23 6" xfId="36938"/>
    <cellStyle name="Output 2 2 2 23 7" xfId="47732"/>
    <cellStyle name="Output 2 2 2 24" xfId="3692"/>
    <cellStyle name="Output 2 2 2 24 2" xfId="11477"/>
    <cellStyle name="Output 2 2 2 24 3" xfId="18750"/>
    <cellStyle name="Output 2 2 2 24 4" xfId="19707"/>
    <cellStyle name="Output 2 2 2 24 5" xfId="26824"/>
    <cellStyle name="Output 2 2 2 24 6" xfId="37440"/>
    <cellStyle name="Output 2 2 2 24 7" xfId="49737"/>
    <cellStyle name="Output 2 2 2 25" xfId="3822"/>
    <cellStyle name="Output 2 2 2 25 2" xfId="11604"/>
    <cellStyle name="Output 2 2 2 25 3" xfId="18861"/>
    <cellStyle name="Output 2 2 2 25 4" xfId="25751"/>
    <cellStyle name="Output 2 2 2 25 5" xfId="34302"/>
    <cellStyle name="Output 2 2 2 25 6" xfId="39919"/>
    <cellStyle name="Output 2 2 2 25 7" xfId="52430"/>
    <cellStyle name="Output 2 2 2 26" xfId="3940"/>
    <cellStyle name="Output 2 2 2 26 2" xfId="11720"/>
    <cellStyle name="Output 2 2 2 26 3" xfId="18970"/>
    <cellStyle name="Output 2 2 2 26 4" xfId="20686"/>
    <cellStyle name="Output 2 2 2 26 5" xfId="27779"/>
    <cellStyle name="Output 2 2 2 26 6" xfId="37640"/>
    <cellStyle name="Output 2 2 2 26 7" xfId="47370"/>
    <cellStyle name="Output 2 2 2 27" xfId="4033"/>
    <cellStyle name="Output 2 2 2 27 2" xfId="11804"/>
    <cellStyle name="Output 2 2 2 27 3" xfId="20743"/>
    <cellStyle name="Output 2 2 2 27 4" xfId="28930"/>
    <cellStyle name="Output 2 2 2 27 5" xfId="38310"/>
    <cellStyle name="Output 2 2 2 27 6" xfId="42595"/>
    <cellStyle name="Output 2 2 2 27 7" xfId="53988"/>
    <cellStyle name="Output 2 2 2 28" xfId="4137"/>
    <cellStyle name="Output 2 2 2 28 2" xfId="11896"/>
    <cellStyle name="Output 2 2 2 28 3" xfId="20847"/>
    <cellStyle name="Output 2 2 2 28 4" xfId="29034"/>
    <cellStyle name="Output 2 2 2 28 5" xfId="38411"/>
    <cellStyle name="Output 2 2 2 28 6" xfId="42699"/>
    <cellStyle name="Output 2 2 2 28 7" xfId="47472"/>
    <cellStyle name="Output 2 2 2 29" xfId="4054"/>
    <cellStyle name="Output 2 2 2 29 2" xfId="20764"/>
    <cellStyle name="Output 2 2 2 29 3" xfId="28951"/>
    <cellStyle name="Output 2 2 2 29 4" xfId="38330"/>
    <cellStyle name="Output 2 2 2 29 5" xfId="42616"/>
    <cellStyle name="Output 2 2 2 29 6" xfId="52036"/>
    <cellStyle name="Output 2 2 2 3" xfId="794"/>
    <cellStyle name="Output 2 2 2 3 2" xfId="8618"/>
    <cellStyle name="Output 2 2 2 3 3" xfId="16046"/>
    <cellStyle name="Output 2 2 2 3 4" xfId="20251"/>
    <cellStyle name="Output 2 2 2 3 5" xfId="28506"/>
    <cellStyle name="Output 2 2 2 3 6" xfId="37805"/>
    <cellStyle name="Output 2 2 2 3 7" xfId="50190"/>
    <cellStyle name="Output 2 2 2 30" xfId="4334"/>
    <cellStyle name="Output 2 2 2 30 2" xfId="12051"/>
    <cellStyle name="Output 2 2 2 30 3" xfId="21044"/>
    <cellStyle name="Output 2 2 2 30 4" xfId="29231"/>
    <cellStyle name="Output 2 2 2 30 5" xfId="38602"/>
    <cellStyle name="Output 2 2 2 30 6" xfId="42896"/>
    <cellStyle name="Output 2 2 2 30 7" xfId="48943"/>
    <cellStyle name="Output 2 2 2 31" xfId="4457"/>
    <cellStyle name="Output 2 2 2 31 2" xfId="12174"/>
    <cellStyle name="Output 2 2 2 31 3" xfId="21167"/>
    <cellStyle name="Output 2 2 2 31 4" xfId="29354"/>
    <cellStyle name="Output 2 2 2 31 5" xfId="38720"/>
    <cellStyle name="Output 2 2 2 31 6" xfId="43019"/>
    <cellStyle name="Output 2 2 2 31 7" xfId="49465"/>
    <cellStyle name="Output 2 2 2 32" xfId="4571"/>
    <cellStyle name="Output 2 2 2 32 2" xfId="12288"/>
    <cellStyle name="Output 2 2 2 32 3" xfId="21281"/>
    <cellStyle name="Output 2 2 2 32 4" xfId="29468"/>
    <cellStyle name="Output 2 2 2 32 5" xfId="38829"/>
    <cellStyle name="Output 2 2 2 32 6" xfId="43133"/>
    <cellStyle name="Output 2 2 2 32 7" xfId="52757"/>
    <cellStyle name="Output 2 2 2 33" xfId="4684"/>
    <cellStyle name="Output 2 2 2 33 2" xfId="12401"/>
    <cellStyle name="Output 2 2 2 33 3" xfId="21394"/>
    <cellStyle name="Output 2 2 2 33 4" xfId="29581"/>
    <cellStyle name="Output 2 2 2 33 5" xfId="38938"/>
    <cellStyle name="Output 2 2 2 33 6" xfId="43246"/>
    <cellStyle name="Output 2 2 2 33 7" xfId="48602"/>
    <cellStyle name="Output 2 2 2 34" xfId="4795"/>
    <cellStyle name="Output 2 2 2 34 2" xfId="12512"/>
    <cellStyle name="Output 2 2 2 34 3" xfId="21505"/>
    <cellStyle name="Output 2 2 2 34 4" xfId="29692"/>
    <cellStyle name="Output 2 2 2 34 5" xfId="39046"/>
    <cellStyle name="Output 2 2 2 34 6" xfId="43357"/>
    <cellStyle name="Output 2 2 2 34 7" xfId="52345"/>
    <cellStyle name="Output 2 2 2 35" xfId="4904"/>
    <cellStyle name="Output 2 2 2 35 2" xfId="12621"/>
    <cellStyle name="Output 2 2 2 35 3" xfId="21614"/>
    <cellStyle name="Output 2 2 2 35 4" xfId="29801"/>
    <cellStyle name="Output 2 2 2 35 5" xfId="39150"/>
    <cellStyle name="Output 2 2 2 35 6" xfId="43466"/>
    <cellStyle name="Output 2 2 2 35 7" xfId="47276"/>
    <cellStyle name="Output 2 2 2 36" xfId="5015"/>
    <cellStyle name="Output 2 2 2 36 2" xfId="12732"/>
    <cellStyle name="Output 2 2 2 36 3" xfId="21725"/>
    <cellStyle name="Output 2 2 2 36 4" xfId="29912"/>
    <cellStyle name="Output 2 2 2 36 5" xfId="39258"/>
    <cellStyle name="Output 2 2 2 36 6" xfId="43577"/>
    <cellStyle name="Output 2 2 2 36 7" xfId="52641"/>
    <cellStyle name="Output 2 2 2 37" xfId="5394"/>
    <cellStyle name="Output 2 2 2 37 2" xfId="13111"/>
    <cellStyle name="Output 2 2 2 37 3" xfId="22104"/>
    <cellStyle name="Output 2 2 2 37 4" xfId="30291"/>
    <cellStyle name="Output 2 2 2 37 5" xfId="39622"/>
    <cellStyle name="Output 2 2 2 37 6" xfId="43956"/>
    <cellStyle name="Output 2 2 2 37 7" xfId="52073"/>
    <cellStyle name="Output 2 2 2 38" xfId="5514"/>
    <cellStyle name="Output 2 2 2 38 2" xfId="13231"/>
    <cellStyle name="Output 2 2 2 38 3" xfId="22224"/>
    <cellStyle name="Output 2 2 2 38 4" xfId="30411"/>
    <cellStyle name="Output 2 2 2 38 5" xfId="39736"/>
    <cellStyle name="Output 2 2 2 38 6" xfId="44076"/>
    <cellStyle name="Output 2 2 2 38 7" xfId="50595"/>
    <cellStyle name="Output 2 2 2 39" xfId="5638"/>
    <cellStyle name="Output 2 2 2 39 2" xfId="13355"/>
    <cellStyle name="Output 2 2 2 39 3" xfId="22348"/>
    <cellStyle name="Output 2 2 2 39 4" xfId="30535"/>
    <cellStyle name="Output 2 2 2 39 5" xfId="39856"/>
    <cellStyle name="Output 2 2 2 39 6" xfId="44200"/>
    <cellStyle name="Output 2 2 2 39 7" xfId="54523"/>
    <cellStyle name="Output 2 2 2 4" xfId="905"/>
    <cellStyle name="Output 2 2 2 4 2" xfId="8729"/>
    <cellStyle name="Output 2 2 2 4 3" xfId="16157"/>
    <cellStyle name="Output 2 2 2 4 4" xfId="26184"/>
    <cellStyle name="Output 2 2 2 4 5" xfId="34858"/>
    <cellStyle name="Output 2 2 2 4 6" xfId="36981"/>
    <cellStyle name="Output 2 2 2 4 7" xfId="53390"/>
    <cellStyle name="Output 2 2 2 40" xfId="5754"/>
    <cellStyle name="Output 2 2 2 40 2" xfId="13471"/>
    <cellStyle name="Output 2 2 2 40 3" xfId="22464"/>
    <cellStyle name="Output 2 2 2 40 4" xfId="30651"/>
    <cellStyle name="Output 2 2 2 40 5" xfId="39968"/>
    <cellStyle name="Output 2 2 2 40 6" xfId="44316"/>
    <cellStyle name="Output 2 2 2 40 7" xfId="51978"/>
    <cellStyle name="Output 2 2 2 41" xfId="5870"/>
    <cellStyle name="Output 2 2 2 41 2" xfId="13587"/>
    <cellStyle name="Output 2 2 2 41 3" xfId="22580"/>
    <cellStyle name="Output 2 2 2 41 4" xfId="30767"/>
    <cellStyle name="Output 2 2 2 41 5" xfId="40081"/>
    <cellStyle name="Output 2 2 2 41 6" xfId="44432"/>
    <cellStyle name="Output 2 2 2 41 7" xfId="51756"/>
    <cellStyle name="Output 2 2 2 42" xfId="5999"/>
    <cellStyle name="Output 2 2 2 42 2" xfId="13716"/>
    <cellStyle name="Output 2 2 2 42 3" xfId="22709"/>
    <cellStyle name="Output 2 2 2 42 4" xfId="30896"/>
    <cellStyle name="Output 2 2 2 42 5" xfId="40205"/>
    <cellStyle name="Output 2 2 2 42 6" xfId="44561"/>
    <cellStyle name="Output 2 2 2 42 7" xfId="47813"/>
    <cellStyle name="Output 2 2 2 43" xfId="5569"/>
    <cellStyle name="Output 2 2 2 43 2" xfId="13286"/>
    <cellStyle name="Output 2 2 2 43 3" xfId="22279"/>
    <cellStyle name="Output 2 2 2 43 4" xfId="30466"/>
    <cellStyle name="Output 2 2 2 43 5" xfId="39789"/>
    <cellStyle name="Output 2 2 2 43 6" xfId="44131"/>
    <cellStyle name="Output 2 2 2 43 7" xfId="47165"/>
    <cellStyle name="Output 2 2 2 44" xfId="6255"/>
    <cellStyle name="Output 2 2 2 44 2" xfId="13972"/>
    <cellStyle name="Output 2 2 2 44 3" xfId="22965"/>
    <cellStyle name="Output 2 2 2 44 4" xfId="31152"/>
    <cellStyle name="Output 2 2 2 44 5" xfId="40453"/>
    <cellStyle name="Output 2 2 2 44 6" xfId="44817"/>
    <cellStyle name="Output 2 2 2 44 7" xfId="47415"/>
    <cellStyle name="Output 2 2 2 45" xfId="6371"/>
    <cellStyle name="Output 2 2 2 45 2" xfId="14088"/>
    <cellStyle name="Output 2 2 2 45 3" xfId="23081"/>
    <cellStyle name="Output 2 2 2 45 4" xfId="31268"/>
    <cellStyle name="Output 2 2 2 45 5" xfId="40566"/>
    <cellStyle name="Output 2 2 2 45 6" xfId="44933"/>
    <cellStyle name="Output 2 2 2 45 7" xfId="52674"/>
    <cellStyle name="Output 2 2 2 46" xfId="6482"/>
    <cellStyle name="Output 2 2 2 46 2" xfId="14199"/>
    <cellStyle name="Output 2 2 2 46 3" xfId="23192"/>
    <cellStyle name="Output 2 2 2 46 4" xfId="31379"/>
    <cellStyle name="Output 2 2 2 46 5" xfId="40673"/>
    <cellStyle name="Output 2 2 2 46 6" xfId="45044"/>
    <cellStyle name="Output 2 2 2 46 7" xfId="51763"/>
    <cellStyle name="Output 2 2 2 47" xfId="6566"/>
    <cellStyle name="Output 2 2 2 47 2" xfId="14283"/>
    <cellStyle name="Output 2 2 2 47 3" xfId="23276"/>
    <cellStyle name="Output 2 2 2 47 4" xfId="31463"/>
    <cellStyle name="Output 2 2 2 47 5" xfId="40751"/>
    <cellStyle name="Output 2 2 2 47 6" xfId="45128"/>
    <cellStyle name="Output 2 2 2 47 7" xfId="47926"/>
    <cellStyle name="Output 2 2 2 48" xfId="6628"/>
    <cellStyle name="Output 2 2 2 48 2" xfId="14345"/>
    <cellStyle name="Output 2 2 2 48 3" xfId="23338"/>
    <cellStyle name="Output 2 2 2 48 4" xfId="31525"/>
    <cellStyle name="Output 2 2 2 48 5" xfId="40812"/>
    <cellStyle name="Output 2 2 2 48 6" xfId="45190"/>
    <cellStyle name="Output 2 2 2 48 7" xfId="51726"/>
    <cellStyle name="Output 2 2 2 49" xfId="6740"/>
    <cellStyle name="Output 2 2 2 49 2" xfId="14457"/>
    <cellStyle name="Output 2 2 2 49 3" xfId="23450"/>
    <cellStyle name="Output 2 2 2 49 4" xfId="31637"/>
    <cellStyle name="Output 2 2 2 49 5" xfId="40918"/>
    <cellStyle name="Output 2 2 2 49 6" xfId="45302"/>
    <cellStyle name="Output 2 2 2 49 7" xfId="50848"/>
    <cellStyle name="Output 2 2 2 5" xfId="1371"/>
    <cellStyle name="Output 2 2 2 5 2" xfId="9194"/>
    <cellStyle name="Output 2 2 2 5 3" xfId="16622"/>
    <cellStyle name="Output 2 2 2 5 4" xfId="26026"/>
    <cellStyle name="Output 2 2 2 5 5" xfId="34656"/>
    <cellStyle name="Output 2 2 2 5 6" xfId="39696"/>
    <cellStyle name="Output 2 2 2 5 7" xfId="53049"/>
    <cellStyle name="Output 2 2 2 50" xfId="6855"/>
    <cellStyle name="Output 2 2 2 50 2" xfId="14572"/>
    <cellStyle name="Output 2 2 2 50 3" xfId="23565"/>
    <cellStyle name="Output 2 2 2 50 4" xfId="31752"/>
    <cellStyle name="Output 2 2 2 50 5" xfId="41026"/>
    <cellStyle name="Output 2 2 2 50 6" xfId="45417"/>
    <cellStyle name="Output 2 2 2 50 7" xfId="46899"/>
    <cellStyle name="Output 2 2 2 51" xfId="6968"/>
    <cellStyle name="Output 2 2 2 51 2" xfId="14685"/>
    <cellStyle name="Output 2 2 2 51 3" xfId="23678"/>
    <cellStyle name="Output 2 2 2 51 4" xfId="31865"/>
    <cellStyle name="Output 2 2 2 51 5" xfId="41134"/>
    <cellStyle name="Output 2 2 2 51 6" xfId="45530"/>
    <cellStyle name="Output 2 2 2 51 7" xfId="46808"/>
    <cellStyle name="Output 2 2 2 52" xfId="7079"/>
    <cellStyle name="Output 2 2 2 52 2" xfId="14796"/>
    <cellStyle name="Output 2 2 2 52 3" xfId="23789"/>
    <cellStyle name="Output 2 2 2 52 4" xfId="31976"/>
    <cellStyle name="Output 2 2 2 52 5" xfId="41239"/>
    <cellStyle name="Output 2 2 2 52 6" xfId="45641"/>
    <cellStyle name="Output 2 2 2 52 7" xfId="51214"/>
    <cellStyle name="Output 2 2 2 53" xfId="7200"/>
    <cellStyle name="Output 2 2 2 53 2" xfId="14917"/>
    <cellStyle name="Output 2 2 2 53 3" xfId="23910"/>
    <cellStyle name="Output 2 2 2 53 4" xfId="32097"/>
    <cellStyle name="Output 2 2 2 53 5" xfId="41357"/>
    <cellStyle name="Output 2 2 2 53 6" xfId="45762"/>
    <cellStyle name="Output 2 2 2 53 7" xfId="51277"/>
    <cellStyle name="Output 2 2 2 54" xfId="7419"/>
    <cellStyle name="Output 2 2 2 54 2" xfId="15136"/>
    <cellStyle name="Output 2 2 2 54 3" xfId="24129"/>
    <cellStyle name="Output 2 2 2 54 4" xfId="32316"/>
    <cellStyle name="Output 2 2 2 54 5" xfId="41568"/>
    <cellStyle name="Output 2 2 2 54 6" xfId="45981"/>
    <cellStyle name="Output 2 2 2 54 7" xfId="51318"/>
    <cellStyle name="Output 2 2 2 55" xfId="7476"/>
    <cellStyle name="Output 2 2 2 55 2" xfId="15193"/>
    <cellStyle name="Output 2 2 2 55 3" xfId="24186"/>
    <cellStyle name="Output 2 2 2 55 4" xfId="32373"/>
    <cellStyle name="Output 2 2 2 55 5" xfId="41622"/>
    <cellStyle name="Output 2 2 2 55 6" xfId="46038"/>
    <cellStyle name="Output 2 2 2 55 7" xfId="52922"/>
    <cellStyle name="Output 2 2 2 56" xfId="7597"/>
    <cellStyle name="Output 2 2 2 56 2" xfId="15314"/>
    <cellStyle name="Output 2 2 2 56 3" xfId="24307"/>
    <cellStyle name="Output 2 2 2 56 4" xfId="32494"/>
    <cellStyle name="Output 2 2 2 56 5" xfId="41737"/>
    <cellStyle name="Output 2 2 2 56 6" xfId="46159"/>
    <cellStyle name="Output 2 2 2 56 7" xfId="47002"/>
    <cellStyle name="Output 2 2 2 57" xfId="7873"/>
    <cellStyle name="Output 2 2 2 57 2" xfId="15590"/>
    <cellStyle name="Output 2 2 2 57 3" xfId="24577"/>
    <cellStyle name="Output 2 2 2 57 4" xfId="32770"/>
    <cellStyle name="Output 2 2 2 57 5" xfId="42002"/>
    <cellStyle name="Output 2 2 2 57 6" xfId="46435"/>
    <cellStyle name="Output 2 2 2 57 7" xfId="47321"/>
    <cellStyle name="Output 2 2 2 58" xfId="7767"/>
    <cellStyle name="Output 2 2 2 58 2" xfId="15484"/>
    <cellStyle name="Output 2 2 2 58 3" xfId="24473"/>
    <cellStyle name="Output 2 2 2 58 4" xfId="32664"/>
    <cellStyle name="Output 2 2 2 58 5" xfId="41900"/>
    <cellStyle name="Output 2 2 2 58 6" xfId="46329"/>
    <cellStyle name="Output 2 2 2 58 7" xfId="51278"/>
    <cellStyle name="Output 2 2 2 59" xfId="8088"/>
    <cellStyle name="Output 2 2 2 59 2" xfId="15805"/>
    <cellStyle name="Output 2 2 2 59 3" xfId="24789"/>
    <cellStyle name="Output 2 2 2 59 4" xfId="32985"/>
    <cellStyle name="Output 2 2 2 59 5" xfId="42207"/>
    <cellStyle name="Output 2 2 2 59 6" xfId="46650"/>
    <cellStyle name="Output 2 2 2 59 7" xfId="49018"/>
    <cellStyle name="Output 2 2 2 6" xfId="1494"/>
    <cellStyle name="Output 2 2 2 6 2" xfId="9317"/>
    <cellStyle name="Output 2 2 2 6 3" xfId="16745"/>
    <cellStyle name="Output 2 2 2 6 4" xfId="26011"/>
    <cellStyle name="Output 2 2 2 6 5" xfId="34638"/>
    <cellStyle name="Output 2 2 2 6 6" xfId="36845"/>
    <cellStyle name="Output 2 2 2 6 7" xfId="53018"/>
    <cellStyle name="Output 2 2 2 60" xfId="8149"/>
    <cellStyle name="Output 2 2 2 60 2" xfId="15866"/>
    <cellStyle name="Output 2 2 2 60 3" xfId="33046"/>
    <cellStyle name="Output 2 2 2 60 4" xfId="42266"/>
    <cellStyle name="Output 2 2 2 60 5" xfId="46711"/>
    <cellStyle name="Output 2 2 2 60 6" xfId="48960"/>
    <cellStyle name="Output 2 2 2 61" xfId="19420"/>
    <cellStyle name="Output 2 2 2 62" xfId="28690"/>
    <cellStyle name="Output 2 2 2 63" xfId="37293"/>
    <cellStyle name="Output 2 2 2 64" xfId="49956"/>
    <cellStyle name="Output 2 2 2 7" xfId="1640"/>
    <cellStyle name="Output 2 2 2 7 2" xfId="9463"/>
    <cellStyle name="Output 2 2 2 7 3" xfId="16891"/>
    <cellStyle name="Output 2 2 2 7 4" xfId="26113"/>
    <cellStyle name="Output 2 2 2 7 5" xfId="34769"/>
    <cellStyle name="Output 2 2 2 7 6" xfId="36838"/>
    <cellStyle name="Output 2 2 2 7 7" xfId="53232"/>
    <cellStyle name="Output 2 2 2 8" xfId="1731"/>
    <cellStyle name="Output 2 2 2 8 2" xfId="9554"/>
    <cellStyle name="Output 2 2 2 8 3" xfId="16982"/>
    <cellStyle name="Output 2 2 2 8 4" xfId="25100"/>
    <cellStyle name="Output 2 2 2 8 5" xfId="33464"/>
    <cellStyle name="Output 2 2 2 8 6" xfId="41631"/>
    <cellStyle name="Output 2 2 2 8 7" xfId="51010"/>
    <cellStyle name="Output 2 2 2 9" xfId="1865"/>
    <cellStyle name="Output 2 2 2 9 2" xfId="9688"/>
    <cellStyle name="Output 2 2 2 9 3" xfId="17116"/>
    <cellStyle name="Output 2 2 2 9 4" xfId="25501"/>
    <cellStyle name="Output 2 2 2 9 5" xfId="33979"/>
    <cellStyle name="Output 2 2 2 9 6" xfId="36761"/>
    <cellStyle name="Output 2 2 2 9 7" xfId="51876"/>
    <cellStyle name="Output 2 2 20" xfId="1050"/>
    <cellStyle name="Output 2 2 20 2" xfId="8874"/>
    <cellStyle name="Output 2 2 20 3" xfId="16302"/>
    <cellStyle name="Output 2 2 20 4" xfId="25802"/>
    <cellStyle name="Output 2 2 20 5" xfId="34378"/>
    <cellStyle name="Output 2 2 20 6" xfId="37950"/>
    <cellStyle name="Output 2 2 20 7" xfId="52571"/>
    <cellStyle name="Output 2 2 21" xfId="1096"/>
    <cellStyle name="Output 2 2 21 2" xfId="8920"/>
    <cellStyle name="Output 2 2 21 3" xfId="16348"/>
    <cellStyle name="Output 2 2 21 4" xfId="20599"/>
    <cellStyle name="Output 2 2 21 5" xfId="27947"/>
    <cellStyle name="Output 2 2 21 6" xfId="37290"/>
    <cellStyle name="Output 2 2 21 7" xfId="50075"/>
    <cellStyle name="Output 2 2 22" xfId="2391"/>
    <cellStyle name="Output 2 2 22 2" xfId="10214"/>
    <cellStyle name="Output 2 2 22 3" xfId="17642"/>
    <cellStyle name="Output 2 2 22 4" xfId="20087"/>
    <cellStyle name="Output 2 2 22 5" xfId="27759"/>
    <cellStyle name="Output 2 2 22 6" xfId="39484"/>
    <cellStyle name="Output 2 2 22 7" xfId="49631"/>
    <cellStyle name="Output 2 2 23" xfId="2397"/>
    <cellStyle name="Output 2 2 23 2" xfId="10220"/>
    <cellStyle name="Output 2 2 23 3" xfId="17648"/>
    <cellStyle name="Output 2 2 23 4" xfId="19316"/>
    <cellStyle name="Output 2 2 23 5" xfId="27740"/>
    <cellStyle name="Output 2 2 23 6" xfId="40191"/>
    <cellStyle name="Output 2 2 23 7" xfId="48203"/>
    <cellStyle name="Output 2 2 24" xfId="1184"/>
    <cellStyle name="Output 2 2 24 2" xfId="9007"/>
    <cellStyle name="Output 2 2 24 3" xfId="16435"/>
    <cellStyle name="Output 2 2 24 4" xfId="26218"/>
    <cellStyle name="Output 2 2 24 5" xfId="34903"/>
    <cellStyle name="Output 2 2 24 6" xfId="37169"/>
    <cellStyle name="Output 2 2 24 7" xfId="53459"/>
    <cellStyle name="Output 2 2 25" xfId="2357"/>
    <cellStyle name="Output 2 2 25 2" xfId="10180"/>
    <cellStyle name="Output 2 2 25 3" xfId="17608"/>
    <cellStyle name="Output 2 2 25 4" xfId="25114"/>
    <cellStyle name="Output 2 2 25 5" xfId="33484"/>
    <cellStyle name="Output 2 2 25 6" xfId="37911"/>
    <cellStyle name="Output 2 2 25 7" xfId="51043"/>
    <cellStyle name="Output 2 2 26" xfId="3112"/>
    <cellStyle name="Output 2 2 26 2" xfId="10917"/>
    <cellStyle name="Output 2 2 26 3" xfId="18298"/>
    <cellStyle name="Output 2 2 26 4" xfId="20549"/>
    <cellStyle name="Output 2 2 26 5" xfId="28815"/>
    <cellStyle name="Output 2 2 26 6" xfId="40380"/>
    <cellStyle name="Output 2 2 26 7" xfId="49329"/>
    <cellStyle name="Output 2 2 27" xfId="2984"/>
    <cellStyle name="Output 2 2 27 2" xfId="10806"/>
    <cellStyle name="Output 2 2 27 3" xfId="18233"/>
    <cellStyle name="Output 2 2 27 4" xfId="19603"/>
    <cellStyle name="Output 2 2 27 5" xfId="28684"/>
    <cellStyle name="Output 2 2 27 6" xfId="41842"/>
    <cellStyle name="Output 2 2 27 7" xfId="49590"/>
    <cellStyle name="Output 2 2 28" xfId="3070"/>
    <cellStyle name="Output 2 2 28 2" xfId="10878"/>
    <cellStyle name="Output 2 2 28 3" xfId="18273"/>
    <cellStyle name="Output 2 2 28 4" xfId="26263"/>
    <cellStyle name="Output 2 2 28 5" xfId="34961"/>
    <cellStyle name="Output 2 2 28 6" xfId="39945"/>
    <cellStyle name="Output 2 2 28 7" xfId="53568"/>
    <cellStyle name="Output 2 2 29" xfId="3065"/>
    <cellStyle name="Output 2 2 29 2" xfId="10874"/>
    <cellStyle name="Output 2 2 29 3" xfId="18269"/>
    <cellStyle name="Output 2 2 29 4" xfId="19985"/>
    <cellStyle name="Output 2 2 29 5" xfId="28883"/>
    <cellStyle name="Output 2 2 29 6" xfId="40430"/>
    <cellStyle name="Output 2 2 29 7" xfId="48185"/>
    <cellStyle name="Output 2 2 3" xfId="558"/>
    <cellStyle name="Output 2 2 3 10" xfId="2005"/>
    <cellStyle name="Output 2 2 3 10 2" xfId="9828"/>
    <cellStyle name="Output 2 2 3 10 3" xfId="17256"/>
    <cellStyle name="Output 2 2 3 10 4" xfId="25709"/>
    <cellStyle name="Output 2 2 3 10 5" xfId="34250"/>
    <cellStyle name="Output 2 2 3 10 6" xfId="42302"/>
    <cellStyle name="Output 2 2 3 10 7" xfId="52334"/>
    <cellStyle name="Output 2 2 3 11" xfId="2122"/>
    <cellStyle name="Output 2 2 3 11 2" xfId="9945"/>
    <cellStyle name="Output 2 2 3 11 3" xfId="17373"/>
    <cellStyle name="Output 2 2 3 11 4" xfId="25981"/>
    <cellStyle name="Output 2 2 3 11 5" xfId="34598"/>
    <cellStyle name="Output 2 2 3 11 6" xfId="38048"/>
    <cellStyle name="Output 2 2 3 11 7" xfId="52954"/>
    <cellStyle name="Output 2 2 3 12" xfId="2236"/>
    <cellStyle name="Output 2 2 3 12 2" xfId="10059"/>
    <cellStyle name="Output 2 2 3 12 3" xfId="17487"/>
    <cellStyle name="Output 2 2 3 12 4" xfId="19174"/>
    <cellStyle name="Output 2 2 3 12 5" xfId="26905"/>
    <cellStyle name="Output 2 2 3 12 6" xfId="41023"/>
    <cellStyle name="Output 2 2 3 12 7" xfId="49195"/>
    <cellStyle name="Output 2 2 3 13" xfId="1598"/>
    <cellStyle name="Output 2 2 3 13 2" xfId="9421"/>
    <cellStyle name="Output 2 2 3 13 3" xfId="16849"/>
    <cellStyle name="Output 2 2 3 13 4" xfId="20017"/>
    <cellStyle name="Output 2 2 3 13 5" xfId="26773"/>
    <cellStyle name="Output 2 2 3 13 6" xfId="38569"/>
    <cellStyle name="Output 2 2 3 13 7" xfId="50374"/>
    <cellStyle name="Output 2 2 3 14" xfId="2341"/>
    <cellStyle name="Output 2 2 3 14 2" xfId="10164"/>
    <cellStyle name="Output 2 2 3 14 3" xfId="17592"/>
    <cellStyle name="Output 2 2 3 14 4" xfId="25580"/>
    <cellStyle name="Output 2 2 3 14 5" xfId="34085"/>
    <cellStyle name="Output 2 2 3 14 6" xfId="39212"/>
    <cellStyle name="Output 2 2 3 14 7" xfId="52051"/>
    <cellStyle name="Output 2 2 3 15" xfId="2533"/>
    <cellStyle name="Output 2 2 3 15 2" xfId="10356"/>
    <cellStyle name="Output 2 2 3 15 3" xfId="17784"/>
    <cellStyle name="Output 2 2 3 15 4" xfId="19411"/>
    <cellStyle name="Output 2 2 3 15 5" xfId="26865"/>
    <cellStyle name="Output 2 2 3 15 6" xfId="36853"/>
    <cellStyle name="Output 2 2 3 15 7" xfId="47009"/>
    <cellStyle name="Output 2 2 3 16" xfId="2647"/>
    <cellStyle name="Output 2 2 3 16 2" xfId="10470"/>
    <cellStyle name="Output 2 2 3 16 3" xfId="17898"/>
    <cellStyle name="Output 2 2 3 16 4" xfId="25207"/>
    <cellStyle name="Output 2 2 3 16 5" xfId="33599"/>
    <cellStyle name="Output 2 2 3 16 6" xfId="37964"/>
    <cellStyle name="Output 2 2 3 16 7" xfId="51232"/>
    <cellStyle name="Output 2 2 3 17" xfId="1622"/>
    <cellStyle name="Output 2 2 3 17 2" xfId="9445"/>
    <cellStyle name="Output 2 2 3 17 3" xfId="16873"/>
    <cellStyle name="Output 2 2 3 17 4" xfId="25778"/>
    <cellStyle name="Output 2 2 3 17 5" xfId="34338"/>
    <cellStyle name="Output 2 2 3 17 6" xfId="36321"/>
    <cellStyle name="Output 2 2 3 17 7" xfId="52501"/>
    <cellStyle name="Output 2 2 3 18" xfId="2395"/>
    <cellStyle name="Output 2 2 3 18 2" xfId="10218"/>
    <cellStyle name="Output 2 2 3 18 3" xfId="17646"/>
    <cellStyle name="Output 2 2 3 18 4" xfId="19875"/>
    <cellStyle name="Output 2 2 3 18 5" xfId="27407"/>
    <cellStyle name="Output 2 2 3 18 6" xfId="39312"/>
    <cellStyle name="Output 2 2 3 18 7" xfId="47996"/>
    <cellStyle name="Output 2 2 3 19" xfId="2838"/>
    <cellStyle name="Output 2 2 3 19 2" xfId="10661"/>
    <cellStyle name="Output 2 2 3 19 3" xfId="18089"/>
    <cellStyle name="Output 2 2 3 19 4" xfId="25370"/>
    <cellStyle name="Output 2 2 3 19 5" xfId="33814"/>
    <cellStyle name="Output 2 2 3 19 6" xfId="40680"/>
    <cellStyle name="Output 2 2 3 19 7" xfId="51586"/>
    <cellStyle name="Output 2 2 3 2" xfId="706"/>
    <cellStyle name="Output 2 2 3 2 2" xfId="8530"/>
    <cellStyle name="Output 2 2 3 2 3" xfId="15958"/>
    <cellStyle name="Output 2 2 3 2 4" xfId="26046"/>
    <cellStyle name="Output 2 2 3 2 5" xfId="34686"/>
    <cellStyle name="Output 2 2 3 2 6" xfId="37438"/>
    <cellStyle name="Output 2 2 3 2 7" xfId="53095"/>
    <cellStyle name="Output 2 2 3 20" xfId="2945"/>
    <cellStyle name="Output 2 2 3 20 2" xfId="10768"/>
    <cellStyle name="Output 2 2 3 20 3" xfId="18196"/>
    <cellStyle name="Output 2 2 3 20 4" xfId="25303"/>
    <cellStyle name="Output 2 2 3 20 5" xfId="33719"/>
    <cellStyle name="Output 2 2 3 20 6" xfId="39864"/>
    <cellStyle name="Output 2 2 3 20 7" xfId="51433"/>
    <cellStyle name="Output 2 2 3 21" xfId="3322"/>
    <cellStyle name="Output 2 2 3 21 2" xfId="11115"/>
    <cellStyle name="Output 2 2 3 21 3" xfId="18443"/>
    <cellStyle name="Output 2 2 3 21 4" xfId="19685"/>
    <cellStyle name="Output 2 2 3 21 5" xfId="28207"/>
    <cellStyle name="Output 2 2 3 21 6" xfId="36433"/>
    <cellStyle name="Output 2 2 3 21 7" xfId="49515"/>
    <cellStyle name="Output 2 2 3 22" xfId="3441"/>
    <cellStyle name="Output 2 2 3 22 2" xfId="11232"/>
    <cellStyle name="Output 2 2 3 22 3" xfId="18554"/>
    <cellStyle name="Output 2 2 3 22 4" xfId="26185"/>
    <cellStyle name="Output 2 2 3 22 5" xfId="34859"/>
    <cellStyle name="Output 2 2 3 22 6" xfId="40296"/>
    <cellStyle name="Output 2 2 3 22 7" xfId="53391"/>
    <cellStyle name="Output 2 2 3 23" xfId="3601"/>
    <cellStyle name="Output 2 2 3 23 2" xfId="11387"/>
    <cellStyle name="Output 2 2 3 23 3" xfId="18661"/>
    <cellStyle name="Output 2 2 3 23 4" xfId="25591"/>
    <cellStyle name="Output 2 2 3 23 5" xfId="34100"/>
    <cellStyle name="Output 2 2 3 23 6" xfId="39105"/>
    <cellStyle name="Output 2 2 3 23 7" xfId="52077"/>
    <cellStyle name="Output 2 2 3 24" xfId="3714"/>
    <cellStyle name="Output 2 2 3 24 2" xfId="11499"/>
    <cellStyle name="Output 2 2 3 24 3" xfId="18771"/>
    <cellStyle name="Output 2 2 3 24 4" xfId="20455"/>
    <cellStyle name="Output 2 2 3 24 5" xfId="28453"/>
    <cellStyle name="Output 2 2 3 24 6" xfId="41932"/>
    <cellStyle name="Output 2 2 3 24 7" xfId="48453"/>
    <cellStyle name="Output 2 2 3 25" xfId="3843"/>
    <cellStyle name="Output 2 2 3 25 2" xfId="11625"/>
    <cellStyle name="Output 2 2 3 25 3" xfId="18881"/>
    <cellStyle name="Output 2 2 3 25 4" xfId="19924"/>
    <cellStyle name="Output 2 2 3 25 5" xfId="27301"/>
    <cellStyle name="Output 2 2 3 25 6" xfId="37910"/>
    <cellStyle name="Output 2 2 3 25 7" xfId="49688"/>
    <cellStyle name="Output 2 2 3 26" xfId="3962"/>
    <cellStyle name="Output 2 2 3 26 2" xfId="11741"/>
    <cellStyle name="Output 2 2 3 26 3" xfId="18990"/>
    <cellStyle name="Output 2 2 3 26 4" xfId="26345"/>
    <cellStyle name="Output 2 2 3 26 5" xfId="35071"/>
    <cellStyle name="Output 2 2 3 26 6" xfId="40535"/>
    <cellStyle name="Output 2 2 3 26 7" xfId="53725"/>
    <cellStyle name="Output 2 2 3 27" xfId="3093"/>
    <cellStyle name="Output 2 2 3 27 2" xfId="10899"/>
    <cellStyle name="Output 2 2 3 27 3" xfId="20253"/>
    <cellStyle name="Output 2 2 3 27 4" xfId="28343"/>
    <cellStyle name="Output 2 2 3 27 5" xfId="37721"/>
    <cellStyle name="Output 2 2 3 27 6" xfId="42397"/>
    <cellStyle name="Output 2 2 3 27 7" xfId="51211"/>
    <cellStyle name="Output 2 2 3 28" xfId="4158"/>
    <cellStyle name="Output 2 2 3 28 2" xfId="11917"/>
    <cellStyle name="Output 2 2 3 28 3" xfId="20868"/>
    <cellStyle name="Output 2 2 3 28 4" xfId="29055"/>
    <cellStyle name="Output 2 2 3 28 5" xfId="38431"/>
    <cellStyle name="Output 2 2 3 28 6" xfId="42720"/>
    <cellStyle name="Output 2 2 3 28 7" xfId="48595"/>
    <cellStyle name="Output 2 2 3 29" xfId="4234"/>
    <cellStyle name="Output 2 2 3 29 2" xfId="20944"/>
    <cellStyle name="Output 2 2 3 29 3" xfId="29131"/>
    <cellStyle name="Output 2 2 3 29 4" xfId="38505"/>
    <cellStyle name="Output 2 2 3 29 5" xfId="42796"/>
    <cellStyle name="Output 2 2 3 29 6" xfId="49755"/>
    <cellStyle name="Output 2 2 3 3" xfId="815"/>
    <cellStyle name="Output 2 2 3 3 2" xfId="8639"/>
    <cellStyle name="Output 2 2 3 3 3" xfId="16067"/>
    <cellStyle name="Output 2 2 3 3 4" xfId="20420"/>
    <cellStyle name="Output 2 2 3 3 5" xfId="27248"/>
    <cellStyle name="Output 2 2 3 3 6" xfId="37936"/>
    <cellStyle name="Output 2 2 3 3 7" xfId="47959"/>
    <cellStyle name="Output 2 2 3 30" xfId="4356"/>
    <cellStyle name="Output 2 2 3 30 2" xfId="12073"/>
    <cellStyle name="Output 2 2 3 30 3" xfId="21066"/>
    <cellStyle name="Output 2 2 3 30 4" xfId="29253"/>
    <cellStyle name="Output 2 2 3 30 5" xfId="38623"/>
    <cellStyle name="Output 2 2 3 30 6" xfId="42918"/>
    <cellStyle name="Output 2 2 3 30 7" xfId="53363"/>
    <cellStyle name="Output 2 2 3 31" xfId="4478"/>
    <cellStyle name="Output 2 2 3 31 2" xfId="12195"/>
    <cellStyle name="Output 2 2 3 31 3" xfId="21188"/>
    <cellStyle name="Output 2 2 3 31 4" xfId="29375"/>
    <cellStyle name="Output 2 2 3 31 5" xfId="38740"/>
    <cellStyle name="Output 2 2 3 31 6" xfId="43040"/>
    <cellStyle name="Output 2 2 3 31 7" xfId="53807"/>
    <cellStyle name="Output 2 2 3 32" xfId="4592"/>
    <cellStyle name="Output 2 2 3 32 2" xfId="12309"/>
    <cellStyle name="Output 2 2 3 32 3" xfId="21302"/>
    <cellStyle name="Output 2 2 3 32 4" xfId="29489"/>
    <cellStyle name="Output 2 2 3 32 5" xfId="38849"/>
    <cellStyle name="Output 2 2 3 32 6" xfId="43154"/>
    <cellStyle name="Output 2 2 3 32 7" xfId="50121"/>
    <cellStyle name="Output 2 2 3 33" xfId="4705"/>
    <cellStyle name="Output 2 2 3 33 2" xfId="12422"/>
    <cellStyle name="Output 2 2 3 33 3" xfId="21415"/>
    <cellStyle name="Output 2 2 3 33 4" xfId="29602"/>
    <cellStyle name="Output 2 2 3 33 5" xfId="38958"/>
    <cellStyle name="Output 2 2 3 33 6" xfId="43267"/>
    <cellStyle name="Output 2 2 3 33 7" xfId="53959"/>
    <cellStyle name="Output 2 2 3 34" xfId="4815"/>
    <cellStyle name="Output 2 2 3 34 2" xfId="12532"/>
    <cellStyle name="Output 2 2 3 34 3" xfId="21525"/>
    <cellStyle name="Output 2 2 3 34 4" xfId="29712"/>
    <cellStyle name="Output 2 2 3 34 5" xfId="39065"/>
    <cellStyle name="Output 2 2 3 34 6" xfId="43377"/>
    <cellStyle name="Output 2 2 3 34 7" xfId="50186"/>
    <cellStyle name="Output 2 2 3 35" xfId="4925"/>
    <cellStyle name="Output 2 2 3 35 2" xfId="12642"/>
    <cellStyle name="Output 2 2 3 35 3" xfId="21635"/>
    <cellStyle name="Output 2 2 3 35 4" xfId="29822"/>
    <cellStyle name="Output 2 2 3 35 5" xfId="39170"/>
    <cellStyle name="Output 2 2 3 35 6" xfId="43487"/>
    <cellStyle name="Output 2 2 3 35 7" xfId="50163"/>
    <cellStyle name="Output 2 2 3 36" xfId="5035"/>
    <cellStyle name="Output 2 2 3 36 2" xfId="12752"/>
    <cellStyle name="Output 2 2 3 36 3" xfId="21745"/>
    <cellStyle name="Output 2 2 3 36 4" xfId="29932"/>
    <cellStyle name="Output 2 2 3 36 5" xfId="39277"/>
    <cellStyle name="Output 2 2 3 36 6" xfId="43597"/>
    <cellStyle name="Output 2 2 3 36 7" xfId="49792"/>
    <cellStyle name="Output 2 2 3 37" xfId="5415"/>
    <cellStyle name="Output 2 2 3 37 2" xfId="13132"/>
    <cellStyle name="Output 2 2 3 37 3" xfId="22125"/>
    <cellStyle name="Output 2 2 3 37 4" xfId="30312"/>
    <cellStyle name="Output 2 2 3 37 5" xfId="39642"/>
    <cellStyle name="Output 2 2 3 37 6" xfId="43977"/>
    <cellStyle name="Output 2 2 3 37 7" xfId="49871"/>
    <cellStyle name="Output 2 2 3 38" xfId="5535"/>
    <cellStyle name="Output 2 2 3 38 2" xfId="13252"/>
    <cellStyle name="Output 2 2 3 38 3" xfId="22245"/>
    <cellStyle name="Output 2 2 3 38 4" xfId="30432"/>
    <cellStyle name="Output 2 2 3 38 5" xfId="39756"/>
    <cellStyle name="Output 2 2 3 38 6" xfId="44097"/>
    <cellStyle name="Output 2 2 3 38 7" xfId="46798"/>
    <cellStyle name="Output 2 2 3 39" xfId="5659"/>
    <cellStyle name="Output 2 2 3 39 2" xfId="13376"/>
    <cellStyle name="Output 2 2 3 39 3" xfId="22369"/>
    <cellStyle name="Output 2 2 3 39 4" xfId="30556"/>
    <cellStyle name="Output 2 2 3 39 5" xfId="39876"/>
    <cellStyle name="Output 2 2 3 39 6" xfId="44221"/>
    <cellStyle name="Output 2 2 3 39 7" xfId="47111"/>
    <cellStyle name="Output 2 2 3 4" xfId="925"/>
    <cellStyle name="Output 2 2 3 4 2" xfId="8749"/>
    <cellStyle name="Output 2 2 3 4 3" xfId="16177"/>
    <cellStyle name="Output 2 2 3 4 4" xfId="25212"/>
    <cellStyle name="Output 2 2 3 4 5" xfId="33608"/>
    <cellStyle name="Output 2 2 3 4 6" xfId="36898"/>
    <cellStyle name="Output 2 2 3 4 7" xfId="51243"/>
    <cellStyle name="Output 2 2 3 40" xfId="5775"/>
    <cellStyle name="Output 2 2 3 40 2" xfId="13492"/>
    <cellStyle name="Output 2 2 3 40 3" xfId="22485"/>
    <cellStyle name="Output 2 2 3 40 4" xfId="30672"/>
    <cellStyle name="Output 2 2 3 40 5" xfId="39988"/>
    <cellStyle name="Output 2 2 3 40 6" xfId="44337"/>
    <cellStyle name="Output 2 2 3 40 7" xfId="49428"/>
    <cellStyle name="Output 2 2 3 41" xfId="5892"/>
    <cellStyle name="Output 2 2 3 41 2" xfId="13609"/>
    <cellStyle name="Output 2 2 3 41 3" xfId="22602"/>
    <cellStyle name="Output 2 2 3 41 4" xfId="30789"/>
    <cellStyle name="Output 2 2 3 41 5" xfId="40102"/>
    <cellStyle name="Output 2 2 3 41 6" xfId="44454"/>
    <cellStyle name="Output 2 2 3 41 7" xfId="49742"/>
    <cellStyle name="Output 2 2 3 42" xfId="6020"/>
    <cellStyle name="Output 2 2 3 42 2" xfId="13737"/>
    <cellStyle name="Output 2 2 3 42 3" xfId="22730"/>
    <cellStyle name="Output 2 2 3 42 4" xfId="30917"/>
    <cellStyle name="Output 2 2 3 42 5" xfId="40225"/>
    <cellStyle name="Output 2 2 3 42 6" xfId="44582"/>
    <cellStyle name="Output 2 2 3 42 7" xfId="52489"/>
    <cellStyle name="Output 2 2 3 43" xfId="6147"/>
    <cellStyle name="Output 2 2 3 43 2" xfId="13864"/>
    <cellStyle name="Output 2 2 3 43 3" xfId="22857"/>
    <cellStyle name="Output 2 2 3 43 4" xfId="31044"/>
    <cellStyle name="Output 2 2 3 43 5" xfId="40345"/>
    <cellStyle name="Output 2 2 3 43 6" xfId="44709"/>
    <cellStyle name="Output 2 2 3 43 7" xfId="53721"/>
    <cellStyle name="Output 2 2 3 44" xfId="6276"/>
    <cellStyle name="Output 2 2 3 44 2" xfId="13993"/>
    <cellStyle name="Output 2 2 3 44 3" xfId="22986"/>
    <cellStyle name="Output 2 2 3 44 4" xfId="31173"/>
    <cellStyle name="Output 2 2 3 44 5" xfId="40473"/>
    <cellStyle name="Output 2 2 3 44 6" xfId="44838"/>
    <cellStyle name="Output 2 2 3 44 7" xfId="47838"/>
    <cellStyle name="Output 2 2 3 45" xfId="6391"/>
    <cellStyle name="Output 2 2 3 45 2" xfId="14108"/>
    <cellStyle name="Output 2 2 3 45 3" xfId="23101"/>
    <cellStyle name="Output 2 2 3 45 4" xfId="31288"/>
    <cellStyle name="Output 2 2 3 45 5" xfId="40585"/>
    <cellStyle name="Output 2 2 3 45 6" xfId="44953"/>
    <cellStyle name="Output 2 2 3 45 7" xfId="50441"/>
    <cellStyle name="Output 2 2 3 46" xfId="6503"/>
    <cellStyle name="Output 2 2 3 46 2" xfId="14220"/>
    <cellStyle name="Output 2 2 3 46 3" xfId="23213"/>
    <cellStyle name="Output 2 2 3 46 4" xfId="31400"/>
    <cellStyle name="Output 2 2 3 46 5" xfId="40693"/>
    <cellStyle name="Output 2 2 3 46 6" xfId="45065"/>
    <cellStyle name="Output 2 2 3 46 7" xfId="53776"/>
    <cellStyle name="Output 2 2 3 47" xfId="6316"/>
    <cellStyle name="Output 2 2 3 47 2" xfId="14033"/>
    <cellStyle name="Output 2 2 3 47 3" xfId="23026"/>
    <cellStyle name="Output 2 2 3 47 4" xfId="31213"/>
    <cellStyle name="Output 2 2 3 47 5" xfId="40513"/>
    <cellStyle name="Output 2 2 3 47 6" xfId="44878"/>
    <cellStyle name="Output 2 2 3 47 7" xfId="52487"/>
    <cellStyle name="Output 2 2 3 48" xfId="6650"/>
    <cellStyle name="Output 2 2 3 48 2" xfId="14367"/>
    <cellStyle name="Output 2 2 3 48 3" xfId="23360"/>
    <cellStyle name="Output 2 2 3 48 4" xfId="31547"/>
    <cellStyle name="Output 2 2 3 48 5" xfId="40833"/>
    <cellStyle name="Output 2 2 3 48 6" xfId="45212"/>
    <cellStyle name="Output 2 2 3 48 7" xfId="53185"/>
    <cellStyle name="Output 2 2 3 49" xfId="6761"/>
    <cellStyle name="Output 2 2 3 49 2" xfId="14478"/>
    <cellStyle name="Output 2 2 3 49 3" xfId="23471"/>
    <cellStyle name="Output 2 2 3 49 4" xfId="31658"/>
    <cellStyle name="Output 2 2 3 49 5" xfId="40938"/>
    <cellStyle name="Output 2 2 3 49 6" xfId="45323"/>
    <cellStyle name="Output 2 2 3 49 7" xfId="48727"/>
    <cellStyle name="Output 2 2 3 5" xfId="1393"/>
    <cellStyle name="Output 2 2 3 5 2" xfId="9216"/>
    <cellStyle name="Output 2 2 3 5 3" xfId="16644"/>
    <cellStyle name="Output 2 2 3 5 4" xfId="24961"/>
    <cellStyle name="Output 2 2 3 5 5" xfId="33299"/>
    <cellStyle name="Output 2 2 3 5 6" xfId="37527"/>
    <cellStyle name="Output 2 2 3 5 7" xfId="50700"/>
    <cellStyle name="Output 2 2 3 50" xfId="6876"/>
    <cellStyle name="Output 2 2 3 50 2" xfId="14593"/>
    <cellStyle name="Output 2 2 3 50 3" xfId="23586"/>
    <cellStyle name="Output 2 2 3 50 4" xfId="31773"/>
    <cellStyle name="Output 2 2 3 50 5" xfId="41046"/>
    <cellStyle name="Output 2 2 3 50 6" xfId="45438"/>
    <cellStyle name="Output 2 2 3 50 7" xfId="47065"/>
    <cellStyle name="Output 2 2 3 51" xfId="6989"/>
    <cellStyle name="Output 2 2 3 51 2" xfId="14706"/>
    <cellStyle name="Output 2 2 3 51 3" xfId="23699"/>
    <cellStyle name="Output 2 2 3 51 4" xfId="31886"/>
    <cellStyle name="Output 2 2 3 51 5" xfId="41154"/>
    <cellStyle name="Output 2 2 3 51 6" xfId="45551"/>
    <cellStyle name="Output 2 2 3 51 7" xfId="47215"/>
    <cellStyle name="Output 2 2 3 52" xfId="7099"/>
    <cellStyle name="Output 2 2 3 52 2" xfId="14816"/>
    <cellStyle name="Output 2 2 3 52 3" xfId="23809"/>
    <cellStyle name="Output 2 2 3 52 4" xfId="31996"/>
    <cellStyle name="Output 2 2 3 52 5" xfId="41258"/>
    <cellStyle name="Output 2 2 3 52 6" xfId="45661"/>
    <cellStyle name="Output 2 2 3 52 7" xfId="49154"/>
    <cellStyle name="Output 2 2 3 53" xfId="7179"/>
    <cellStyle name="Output 2 2 3 53 2" xfId="14896"/>
    <cellStyle name="Output 2 2 3 53 3" xfId="23889"/>
    <cellStyle name="Output 2 2 3 53 4" xfId="32076"/>
    <cellStyle name="Output 2 2 3 53 5" xfId="41337"/>
    <cellStyle name="Output 2 2 3 53 6" xfId="45741"/>
    <cellStyle name="Output 2 2 3 53 7" xfId="53679"/>
    <cellStyle name="Output 2 2 3 54" xfId="7207"/>
    <cellStyle name="Output 2 2 3 54 2" xfId="14924"/>
    <cellStyle name="Output 2 2 3 54 3" xfId="23917"/>
    <cellStyle name="Output 2 2 3 54 4" xfId="32104"/>
    <cellStyle name="Output 2 2 3 54 5" xfId="41364"/>
    <cellStyle name="Output 2 2 3 54 6" xfId="45769"/>
    <cellStyle name="Output 2 2 3 54 7" xfId="50652"/>
    <cellStyle name="Output 2 2 3 55" xfId="7496"/>
    <cellStyle name="Output 2 2 3 55 2" xfId="15213"/>
    <cellStyle name="Output 2 2 3 55 3" xfId="24206"/>
    <cellStyle name="Output 2 2 3 55 4" xfId="32393"/>
    <cellStyle name="Output 2 2 3 55 5" xfId="41641"/>
    <cellStyle name="Output 2 2 3 55 6" xfId="46058"/>
    <cellStyle name="Output 2 2 3 55 7" xfId="50712"/>
    <cellStyle name="Output 2 2 3 56" xfId="7617"/>
    <cellStyle name="Output 2 2 3 56 2" xfId="15334"/>
    <cellStyle name="Output 2 2 3 56 3" xfId="24327"/>
    <cellStyle name="Output 2 2 3 56 4" xfId="32514"/>
    <cellStyle name="Output 2 2 3 56 5" xfId="41756"/>
    <cellStyle name="Output 2 2 3 56 6" xfId="46179"/>
    <cellStyle name="Output 2 2 3 56 7" xfId="48173"/>
    <cellStyle name="Output 2 2 3 57" xfId="7894"/>
    <cellStyle name="Output 2 2 3 57 2" xfId="15611"/>
    <cellStyle name="Output 2 2 3 57 3" xfId="24598"/>
    <cellStyle name="Output 2 2 3 57 4" xfId="32791"/>
    <cellStyle name="Output 2 2 3 57 5" xfId="42022"/>
    <cellStyle name="Output 2 2 3 57 6" xfId="46456"/>
    <cellStyle name="Output 2 2 3 57 7" xfId="53650"/>
    <cellStyle name="Output 2 2 3 58" xfId="8022"/>
    <cellStyle name="Output 2 2 3 58 2" xfId="15739"/>
    <cellStyle name="Output 2 2 3 58 3" xfId="24724"/>
    <cellStyle name="Output 2 2 3 58 4" xfId="32919"/>
    <cellStyle name="Output 2 2 3 58 5" xfId="42145"/>
    <cellStyle name="Output 2 2 3 58 6" xfId="46584"/>
    <cellStyle name="Output 2 2 3 58 7" xfId="50068"/>
    <cellStyle name="Output 2 2 3 59" xfId="7681"/>
    <cellStyle name="Output 2 2 3 59 2" xfId="15398"/>
    <cellStyle name="Output 2 2 3 59 3" xfId="24389"/>
    <cellStyle name="Output 2 2 3 59 4" xfId="32578"/>
    <cellStyle name="Output 2 2 3 59 5" xfId="41816"/>
    <cellStyle name="Output 2 2 3 59 6" xfId="46243"/>
    <cellStyle name="Output 2 2 3 59 7" xfId="53974"/>
    <cellStyle name="Output 2 2 3 6" xfId="1516"/>
    <cellStyle name="Output 2 2 3 6 2" xfId="9339"/>
    <cellStyle name="Output 2 2 3 6 3" xfId="16767"/>
    <cellStyle name="Output 2 2 3 6 4" xfId="24945"/>
    <cellStyle name="Output 2 2 3 6 5" xfId="33281"/>
    <cellStyle name="Output 2 2 3 6 6" xfId="36545"/>
    <cellStyle name="Output 2 2 3 6 7" xfId="50667"/>
    <cellStyle name="Output 2 2 3 60" xfId="8169"/>
    <cellStyle name="Output 2 2 3 60 2" xfId="15886"/>
    <cellStyle name="Output 2 2 3 60 3" xfId="33066"/>
    <cellStyle name="Output 2 2 3 60 4" xfId="42285"/>
    <cellStyle name="Output 2 2 3 60 5" xfId="46731"/>
    <cellStyle name="Output 2 2 3 60 6" xfId="50092"/>
    <cellStyle name="Output 2 2 3 61" xfId="26168"/>
    <cellStyle name="Output 2 2 3 62" xfId="34839"/>
    <cellStyle name="Output 2 2 3 63" xfId="36272"/>
    <cellStyle name="Output 2 2 3 64" xfId="53355"/>
    <cellStyle name="Output 2 2 3 7" xfId="1297"/>
    <cellStyle name="Output 2 2 3 7 2" xfId="9120"/>
    <cellStyle name="Output 2 2 3 7 3" xfId="16548"/>
    <cellStyle name="Output 2 2 3 7 4" xfId="26706"/>
    <cellStyle name="Output 2 2 3 7 5" xfId="35562"/>
    <cellStyle name="Output 2 2 3 7 6" xfId="38396"/>
    <cellStyle name="Output 2 2 3 7 7" xfId="54511"/>
    <cellStyle name="Output 2 2 3 8" xfId="1753"/>
    <cellStyle name="Output 2 2 3 8 2" xfId="9576"/>
    <cellStyle name="Output 2 2 3 8 3" xfId="17004"/>
    <cellStyle name="Output 2 2 3 8 4" xfId="19890"/>
    <cellStyle name="Output 2 2 3 8 5" xfId="27233"/>
    <cellStyle name="Output 2 2 3 8 6" xfId="39267"/>
    <cellStyle name="Output 2 2 3 8 7" xfId="48774"/>
    <cellStyle name="Output 2 2 3 9" xfId="1886"/>
    <cellStyle name="Output 2 2 3 9 2" xfId="9709"/>
    <cellStyle name="Output 2 2 3 9 3" xfId="17137"/>
    <cellStyle name="Output 2 2 3 9 4" xfId="19881"/>
    <cellStyle name="Output 2 2 3 9 5" xfId="27883"/>
    <cellStyle name="Output 2 2 3 9 6" xfId="37833"/>
    <cellStyle name="Output 2 2 3 9 7" xfId="49368"/>
    <cellStyle name="Output 2 2 30" xfId="3741"/>
    <cellStyle name="Output 2 2 30 2" xfId="11526"/>
    <cellStyle name="Output 2 2 30 3" xfId="18796"/>
    <cellStyle name="Output 2 2 30 4" xfId="19855"/>
    <cellStyle name="Output 2 2 30 5" xfId="28537"/>
    <cellStyle name="Output 2 2 30 6" xfId="40728"/>
    <cellStyle name="Output 2 2 30 7" xfId="48135"/>
    <cellStyle name="Output 2 2 31" xfId="3021"/>
    <cellStyle name="Output 2 2 31 2" xfId="10837"/>
    <cellStyle name="Output 2 2 31 3" xfId="18252"/>
    <cellStyle name="Output 2 2 31 4" xfId="25124"/>
    <cellStyle name="Output 2 2 31 5" xfId="33497"/>
    <cellStyle name="Output 2 2 31 6" xfId="38439"/>
    <cellStyle name="Output 2 2 31 7" xfId="51065"/>
    <cellStyle name="Output 2 2 32" xfId="3562"/>
    <cellStyle name="Output 2 2 32 2" xfId="11351"/>
    <cellStyle name="Output 2 2 32 3" xfId="20521"/>
    <cellStyle name="Output 2 2 32 4" xfId="28650"/>
    <cellStyle name="Output 2 2 32 5" xfId="38029"/>
    <cellStyle name="Output 2 2 32 6" xfId="42509"/>
    <cellStyle name="Output 2 2 32 7" xfId="47320"/>
    <cellStyle name="Output 2 2 33" xfId="3079"/>
    <cellStyle name="Output 2 2 33 2" xfId="10887"/>
    <cellStyle name="Output 2 2 33 3" xfId="20240"/>
    <cellStyle name="Output 2 2 33 4" xfId="28330"/>
    <cellStyle name="Output 2 2 33 5" xfId="37710"/>
    <cellStyle name="Output 2 2 33 6" xfId="42387"/>
    <cellStyle name="Output 2 2 33 7" xfId="52799"/>
    <cellStyle name="Output 2 2 34" xfId="4224"/>
    <cellStyle name="Output 2 2 34 2" xfId="20934"/>
    <cellStyle name="Output 2 2 34 3" xfId="29121"/>
    <cellStyle name="Output 2 2 34 4" xfId="38496"/>
    <cellStyle name="Output 2 2 34 5" xfId="42786"/>
    <cellStyle name="Output 2 2 34 6" xfId="47763"/>
    <cellStyle name="Output 2 2 35" xfId="4210"/>
    <cellStyle name="Output 2 2 35 2" xfId="11958"/>
    <cellStyle name="Output 2 2 35 3" xfId="20920"/>
    <cellStyle name="Output 2 2 35 4" xfId="29107"/>
    <cellStyle name="Output 2 2 35 5" xfId="38483"/>
    <cellStyle name="Output 2 2 35 6" xfId="42772"/>
    <cellStyle name="Output 2 2 35 7" xfId="47543"/>
    <cellStyle name="Output 2 2 36" xfId="4387"/>
    <cellStyle name="Output 2 2 36 2" xfId="12104"/>
    <cellStyle name="Output 2 2 36 3" xfId="21097"/>
    <cellStyle name="Output 2 2 36 4" xfId="29284"/>
    <cellStyle name="Output 2 2 36 5" xfId="38654"/>
    <cellStyle name="Output 2 2 36 6" xfId="42949"/>
    <cellStyle name="Output 2 2 36 7" xfId="50278"/>
    <cellStyle name="Output 2 2 37" xfId="4508"/>
    <cellStyle name="Output 2 2 37 2" xfId="12225"/>
    <cellStyle name="Output 2 2 37 3" xfId="21218"/>
    <cellStyle name="Output 2 2 37 4" xfId="29405"/>
    <cellStyle name="Output 2 2 37 5" xfId="38769"/>
    <cellStyle name="Output 2 2 37 6" xfId="43070"/>
    <cellStyle name="Output 2 2 37 7" xfId="47500"/>
    <cellStyle name="Output 2 2 38" xfId="4515"/>
    <cellStyle name="Output 2 2 38 2" xfId="12232"/>
    <cellStyle name="Output 2 2 38 3" xfId="21225"/>
    <cellStyle name="Output 2 2 38 4" xfId="29412"/>
    <cellStyle name="Output 2 2 38 5" xfId="38776"/>
    <cellStyle name="Output 2 2 38 6" xfId="43077"/>
    <cellStyle name="Output 2 2 38 7" xfId="50117"/>
    <cellStyle name="Output 2 2 39" xfId="4735"/>
    <cellStyle name="Output 2 2 39 2" xfId="12452"/>
    <cellStyle name="Output 2 2 39 3" xfId="21445"/>
    <cellStyle name="Output 2 2 39 4" xfId="29632"/>
    <cellStyle name="Output 2 2 39 5" xfId="38987"/>
    <cellStyle name="Output 2 2 39 6" xfId="43297"/>
    <cellStyle name="Output 2 2 39 7" xfId="50751"/>
    <cellStyle name="Output 2 2 4" xfId="465"/>
    <cellStyle name="Output 2 2 4 10" xfId="1087"/>
    <cellStyle name="Output 2 2 4 10 2" xfId="8911"/>
    <cellStyle name="Output 2 2 4 10 3" xfId="16339"/>
    <cellStyle name="Output 2 2 4 10 4" xfId="20447"/>
    <cellStyle name="Output 2 2 4 10 5" xfId="27656"/>
    <cellStyle name="Output 2 2 4 10 6" xfId="37870"/>
    <cellStyle name="Output 2 2 4 10 7" xfId="48125"/>
    <cellStyle name="Output 2 2 4 11" xfId="1627"/>
    <cellStyle name="Output 2 2 4 11 2" xfId="9450"/>
    <cellStyle name="Output 2 2 4 11 3" xfId="16878"/>
    <cellStyle name="Output 2 2 4 11 4" xfId="20629"/>
    <cellStyle name="Output 2 2 4 11 5" xfId="27492"/>
    <cellStyle name="Output 2 2 4 11 6" xfId="36572"/>
    <cellStyle name="Output 2 2 4 11 7" xfId="48391"/>
    <cellStyle name="Output 2 2 4 12" xfId="1804"/>
    <cellStyle name="Output 2 2 4 12 2" xfId="9627"/>
    <cellStyle name="Output 2 2 4 12 3" xfId="17055"/>
    <cellStyle name="Output 2 2 4 12 4" xfId="24903"/>
    <cellStyle name="Output 2 2 4 12 5" xfId="33225"/>
    <cellStyle name="Output 2 2 4 12 6" xfId="40701"/>
    <cellStyle name="Output 2 2 4 12 7" xfId="50573"/>
    <cellStyle name="Output 2 2 4 13" xfId="964"/>
    <cellStyle name="Output 2 2 4 13 2" xfId="8788"/>
    <cellStyle name="Output 2 2 4 13 3" xfId="16216"/>
    <cellStyle name="Output 2 2 4 13 4" xfId="20126"/>
    <cellStyle name="Output 2 2 4 13 5" xfId="27130"/>
    <cellStyle name="Output 2 2 4 13 6" xfId="36561"/>
    <cellStyle name="Output 2 2 4 13 7" xfId="48238"/>
    <cellStyle name="Output 2 2 4 14" xfId="1085"/>
    <cellStyle name="Output 2 2 4 14 2" xfId="8909"/>
    <cellStyle name="Output 2 2 4 14 3" xfId="16337"/>
    <cellStyle name="Output 2 2 4 14 4" xfId="20474"/>
    <cellStyle name="Output 2 2 4 14 5" xfId="26938"/>
    <cellStyle name="Output 2 2 4 14 6" xfId="37746"/>
    <cellStyle name="Output 2 2 4 14 7" xfId="49104"/>
    <cellStyle name="Output 2 2 4 15" xfId="2445"/>
    <cellStyle name="Output 2 2 4 15 2" xfId="10268"/>
    <cellStyle name="Output 2 2 4 15 3" xfId="17696"/>
    <cellStyle name="Output 2 2 4 15 4" xfId="19044"/>
    <cellStyle name="Output 2 2 4 15 5" xfId="27466"/>
    <cellStyle name="Output 2 2 4 15 6" xfId="42209"/>
    <cellStyle name="Output 2 2 4 15 7" xfId="49273"/>
    <cellStyle name="Output 2 2 4 16" xfId="1918"/>
    <cellStyle name="Output 2 2 4 16 2" xfId="9741"/>
    <cellStyle name="Output 2 2 4 16 3" xfId="17169"/>
    <cellStyle name="Output 2 2 4 16 4" xfId="19643"/>
    <cellStyle name="Output 2 2 4 16 5" xfId="27120"/>
    <cellStyle name="Output 2 2 4 16 6" xfId="36285"/>
    <cellStyle name="Output 2 2 4 16 7" xfId="47920"/>
    <cellStyle name="Output 2 2 4 17" xfId="1248"/>
    <cellStyle name="Output 2 2 4 17 2" xfId="9071"/>
    <cellStyle name="Output 2 2 4 17 3" xfId="16499"/>
    <cellStyle name="Output 2 2 4 17 4" xfId="19487"/>
    <cellStyle name="Output 2 2 4 17 5" xfId="28162"/>
    <cellStyle name="Output 2 2 4 17 6" xfId="37115"/>
    <cellStyle name="Output 2 2 4 17 7" xfId="48351"/>
    <cellStyle name="Output 2 2 4 18" xfId="2281"/>
    <cellStyle name="Output 2 2 4 18 2" xfId="10104"/>
    <cellStyle name="Output 2 2 4 18 3" xfId="17532"/>
    <cellStyle name="Output 2 2 4 18 4" xfId="25571"/>
    <cellStyle name="Output 2 2 4 18 5" xfId="34070"/>
    <cellStyle name="Output 2 2 4 18 6" xfId="37157"/>
    <cellStyle name="Output 2 2 4 18 7" xfId="52022"/>
    <cellStyle name="Output 2 2 4 19" xfId="2762"/>
    <cellStyle name="Output 2 2 4 19 2" xfId="10585"/>
    <cellStyle name="Output 2 2 4 19 3" xfId="18013"/>
    <cellStyle name="Output 2 2 4 19 4" xfId="26416"/>
    <cellStyle name="Output 2 2 4 19 5" xfId="35176"/>
    <cellStyle name="Output 2 2 4 19 6" xfId="40832"/>
    <cellStyle name="Output 2 2 4 19 7" xfId="53888"/>
    <cellStyle name="Output 2 2 4 2" xfId="629"/>
    <cellStyle name="Output 2 2 4 2 2" xfId="8453"/>
    <cellStyle name="Output 2 2 4 2 3" xfId="11791"/>
    <cellStyle name="Output 2 2 4 2 4" xfId="19867"/>
    <cellStyle name="Output 2 2 4 2 5" xfId="28485"/>
    <cellStyle name="Output 2 2 4 2 6" xfId="37227"/>
    <cellStyle name="Output 2 2 4 2 7" xfId="47359"/>
    <cellStyle name="Output 2 2 4 20" xfId="1633"/>
    <cellStyle name="Output 2 2 4 20 2" xfId="9456"/>
    <cellStyle name="Output 2 2 4 20 3" xfId="16884"/>
    <cellStyle name="Output 2 2 4 20 4" xfId="26559"/>
    <cellStyle name="Output 2 2 4 20 5" xfId="35368"/>
    <cellStyle name="Output 2 2 4 20 6" xfId="37034"/>
    <cellStyle name="Output 2 2 4 20 7" xfId="54190"/>
    <cellStyle name="Output 2 2 4 21" xfId="3236"/>
    <cellStyle name="Output 2 2 4 21 2" xfId="11029"/>
    <cellStyle name="Output 2 2 4 21 3" xfId="18361"/>
    <cellStyle name="Output 2 2 4 21 4" xfId="25672"/>
    <cellStyle name="Output 2 2 4 21 5" xfId="34204"/>
    <cellStyle name="Output 2 2 4 21 6" xfId="38561"/>
    <cellStyle name="Output 2 2 4 21 7" xfId="52243"/>
    <cellStyle name="Output 2 2 4 22" xfId="3031"/>
    <cellStyle name="Output 2 2 4 22 2" xfId="10846"/>
    <cellStyle name="Output 2 2 4 22 3" xfId="18257"/>
    <cellStyle name="Output 2 2 4 22 4" xfId="24782"/>
    <cellStyle name="Output 2 2 4 22 5" xfId="28781"/>
    <cellStyle name="Output 2 2 4 22 6" xfId="36442"/>
    <cellStyle name="Output 2 2 4 22 7" xfId="49616"/>
    <cellStyle name="Output 2 2 4 23" xfId="3094"/>
    <cellStyle name="Output 2 2 4 23 2" xfId="10900"/>
    <cellStyle name="Output 2 2 4 23 3" xfId="18284"/>
    <cellStyle name="Output 2 2 4 23 4" xfId="25147"/>
    <cellStyle name="Output 2 2 4 23 5" xfId="33522"/>
    <cellStyle name="Output 2 2 4 23 6" xfId="36411"/>
    <cellStyle name="Output 2 2 4 23 7" xfId="51103"/>
    <cellStyle name="Output 2 2 4 24" xfId="3139"/>
    <cellStyle name="Output 2 2 4 24 2" xfId="10944"/>
    <cellStyle name="Output 2 2 4 24 3" xfId="18319"/>
    <cellStyle name="Output 2 2 4 24 4" xfId="19976"/>
    <cellStyle name="Output 2 2 4 24 5" xfId="28704"/>
    <cellStyle name="Output 2 2 4 24 6" xfId="41095"/>
    <cellStyle name="Output 2 2 4 24 7" xfId="48959"/>
    <cellStyle name="Output 2 2 4 25" xfId="3753"/>
    <cellStyle name="Output 2 2 4 25 2" xfId="11538"/>
    <cellStyle name="Output 2 2 4 25 3" xfId="18805"/>
    <cellStyle name="Output 2 2 4 25 4" xfId="25965"/>
    <cellStyle name="Output 2 2 4 25 5" xfId="34574"/>
    <cellStyle name="Output 2 2 4 25 6" xfId="39373"/>
    <cellStyle name="Output 2 2 4 25 7" xfId="52918"/>
    <cellStyle name="Output 2 2 4 26" xfId="3098"/>
    <cellStyle name="Output 2 2 4 26 2" xfId="10903"/>
    <cellStyle name="Output 2 2 4 26 3" xfId="18286"/>
    <cellStyle name="Output 2 2 4 26 4" xfId="19320"/>
    <cellStyle name="Output 2 2 4 26 5" xfId="28356"/>
    <cellStyle name="Output 2 2 4 26 6" xfId="37435"/>
    <cellStyle name="Output 2 2 4 26 7" xfId="47527"/>
    <cellStyle name="Output 2 2 4 27" xfId="3578"/>
    <cellStyle name="Output 2 2 4 27 2" xfId="11367"/>
    <cellStyle name="Output 2 2 4 27 3" xfId="20534"/>
    <cellStyle name="Output 2 2 4 27 4" xfId="28660"/>
    <cellStyle name="Output 2 2 4 27 5" xfId="38043"/>
    <cellStyle name="Output 2 2 4 27 6" xfId="42515"/>
    <cellStyle name="Output 2 2 4 27 7" xfId="54299"/>
    <cellStyle name="Output 2 2 4 28" xfId="4075"/>
    <cellStyle name="Output 2 2 4 28 2" xfId="11837"/>
    <cellStyle name="Output 2 2 4 28 3" xfId="20785"/>
    <cellStyle name="Output 2 2 4 28 4" xfId="28972"/>
    <cellStyle name="Output 2 2 4 28 5" xfId="38351"/>
    <cellStyle name="Output 2 2 4 28 6" xfId="42637"/>
    <cellStyle name="Output 2 2 4 28 7" xfId="47466"/>
    <cellStyle name="Output 2 2 4 29" xfId="3193"/>
    <cellStyle name="Output 2 2 4 29 2" xfId="20320"/>
    <cellStyle name="Output 2 2 4 29 3" xfId="28413"/>
    <cellStyle name="Output 2 2 4 29 4" xfId="37799"/>
    <cellStyle name="Output 2 2 4 29 5" xfId="42434"/>
    <cellStyle name="Output 2 2 4 29 6" xfId="50139"/>
    <cellStyle name="Output 2 2 4 3" xfId="214"/>
    <cellStyle name="Output 2 2 4 3 2" xfId="8319"/>
    <cellStyle name="Output 2 2 4 3 3" xfId="8397"/>
    <cellStyle name="Output 2 2 4 3 4" xfId="25544"/>
    <cellStyle name="Output 2 2 4 3 5" xfId="34035"/>
    <cellStyle name="Output 2 2 4 3 6" xfId="36324"/>
    <cellStyle name="Output 2 2 4 3 7" xfId="51969"/>
    <cellStyle name="Output 2 2 4 30" xfId="4273"/>
    <cellStyle name="Output 2 2 4 30 2" xfId="11990"/>
    <cellStyle name="Output 2 2 4 30 3" xfId="20983"/>
    <cellStyle name="Output 2 2 4 30 4" xfId="29170"/>
    <cellStyle name="Output 2 2 4 30 5" xfId="38543"/>
    <cellStyle name="Output 2 2 4 30 6" xfId="42835"/>
    <cellStyle name="Output 2 2 4 30 7" xfId="51995"/>
    <cellStyle name="Output 2 2 4 31" xfId="4396"/>
    <cellStyle name="Output 2 2 4 31 2" xfId="12113"/>
    <cellStyle name="Output 2 2 4 31 3" xfId="21106"/>
    <cellStyle name="Output 2 2 4 31 4" xfId="29293"/>
    <cellStyle name="Output 2 2 4 31 5" xfId="38663"/>
    <cellStyle name="Output 2 2 4 31 6" xfId="42958"/>
    <cellStyle name="Output 2 2 4 31 7" xfId="48311"/>
    <cellStyle name="Output 2 2 4 32" xfId="4512"/>
    <cellStyle name="Output 2 2 4 32 2" xfId="12229"/>
    <cellStyle name="Output 2 2 4 32 3" xfId="21222"/>
    <cellStyle name="Output 2 2 4 32 4" xfId="29409"/>
    <cellStyle name="Output 2 2 4 32 5" xfId="38773"/>
    <cellStyle name="Output 2 2 4 32 6" xfId="43074"/>
    <cellStyle name="Output 2 2 4 32 7" xfId="50371"/>
    <cellStyle name="Output 2 2 4 33" xfId="4626"/>
    <cellStyle name="Output 2 2 4 33 2" xfId="12343"/>
    <cellStyle name="Output 2 2 4 33 3" xfId="21336"/>
    <cellStyle name="Output 2 2 4 33 4" xfId="29523"/>
    <cellStyle name="Output 2 2 4 33 5" xfId="38882"/>
    <cellStyle name="Output 2 2 4 33 6" xfId="43188"/>
    <cellStyle name="Output 2 2 4 33 7" xfId="54424"/>
    <cellStyle name="Output 2 2 4 34" xfId="4739"/>
    <cellStyle name="Output 2 2 4 34 2" xfId="12456"/>
    <cellStyle name="Output 2 2 4 34 3" xfId="21449"/>
    <cellStyle name="Output 2 2 4 34 4" xfId="29636"/>
    <cellStyle name="Output 2 2 4 34 5" xfId="38991"/>
    <cellStyle name="Output 2 2 4 34 6" xfId="43301"/>
    <cellStyle name="Output 2 2 4 34 7" xfId="50522"/>
    <cellStyle name="Output 2 2 4 35" xfId="4399"/>
    <cellStyle name="Output 2 2 4 35 2" xfId="12116"/>
    <cellStyle name="Output 2 2 4 35 3" xfId="21109"/>
    <cellStyle name="Output 2 2 4 35 4" xfId="29296"/>
    <cellStyle name="Output 2 2 4 35 5" xfId="38666"/>
    <cellStyle name="Output 2 2 4 35 6" xfId="42961"/>
    <cellStyle name="Output 2 2 4 35 7" xfId="47886"/>
    <cellStyle name="Output 2 2 4 36" xfId="4959"/>
    <cellStyle name="Output 2 2 4 36 2" xfId="12676"/>
    <cellStyle name="Output 2 2 4 36 3" xfId="21669"/>
    <cellStyle name="Output 2 2 4 36 4" xfId="29856"/>
    <cellStyle name="Output 2 2 4 36 5" xfId="39203"/>
    <cellStyle name="Output 2 2 4 36 6" xfId="43521"/>
    <cellStyle name="Output 2 2 4 36 7" xfId="47665"/>
    <cellStyle name="Output 2 2 4 37" xfId="5330"/>
    <cellStyle name="Output 2 2 4 37 2" xfId="13047"/>
    <cellStyle name="Output 2 2 4 37 3" xfId="22040"/>
    <cellStyle name="Output 2 2 4 37 4" xfId="30227"/>
    <cellStyle name="Output 2 2 4 37 5" xfId="39561"/>
    <cellStyle name="Output 2 2 4 37 6" xfId="43892"/>
    <cellStyle name="Output 2 2 4 37 7" xfId="50947"/>
    <cellStyle name="Output 2 2 4 38" xfId="5451"/>
    <cellStyle name="Output 2 2 4 38 2" xfId="13168"/>
    <cellStyle name="Output 2 2 4 38 3" xfId="22161"/>
    <cellStyle name="Output 2 2 4 38 4" xfId="30348"/>
    <cellStyle name="Output 2 2 4 38 5" xfId="39677"/>
    <cellStyle name="Output 2 2 4 38 6" xfId="44013"/>
    <cellStyle name="Output 2 2 4 38 7" xfId="53567"/>
    <cellStyle name="Output 2 2 4 39" xfId="5573"/>
    <cellStyle name="Output 2 2 4 39 2" xfId="13290"/>
    <cellStyle name="Output 2 2 4 39 3" xfId="22283"/>
    <cellStyle name="Output 2 2 4 39 4" xfId="30470"/>
    <cellStyle name="Output 2 2 4 39 5" xfId="39793"/>
    <cellStyle name="Output 2 2 4 39 6" xfId="44135"/>
    <cellStyle name="Output 2 2 4 39 7" xfId="46844"/>
    <cellStyle name="Output 2 2 4 4" xfId="849"/>
    <cellStyle name="Output 2 2 4 4 2" xfId="8673"/>
    <cellStyle name="Output 2 2 4 4 3" xfId="16101"/>
    <cellStyle name="Output 2 2 4 4 4" xfId="25029"/>
    <cellStyle name="Output 2 2 4 4 5" xfId="33384"/>
    <cellStyle name="Output 2 2 4 4 6" xfId="36700"/>
    <cellStyle name="Output 2 2 4 4 7" xfId="50858"/>
    <cellStyle name="Output 2 2 4 40" xfId="5378"/>
    <cellStyle name="Output 2 2 4 40 2" xfId="13095"/>
    <cellStyle name="Output 2 2 4 40 3" xfId="22088"/>
    <cellStyle name="Output 2 2 4 40 4" xfId="30275"/>
    <cellStyle name="Output 2 2 4 40 5" xfId="39606"/>
    <cellStyle name="Output 2 2 4 40 6" xfId="43940"/>
    <cellStyle name="Output 2 2 4 40 7" xfId="53600"/>
    <cellStyle name="Output 2 2 4 41" xfId="5173"/>
    <cellStyle name="Output 2 2 4 41 2" xfId="12890"/>
    <cellStyle name="Output 2 2 4 41 3" xfId="21883"/>
    <cellStyle name="Output 2 2 4 41 4" xfId="30070"/>
    <cellStyle name="Output 2 2 4 41 5" xfId="39409"/>
    <cellStyle name="Output 2 2 4 41 6" xfId="43735"/>
    <cellStyle name="Output 2 2 4 41 7" xfId="52286"/>
    <cellStyle name="Output 2 2 4 42" xfId="5935"/>
    <cellStyle name="Output 2 2 4 42 2" xfId="13652"/>
    <cellStyle name="Output 2 2 4 42 3" xfId="22645"/>
    <cellStyle name="Output 2 2 4 42 4" xfId="30832"/>
    <cellStyle name="Output 2 2 4 42 5" xfId="40143"/>
    <cellStyle name="Output 2 2 4 42 6" xfId="44497"/>
    <cellStyle name="Output 2 2 4 42 7" xfId="53980"/>
    <cellStyle name="Output 2 2 4 43" xfId="5078"/>
    <cellStyle name="Output 2 2 4 43 2" xfId="12795"/>
    <cellStyle name="Output 2 2 4 43 3" xfId="21788"/>
    <cellStyle name="Output 2 2 4 43 4" xfId="29975"/>
    <cellStyle name="Output 2 2 4 43 5" xfId="39318"/>
    <cellStyle name="Output 2 2 4 43 6" xfId="43640"/>
    <cellStyle name="Output 2 2 4 43 7" xfId="53127"/>
    <cellStyle name="Output 2 2 4 44" xfId="6192"/>
    <cellStyle name="Output 2 2 4 44 2" xfId="13909"/>
    <cellStyle name="Output 2 2 4 44 3" xfId="22902"/>
    <cellStyle name="Output 2 2 4 44 4" xfId="31089"/>
    <cellStyle name="Output 2 2 4 44 5" xfId="40390"/>
    <cellStyle name="Output 2 2 4 44 6" xfId="44754"/>
    <cellStyle name="Output 2 2 4 44 7" xfId="48906"/>
    <cellStyle name="Output 2 2 4 45" xfId="5159"/>
    <cellStyle name="Output 2 2 4 45 2" xfId="12876"/>
    <cellStyle name="Output 2 2 4 45 3" xfId="21869"/>
    <cellStyle name="Output 2 2 4 45 4" xfId="30056"/>
    <cellStyle name="Output 2 2 4 45 5" xfId="39395"/>
    <cellStyle name="Output 2 2 4 45 6" xfId="43721"/>
    <cellStyle name="Output 2 2 4 45 7" xfId="53671"/>
    <cellStyle name="Output 2 2 4 46" xfId="5179"/>
    <cellStyle name="Output 2 2 4 46 2" xfId="12896"/>
    <cellStyle name="Output 2 2 4 46 3" xfId="21889"/>
    <cellStyle name="Output 2 2 4 46 4" xfId="30076"/>
    <cellStyle name="Output 2 2 4 46 5" xfId="39415"/>
    <cellStyle name="Output 2 2 4 46 6" xfId="43741"/>
    <cellStyle name="Output 2 2 4 46 7" xfId="51485"/>
    <cellStyle name="Output 2 2 4 47" xfId="5582"/>
    <cellStyle name="Output 2 2 4 47 2" xfId="13299"/>
    <cellStyle name="Output 2 2 4 47 3" xfId="22292"/>
    <cellStyle name="Output 2 2 4 47 4" xfId="30479"/>
    <cellStyle name="Output 2 2 4 47 5" xfId="39801"/>
    <cellStyle name="Output 2 2 4 47 6" xfId="44144"/>
    <cellStyle name="Output 2 2 4 47 7" xfId="47155"/>
    <cellStyle name="Output 2 2 4 48" xfId="6558"/>
    <cellStyle name="Output 2 2 4 48 2" xfId="14275"/>
    <cellStyle name="Output 2 2 4 48 3" xfId="23268"/>
    <cellStyle name="Output 2 2 4 48 4" xfId="31455"/>
    <cellStyle name="Output 2 2 4 48 5" xfId="40744"/>
    <cellStyle name="Output 2 2 4 48 6" xfId="45120"/>
    <cellStyle name="Output 2 2 4 48 7" xfId="52957"/>
    <cellStyle name="Output 2 2 4 49" xfId="6181"/>
    <cellStyle name="Output 2 2 4 49 2" xfId="13898"/>
    <cellStyle name="Output 2 2 4 49 3" xfId="22891"/>
    <cellStyle name="Output 2 2 4 49 4" xfId="31078"/>
    <cellStyle name="Output 2 2 4 49 5" xfId="40379"/>
    <cellStyle name="Output 2 2 4 49 6" xfId="44743"/>
    <cellStyle name="Output 2 2 4 49 7" xfId="50160"/>
    <cellStyle name="Output 2 2 4 5" xfId="1300"/>
    <cellStyle name="Output 2 2 4 5 2" xfId="9123"/>
    <cellStyle name="Output 2 2 4 5 3" xfId="16551"/>
    <cellStyle name="Output 2 2 4 5 4" xfId="26643"/>
    <cellStyle name="Output 2 2 4 5 5" xfId="35482"/>
    <cellStyle name="Output 2 2 4 5 6" xfId="38175"/>
    <cellStyle name="Output 2 2 4 5 7" xfId="54376"/>
    <cellStyle name="Output 2 2 4 50" xfId="6796"/>
    <cellStyle name="Output 2 2 4 50 2" xfId="14513"/>
    <cellStyle name="Output 2 2 4 50 3" xfId="23506"/>
    <cellStyle name="Output 2 2 4 50 4" xfId="31693"/>
    <cellStyle name="Output 2 2 4 50 5" xfId="40972"/>
    <cellStyle name="Output 2 2 4 50 6" xfId="45358"/>
    <cellStyle name="Output 2 2 4 50 7" xfId="52047"/>
    <cellStyle name="Output 2 2 4 51" xfId="6910"/>
    <cellStyle name="Output 2 2 4 51 2" xfId="14627"/>
    <cellStyle name="Output 2 2 4 51 3" xfId="23620"/>
    <cellStyle name="Output 2 2 4 51 4" xfId="31807"/>
    <cellStyle name="Output 2 2 4 51 5" xfId="41079"/>
    <cellStyle name="Output 2 2 4 51 6" xfId="45472"/>
    <cellStyle name="Output 2 2 4 51 7" xfId="47052"/>
    <cellStyle name="Output 2 2 4 52" xfId="7023"/>
    <cellStyle name="Output 2 2 4 52 2" xfId="14740"/>
    <cellStyle name="Output 2 2 4 52 3" xfId="23733"/>
    <cellStyle name="Output 2 2 4 52 4" xfId="31920"/>
    <cellStyle name="Output 2 2 4 52 5" xfId="41187"/>
    <cellStyle name="Output 2 2 4 52 6" xfId="45585"/>
    <cellStyle name="Output 2 2 4 52 7" xfId="54539"/>
    <cellStyle name="Output 2 2 4 53" xfId="7251"/>
    <cellStyle name="Output 2 2 4 53 2" xfId="14968"/>
    <cellStyle name="Output 2 2 4 53 3" xfId="23961"/>
    <cellStyle name="Output 2 2 4 53 4" xfId="32148"/>
    <cellStyle name="Output 2 2 4 53 5" xfId="41404"/>
    <cellStyle name="Output 2 2 4 53 6" xfId="45813"/>
    <cellStyle name="Output 2 2 4 53 7" xfId="48234"/>
    <cellStyle name="Output 2 2 4 54" xfId="7405"/>
    <cellStyle name="Output 2 2 4 54 2" xfId="15122"/>
    <cellStyle name="Output 2 2 4 54 3" xfId="24115"/>
    <cellStyle name="Output 2 2 4 54 4" xfId="32302"/>
    <cellStyle name="Output 2 2 4 54 5" xfId="41554"/>
    <cellStyle name="Output 2 2 4 54 6" xfId="45967"/>
    <cellStyle name="Output 2 2 4 54 7" xfId="52956"/>
    <cellStyle name="Output 2 2 4 55" xfId="7420"/>
    <cellStyle name="Output 2 2 4 55 2" xfId="15137"/>
    <cellStyle name="Output 2 2 4 55 3" xfId="24130"/>
    <cellStyle name="Output 2 2 4 55 4" xfId="32317"/>
    <cellStyle name="Output 2 2 4 55 5" xfId="41569"/>
    <cellStyle name="Output 2 2 4 55 6" xfId="45982"/>
    <cellStyle name="Output 2 2 4 55 7" xfId="51212"/>
    <cellStyle name="Output 2 2 4 56" xfId="7541"/>
    <cellStyle name="Output 2 2 4 56 2" xfId="15258"/>
    <cellStyle name="Output 2 2 4 56 3" xfId="24251"/>
    <cellStyle name="Output 2 2 4 56 4" xfId="32438"/>
    <cellStyle name="Output 2 2 4 56 5" xfId="41684"/>
    <cellStyle name="Output 2 2 4 56 6" xfId="46103"/>
    <cellStyle name="Output 2 2 4 56 7" xfId="53242"/>
    <cellStyle name="Output 2 2 4 57" xfId="7813"/>
    <cellStyle name="Output 2 2 4 57 2" xfId="15530"/>
    <cellStyle name="Output 2 2 4 57 3" xfId="24517"/>
    <cellStyle name="Output 2 2 4 57 4" xfId="32710"/>
    <cellStyle name="Output 2 2 4 57 5" xfId="41945"/>
    <cellStyle name="Output 2 2 4 57 6" xfId="46375"/>
    <cellStyle name="Output 2 2 4 57 7" xfId="53516"/>
    <cellStyle name="Output 2 2 4 58" xfId="7805"/>
    <cellStyle name="Output 2 2 4 58 2" xfId="15522"/>
    <cellStyle name="Output 2 2 4 58 3" xfId="24509"/>
    <cellStyle name="Output 2 2 4 58 4" xfId="32702"/>
    <cellStyle name="Output 2 2 4 58 5" xfId="41937"/>
    <cellStyle name="Output 2 2 4 58 6" xfId="46367"/>
    <cellStyle name="Output 2 2 4 58 7" xfId="46970"/>
    <cellStyle name="Output 2 2 4 59" xfId="7804"/>
    <cellStyle name="Output 2 2 4 59 2" xfId="15521"/>
    <cellStyle name="Output 2 2 4 59 3" xfId="24508"/>
    <cellStyle name="Output 2 2 4 59 4" xfId="32701"/>
    <cellStyle name="Output 2 2 4 59 5" xfId="41936"/>
    <cellStyle name="Output 2 2 4 59 6" xfId="46366"/>
    <cellStyle name="Output 2 2 4 59 7" xfId="50612"/>
    <cellStyle name="Output 2 2 4 6" xfId="1021"/>
    <cellStyle name="Output 2 2 4 6 2" xfId="8845"/>
    <cellStyle name="Output 2 2 4 6 3" xfId="16273"/>
    <cellStyle name="Output 2 2 4 6 4" xfId="19527"/>
    <cellStyle name="Output 2 2 4 6 5" xfId="27874"/>
    <cellStyle name="Output 2 2 4 6 6" xfId="37722"/>
    <cellStyle name="Output 2 2 4 6 7" xfId="47237"/>
    <cellStyle name="Output 2 2 4 60" xfId="8093"/>
    <cellStyle name="Output 2 2 4 60 2" xfId="15810"/>
    <cellStyle name="Output 2 2 4 60 3" xfId="32990"/>
    <cellStyle name="Output 2 2 4 60 4" xfId="42212"/>
    <cellStyle name="Output 2 2 4 60 5" xfId="46655"/>
    <cellStyle name="Output 2 2 4 60 6" xfId="48809"/>
    <cellStyle name="Output 2 2 4 61" xfId="25215"/>
    <cellStyle name="Output 2 2 4 62" xfId="33614"/>
    <cellStyle name="Output 2 2 4 63" xfId="36518"/>
    <cellStyle name="Output 2 2 4 64" xfId="51251"/>
    <cellStyle name="Output 2 2 4 7" xfId="1195"/>
    <cellStyle name="Output 2 2 4 7 2" xfId="9018"/>
    <cellStyle name="Output 2 2 4 7 3" xfId="16446"/>
    <cellStyle name="Output 2 2 4 7 4" xfId="25759"/>
    <cellStyle name="Output 2 2 4 7 5" xfId="34312"/>
    <cellStyle name="Output 2 2 4 7 6" xfId="42026"/>
    <cellStyle name="Output 2 2 4 7 7" xfId="52446"/>
    <cellStyle name="Output 2 2 4 8" xfId="1662"/>
    <cellStyle name="Output 2 2 4 8 2" xfId="9485"/>
    <cellStyle name="Output 2 2 4 8 3" xfId="16913"/>
    <cellStyle name="Output 2 2 4 8 4" xfId="25030"/>
    <cellStyle name="Output 2 2 4 8 5" xfId="33385"/>
    <cellStyle name="Output 2 2 4 8 6" xfId="36538"/>
    <cellStyle name="Output 2 2 4 8 7" xfId="50859"/>
    <cellStyle name="Output 2 2 4 9" xfId="1801"/>
    <cellStyle name="Output 2 2 4 9 2" xfId="9624"/>
    <cellStyle name="Output 2 2 4 9 3" xfId="17052"/>
    <cellStyle name="Output 2 2 4 9 4" xfId="25076"/>
    <cellStyle name="Output 2 2 4 9 5" xfId="33436"/>
    <cellStyle name="Output 2 2 4 9 6" xfId="40840"/>
    <cellStyle name="Output 2 2 4 9 7" xfId="50961"/>
    <cellStyle name="Output 2 2 40" xfId="3529"/>
    <cellStyle name="Output 2 2 40 2" xfId="11320"/>
    <cellStyle name="Output 2 2 40 3" xfId="20500"/>
    <cellStyle name="Output 2 2 40 4" xfId="28625"/>
    <cellStyle name="Output 2 2 40 5" xfId="38001"/>
    <cellStyle name="Output 2 2 40 6" xfId="42497"/>
    <cellStyle name="Output 2 2 40 7" xfId="47667"/>
    <cellStyle name="Output 2 2 41" xfId="4955"/>
    <cellStyle name="Output 2 2 41 2" xfId="12672"/>
    <cellStyle name="Output 2 2 41 3" xfId="21665"/>
    <cellStyle name="Output 2 2 41 4" xfId="29852"/>
    <cellStyle name="Output 2 2 41 5" xfId="39199"/>
    <cellStyle name="Output 2 2 41 6" xfId="43517"/>
    <cellStyle name="Output 2 2 41 7" xfId="52482"/>
    <cellStyle name="Output 2 2 42" xfId="5176"/>
    <cellStyle name="Output 2 2 42 2" xfId="12893"/>
    <cellStyle name="Output 2 2 42 3" xfId="21886"/>
    <cellStyle name="Output 2 2 42 4" xfId="30073"/>
    <cellStyle name="Output 2 2 42 5" xfId="39412"/>
    <cellStyle name="Output 2 2 42 6" xfId="43738"/>
    <cellStyle name="Output 2 2 42 7" xfId="47591"/>
    <cellStyle name="Output 2 2 43" xfId="5446"/>
    <cellStyle name="Output 2 2 43 2" xfId="13163"/>
    <cellStyle name="Output 2 2 43 3" xfId="22156"/>
    <cellStyle name="Output 2 2 43 4" xfId="30343"/>
    <cellStyle name="Output 2 2 43 5" xfId="39672"/>
    <cellStyle name="Output 2 2 43 6" xfId="44008"/>
    <cellStyle name="Output 2 2 43 7" xfId="48184"/>
    <cellStyle name="Output 2 2 44" xfId="5458"/>
    <cellStyle name="Output 2 2 44 2" xfId="13175"/>
    <cellStyle name="Output 2 2 44 3" xfId="22168"/>
    <cellStyle name="Output 2 2 44 4" xfId="30355"/>
    <cellStyle name="Output 2 2 44 5" xfId="39683"/>
    <cellStyle name="Output 2 2 44 6" xfId="44020"/>
    <cellStyle name="Output 2 2 44 7" xfId="52976"/>
    <cellStyle name="Output 2 2 45" xfId="5199"/>
    <cellStyle name="Output 2 2 45 2" xfId="12916"/>
    <cellStyle name="Output 2 2 45 3" xfId="21909"/>
    <cellStyle name="Output 2 2 45 4" xfId="30096"/>
    <cellStyle name="Output 2 2 45 5" xfId="39433"/>
    <cellStyle name="Output 2 2 45 6" xfId="43761"/>
    <cellStyle name="Output 2 2 45 7" xfId="49400"/>
    <cellStyle name="Output 2 2 46" xfId="5205"/>
    <cellStyle name="Output 2 2 46 2" xfId="12922"/>
    <cellStyle name="Output 2 2 46 3" xfId="21915"/>
    <cellStyle name="Output 2 2 46 4" xfId="30102"/>
    <cellStyle name="Output 2 2 46 5" xfId="39439"/>
    <cellStyle name="Output 2 2 46 6" xfId="43767"/>
    <cellStyle name="Output 2 2 46 7" xfId="48920"/>
    <cellStyle name="Output 2 2 47" xfId="5454"/>
    <cellStyle name="Output 2 2 47 2" xfId="13171"/>
    <cellStyle name="Output 2 2 47 3" xfId="22164"/>
    <cellStyle name="Output 2 2 47 4" xfId="30351"/>
    <cellStyle name="Output 2 2 47 5" xfId="39679"/>
    <cellStyle name="Output 2 2 47 6" xfId="44016"/>
    <cellStyle name="Output 2 2 47 7" xfId="53252"/>
    <cellStyle name="Output 2 2 48" xfId="5295"/>
    <cellStyle name="Output 2 2 48 2" xfId="13012"/>
    <cellStyle name="Output 2 2 48 3" xfId="22005"/>
    <cellStyle name="Output 2 2 48 4" xfId="30192"/>
    <cellStyle name="Output 2 2 48 5" xfId="39526"/>
    <cellStyle name="Output 2 2 48 6" xfId="43857"/>
    <cellStyle name="Output 2 2 48 7" xfId="48239"/>
    <cellStyle name="Output 2 2 49" xfId="5237"/>
    <cellStyle name="Output 2 2 49 2" xfId="12954"/>
    <cellStyle name="Output 2 2 49 3" xfId="21947"/>
    <cellStyle name="Output 2 2 49 4" xfId="30134"/>
    <cellStyle name="Output 2 2 49 5" xfId="39469"/>
    <cellStyle name="Output 2 2 49 6" xfId="43799"/>
    <cellStyle name="Output 2 2 49 7" xfId="52992"/>
    <cellStyle name="Output 2 2 5" xfId="572"/>
    <cellStyle name="Output 2 2 5 10" xfId="2019"/>
    <cellStyle name="Output 2 2 5 10 2" xfId="9842"/>
    <cellStyle name="Output 2 2 5 10 3" xfId="17270"/>
    <cellStyle name="Output 2 2 5 10 4" xfId="24953"/>
    <cellStyle name="Output 2 2 5 10 5" xfId="33289"/>
    <cellStyle name="Output 2 2 5 10 6" xfId="40848"/>
    <cellStyle name="Output 2 2 5 10 7" xfId="50676"/>
    <cellStyle name="Output 2 2 5 11" xfId="2136"/>
    <cellStyle name="Output 2 2 5 11 2" xfId="9959"/>
    <cellStyle name="Output 2 2 5 11 3" xfId="17387"/>
    <cellStyle name="Output 2 2 5 11 4" xfId="25235"/>
    <cellStyle name="Output 2 2 5 11 5" xfId="33639"/>
    <cellStyle name="Output 2 2 5 11 6" xfId="37124"/>
    <cellStyle name="Output 2 2 5 11 7" xfId="51293"/>
    <cellStyle name="Output 2 2 5 12" xfId="2250"/>
    <cellStyle name="Output 2 2 5 12 2" xfId="10073"/>
    <cellStyle name="Output 2 2 5 12 3" xfId="17501"/>
    <cellStyle name="Output 2 2 5 12 4" xfId="25404"/>
    <cellStyle name="Output 2 2 5 12 5" xfId="33859"/>
    <cellStyle name="Output 2 2 5 12 6" xfId="36532"/>
    <cellStyle name="Output 2 2 5 12 7" xfId="51655"/>
    <cellStyle name="Output 2 2 5 13" xfId="1158"/>
    <cellStyle name="Output 2 2 5 13 2" xfId="8981"/>
    <cellStyle name="Output 2 2 5 13 3" xfId="16409"/>
    <cellStyle name="Output 2 2 5 13 4" xfId="20111"/>
    <cellStyle name="Output 2 2 5 13 5" xfId="27072"/>
    <cellStyle name="Output 2 2 5 13 6" xfId="39058"/>
    <cellStyle name="Output 2 2 5 13 7" xfId="48830"/>
    <cellStyle name="Output 2 2 5 14" xfId="1599"/>
    <cellStyle name="Output 2 2 5 14 2" xfId="9422"/>
    <cellStyle name="Output 2 2 5 14 3" xfId="16850"/>
    <cellStyle name="Output 2 2 5 14 4" xfId="19505"/>
    <cellStyle name="Output 2 2 5 14 5" xfId="28586"/>
    <cellStyle name="Output 2 2 5 14 6" xfId="37835"/>
    <cellStyle name="Output 2 2 5 14 7" xfId="50249"/>
    <cellStyle name="Output 2 2 5 15" xfId="2547"/>
    <cellStyle name="Output 2 2 5 15 2" xfId="10370"/>
    <cellStyle name="Output 2 2 5 15 3" xfId="17798"/>
    <cellStyle name="Output 2 2 5 15 4" xfId="20263"/>
    <cellStyle name="Output 2 2 5 15 5" xfId="27282"/>
    <cellStyle name="Output 2 2 5 15 6" xfId="40587"/>
    <cellStyle name="Output 2 2 5 15 7" xfId="46973"/>
    <cellStyle name="Output 2 2 5 16" xfId="2661"/>
    <cellStyle name="Output 2 2 5 16 2" xfId="10484"/>
    <cellStyle name="Output 2 2 5 16 3" xfId="17912"/>
    <cellStyle name="Output 2 2 5 16 4" xfId="19211"/>
    <cellStyle name="Output 2 2 5 16 5" xfId="27123"/>
    <cellStyle name="Output 2 2 5 16 6" xfId="36372"/>
    <cellStyle name="Output 2 2 5 16 7" xfId="49926"/>
    <cellStyle name="Output 2 2 5 17" xfId="2282"/>
    <cellStyle name="Output 2 2 5 17 2" xfId="10105"/>
    <cellStyle name="Output 2 2 5 17 3" xfId="17533"/>
    <cellStyle name="Output 2 2 5 17 4" xfId="25519"/>
    <cellStyle name="Output 2 2 5 17 5" xfId="34000"/>
    <cellStyle name="Output 2 2 5 17 6" xfId="37096"/>
    <cellStyle name="Output 2 2 5 17 7" xfId="51911"/>
    <cellStyle name="Output 2 2 5 18" xfId="1202"/>
    <cellStyle name="Output 2 2 5 18 2" xfId="9025"/>
    <cellStyle name="Output 2 2 5 18 3" xfId="16453"/>
    <cellStyle name="Output 2 2 5 18 4" xfId="25347"/>
    <cellStyle name="Output 2 2 5 18 5" xfId="33781"/>
    <cellStyle name="Output 2 2 5 18 6" xfId="41050"/>
    <cellStyle name="Output 2 2 5 18 7" xfId="51524"/>
    <cellStyle name="Output 2 2 5 19" xfId="2852"/>
    <cellStyle name="Output 2 2 5 19 2" xfId="10675"/>
    <cellStyle name="Output 2 2 5 19 3" xfId="18103"/>
    <cellStyle name="Output 2 2 5 19 4" xfId="26198"/>
    <cellStyle name="Output 2 2 5 19 5" xfId="34879"/>
    <cellStyle name="Output 2 2 5 19 6" xfId="39053"/>
    <cellStyle name="Output 2 2 5 19 7" xfId="53424"/>
    <cellStyle name="Output 2 2 5 2" xfId="720"/>
    <cellStyle name="Output 2 2 5 2 2" xfId="8544"/>
    <cellStyle name="Output 2 2 5 2 3" xfId="15972"/>
    <cellStyle name="Output 2 2 5 2 4" xfId="25320"/>
    <cellStyle name="Output 2 2 5 2 5" xfId="33747"/>
    <cellStyle name="Output 2 2 5 2 6" xfId="36468"/>
    <cellStyle name="Output 2 2 5 2 7" xfId="51473"/>
    <cellStyle name="Output 2 2 5 20" xfId="2959"/>
    <cellStyle name="Output 2 2 5 20 2" xfId="10782"/>
    <cellStyle name="Output 2 2 5 20 3" xfId="18210"/>
    <cellStyle name="Output 2 2 5 20 4" xfId="20230"/>
    <cellStyle name="Output 2 2 5 20 5" xfId="27503"/>
    <cellStyle name="Output 2 2 5 20 6" xfId="37755"/>
    <cellStyle name="Output 2 2 5 20 7" xfId="50144"/>
    <cellStyle name="Output 2 2 5 21" xfId="3336"/>
    <cellStyle name="Output 2 2 5 21 2" xfId="11129"/>
    <cellStyle name="Output 2 2 5 21 3" xfId="18457"/>
    <cellStyle name="Output 2 2 5 21 4" xfId="26617"/>
    <cellStyle name="Output 2 2 5 21 5" xfId="35448"/>
    <cellStyle name="Output 2 2 5 21 6" xfId="38322"/>
    <cellStyle name="Output 2 2 5 21 7" xfId="54321"/>
    <cellStyle name="Output 2 2 5 22" xfId="3455"/>
    <cellStyle name="Output 2 2 5 22 2" xfId="11246"/>
    <cellStyle name="Output 2 2 5 22 3" xfId="18568"/>
    <cellStyle name="Output 2 2 5 22 4" xfId="25626"/>
    <cellStyle name="Output 2 2 5 22 5" xfId="34140"/>
    <cellStyle name="Output 2 2 5 22 6" xfId="38600"/>
    <cellStyle name="Output 2 2 5 22 7" xfId="52142"/>
    <cellStyle name="Output 2 2 5 23" xfId="3615"/>
    <cellStyle name="Output 2 2 5 23 2" xfId="11401"/>
    <cellStyle name="Output 2 2 5 23 3" xfId="18675"/>
    <cellStyle name="Output 2 2 5 23 4" xfId="19138"/>
    <cellStyle name="Output 2 2 5 23 5" xfId="26981"/>
    <cellStyle name="Output 2 2 5 23 6" xfId="37987"/>
    <cellStyle name="Output 2 2 5 23 7" xfId="49834"/>
    <cellStyle name="Output 2 2 5 24" xfId="3728"/>
    <cellStyle name="Output 2 2 5 24 2" xfId="11513"/>
    <cellStyle name="Output 2 2 5 24 3" xfId="18785"/>
    <cellStyle name="Output 2 2 5 24 4" xfId="24921"/>
    <cellStyle name="Output 2 2 5 24 5" xfId="33250"/>
    <cellStyle name="Output 2 2 5 24 6" xfId="41810"/>
    <cellStyle name="Output 2 2 5 24 7" xfId="50618"/>
    <cellStyle name="Output 2 2 5 25" xfId="3857"/>
    <cellStyle name="Output 2 2 5 25 2" xfId="11639"/>
    <cellStyle name="Output 2 2 5 25 3" xfId="18895"/>
    <cellStyle name="Output 2 2 5 25 4" xfId="20021"/>
    <cellStyle name="Output 2 2 5 25 5" xfId="28260"/>
    <cellStyle name="Output 2 2 5 25 6" xfId="36313"/>
    <cellStyle name="Output 2 2 5 25 7" xfId="48742"/>
    <cellStyle name="Output 2 2 5 26" xfId="3976"/>
    <cellStyle name="Output 2 2 5 26 2" xfId="11755"/>
    <cellStyle name="Output 2 2 5 26 3" xfId="19004"/>
    <cellStyle name="Output 2 2 5 26 4" xfId="25766"/>
    <cellStyle name="Output 2 2 5 26 5" xfId="34323"/>
    <cellStyle name="Output 2 2 5 26 6" xfId="38906"/>
    <cellStyle name="Output 2 2 5 26 7" xfId="52468"/>
    <cellStyle name="Output 2 2 5 27" xfId="3763"/>
    <cellStyle name="Output 2 2 5 27 2" xfId="11547"/>
    <cellStyle name="Output 2 2 5 27 3" xfId="20613"/>
    <cellStyle name="Output 2 2 5 27 4" xfId="28763"/>
    <cellStyle name="Output 2 2 5 27 5" xfId="38151"/>
    <cellStyle name="Output 2 2 5 27 6" xfId="42539"/>
    <cellStyle name="Output 2 2 5 27 7" xfId="47582"/>
    <cellStyle name="Output 2 2 5 28" xfId="4172"/>
    <cellStyle name="Output 2 2 5 28 2" xfId="11931"/>
    <cellStyle name="Output 2 2 5 28 3" xfId="20882"/>
    <cellStyle name="Output 2 2 5 28 4" xfId="29069"/>
    <cellStyle name="Output 2 2 5 28 5" xfId="38445"/>
    <cellStyle name="Output 2 2 5 28 6" xfId="42734"/>
    <cellStyle name="Output 2 2 5 28 7" xfId="47969"/>
    <cellStyle name="Output 2 2 5 29" xfId="4264"/>
    <cellStyle name="Output 2 2 5 29 2" xfId="20974"/>
    <cellStyle name="Output 2 2 5 29 3" xfId="29161"/>
    <cellStyle name="Output 2 2 5 29 4" xfId="38534"/>
    <cellStyle name="Output 2 2 5 29 5" xfId="42826"/>
    <cellStyle name="Output 2 2 5 29 6" xfId="52803"/>
    <cellStyle name="Output 2 2 5 3" xfId="829"/>
    <cellStyle name="Output 2 2 5 3 2" xfId="8653"/>
    <cellStyle name="Output 2 2 5 3 3" xfId="16081"/>
    <cellStyle name="Output 2 2 5 3 4" xfId="26061"/>
    <cellStyle name="Output 2 2 5 3 5" xfId="34705"/>
    <cellStyle name="Output 2 2 5 3 6" xfId="36339"/>
    <cellStyle name="Output 2 2 5 3 7" xfId="53125"/>
    <cellStyle name="Output 2 2 5 30" xfId="4370"/>
    <cellStyle name="Output 2 2 5 30 2" xfId="12087"/>
    <cellStyle name="Output 2 2 5 30 3" xfId="21080"/>
    <cellStyle name="Output 2 2 5 30 4" xfId="29267"/>
    <cellStyle name="Output 2 2 5 30 5" xfId="38637"/>
    <cellStyle name="Output 2 2 5 30 6" xfId="42932"/>
    <cellStyle name="Output 2 2 5 30 7" xfId="52113"/>
    <cellStyle name="Output 2 2 5 31" xfId="4492"/>
    <cellStyle name="Output 2 2 5 31 2" xfId="12209"/>
    <cellStyle name="Output 2 2 5 31 3" xfId="21202"/>
    <cellStyle name="Output 2 2 5 31 4" xfId="29389"/>
    <cellStyle name="Output 2 2 5 31 5" xfId="38753"/>
    <cellStyle name="Output 2 2 5 31 6" xfId="43054"/>
    <cellStyle name="Output 2 2 5 31 7" xfId="52523"/>
    <cellStyle name="Output 2 2 5 32" xfId="4606"/>
    <cellStyle name="Output 2 2 5 32 2" xfId="12323"/>
    <cellStyle name="Output 2 2 5 32 3" xfId="21316"/>
    <cellStyle name="Output 2 2 5 32 4" xfId="29503"/>
    <cellStyle name="Output 2 2 5 32 5" xfId="38862"/>
    <cellStyle name="Output 2 2 5 32 6" xfId="43168"/>
    <cellStyle name="Output 2 2 5 32 7" xfId="49108"/>
    <cellStyle name="Output 2 2 5 33" xfId="4719"/>
    <cellStyle name="Output 2 2 5 33 2" xfId="12436"/>
    <cellStyle name="Output 2 2 5 33 3" xfId="21429"/>
    <cellStyle name="Output 2 2 5 33 4" xfId="29616"/>
    <cellStyle name="Output 2 2 5 33 5" xfId="38971"/>
    <cellStyle name="Output 2 2 5 33 6" xfId="43281"/>
    <cellStyle name="Output 2 2 5 33 7" xfId="52581"/>
    <cellStyle name="Output 2 2 5 34" xfId="4829"/>
    <cellStyle name="Output 2 2 5 34 2" xfId="12546"/>
    <cellStyle name="Output 2 2 5 34 3" xfId="21539"/>
    <cellStyle name="Output 2 2 5 34 4" xfId="29726"/>
    <cellStyle name="Output 2 2 5 34 5" xfId="39078"/>
    <cellStyle name="Output 2 2 5 34 6" xfId="43391"/>
    <cellStyle name="Output 2 2 5 34 7" xfId="48778"/>
    <cellStyle name="Output 2 2 5 35" xfId="4939"/>
    <cellStyle name="Output 2 2 5 35 2" xfId="12656"/>
    <cellStyle name="Output 2 2 5 35 3" xfId="21649"/>
    <cellStyle name="Output 2 2 5 35 4" xfId="29836"/>
    <cellStyle name="Output 2 2 5 35 5" xfId="39183"/>
    <cellStyle name="Output 2 2 5 35 6" xfId="43501"/>
    <cellStyle name="Output 2 2 5 35 7" xfId="53979"/>
    <cellStyle name="Output 2 2 5 36" xfId="5049"/>
    <cellStyle name="Output 2 2 5 36 2" xfId="12766"/>
    <cellStyle name="Output 2 2 5 36 3" xfId="21759"/>
    <cellStyle name="Output 2 2 5 36 4" xfId="29946"/>
    <cellStyle name="Output 2 2 5 36 5" xfId="39290"/>
    <cellStyle name="Output 2 2 5 36 6" xfId="43611"/>
    <cellStyle name="Output 2 2 5 36 7" xfId="49102"/>
    <cellStyle name="Output 2 2 5 37" xfId="5429"/>
    <cellStyle name="Output 2 2 5 37 2" xfId="13146"/>
    <cellStyle name="Output 2 2 5 37 3" xfId="22139"/>
    <cellStyle name="Output 2 2 5 37 4" xfId="30326"/>
    <cellStyle name="Output 2 2 5 37 5" xfId="39655"/>
    <cellStyle name="Output 2 2 5 37 6" xfId="43991"/>
    <cellStyle name="Output 2 2 5 37 7" xfId="49686"/>
    <cellStyle name="Output 2 2 5 38" xfId="5549"/>
    <cellStyle name="Output 2 2 5 38 2" xfId="13266"/>
    <cellStyle name="Output 2 2 5 38 3" xfId="22259"/>
    <cellStyle name="Output 2 2 5 38 4" xfId="30446"/>
    <cellStyle name="Output 2 2 5 38 5" xfId="39769"/>
    <cellStyle name="Output 2 2 5 38 6" xfId="44111"/>
    <cellStyle name="Output 2 2 5 38 7" xfId="47178"/>
    <cellStyle name="Output 2 2 5 39" xfId="5673"/>
    <cellStyle name="Output 2 2 5 39 2" xfId="13390"/>
    <cellStyle name="Output 2 2 5 39 3" xfId="22383"/>
    <cellStyle name="Output 2 2 5 39 4" xfId="30570"/>
    <cellStyle name="Output 2 2 5 39 5" xfId="39890"/>
    <cellStyle name="Output 2 2 5 39 6" xfId="44235"/>
    <cellStyle name="Output 2 2 5 39 7" xfId="47100"/>
    <cellStyle name="Output 2 2 5 4" xfId="939"/>
    <cellStyle name="Output 2 2 5 4 2" xfId="8763"/>
    <cellStyle name="Output 2 2 5 4 3" xfId="16191"/>
    <cellStyle name="Output 2 2 5 4 4" xfId="20458"/>
    <cellStyle name="Output 2 2 5 4 5" xfId="27451"/>
    <cellStyle name="Output 2 2 5 4 6" xfId="38093"/>
    <cellStyle name="Output 2 2 5 4 7" xfId="49573"/>
    <cellStyle name="Output 2 2 5 40" xfId="5789"/>
    <cellStyle name="Output 2 2 5 40 2" xfId="13506"/>
    <cellStyle name="Output 2 2 5 40 3" xfId="22499"/>
    <cellStyle name="Output 2 2 5 40 4" xfId="30686"/>
    <cellStyle name="Output 2 2 5 40 5" xfId="40002"/>
    <cellStyle name="Output 2 2 5 40 6" xfId="44351"/>
    <cellStyle name="Output 2 2 5 40 7" xfId="54495"/>
    <cellStyle name="Output 2 2 5 41" xfId="5906"/>
    <cellStyle name="Output 2 2 5 41 2" xfId="13623"/>
    <cellStyle name="Output 2 2 5 41 3" xfId="22616"/>
    <cellStyle name="Output 2 2 5 41 4" xfId="30803"/>
    <cellStyle name="Output 2 2 5 41 5" xfId="40116"/>
    <cellStyle name="Output 2 2 5 41 6" xfId="44468"/>
    <cellStyle name="Output 2 2 5 41 7" xfId="48618"/>
    <cellStyle name="Output 2 2 5 42" xfId="6034"/>
    <cellStyle name="Output 2 2 5 42 2" xfId="13751"/>
    <cellStyle name="Output 2 2 5 42 3" xfId="22744"/>
    <cellStyle name="Output 2 2 5 42 4" xfId="30931"/>
    <cellStyle name="Output 2 2 5 42 5" xfId="40239"/>
    <cellStyle name="Output 2 2 5 42 6" xfId="44596"/>
    <cellStyle name="Output 2 2 5 42 7" xfId="47568"/>
    <cellStyle name="Output 2 2 5 43" xfId="6161"/>
    <cellStyle name="Output 2 2 5 43 2" xfId="13878"/>
    <cellStyle name="Output 2 2 5 43 3" xfId="22871"/>
    <cellStyle name="Output 2 2 5 43 4" xfId="31058"/>
    <cellStyle name="Output 2 2 5 43 5" xfId="40359"/>
    <cellStyle name="Output 2 2 5 43 6" xfId="44723"/>
    <cellStyle name="Output 2 2 5 43 7" xfId="52272"/>
    <cellStyle name="Output 2 2 5 44" xfId="6290"/>
    <cellStyle name="Output 2 2 5 44 2" xfId="14007"/>
    <cellStyle name="Output 2 2 5 44 3" xfId="23000"/>
    <cellStyle name="Output 2 2 5 44 4" xfId="31187"/>
    <cellStyle name="Output 2 2 5 44 5" xfId="40487"/>
    <cellStyle name="Output 2 2 5 44 6" xfId="44852"/>
    <cellStyle name="Output 2 2 5 44 7" xfId="47991"/>
    <cellStyle name="Output 2 2 5 45" xfId="6405"/>
    <cellStyle name="Output 2 2 5 45 2" xfId="14122"/>
    <cellStyle name="Output 2 2 5 45 3" xfId="23115"/>
    <cellStyle name="Output 2 2 5 45 4" xfId="31302"/>
    <cellStyle name="Output 2 2 5 45 5" xfId="40598"/>
    <cellStyle name="Output 2 2 5 45 6" xfId="44967"/>
    <cellStyle name="Output 2 2 5 45 7" xfId="49283"/>
    <cellStyle name="Output 2 2 5 46" xfId="6517"/>
    <cellStyle name="Output 2 2 5 46 2" xfId="14234"/>
    <cellStyle name="Output 2 2 5 46 3" xfId="23227"/>
    <cellStyle name="Output 2 2 5 46 4" xfId="31414"/>
    <cellStyle name="Output 2 2 5 46 5" xfId="40706"/>
    <cellStyle name="Output 2 2 5 46 6" xfId="45079"/>
    <cellStyle name="Output 2 2 5 46 7" xfId="52385"/>
    <cellStyle name="Output 2 2 5 47" xfId="6311"/>
    <cellStyle name="Output 2 2 5 47 2" xfId="14028"/>
    <cellStyle name="Output 2 2 5 47 3" xfId="23021"/>
    <cellStyle name="Output 2 2 5 47 4" xfId="31208"/>
    <cellStyle name="Output 2 2 5 47 5" xfId="40508"/>
    <cellStyle name="Output 2 2 5 47 6" xfId="44873"/>
    <cellStyle name="Output 2 2 5 47 7" xfId="52570"/>
    <cellStyle name="Output 2 2 5 48" xfId="6664"/>
    <cellStyle name="Output 2 2 5 48 2" xfId="14381"/>
    <cellStyle name="Output 2 2 5 48 3" xfId="23374"/>
    <cellStyle name="Output 2 2 5 48 4" xfId="31561"/>
    <cellStyle name="Output 2 2 5 48 5" xfId="40845"/>
    <cellStyle name="Output 2 2 5 48 6" xfId="45226"/>
    <cellStyle name="Output 2 2 5 48 7" xfId="51563"/>
    <cellStyle name="Output 2 2 5 49" xfId="6775"/>
    <cellStyle name="Output 2 2 5 49 2" xfId="14492"/>
    <cellStyle name="Output 2 2 5 49 3" xfId="23485"/>
    <cellStyle name="Output 2 2 5 49 4" xfId="31672"/>
    <cellStyle name="Output 2 2 5 49 5" xfId="40951"/>
    <cellStyle name="Output 2 2 5 49 6" xfId="45337"/>
    <cellStyle name="Output 2 2 5 49 7" xfId="48404"/>
    <cellStyle name="Output 2 2 5 5" xfId="1407"/>
    <cellStyle name="Output 2 2 5 5 2" xfId="9230"/>
    <cellStyle name="Output 2 2 5 5 3" xfId="16658"/>
    <cellStyle name="Output 2 2 5 5 4" xfId="19187"/>
    <cellStyle name="Output 2 2 5 5 5" xfId="26922"/>
    <cellStyle name="Output 2 2 5 5 6" xfId="40151"/>
    <cellStyle name="Output 2 2 5 5 7" xfId="49158"/>
    <cellStyle name="Output 2 2 5 50" xfId="6890"/>
    <cellStyle name="Output 2 2 5 50 2" xfId="14607"/>
    <cellStyle name="Output 2 2 5 50 3" xfId="23600"/>
    <cellStyle name="Output 2 2 5 50 4" xfId="31787"/>
    <cellStyle name="Output 2 2 5 50 5" xfId="41059"/>
    <cellStyle name="Output 2 2 5 50 6" xfId="45452"/>
    <cellStyle name="Output 2 2 5 50 7" xfId="46814"/>
    <cellStyle name="Output 2 2 5 51" xfId="7003"/>
    <cellStyle name="Output 2 2 5 51 2" xfId="14720"/>
    <cellStyle name="Output 2 2 5 51 3" xfId="23713"/>
    <cellStyle name="Output 2 2 5 51 4" xfId="31900"/>
    <cellStyle name="Output 2 2 5 51 5" xfId="41167"/>
    <cellStyle name="Output 2 2 5 51 6" xfId="45565"/>
    <cellStyle name="Output 2 2 5 51 7" xfId="54535"/>
    <cellStyle name="Output 2 2 5 52" xfId="7113"/>
    <cellStyle name="Output 2 2 5 52 2" xfId="14830"/>
    <cellStyle name="Output 2 2 5 52 3" xfId="23823"/>
    <cellStyle name="Output 2 2 5 52 4" xfId="32010"/>
    <cellStyle name="Output 2 2 5 52 5" xfId="41272"/>
    <cellStyle name="Output 2 2 5 52 6" xfId="45675"/>
    <cellStyle name="Output 2 2 5 52 7" xfId="54240"/>
    <cellStyle name="Output 2 2 5 53" xfId="7165"/>
    <cellStyle name="Output 2 2 5 53 2" xfId="14882"/>
    <cellStyle name="Output 2 2 5 53 3" xfId="23875"/>
    <cellStyle name="Output 2 2 5 53 4" xfId="32062"/>
    <cellStyle name="Output 2 2 5 53 5" xfId="41324"/>
    <cellStyle name="Output 2 2 5 53 6" xfId="45727"/>
    <cellStyle name="Output 2 2 5 53 7" xfId="47313"/>
    <cellStyle name="Output 2 2 5 54" xfId="7411"/>
    <cellStyle name="Output 2 2 5 54 2" xfId="15128"/>
    <cellStyle name="Output 2 2 5 54 3" xfId="24121"/>
    <cellStyle name="Output 2 2 5 54 4" xfId="32308"/>
    <cellStyle name="Output 2 2 5 54 5" xfId="41560"/>
    <cellStyle name="Output 2 2 5 54 6" xfId="45973"/>
    <cellStyle name="Output 2 2 5 54 7" xfId="52327"/>
    <cellStyle name="Output 2 2 5 55" xfId="7510"/>
    <cellStyle name="Output 2 2 5 55 2" xfId="15227"/>
    <cellStyle name="Output 2 2 5 55 3" xfId="24220"/>
    <cellStyle name="Output 2 2 5 55 4" xfId="32407"/>
    <cellStyle name="Output 2 2 5 55 5" xfId="41654"/>
    <cellStyle name="Output 2 2 5 55 6" xfId="46072"/>
    <cellStyle name="Output 2 2 5 55 7" xfId="49170"/>
    <cellStyle name="Output 2 2 5 56" xfId="7631"/>
    <cellStyle name="Output 2 2 5 56 2" xfId="15348"/>
    <cellStyle name="Output 2 2 5 56 3" xfId="24341"/>
    <cellStyle name="Output 2 2 5 56 4" xfId="32528"/>
    <cellStyle name="Output 2 2 5 56 5" xfId="41770"/>
    <cellStyle name="Output 2 2 5 56 6" xfId="46193"/>
    <cellStyle name="Output 2 2 5 56 7" xfId="52987"/>
    <cellStyle name="Output 2 2 5 57" xfId="7908"/>
    <cellStyle name="Output 2 2 5 57 2" xfId="15625"/>
    <cellStyle name="Output 2 2 5 57 3" xfId="24612"/>
    <cellStyle name="Output 2 2 5 57 4" xfId="32805"/>
    <cellStyle name="Output 2 2 5 57 5" xfId="42036"/>
    <cellStyle name="Output 2 2 5 57 6" xfId="46470"/>
    <cellStyle name="Output 2 2 5 57 7" xfId="52337"/>
    <cellStyle name="Output 2 2 5 58" xfId="8036"/>
    <cellStyle name="Output 2 2 5 58 2" xfId="15753"/>
    <cellStyle name="Output 2 2 5 58 3" xfId="24738"/>
    <cellStyle name="Output 2 2 5 58 4" xfId="32933"/>
    <cellStyle name="Output 2 2 5 58 5" xfId="42158"/>
    <cellStyle name="Output 2 2 5 58 6" xfId="46598"/>
    <cellStyle name="Output 2 2 5 58 7" xfId="53408"/>
    <cellStyle name="Output 2 2 5 59" xfId="7801"/>
    <cellStyle name="Output 2 2 5 59 2" xfId="15518"/>
    <cellStyle name="Output 2 2 5 59 3" xfId="24505"/>
    <cellStyle name="Output 2 2 5 59 4" xfId="32698"/>
    <cellStyle name="Output 2 2 5 59 5" xfId="41933"/>
    <cellStyle name="Output 2 2 5 59 6" xfId="46363"/>
    <cellStyle name="Output 2 2 5 59 7" xfId="51713"/>
    <cellStyle name="Output 2 2 5 6" xfId="1530"/>
    <cellStyle name="Output 2 2 5 6 2" xfId="9353"/>
    <cellStyle name="Output 2 2 5 6 3" xfId="16781"/>
    <cellStyle name="Output 2 2 5 6 4" xfId="19198"/>
    <cellStyle name="Output 2 2 5 6 5" xfId="26929"/>
    <cellStyle name="Output 2 2 5 6 6" xfId="38256"/>
    <cellStyle name="Output 2 2 5 6 7" xfId="49126"/>
    <cellStyle name="Output 2 2 5 60" xfId="8183"/>
    <cellStyle name="Output 2 2 5 60 2" xfId="15900"/>
    <cellStyle name="Output 2 2 5 60 3" xfId="33080"/>
    <cellStyle name="Output 2 2 5 60 4" xfId="42299"/>
    <cellStyle name="Output 2 2 5 60 5" xfId="46745"/>
    <cellStyle name="Output 2 2 5 60 6" xfId="46873"/>
    <cellStyle name="Output 2 2 5 61" xfId="25607"/>
    <cellStyle name="Output 2 2 5 62" xfId="34118"/>
    <cellStyle name="Output 2 2 5 63" xfId="42317"/>
    <cellStyle name="Output 2 2 5 64" xfId="52105"/>
    <cellStyle name="Output 2 2 5 7" xfId="1266"/>
    <cellStyle name="Output 2 2 5 7 2" xfId="9089"/>
    <cellStyle name="Output 2 2 5 7 3" xfId="16517"/>
    <cellStyle name="Output 2 2 5 7 4" xfId="20142"/>
    <cellStyle name="Output 2 2 5 7 5" xfId="28038"/>
    <cellStyle name="Output 2 2 5 7 6" xfId="41608"/>
    <cellStyle name="Output 2 2 5 7 7" xfId="46957"/>
    <cellStyle name="Output 2 2 5 8" xfId="1767"/>
    <cellStyle name="Output 2 2 5 8 2" xfId="9590"/>
    <cellStyle name="Output 2 2 5 8 3" xfId="17018"/>
    <cellStyle name="Output 2 2 5 8 4" xfId="19892"/>
    <cellStyle name="Output 2 2 5 8 5" xfId="28049"/>
    <cellStyle name="Output 2 2 5 8 6" xfId="37818"/>
    <cellStyle name="Output 2 2 5 8 7" xfId="48379"/>
    <cellStyle name="Output 2 2 5 9" xfId="1900"/>
    <cellStyle name="Output 2 2 5 9 2" xfId="9723"/>
    <cellStyle name="Output 2 2 5 9 3" xfId="17151"/>
    <cellStyle name="Output 2 2 5 9 4" xfId="20660"/>
    <cellStyle name="Output 2 2 5 9 5" xfId="28104"/>
    <cellStyle name="Output 2 2 5 9 6" xfId="37491"/>
    <cellStyle name="Output 2 2 5 9 7" xfId="47954"/>
    <cellStyle name="Output 2 2 50" xfId="5368"/>
    <cellStyle name="Output 2 2 50 2" xfId="13085"/>
    <cellStyle name="Output 2 2 50 3" xfId="22078"/>
    <cellStyle name="Output 2 2 50 4" xfId="30265"/>
    <cellStyle name="Output 2 2 50 5" xfId="39597"/>
    <cellStyle name="Output 2 2 50 6" xfId="43930"/>
    <cellStyle name="Output 2 2 50 7" xfId="48251"/>
    <cellStyle name="Output 2 2 51" xfId="6071"/>
    <cellStyle name="Output 2 2 51 2" xfId="13788"/>
    <cellStyle name="Output 2 2 51 3" xfId="22781"/>
    <cellStyle name="Output 2 2 51 4" xfId="30968"/>
    <cellStyle name="Output 2 2 51 5" xfId="40273"/>
    <cellStyle name="Output 2 2 51 6" xfId="44633"/>
    <cellStyle name="Output 2 2 51 7" xfId="48187"/>
    <cellStyle name="Output 2 2 52" xfId="5157"/>
    <cellStyle name="Output 2 2 52 2" xfId="12874"/>
    <cellStyle name="Output 2 2 52 3" xfId="21867"/>
    <cellStyle name="Output 2 2 52 4" xfId="30054"/>
    <cellStyle name="Output 2 2 52 5" xfId="39393"/>
    <cellStyle name="Output 2 2 52 6" xfId="43719"/>
    <cellStyle name="Output 2 2 52 7" xfId="53792"/>
    <cellStyle name="Output 2 2 53" xfId="5933"/>
    <cellStyle name="Output 2 2 53 2" xfId="13650"/>
    <cellStyle name="Output 2 2 53 3" xfId="22643"/>
    <cellStyle name="Output 2 2 53 4" xfId="30830"/>
    <cellStyle name="Output 2 2 53 5" xfId="40141"/>
    <cellStyle name="Output 2 2 53 6" xfId="44495"/>
    <cellStyle name="Output 2 2 53 7" xfId="54365"/>
    <cellStyle name="Output 2 2 54" xfId="5333"/>
    <cellStyle name="Output 2 2 54 2" xfId="13050"/>
    <cellStyle name="Output 2 2 54 3" xfId="22043"/>
    <cellStyle name="Output 2 2 54 4" xfId="30230"/>
    <cellStyle name="Output 2 2 54 5" xfId="39564"/>
    <cellStyle name="Output 2 2 54 6" xfId="43895"/>
    <cellStyle name="Output 2 2 54 7" xfId="47478"/>
    <cellStyle name="Output 2 2 55" xfId="6792"/>
    <cellStyle name="Output 2 2 55 2" xfId="14509"/>
    <cellStyle name="Output 2 2 55 3" xfId="23502"/>
    <cellStyle name="Output 2 2 55 4" xfId="31689"/>
    <cellStyle name="Output 2 2 55 5" xfId="40968"/>
    <cellStyle name="Output 2 2 55 6" xfId="45354"/>
    <cellStyle name="Output 2 2 55 7" xfId="52970"/>
    <cellStyle name="Output 2 2 56" xfId="6906"/>
    <cellStyle name="Output 2 2 56 2" xfId="14623"/>
    <cellStyle name="Output 2 2 56 3" xfId="23616"/>
    <cellStyle name="Output 2 2 56 4" xfId="31803"/>
    <cellStyle name="Output 2 2 56 5" xfId="41075"/>
    <cellStyle name="Output 2 2 56 6" xfId="45468"/>
    <cellStyle name="Output 2 2 56 7" xfId="46922"/>
    <cellStyle name="Output 2 2 57" xfId="7019"/>
    <cellStyle name="Output 2 2 57 2" xfId="14736"/>
    <cellStyle name="Output 2 2 57 3" xfId="23729"/>
    <cellStyle name="Output 2 2 57 4" xfId="31916"/>
    <cellStyle name="Output 2 2 57 5" xfId="41183"/>
    <cellStyle name="Output 2 2 57 6" xfId="45581"/>
    <cellStyle name="Output 2 2 57 7" xfId="46999"/>
    <cellStyle name="Output 2 2 58" xfId="7307"/>
    <cellStyle name="Output 2 2 58 2" xfId="15024"/>
    <cellStyle name="Output 2 2 58 3" xfId="24017"/>
    <cellStyle name="Output 2 2 58 4" xfId="32204"/>
    <cellStyle name="Output 2 2 58 5" xfId="41460"/>
    <cellStyle name="Output 2 2 58 6" xfId="45869"/>
    <cellStyle name="Output 2 2 58 7" xfId="53771"/>
    <cellStyle name="Output 2 2 59" xfId="7145"/>
    <cellStyle name="Output 2 2 59 2" xfId="14862"/>
    <cellStyle name="Output 2 2 59 3" xfId="23855"/>
    <cellStyle name="Output 2 2 59 4" xfId="32042"/>
    <cellStyle name="Output 2 2 59 5" xfId="41304"/>
    <cellStyle name="Output 2 2 59 6" xfId="45707"/>
    <cellStyle name="Output 2 2 59 7" xfId="50723"/>
    <cellStyle name="Output 2 2 6" xfId="588"/>
    <cellStyle name="Output 2 2 6 10" xfId="2034"/>
    <cellStyle name="Output 2 2 6 10 2" xfId="9857"/>
    <cellStyle name="Output 2 2 6 10 3" xfId="17285"/>
    <cellStyle name="Output 2 2 6 10 4" xfId="19186"/>
    <cellStyle name="Output 2 2 6 10 5" xfId="26917"/>
    <cellStyle name="Output 2 2 6 10 6" xfId="39293"/>
    <cellStyle name="Output 2 2 6 10 7" xfId="49159"/>
    <cellStyle name="Output 2 2 6 11" xfId="2150"/>
    <cellStyle name="Output 2 2 6 11 2" xfId="9973"/>
    <cellStyle name="Output 2 2 6 11 3" xfId="17401"/>
    <cellStyle name="Output 2 2 6 11 4" xfId="19033"/>
    <cellStyle name="Output 2 2 6 11 5" xfId="28227"/>
    <cellStyle name="Output 2 2 6 11 6" xfId="36868"/>
    <cellStyle name="Output 2 2 6 11 7" xfId="49882"/>
    <cellStyle name="Output 2 2 6 12" xfId="2265"/>
    <cellStyle name="Output 2 2 6 12 2" xfId="10088"/>
    <cellStyle name="Output 2 2 6 12 3" xfId="17516"/>
    <cellStyle name="Output 2 2 6 12 4" xfId="26233"/>
    <cellStyle name="Output 2 2 6 12 5" xfId="34920"/>
    <cellStyle name="Output 2 2 6 12 6" xfId="38179"/>
    <cellStyle name="Output 2 2 6 12 7" xfId="53491"/>
    <cellStyle name="Output 2 2 6 13" xfId="1238"/>
    <cellStyle name="Output 2 2 6 13 2" xfId="9061"/>
    <cellStyle name="Output 2 2 6 13 3" xfId="16489"/>
    <cellStyle name="Output 2 2 6 13 4" xfId="20388"/>
    <cellStyle name="Output 2 2 6 13 5" xfId="28074"/>
    <cellStyle name="Output 2 2 6 13 6" xfId="36439"/>
    <cellStyle name="Output 2 2 6 13 7" xfId="47877"/>
    <cellStyle name="Output 2 2 6 14" xfId="1192"/>
    <cellStyle name="Output 2 2 6 14 2" xfId="9015"/>
    <cellStyle name="Output 2 2 6 14 3" xfId="16443"/>
    <cellStyle name="Output 2 2 6 14 4" xfId="25909"/>
    <cellStyle name="Output 2 2 6 14 5" xfId="34505"/>
    <cellStyle name="Output 2 2 6 14 6" xfId="42148"/>
    <cellStyle name="Output 2 2 6 14 7" xfId="52797"/>
    <cellStyle name="Output 2 2 6 15" xfId="2563"/>
    <cellStyle name="Output 2 2 6 15 2" xfId="10386"/>
    <cellStyle name="Output 2 2 6 15 3" xfId="17814"/>
    <cellStyle name="Output 2 2 6 15 4" xfId="26173"/>
    <cellStyle name="Output 2 2 6 15 5" xfId="34844"/>
    <cellStyle name="Output 2 2 6 15 6" xfId="38743"/>
    <cellStyle name="Output 2 2 6 15 7" xfId="53367"/>
    <cellStyle name="Output 2 2 6 16" xfId="2676"/>
    <cellStyle name="Output 2 2 6 16 2" xfId="10499"/>
    <cellStyle name="Output 2 2 6 16 3" xfId="17927"/>
    <cellStyle name="Output 2 2 6 16 4" xfId="26508"/>
    <cellStyle name="Output 2 2 6 16 5" xfId="35303"/>
    <cellStyle name="Output 2 2 6 16 6" xfId="41949"/>
    <cellStyle name="Output 2 2 6 16 7" xfId="54089"/>
    <cellStyle name="Output 2 2 6 17" xfId="1652"/>
    <cellStyle name="Output 2 2 6 17 2" xfId="9475"/>
    <cellStyle name="Output 2 2 6 17 3" xfId="16903"/>
    <cellStyle name="Output 2 2 6 17 4" xfId="20375"/>
    <cellStyle name="Output 2 2 6 17 5" xfId="28349"/>
    <cellStyle name="Output 2 2 6 17 6" xfId="40738"/>
    <cellStyle name="Output 2 2 6 17 7" xfId="47612"/>
    <cellStyle name="Output 2 2 6 18" xfId="1794"/>
    <cellStyle name="Output 2 2 6 18 2" xfId="9617"/>
    <cellStyle name="Output 2 2 6 18 3" xfId="17045"/>
    <cellStyle name="Output 2 2 6 18 4" xfId="25536"/>
    <cellStyle name="Output 2 2 6 18 5" xfId="34025"/>
    <cellStyle name="Output 2 2 6 18 6" xfId="41649"/>
    <cellStyle name="Output 2 2 6 18 7" xfId="51957"/>
    <cellStyle name="Output 2 2 6 19" xfId="2866"/>
    <cellStyle name="Output 2 2 6 19 2" xfId="10689"/>
    <cellStyle name="Output 2 2 6 19 3" xfId="18117"/>
    <cellStyle name="Output 2 2 6 19 4" xfId="25637"/>
    <cellStyle name="Output 2 2 6 19 5" xfId="34156"/>
    <cellStyle name="Output 2 2 6 19 6" xfId="37940"/>
    <cellStyle name="Output 2 2 6 19 7" xfId="52179"/>
    <cellStyle name="Output 2 2 6 2" xfId="733"/>
    <cellStyle name="Output 2 2 6 2 2" xfId="8557"/>
    <cellStyle name="Output 2 2 6 2 3" xfId="15985"/>
    <cellStyle name="Output 2 2 6 2 4" xfId="19846"/>
    <cellStyle name="Output 2 2 6 2 5" xfId="27379"/>
    <cellStyle name="Output 2 2 6 2 6" xfId="37377"/>
    <cellStyle name="Output 2 2 6 2 7" xfId="50219"/>
    <cellStyle name="Output 2 2 6 20" xfId="2972"/>
    <cellStyle name="Output 2 2 6 20 2" xfId="10795"/>
    <cellStyle name="Output 2 2 6 20 3" xfId="18223"/>
    <cellStyle name="Output 2 2 6 20 4" xfId="19934"/>
    <cellStyle name="Output 2 2 6 20 5" xfId="27984"/>
    <cellStyle name="Output 2 2 6 20 6" xfId="37454"/>
    <cellStyle name="Output 2 2 6 20 7" xfId="48772"/>
    <cellStyle name="Output 2 2 6 21" xfId="3352"/>
    <cellStyle name="Output 2 2 6 21 2" xfId="11145"/>
    <cellStyle name="Output 2 2 6 21 3" xfId="18471"/>
    <cellStyle name="Output 2 2 6 21 4" xfId="26328"/>
    <cellStyle name="Output 2 2 6 21 5" xfId="35052"/>
    <cellStyle name="Output 2 2 6 21 6" xfId="42023"/>
    <cellStyle name="Output 2 2 6 21 7" xfId="53694"/>
    <cellStyle name="Output 2 2 6 22" xfId="3471"/>
    <cellStyle name="Output 2 2 6 22 2" xfId="11262"/>
    <cellStyle name="Output 2 2 6 22 3" xfId="18581"/>
    <cellStyle name="Output 2 2 6 22 4" xfId="19632"/>
    <cellStyle name="Output 2 2 6 22 5" xfId="33153"/>
    <cellStyle name="Output 2 2 6 22 6" xfId="36931"/>
    <cellStyle name="Output 2 2 6 22 7" xfId="50431"/>
    <cellStyle name="Output 2 2 6 23" xfId="3629"/>
    <cellStyle name="Output 2 2 6 23 2" xfId="11414"/>
    <cellStyle name="Output 2 2 6 23 3" xfId="18688"/>
    <cellStyle name="Output 2 2 6 23 4" xfId="19200"/>
    <cellStyle name="Output 2 2 6 23 5" xfId="26932"/>
    <cellStyle name="Output 2 2 6 23 6" xfId="37073"/>
    <cellStyle name="Output 2 2 6 23 7" xfId="49120"/>
    <cellStyle name="Output 2 2 6 24" xfId="3744"/>
    <cellStyle name="Output 2 2 6 24 2" xfId="11529"/>
    <cellStyle name="Output 2 2 6 24 3" xfId="18799"/>
    <cellStyle name="Output 2 2 6 24 4" xfId="26369"/>
    <cellStyle name="Output 2 2 6 24 5" xfId="35105"/>
    <cellStyle name="Output 2 2 6 24 6" xfId="40415"/>
    <cellStyle name="Output 2 2 6 24 7" xfId="53783"/>
    <cellStyle name="Output 2 2 6 25" xfId="3872"/>
    <cellStyle name="Output 2 2 6 25 2" xfId="11654"/>
    <cellStyle name="Output 2 2 6 25 3" xfId="18909"/>
    <cellStyle name="Output 2 2 6 25 4" xfId="26623"/>
    <cellStyle name="Output 2 2 6 25 5" xfId="35455"/>
    <cellStyle name="Output 2 2 6 25 6" xfId="42143"/>
    <cellStyle name="Output 2 2 6 25 7" xfId="54332"/>
    <cellStyle name="Output 2 2 6 26" xfId="3991"/>
    <cellStyle name="Output 2 2 6 26 2" xfId="11770"/>
    <cellStyle name="Output 2 2 6 26 3" xfId="19017"/>
    <cellStyle name="Output 2 2 6 26 4" xfId="20326"/>
    <cellStyle name="Output 2 2 6 26 5" xfId="28224"/>
    <cellStyle name="Output 2 2 6 26 6" xfId="37590"/>
    <cellStyle name="Output 2 2 6 26 7" xfId="47547"/>
    <cellStyle name="Output 2 2 6 27" xfId="3506"/>
    <cellStyle name="Output 2 2 6 27 2" xfId="11297"/>
    <cellStyle name="Output 2 2 6 27 3" xfId="20488"/>
    <cellStyle name="Output 2 2 6 27 4" xfId="28609"/>
    <cellStyle name="Output 2 2 6 27 5" xfId="37984"/>
    <cellStyle name="Output 2 2 6 27 6" xfId="42493"/>
    <cellStyle name="Output 2 2 6 27 7" xfId="54126"/>
    <cellStyle name="Output 2 2 6 28" xfId="4187"/>
    <cellStyle name="Output 2 2 6 28 2" xfId="11946"/>
    <cellStyle name="Output 2 2 6 28 3" xfId="20897"/>
    <cellStyle name="Output 2 2 6 28 4" xfId="29084"/>
    <cellStyle name="Output 2 2 6 28 5" xfId="38460"/>
    <cellStyle name="Output 2 2 6 28 6" xfId="42749"/>
    <cellStyle name="Output 2 2 6 28 7" xfId="53059"/>
    <cellStyle name="Output 2 2 6 29" xfId="4238"/>
    <cellStyle name="Output 2 2 6 29 2" xfId="20948"/>
    <cellStyle name="Output 2 2 6 29 3" xfId="29135"/>
    <cellStyle name="Output 2 2 6 29 4" xfId="38509"/>
    <cellStyle name="Output 2 2 6 29 5" xfId="42800"/>
    <cellStyle name="Output 2 2 6 29 6" xfId="49315"/>
    <cellStyle name="Output 2 2 6 3" xfId="843"/>
    <cellStyle name="Output 2 2 6 3 2" xfId="8667"/>
    <cellStyle name="Output 2 2 6 3 3" xfId="16095"/>
    <cellStyle name="Output 2 2 6 3 4" xfId="25337"/>
    <cellStyle name="Output 2 2 6 3 5" xfId="33768"/>
    <cellStyle name="Output 2 2 6 3 6" xfId="36614"/>
    <cellStyle name="Output 2 2 6 3 7" xfId="51505"/>
    <cellStyle name="Output 2 2 6 30" xfId="4386"/>
    <cellStyle name="Output 2 2 6 30 2" xfId="12103"/>
    <cellStyle name="Output 2 2 6 30 3" xfId="21096"/>
    <cellStyle name="Output 2 2 6 30 4" xfId="29283"/>
    <cellStyle name="Output 2 2 6 30 5" xfId="38653"/>
    <cellStyle name="Output 2 2 6 30 6" xfId="42948"/>
    <cellStyle name="Output 2 2 6 30 7" xfId="50402"/>
    <cellStyle name="Output 2 2 6 31" xfId="4506"/>
    <cellStyle name="Output 2 2 6 31 2" xfId="12223"/>
    <cellStyle name="Output 2 2 6 31 3" xfId="21216"/>
    <cellStyle name="Output 2 2 6 31 4" xfId="29403"/>
    <cellStyle name="Output 2 2 6 31 5" xfId="38767"/>
    <cellStyle name="Output 2 2 6 31 6" xfId="43068"/>
    <cellStyle name="Output 2 2 6 31 7" xfId="50854"/>
    <cellStyle name="Output 2 2 6 32" xfId="4620"/>
    <cellStyle name="Output 2 2 6 32 2" xfId="12337"/>
    <cellStyle name="Output 2 2 6 32 3" xfId="21330"/>
    <cellStyle name="Output 2 2 6 32 4" xfId="29517"/>
    <cellStyle name="Output 2 2 6 32 5" xfId="38876"/>
    <cellStyle name="Output 2 2 6 32 6" xfId="43182"/>
    <cellStyle name="Output 2 2 6 32 7" xfId="51931"/>
    <cellStyle name="Output 2 2 6 33" xfId="4733"/>
    <cellStyle name="Output 2 2 6 33 2" xfId="12450"/>
    <cellStyle name="Output 2 2 6 33 3" xfId="21443"/>
    <cellStyle name="Output 2 2 6 33 4" xfId="29630"/>
    <cellStyle name="Output 2 2 6 33 5" xfId="38985"/>
    <cellStyle name="Output 2 2 6 33 6" xfId="43295"/>
    <cellStyle name="Output 2 2 6 33 7" xfId="51009"/>
    <cellStyle name="Output 2 2 6 34" xfId="4843"/>
    <cellStyle name="Output 2 2 6 34 2" xfId="12560"/>
    <cellStyle name="Output 2 2 6 34 3" xfId="21553"/>
    <cellStyle name="Output 2 2 6 34 4" xfId="29740"/>
    <cellStyle name="Output 2 2 6 34 5" xfId="39091"/>
    <cellStyle name="Output 2 2 6 34 6" xfId="43405"/>
    <cellStyle name="Output 2 2 6 34 7" xfId="48406"/>
    <cellStyle name="Output 2 2 6 35" xfId="4953"/>
    <cellStyle name="Output 2 2 6 35 2" xfId="12670"/>
    <cellStyle name="Output 2 2 6 35 3" xfId="21663"/>
    <cellStyle name="Output 2 2 6 35 4" xfId="29850"/>
    <cellStyle name="Output 2 2 6 35 5" xfId="39197"/>
    <cellStyle name="Output 2 2 6 35 6" xfId="43515"/>
    <cellStyle name="Output 2 2 6 35 7" xfId="52603"/>
    <cellStyle name="Output 2 2 6 36" xfId="5062"/>
    <cellStyle name="Output 2 2 6 36 2" xfId="12779"/>
    <cellStyle name="Output 2 2 6 36 3" xfId="21772"/>
    <cellStyle name="Output 2 2 6 36 4" xfId="29959"/>
    <cellStyle name="Output 2 2 6 36 5" xfId="39302"/>
    <cellStyle name="Output 2 2 6 36 6" xfId="43624"/>
    <cellStyle name="Output 2 2 6 36 7" xfId="48518"/>
    <cellStyle name="Output 2 2 6 37" xfId="5444"/>
    <cellStyle name="Output 2 2 6 37 2" xfId="13161"/>
    <cellStyle name="Output 2 2 6 37 3" xfId="22154"/>
    <cellStyle name="Output 2 2 6 37 4" xfId="30341"/>
    <cellStyle name="Output 2 2 6 37 5" xfId="39670"/>
    <cellStyle name="Output 2 2 6 37 6" xfId="44006"/>
    <cellStyle name="Output 2 2 6 37 7" xfId="54280"/>
    <cellStyle name="Output 2 2 6 38" xfId="5563"/>
    <cellStyle name="Output 2 2 6 38 2" xfId="13280"/>
    <cellStyle name="Output 2 2 6 38 3" xfId="22273"/>
    <cellStyle name="Output 2 2 6 38 4" xfId="30460"/>
    <cellStyle name="Output 2 2 6 38 5" xfId="39783"/>
    <cellStyle name="Output 2 2 6 38 6" xfId="44125"/>
    <cellStyle name="Output 2 2 6 38 7" xfId="47169"/>
    <cellStyle name="Output 2 2 6 39" xfId="5689"/>
    <cellStyle name="Output 2 2 6 39 2" xfId="13406"/>
    <cellStyle name="Output 2 2 6 39 3" xfId="22399"/>
    <cellStyle name="Output 2 2 6 39 4" xfId="30586"/>
    <cellStyle name="Output 2 2 6 39 5" xfId="39904"/>
    <cellStyle name="Output 2 2 6 39 6" xfId="44251"/>
    <cellStyle name="Output 2 2 6 39 7" xfId="47089"/>
    <cellStyle name="Output 2 2 6 4" xfId="952"/>
    <cellStyle name="Output 2 2 6 4 2" xfId="8776"/>
    <cellStyle name="Output 2 2 6 4 3" xfId="16204"/>
    <cellStyle name="Output 2 2 6 4 4" xfId="26335"/>
    <cellStyle name="Output 2 2 6 4 5" xfId="35059"/>
    <cellStyle name="Output 2 2 6 4 6" xfId="37209"/>
    <cellStyle name="Output 2 2 6 4 7" xfId="53708"/>
    <cellStyle name="Output 2 2 6 40" xfId="5803"/>
    <cellStyle name="Output 2 2 6 40 2" xfId="13520"/>
    <cellStyle name="Output 2 2 6 40 3" xfId="22513"/>
    <cellStyle name="Output 2 2 6 40 4" xfId="30700"/>
    <cellStyle name="Output 2 2 6 40 5" xfId="40015"/>
    <cellStyle name="Output 2 2 6 40 6" xfId="44365"/>
    <cellStyle name="Output 2 2 6 40 7" xfId="53071"/>
    <cellStyle name="Output 2 2 6 41" xfId="5922"/>
    <cellStyle name="Output 2 2 6 41 2" xfId="13639"/>
    <cellStyle name="Output 2 2 6 41 3" xfId="22632"/>
    <cellStyle name="Output 2 2 6 41 4" xfId="30819"/>
    <cellStyle name="Output 2 2 6 41 5" xfId="40131"/>
    <cellStyle name="Output 2 2 6 41 6" xfId="44484"/>
    <cellStyle name="Output 2 2 6 41 7" xfId="54095"/>
    <cellStyle name="Output 2 2 6 42" xfId="6048"/>
    <cellStyle name="Output 2 2 6 42 2" xfId="13765"/>
    <cellStyle name="Output 2 2 6 42 3" xfId="22758"/>
    <cellStyle name="Output 2 2 6 42 4" xfId="30945"/>
    <cellStyle name="Output 2 2 6 42 5" xfId="40252"/>
    <cellStyle name="Output 2 2 6 42 6" xfId="44610"/>
    <cellStyle name="Output 2 2 6 42 7" xfId="47971"/>
    <cellStyle name="Output 2 2 6 43" xfId="6175"/>
    <cellStyle name="Output 2 2 6 43 2" xfId="13892"/>
    <cellStyle name="Output 2 2 6 43 3" xfId="22885"/>
    <cellStyle name="Output 2 2 6 43 4" xfId="31072"/>
    <cellStyle name="Output 2 2 6 43 5" xfId="40373"/>
    <cellStyle name="Output 2 2 6 43 6" xfId="44737"/>
    <cellStyle name="Output 2 2 6 43 7" xfId="50771"/>
    <cellStyle name="Output 2 2 6 44" xfId="6304"/>
    <cellStyle name="Output 2 2 6 44 2" xfId="14021"/>
    <cellStyle name="Output 2 2 6 44 3" xfId="23014"/>
    <cellStyle name="Output 2 2 6 44 4" xfId="31201"/>
    <cellStyle name="Output 2 2 6 44 5" xfId="40501"/>
    <cellStyle name="Output 2 2 6 44 6" xfId="44866"/>
    <cellStyle name="Output 2 2 6 44 7" xfId="53528"/>
    <cellStyle name="Output 2 2 6 45" xfId="6419"/>
    <cellStyle name="Output 2 2 6 45 2" xfId="14136"/>
    <cellStyle name="Output 2 2 6 45 3" xfId="23129"/>
    <cellStyle name="Output 2 2 6 45 4" xfId="31316"/>
    <cellStyle name="Output 2 2 6 45 5" xfId="40611"/>
    <cellStyle name="Output 2 2 6 45 6" xfId="44981"/>
    <cellStyle name="Output 2 2 6 45 7" xfId="48156"/>
    <cellStyle name="Output 2 2 6 46" xfId="6531"/>
    <cellStyle name="Output 2 2 6 46 2" xfId="14248"/>
    <cellStyle name="Output 2 2 6 46 3" xfId="23241"/>
    <cellStyle name="Output 2 2 6 46 4" xfId="31428"/>
    <cellStyle name="Output 2 2 6 46 5" xfId="40719"/>
    <cellStyle name="Output 2 2 6 46 6" xfId="45093"/>
    <cellStyle name="Output 2 2 6 46 7" xfId="46962"/>
    <cellStyle name="Output 2 2 6 47" xfId="6198"/>
    <cellStyle name="Output 2 2 6 47 2" xfId="13915"/>
    <cellStyle name="Output 2 2 6 47 3" xfId="22908"/>
    <cellStyle name="Output 2 2 6 47 4" xfId="31095"/>
    <cellStyle name="Output 2 2 6 47 5" xfId="40396"/>
    <cellStyle name="Output 2 2 6 47 6" xfId="44760"/>
    <cellStyle name="Output 2 2 6 47 7" xfId="49644"/>
    <cellStyle name="Output 2 2 6 48" xfId="6678"/>
    <cellStyle name="Output 2 2 6 48 2" xfId="14395"/>
    <cellStyle name="Output 2 2 6 48 3" xfId="23388"/>
    <cellStyle name="Output 2 2 6 48 4" xfId="31575"/>
    <cellStyle name="Output 2 2 6 48 5" xfId="40859"/>
    <cellStyle name="Output 2 2 6 48 6" xfId="45240"/>
    <cellStyle name="Output 2 2 6 48 7" xfId="50206"/>
    <cellStyle name="Output 2 2 6 49" xfId="6790"/>
    <cellStyle name="Output 2 2 6 49 2" xfId="14507"/>
    <cellStyle name="Output 2 2 6 49 3" xfId="23500"/>
    <cellStyle name="Output 2 2 6 49 4" xfId="31687"/>
    <cellStyle name="Output 2 2 6 49 5" xfId="40966"/>
    <cellStyle name="Output 2 2 6 49 6" xfId="45352"/>
    <cellStyle name="Output 2 2 6 49 7" xfId="53139"/>
    <cellStyle name="Output 2 2 6 5" xfId="1422"/>
    <cellStyle name="Output 2 2 6 5 2" xfId="9245"/>
    <cellStyle name="Output 2 2 6 5 3" xfId="16673"/>
    <cellStyle name="Output 2 2 6 5 4" xfId="26455"/>
    <cellStyle name="Output 2 2 6 5 5" xfId="35231"/>
    <cellStyle name="Output 2 2 6 5 6" xfId="41969"/>
    <cellStyle name="Output 2 2 6 5 7" xfId="53969"/>
    <cellStyle name="Output 2 2 6 50" xfId="6904"/>
    <cellStyle name="Output 2 2 6 50 2" xfId="14621"/>
    <cellStyle name="Output 2 2 6 50 3" xfId="23614"/>
    <cellStyle name="Output 2 2 6 50 4" xfId="31801"/>
    <cellStyle name="Output 2 2 6 50 5" xfId="41073"/>
    <cellStyle name="Output 2 2 6 50 6" xfId="45466"/>
    <cellStyle name="Output 2 2 6 50 7" xfId="46790"/>
    <cellStyle name="Output 2 2 6 51" xfId="7017"/>
    <cellStyle name="Output 2 2 6 51 2" xfId="14734"/>
    <cellStyle name="Output 2 2 6 51 3" xfId="23727"/>
    <cellStyle name="Output 2 2 6 51 4" xfId="31914"/>
    <cellStyle name="Output 2 2 6 51 5" xfId="41181"/>
    <cellStyle name="Output 2 2 6 51 6" xfId="45579"/>
    <cellStyle name="Output 2 2 6 51 7" xfId="47205"/>
    <cellStyle name="Output 2 2 6 52" xfId="7126"/>
    <cellStyle name="Output 2 2 6 52 2" xfId="14843"/>
    <cellStyle name="Output 2 2 6 52 3" xfId="23836"/>
    <cellStyle name="Output 2 2 6 52 4" xfId="32023"/>
    <cellStyle name="Output 2 2 6 52 5" xfId="41285"/>
    <cellStyle name="Output 2 2 6 52 6" xfId="45688"/>
    <cellStyle name="Output 2 2 6 52 7" xfId="52828"/>
    <cellStyle name="Output 2 2 6 53" xfId="7376"/>
    <cellStyle name="Output 2 2 6 53 2" xfId="15093"/>
    <cellStyle name="Output 2 2 6 53 3" xfId="24086"/>
    <cellStyle name="Output 2 2 6 53 4" xfId="32273"/>
    <cellStyle name="Output 2 2 6 53 5" xfId="41529"/>
    <cellStyle name="Output 2 2 6 53 6" xfId="45938"/>
    <cellStyle name="Output 2 2 6 53 7" xfId="47329"/>
    <cellStyle name="Output 2 2 6 54" xfId="7208"/>
    <cellStyle name="Output 2 2 6 54 2" xfId="14925"/>
    <cellStyle name="Output 2 2 6 54 3" xfId="23918"/>
    <cellStyle name="Output 2 2 6 54 4" xfId="32105"/>
    <cellStyle name="Output 2 2 6 54 5" xfId="41365"/>
    <cellStyle name="Output 2 2 6 54 6" xfId="45770"/>
    <cellStyle name="Output 2 2 6 54 7" xfId="50492"/>
    <cellStyle name="Output 2 2 6 55" xfId="7523"/>
    <cellStyle name="Output 2 2 6 55 2" xfId="15240"/>
    <cellStyle name="Output 2 2 6 55 3" xfId="24233"/>
    <cellStyle name="Output 2 2 6 55 4" xfId="32420"/>
    <cellStyle name="Output 2 2 6 55 5" xfId="41666"/>
    <cellStyle name="Output 2 2 6 55 6" xfId="46085"/>
    <cellStyle name="Output 2 2 6 55 7" xfId="49013"/>
    <cellStyle name="Output 2 2 6 56" xfId="7644"/>
    <cellStyle name="Output 2 2 6 56 2" xfId="15361"/>
    <cellStyle name="Output 2 2 6 56 3" xfId="24354"/>
    <cellStyle name="Output 2 2 6 56 4" xfId="32541"/>
    <cellStyle name="Output 2 2 6 56 5" xfId="41783"/>
    <cellStyle name="Output 2 2 6 56 6" xfId="46206"/>
    <cellStyle name="Output 2 2 6 56 7" xfId="51409"/>
    <cellStyle name="Output 2 2 6 57" xfId="7922"/>
    <cellStyle name="Output 2 2 6 57 2" xfId="15639"/>
    <cellStyle name="Output 2 2 6 57 3" xfId="24626"/>
    <cellStyle name="Output 2 2 6 57 4" xfId="32819"/>
    <cellStyle name="Output 2 2 6 57 5" xfId="42050"/>
    <cellStyle name="Output 2 2 6 57 6" xfId="46484"/>
    <cellStyle name="Output 2 2 6 57 7" xfId="50758"/>
    <cellStyle name="Output 2 2 6 58" xfId="8050"/>
    <cellStyle name="Output 2 2 6 58 2" xfId="15767"/>
    <cellStyle name="Output 2 2 6 58 3" xfId="24752"/>
    <cellStyle name="Output 2 2 6 58 4" xfId="32947"/>
    <cellStyle name="Output 2 2 6 58 5" xfId="42172"/>
    <cellStyle name="Output 2 2 6 58 6" xfId="46612"/>
    <cellStyle name="Output 2 2 6 58 7" xfId="47578"/>
    <cellStyle name="Output 2 2 6 59" xfId="7816"/>
    <cellStyle name="Output 2 2 6 59 2" xfId="15533"/>
    <cellStyle name="Output 2 2 6 59 3" xfId="24520"/>
    <cellStyle name="Output 2 2 6 59 4" xfId="32713"/>
    <cellStyle name="Output 2 2 6 59 5" xfId="41948"/>
    <cellStyle name="Output 2 2 6 59 6" xfId="46378"/>
    <cellStyle name="Output 2 2 6 59 7" xfId="47994"/>
    <cellStyle name="Output 2 2 6 6" xfId="1545"/>
    <cellStyle name="Output 2 2 6 6 2" xfId="9368"/>
    <cellStyle name="Output 2 2 6 6 3" xfId="16796"/>
    <cellStyle name="Output 2 2 6 6 4" xfId="19901"/>
    <cellStyle name="Output 2 2 6 6 5" xfId="26900"/>
    <cellStyle name="Output 2 2 6 6 6" xfId="36881"/>
    <cellStyle name="Output 2 2 6 6 7" xfId="49694"/>
    <cellStyle name="Output 2 2 6 60" xfId="8196"/>
    <cellStyle name="Output 2 2 6 60 2" xfId="15913"/>
    <cellStyle name="Output 2 2 6 60 3" xfId="33093"/>
    <cellStyle name="Output 2 2 6 60 4" xfId="42312"/>
    <cellStyle name="Output 2 2 6 60 5" xfId="46758"/>
    <cellStyle name="Output 2 2 6 60 6" xfId="46858"/>
    <cellStyle name="Output 2 2 6 61" xfId="19874"/>
    <cellStyle name="Output 2 2 6 62" xfId="27957"/>
    <cellStyle name="Output 2 2 6 63" xfId="38278"/>
    <cellStyle name="Output 2 2 6 64" xfId="50270"/>
    <cellStyle name="Output 2 2 6 7" xfId="1141"/>
    <cellStyle name="Output 2 2 6 7 2" xfId="8964"/>
    <cellStyle name="Output 2 2 6 7 3" xfId="16392"/>
    <cellStyle name="Output 2 2 6 7 4" xfId="24939"/>
    <cellStyle name="Output 2 2 6 7 5" xfId="33274"/>
    <cellStyle name="Output 2 2 6 7 6" xfId="40824"/>
    <cellStyle name="Output 2 2 6 7 7" xfId="50656"/>
    <cellStyle name="Output 2 2 6 8" xfId="1783"/>
    <cellStyle name="Output 2 2 6 8 2" xfId="9606"/>
    <cellStyle name="Output 2 2 6 8 3" xfId="17034"/>
    <cellStyle name="Output 2 2 6 8 4" xfId="26006"/>
    <cellStyle name="Output 2 2 6 8 5" xfId="34631"/>
    <cellStyle name="Output 2 2 6 8 6" xfId="36344"/>
    <cellStyle name="Output 2 2 6 8 7" xfId="53009"/>
    <cellStyle name="Output 2 2 6 9" xfId="1915"/>
    <cellStyle name="Output 2 2 6 9 2" xfId="9738"/>
    <cellStyle name="Output 2 2 6 9 3" xfId="17166"/>
    <cellStyle name="Output 2 2 6 9 4" xfId="19832"/>
    <cellStyle name="Output 2 2 6 9 5" xfId="27183"/>
    <cellStyle name="Output 2 2 6 9 6" xfId="39461"/>
    <cellStyle name="Output 2 2 6 9 7" xfId="47997"/>
    <cellStyle name="Output 2 2 60" xfId="7341"/>
    <cellStyle name="Output 2 2 60 2" xfId="15058"/>
    <cellStyle name="Output 2 2 60 3" xfId="24051"/>
    <cellStyle name="Output 2 2 60 4" xfId="32238"/>
    <cellStyle name="Output 2 2 60 5" xfId="41494"/>
    <cellStyle name="Output 2 2 60 6" xfId="45903"/>
    <cellStyle name="Output 2 2 60 7" xfId="52373"/>
    <cellStyle name="Output 2 2 61" xfId="7535"/>
    <cellStyle name="Output 2 2 61 2" xfId="15252"/>
    <cellStyle name="Output 2 2 61 3" xfId="24245"/>
    <cellStyle name="Output 2 2 61 4" xfId="32432"/>
    <cellStyle name="Output 2 2 61 5" xfId="41678"/>
    <cellStyle name="Output 2 2 61 6" xfId="46097"/>
    <cellStyle name="Output 2 2 61 7" xfId="53935"/>
    <cellStyle name="Output 2 2 62" xfId="7736"/>
    <cellStyle name="Output 2 2 62 2" xfId="15453"/>
    <cellStyle name="Output 2 2 62 3" xfId="24444"/>
    <cellStyle name="Output 2 2 62 4" xfId="32633"/>
    <cellStyle name="Output 2 2 62 5" xfId="41869"/>
    <cellStyle name="Output 2 2 62 6" xfId="46298"/>
    <cellStyle name="Output 2 2 62 7" xfId="48374"/>
    <cellStyle name="Output 2 2 63" xfId="7769"/>
    <cellStyle name="Output 2 2 63 2" xfId="15486"/>
    <cellStyle name="Output 2 2 63 3" xfId="24475"/>
    <cellStyle name="Output 2 2 63 4" xfId="32666"/>
    <cellStyle name="Output 2 2 63 5" xfId="41902"/>
    <cellStyle name="Output 2 2 63 6" xfId="46331"/>
    <cellStyle name="Output 2 2 63 7" xfId="51063"/>
    <cellStyle name="Output 2 2 64" xfId="7745"/>
    <cellStyle name="Output 2 2 64 2" xfId="15462"/>
    <cellStyle name="Output 2 2 64 3" xfId="24453"/>
    <cellStyle name="Output 2 2 64 4" xfId="32642"/>
    <cellStyle name="Output 2 2 64 5" xfId="41878"/>
    <cellStyle name="Output 2 2 64 6" xfId="46307"/>
    <cellStyle name="Output 2 2 64 7" xfId="53772"/>
    <cellStyle name="Output 2 2 65" xfId="7797"/>
    <cellStyle name="Output 2 2 65 2" xfId="15514"/>
    <cellStyle name="Output 2 2 65 3" xfId="32694"/>
    <cellStyle name="Output 2 2 65 4" xfId="41929"/>
    <cellStyle name="Output 2 2 65 5" xfId="46359"/>
    <cellStyle name="Output 2 2 65 6" xfId="53058"/>
    <cellStyle name="Output 2 2 66" xfId="26499"/>
    <cellStyle name="Output 2 2 67" xfId="35292"/>
    <cellStyle name="Output 2 2 68" xfId="37682"/>
    <cellStyle name="Output 2 2 69" xfId="54076"/>
    <cellStyle name="Output 2 2 7" xfId="603"/>
    <cellStyle name="Output 2 2 7 2" xfId="8427"/>
    <cellStyle name="Output 2 2 7 3" xfId="11977"/>
    <cellStyle name="Output 2 2 7 4" xfId="19577"/>
    <cellStyle name="Output 2 2 7 5" xfId="28774"/>
    <cellStyle name="Output 2 2 7 6" xfId="37252"/>
    <cellStyle name="Output 2 2 7 7" xfId="48646"/>
    <cellStyle name="Output 2 2 8" xfId="595"/>
    <cellStyle name="Output 2 2 8 2" xfId="8419"/>
    <cellStyle name="Output 2 2 8 3" xfId="11824"/>
    <cellStyle name="Output 2 2 8 4" xfId="19939"/>
    <cellStyle name="Output 2 2 8 5" xfId="27990"/>
    <cellStyle name="Output 2 2 8 6" xfId="36450"/>
    <cellStyle name="Output 2 2 8 7" xfId="49366"/>
    <cellStyle name="Output 2 2 9" xfId="840"/>
    <cellStyle name="Output 2 2 9 2" xfId="8664"/>
    <cellStyle name="Output 2 2 9 3" xfId="16092"/>
    <cellStyle name="Output 2 2 9 4" xfId="25598"/>
    <cellStyle name="Output 2 2 9 5" xfId="34108"/>
    <cellStyle name="Output 2 2 9 6" xfId="36288"/>
    <cellStyle name="Output 2 2 9 7" xfId="52087"/>
    <cellStyle name="Output 2 20" xfId="4030"/>
    <cellStyle name="Output 2 20 2" xfId="11802"/>
    <cellStyle name="Output 2 20 3" xfId="20740"/>
    <cellStyle name="Output 2 20 4" xfId="28927"/>
    <cellStyle name="Output 2 20 5" xfId="38307"/>
    <cellStyle name="Output 2 20 6" xfId="42592"/>
    <cellStyle name="Output 2 20 7" xfId="54131"/>
    <cellStyle name="Output 2 21" xfId="4262"/>
    <cellStyle name="Output 2 21 2" xfId="11983"/>
    <cellStyle name="Output 2 21 3" xfId="20972"/>
    <cellStyle name="Output 2 21 4" xfId="29159"/>
    <cellStyle name="Output 2 21 5" xfId="38532"/>
    <cellStyle name="Output 2 21 6" xfId="42824"/>
    <cellStyle name="Output 2 21 7" xfId="51677"/>
    <cellStyle name="Output 2 22" xfId="4270"/>
    <cellStyle name="Output 2 22 2" xfId="11987"/>
    <cellStyle name="Output 2 22 3" xfId="20980"/>
    <cellStyle name="Output 2 22 4" xfId="29167"/>
    <cellStyle name="Output 2 22 5" xfId="38540"/>
    <cellStyle name="Output 2 22 6" xfId="42832"/>
    <cellStyle name="Output 2 22 7" xfId="52221"/>
    <cellStyle name="Output 2 23" xfId="5264"/>
    <cellStyle name="Output 2 23 2" xfId="12981"/>
    <cellStyle name="Output 2 23 3" xfId="21974"/>
    <cellStyle name="Output 2 23 4" xfId="30161"/>
    <cellStyle name="Output 2 23 5" xfId="39496"/>
    <cellStyle name="Output 2 23 6" xfId="43826"/>
    <cellStyle name="Output 2 23 7" xfId="50345"/>
    <cellStyle name="Output 2 24" xfId="5223"/>
    <cellStyle name="Output 2 24 2" xfId="12940"/>
    <cellStyle name="Output 2 24 3" xfId="21933"/>
    <cellStyle name="Output 2 24 4" xfId="30120"/>
    <cellStyle name="Output 2 24 5" xfId="39455"/>
    <cellStyle name="Output 2 24 6" xfId="43785"/>
    <cellStyle name="Output 2 24 7" xfId="54418"/>
    <cellStyle name="Output 2 25" xfId="5251"/>
    <cellStyle name="Output 2 25 2" xfId="12968"/>
    <cellStyle name="Output 2 25 3" xfId="21961"/>
    <cellStyle name="Output 2 25 4" xfId="30148"/>
    <cellStyle name="Output 2 25 5" xfId="39483"/>
    <cellStyle name="Output 2 25 6" xfId="43813"/>
    <cellStyle name="Output 2 25 7" xfId="51645"/>
    <cellStyle name="Output 2 26" xfId="6544"/>
    <cellStyle name="Output 2 26 2" xfId="14261"/>
    <cellStyle name="Output 2 26 3" xfId="23254"/>
    <cellStyle name="Output 2 26 4" xfId="31441"/>
    <cellStyle name="Output 2 26 5" xfId="40731"/>
    <cellStyle name="Output 2 26 6" xfId="45106"/>
    <cellStyle name="Output 2 26 7" xfId="47734"/>
    <cellStyle name="Output 2 27" xfId="6415"/>
    <cellStyle name="Output 2 27 2" xfId="14132"/>
    <cellStyle name="Output 2 27 3" xfId="23125"/>
    <cellStyle name="Output 2 27 4" xfId="31312"/>
    <cellStyle name="Output 2 27 5" xfId="40607"/>
    <cellStyle name="Output 2 27 6" xfId="44977"/>
    <cellStyle name="Output 2 27 7" xfId="48509"/>
    <cellStyle name="Output 2 28" xfId="5278"/>
    <cellStyle name="Output 2 28 2" xfId="12995"/>
    <cellStyle name="Output 2 28 3" xfId="21988"/>
    <cellStyle name="Output 2 28 4" xfId="30175"/>
    <cellStyle name="Output 2 28 5" xfId="39509"/>
    <cellStyle name="Output 2 28 6" xfId="43840"/>
    <cellStyle name="Output 2 28 7" xfId="48849"/>
    <cellStyle name="Output 2 29" xfId="7293"/>
    <cellStyle name="Output 2 29 2" xfId="15010"/>
    <cellStyle name="Output 2 29 3" xfId="24003"/>
    <cellStyle name="Output 2 29 4" xfId="32190"/>
    <cellStyle name="Output 2 29 5" xfId="41446"/>
    <cellStyle name="Output 2 29 6" xfId="45855"/>
    <cellStyle name="Output 2 29 7" xfId="49954"/>
    <cellStyle name="Output 2 3" xfId="515"/>
    <cellStyle name="Output 2 3 10" xfId="1962"/>
    <cellStyle name="Output 2 3 10 2" xfId="9785"/>
    <cellStyle name="Output 2 3 10 3" xfId="17213"/>
    <cellStyle name="Output 2 3 10 4" xfId="24869"/>
    <cellStyle name="Output 2 3 10 5" xfId="33182"/>
    <cellStyle name="Output 2 3 10 6" xfId="39112"/>
    <cellStyle name="Output 2 3 10 7" xfId="50494"/>
    <cellStyle name="Output 2 3 11" xfId="2080"/>
    <cellStyle name="Output 2 3 11 2" xfId="9903"/>
    <cellStyle name="Output 2 3 11 3" xfId="17331"/>
    <cellStyle name="Output 2 3 11 4" xfId="24969"/>
    <cellStyle name="Output 2 3 11 5" xfId="33309"/>
    <cellStyle name="Output 2 3 11 6" xfId="42165"/>
    <cellStyle name="Output 2 3 11 7" xfId="50716"/>
    <cellStyle name="Output 2 3 12" xfId="2193"/>
    <cellStyle name="Output 2 3 12 2" xfId="10016"/>
    <cellStyle name="Output 2 3 12 3" xfId="17444"/>
    <cellStyle name="Output 2 3 12 4" xfId="26271"/>
    <cellStyle name="Output 2 3 12 5" xfId="34970"/>
    <cellStyle name="Output 2 3 12 6" xfId="38089"/>
    <cellStyle name="Output 2 3 12 7" xfId="53579"/>
    <cellStyle name="Output 2 3 13" xfId="2274"/>
    <cellStyle name="Output 2 3 13 2" xfId="10097"/>
    <cellStyle name="Output 2 3 13 3" xfId="17525"/>
    <cellStyle name="Output 2 3 13 4" xfId="25873"/>
    <cellStyle name="Output 2 3 13 5" xfId="34462"/>
    <cellStyle name="Output 2 3 13 6" xfId="37233"/>
    <cellStyle name="Output 2 3 13 7" xfId="52722"/>
    <cellStyle name="Output 2 3 14" xfId="2368"/>
    <cellStyle name="Output 2 3 14 2" xfId="10191"/>
    <cellStyle name="Output 2 3 14 3" xfId="17619"/>
    <cellStyle name="Output 2 3 14 4" xfId="19456"/>
    <cellStyle name="Output 2 3 14 5" xfId="27418"/>
    <cellStyle name="Output 2 3 14 6" xfId="37195"/>
    <cellStyle name="Output 2 3 14 7" xfId="49641"/>
    <cellStyle name="Output 2 3 15" xfId="2491"/>
    <cellStyle name="Output 2 3 15 2" xfId="10314"/>
    <cellStyle name="Output 2 3 15 3" xfId="17742"/>
    <cellStyle name="Output 2 3 15 4" xfId="25553"/>
    <cellStyle name="Output 2 3 15 5" xfId="34048"/>
    <cellStyle name="Output 2 3 15 6" xfId="37602"/>
    <cellStyle name="Output 2 3 15 7" xfId="51987"/>
    <cellStyle name="Output 2 3 16" xfId="2604"/>
    <cellStyle name="Output 2 3 16 2" xfId="10427"/>
    <cellStyle name="Output 2 3 16 3" xfId="17855"/>
    <cellStyle name="Output 2 3 16 4" xfId="19152"/>
    <cellStyle name="Output 2 3 16 5" xfId="27553"/>
    <cellStyle name="Output 2 3 16 6" xfId="42175"/>
    <cellStyle name="Output 2 3 16 7" xfId="49265"/>
    <cellStyle name="Output 2 3 17" xfId="2689"/>
    <cellStyle name="Output 2 3 17 2" xfId="10512"/>
    <cellStyle name="Output 2 3 17 3" xfId="17940"/>
    <cellStyle name="Output 2 3 17 4" xfId="26560"/>
    <cellStyle name="Output 2 3 17 5" xfId="35369"/>
    <cellStyle name="Output 2 3 17 6" xfId="40761"/>
    <cellStyle name="Output 2 3 17 7" xfId="54192"/>
    <cellStyle name="Output 2 3 18" xfId="2740"/>
    <cellStyle name="Output 2 3 18 2" xfId="10563"/>
    <cellStyle name="Output 2 3 18 3" xfId="17991"/>
    <cellStyle name="Output 2 3 18 4" xfId="19438"/>
    <cellStyle name="Output 2 3 18 5" xfId="27135"/>
    <cellStyle name="Output 2 3 18 6" xfId="37998"/>
    <cellStyle name="Output 2 3 18 7" xfId="48847"/>
    <cellStyle name="Output 2 3 19" xfId="2798"/>
    <cellStyle name="Output 2 3 19 2" xfId="10621"/>
    <cellStyle name="Output 2 3 19 3" xfId="18049"/>
    <cellStyle name="Output 2 3 19 4" xfId="25323"/>
    <cellStyle name="Output 2 3 19 5" xfId="33751"/>
    <cellStyle name="Output 2 3 19 6" xfId="37322"/>
    <cellStyle name="Output 2 3 19 7" xfId="51481"/>
    <cellStyle name="Output 2 3 2" xfId="666"/>
    <cellStyle name="Output 2 3 2 2" xfId="8490"/>
    <cellStyle name="Output 2 3 2 3" xfId="8270"/>
    <cellStyle name="Output 2 3 2 4" xfId="25024"/>
    <cellStyle name="Output 2 3 2 5" xfId="33379"/>
    <cellStyle name="Output 2 3 2 6" xfId="38233"/>
    <cellStyle name="Output 2 3 2 7" xfId="50852"/>
    <cellStyle name="Output 2 3 20" xfId="2905"/>
    <cellStyle name="Output 2 3 20 2" xfId="10728"/>
    <cellStyle name="Output 2 3 20 3" xfId="18156"/>
    <cellStyle name="Output 2 3 20 4" xfId="25482"/>
    <cellStyle name="Output 2 3 20 5" xfId="33956"/>
    <cellStyle name="Output 2 3 20 6" xfId="37976"/>
    <cellStyle name="Output 2 3 20 7" xfId="51836"/>
    <cellStyle name="Output 2 3 21" xfId="3281"/>
    <cellStyle name="Output 2 3 21 2" xfId="11074"/>
    <cellStyle name="Output 2 3 21 3" xfId="18403"/>
    <cellStyle name="Output 2 3 21 4" xfId="26430"/>
    <cellStyle name="Output 2 3 21 5" xfId="35197"/>
    <cellStyle name="Output 2 3 21 6" xfId="41638"/>
    <cellStyle name="Output 2 3 21 7" xfId="53920"/>
    <cellStyle name="Output 2 3 22" xfId="3401"/>
    <cellStyle name="Output 2 3 22 2" xfId="11192"/>
    <cellStyle name="Output 2 3 22 3" xfId="18514"/>
    <cellStyle name="Output 2 3 22 4" xfId="19295"/>
    <cellStyle name="Output 2 3 22 5" xfId="27421"/>
    <cellStyle name="Output 2 3 22 6" xfId="36691"/>
    <cellStyle name="Output 2 3 22 7" xfId="50106"/>
    <cellStyle name="Output 2 3 23" xfId="3000"/>
    <cellStyle name="Output 2 3 23 2" xfId="10819"/>
    <cellStyle name="Output 2 3 23 3" xfId="18242"/>
    <cellStyle name="Output 2 3 23 4" xfId="26103"/>
    <cellStyle name="Output 2 3 23 5" xfId="34757"/>
    <cellStyle name="Output 2 3 23 6" xfId="40700"/>
    <cellStyle name="Output 2 3 23 7" xfId="53217"/>
    <cellStyle name="Output 2 3 24" xfId="3671"/>
    <cellStyle name="Output 2 3 24 2" xfId="11456"/>
    <cellStyle name="Output 2 3 24 3" xfId="18729"/>
    <cellStyle name="Output 2 3 24 4" xfId="25755"/>
    <cellStyle name="Output 2 3 24 5" xfId="34308"/>
    <cellStyle name="Output 2 3 24 6" xfId="39031"/>
    <cellStyle name="Output 2 3 24 7" xfId="52441"/>
    <cellStyle name="Output 2 3 25" xfId="3802"/>
    <cellStyle name="Output 2 3 25 2" xfId="11584"/>
    <cellStyle name="Output 2 3 25 3" xfId="18841"/>
    <cellStyle name="Output 2 3 25 4" xfId="26622"/>
    <cellStyle name="Output 2 3 25 5" xfId="35454"/>
    <cellStyle name="Output 2 3 25 6" xfId="36810"/>
    <cellStyle name="Output 2 3 25 7" xfId="54331"/>
    <cellStyle name="Output 2 3 26" xfId="3919"/>
    <cellStyle name="Output 2 3 26 2" xfId="11699"/>
    <cellStyle name="Output 2 3 26 3" xfId="18950"/>
    <cellStyle name="Output 2 3 26 4" xfId="19729"/>
    <cellStyle name="Output 2 3 26 5" xfId="27351"/>
    <cellStyle name="Output 2 3 26 6" xfId="36400"/>
    <cellStyle name="Output 2 3 26 7" xfId="49377"/>
    <cellStyle name="Output 2 3 27" xfId="4001"/>
    <cellStyle name="Output 2 3 27 2" xfId="11780"/>
    <cellStyle name="Output 2 3 27 3" xfId="20711"/>
    <cellStyle name="Output 2 3 27 4" xfId="28898"/>
    <cellStyle name="Output 2 3 27 5" xfId="38282"/>
    <cellStyle name="Output 2 3 27 6" xfId="42563"/>
    <cellStyle name="Output 2 3 27 7" xfId="49561"/>
    <cellStyle name="Output 2 3 28" xfId="4116"/>
    <cellStyle name="Output 2 3 28 2" xfId="11876"/>
    <cellStyle name="Output 2 3 28 3" xfId="20826"/>
    <cellStyle name="Output 2 3 28 4" xfId="29013"/>
    <cellStyle name="Output 2 3 28 5" xfId="38390"/>
    <cellStyle name="Output 2 3 28 6" xfId="42678"/>
    <cellStyle name="Output 2 3 28 7" xfId="52388"/>
    <cellStyle name="Output 2 3 29" xfId="3212"/>
    <cellStyle name="Output 2 3 29 2" xfId="20338"/>
    <cellStyle name="Output 2 3 29 3" xfId="28429"/>
    <cellStyle name="Output 2 3 29 4" xfId="37816"/>
    <cellStyle name="Output 2 3 29 5" xfId="42448"/>
    <cellStyle name="Output 2 3 29 6" xfId="54493"/>
    <cellStyle name="Output 2 3 3" xfId="773"/>
    <cellStyle name="Output 2 3 3 2" xfId="8597"/>
    <cellStyle name="Output 2 3 3 3" xfId="16025"/>
    <cellStyle name="Output 2 3 3 4" xfId="25768"/>
    <cellStyle name="Output 2 3 3 5" xfId="34325"/>
    <cellStyle name="Output 2 3 3 6" xfId="36520"/>
    <cellStyle name="Output 2 3 3 7" xfId="52470"/>
    <cellStyle name="Output 2 3 30" xfId="4313"/>
    <cellStyle name="Output 2 3 30 2" xfId="12030"/>
    <cellStyle name="Output 2 3 30 3" xfId="21023"/>
    <cellStyle name="Output 2 3 30 4" xfId="29210"/>
    <cellStyle name="Output 2 3 30 5" xfId="38581"/>
    <cellStyle name="Output 2 3 30 6" xfId="42875"/>
    <cellStyle name="Output 2 3 30 7" xfId="47956"/>
    <cellStyle name="Output 2 3 31" xfId="4436"/>
    <cellStyle name="Output 2 3 31 2" xfId="12153"/>
    <cellStyle name="Output 2 3 31 3" xfId="21146"/>
    <cellStyle name="Output 2 3 31 4" xfId="29333"/>
    <cellStyle name="Output 2 3 31 5" xfId="38699"/>
    <cellStyle name="Output 2 3 31 6" xfId="42998"/>
    <cellStyle name="Output 2 3 31 7" xfId="51905"/>
    <cellStyle name="Output 2 3 32" xfId="4550"/>
    <cellStyle name="Output 2 3 32 2" xfId="12267"/>
    <cellStyle name="Output 2 3 32 3" xfId="21260"/>
    <cellStyle name="Output 2 3 32 4" xfId="29447"/>
    <cellStyle name="Output 2 3 32 5" xfId="38808"/>
    <cellStyle name="Output 2 3 32 6" xfId="43112"/>
    <cellStyle name="Output 2 3 32 7" xfId="48496"/>
    <cellStyle name="Output 2 3 33" xfId="4663"/>
    <cellStyle name="Output 2 3 33 2" xfId="12380"/>
    <cellStyle name="Output 2 3 33 3" xfId="21373"/>
    <cellStyle name="Output 2 3 33 4" xfId="29560"/>
    <cellStyle name="Output 2 3 33 5" xfId="38917"/>
    <cellStyle name="Output 2 3 33 6" xfId="43225"/>
    <cellStyle name="Output 2 3 33 7" xfId="47480"/>
    <cellStyle name="Output 2 3 34" xfId="4775"/>
    <cellStyle name="Output 2 3 34 2" xfId="12492"/>
    <cellStyle name="Output 2 3 34 3" xfId="21485"/>
    <cellStyle name="Output 2 3 34 4" xfId="29672"/>
    <cellStyle name="Output 2 3 34 5" xfId="39026"/>
    <cellStyle name="Output 2 3 34 6" xfId="43337"/>
    <cellStyle name="Output 2 3 34 7" xfId="54119"/>
    <cellStyle name="Output 2 3 35" xfId="4883"/>
    <cellStyle name="Output 2 3 35 2" xfId="12600"/>
    <cellStyle name="Output 2 3 35 3" xfId="21593"/>
    <cellStyle name="Output 2 3 35 4" xfId="29780"/>
    <cellStyle name="Output 2 3 35 5" xfId="39129"/>
    <cellStyle name="Output 2 3 35 6" xfId="43445"/>
    <cellStyle name="Output 2 3 35 7" xfId="50687"/>
    <cellStyle name="Output 2 3 36" xfId="4995"/>
    <cellStyle name="Output 2 3 36 2" xfId="12712"/>
    <cellStyle name="Output 2 3 36 3" xfId="21705"/>
    <cellStyle name="Output 2 3 36 4" xfId="29892"/>
    <cellStyle name="Output 2 3 36 5" xfId="39238"/>
    <cellStyle name="Output 2 3 36 6" xfId="43557"/>
    <cellStyle name="Output 2 3 36 7" xfId="47910"/>
    <cellStyle name="Output 2 3 37" xfId="5116"/>
    <cellStyle name="Output 2 3 37 2" xfId="12833"/>
    <cellStyle name="Output 2 3 37 3" xfId="21826"/>
    <cellStyle name="Output 2 3 37 4" xfId="30013"/>
    <cellStyle name="Output 2 3 37 5" xfId="39354"/>
    <cellStyle name="Output 2 3 37 6" xfId="43678"/>
    <cellStyle name="Output 2 3 37 7" xfId="49083"/>
    <cellStyle name="Output 2 3 38" xfId="5493"/>
    <cellStyle name="Output 2 3 38 2" xfId="13210"/>
    <cellStyle name="Output 2 3 38 3" xfId="22203"/>
    <cellStyle name="Output 2 3 38 4" xfId="30390"/>
    <cellStyle name="Output 2 3 38 5" xfId="39715"/>
    <cellStyle name="Output 2 3 38 6" xfId="44055"/>
    <cellStyle name="Output 2 3 38 7" xfId="49343"/>
    <cellStyle name="Output 2 3 39" xfId="5618"/>
    <cellStyle name="Output 2 3 39 2" xfId="13335"/>
    <cellStyle name="Output 2 3 39 3" xfId="22328"/>
    <cellStyle name="Output 2 3 39 4" xfId="30515"/>
    <cellStyle name="Output 2 3 39 5" xfId="39836"/>
    <cellStyle name="Output 2 3 39 6" xfId="44180"/>
    <cellStyle name="Output 2 3 39 7" xfId="47128"/>
    <cellStyle name="Output 2 3 4" xfId="885"/>
    <cellStyle name="Output 2 3 4 2" xfId="8709"/>
    <cellStyle name="Output 2 3 4 3" xfId="16137"/>
    <cellStyle name="Output 2 3 4 4" xfId="20648"/>
    <cellStyle name="Output 2 3 4 5" xfId="27798"/>
    <cellStyle name="Output 2 3 4 6" xfId="38254"/>
    <cellStyle name="Output 2 3 4 7" xfId="47344"/>
    <cellStyle name="Output 2 3 40" xfId="5733"/>
    <cellStyle name="Output 2 3 40 2" xfId="13450"/>
    <cellStyle name="Output 2 3 40 3" xfId="22443"/>
    <cellStyle name="Output 2 3 40 4" xfId="30630"/>
    <cellStyle name="Output 2 3 40 5" xfId="39947"/>
    <cellStyle name="Output 2 3 40 6" xfId="44295"/>
    <cellStyle name="Output 2 3 40 7" xfId="54197"/>
    <cellStyle name="Output 2 3 41" xfId="5850"/>
    <cellStyle name="Output 2 3 41 2" xfId="13567"/>
    <cellStyle name="Output 2 3 41 3" xfId="22560"/>
    <cellStyle name="Output 2 3 41 4" xfId="30747"/>
    <cellStyle name="Output 2 3 41 5" xfId="40061"/>
    <cellStyle name="Output 2 3 41 6" xfId="44412"/>
    <cellStyle name="Output 2 3 41 7" xfId="48247"/>
    <cellStyle name="Output 2 3 42" xfId="5978"/>
    <cellStyle name="Output 2 3 42 2" xfId="13695"/>
    <cellStyle name="Output 2 3 42 3" xfId="22688"/>
    <cellStyle name="Output 2 3 42 4" xfId="30875"/>
    <cellStyle name="Output 2 3 42 5" xfId="40184"/>
    <cellStyle name="Output 2 3 42 6" xfId="44540"/>
    <cellStyle name="Output 2 3 42 7" xfId="48955"/>
    <cellStyle name="Output 2 3 43" xfId="5206"/>
    <cellStyle name="Output 2 3 43 2" xfId="12923"/>
    <cellStyle name="Output 2 3 43 3" xfId="21916"/>
    <cellStyle name="Output 2 3 43 4" xfId="30103"/>
    <cellStyle name="Output 2 3 43 5" xfId="39440"/>
    <cellStyle name="Output 2 3 43 6" xfId="43768"/>
    <cellStyle name="Output 2 3 43 7" xfId="48825"/>
    <cellStyle name="Output 2 3 44" xfId="6234"/>
    <cellStyle name="Output 2 3 44 2" xfId="13951"/>
    <cellStyle name="Output 2 3 44 3" xfId="22944"/>
    <cellStyle name="Output 2 3 44 4" xfId="31131"/>
    <cellStyle name="Output 2 3 44 5" xfId="40432"/>
    <cellStyle name="Output 2 3 44 6" xfId="44796"/>
    <cellStyle name="Output 2 3 44 7" xfId="52099"/>
    <cellStyle name="Output 2 3 45" xfId="6351"/>
    <cellStyle name="Output 2 3 45 2" xfId="14068"/>
    <cellStyle name="Output 2 3 45 3" xfId="23061"/>
    <cellStyle name="Output 2 3 45 4" xfId="31248"/>
    <cellStyle name="Output 2 3 45 5" xfId="40546"/>
    <cellStyle name="Output 2 3 45 6" xfId="44913"/>
    <cellStyle name="Output 2 3 45 7" xfId="48690"/>
    <cellStyle name="Output 2 3 46" xfId="6461"/>
    <cellStyle name="Output 2 3 46 2" xfId="14178"/>
    <cellStyle name="Output 2 3 46 3" xfId="23171"/>
    <cellStyle name="Output 2 3 46 4" xfId="31358"/>
    <cellStyle name="Output 2 3 46 5" xfId="40652"/>
    <cellStyle name="Output 2 3 46 6" xfId="45023"/>
    <cellStyle name="Output 2 3 46 7" xfId="49877"/>
    <cellStyle name="Output 2 3 47" xfId="6540"/>
    <cellStyle name="Output 2 3 47 2" xfId="14257"/>
    <cellStyle name="Output 2 3 47 3" xfId="23250"/>
    <cellStyle name="Output 2 3 47 4" xfId="31437"/>
    <cellStyle name="Output 2 3 47 5" xfId="40727"/>
    <cellStyle name="Output 2 3 47 6" xfId="45102"/>
    <cellStyle name="Output 2 3 47 7" xfId="49842"/>
    <cellStyle name="Output 2 3 48" xfId="6608"/>
    <cellStyle name="Output 2 3 48 2" xfId="14325"/>
    <cellStyle name="Output 2 3 48 3" xfId="23318"/>
    <cellStyle name="Output 2 3 48 4" xfId="31505"/>
    <cellStyle name="Output 2 3 48 5" xfId="40792"/>
    <cellStyle name="Output 2 3 48 6" xfId="45170"/>
    <cellStyle name="Output 2 3 48 7" xfId="50178"/>
    <cellStyle name="Output 2 3 49" xfId="6719"/>
    <cellStyle name="Output 2 3 49 2" xfId="14436"/>
    <cellStyle name="Output 2 3 49 3" xfId="23429"/>
    <cellStyle name="Output 2 3 49 4" xfId="31616"/>
    <cellStyle name="Output 2 3 49 5" xfId="40897"/>
    <cellStyle name="Output 2 3 49 6" xfId="45281"/>
    <cellStyle name="Output 2 3 49 7" xfId="48038"/>
    <cellStyle name="Output 2 3 5" xfId="1350"/>
    <cellStyle name="Output 2 3 5 2" xfId="9173"/>
    <cellStyle name="Output 2 3 5 3" xfId="16601"/>
    <cellStyle name="Output 2 3 5 4" xfId="19329"/>
    <cellStyle name="Output 2 3 5 5" xfId="27961"/>
    <cellStyle name="Output 2 3 5 6" xfId="41697"/>
    <cellStyle name="Output 2 3 5 7" xfId="48915"/>
    <cellStyle name="Output 2 3 50" xfId="6834"/>
    <cellStyle name="Output 2 3 50 2" xfId="14551"/>
    <cellStyle name="Output 2 3 50 3" xfId="23544"/>
    <cellStyle name="Output 2 3 50 4" xfId="31731"/>
    <cellStyle name="Output 2 3 50 5" xfId="41005"/>
    <cellStyle name="Output 2 3 50 6" xfId="45396"/>
    <cellStyle name="Output 2 3 50 7" xfId="48280"/>
    <cellStyle name="Output 2 3 51" xfId="6947"/>
    <cellStyle name="Output 2 3 51 2" xfId="14664"/>
    <cellStyle name="Output 2 3 51 3" xfId="23657"/>
    <cellStyle name="Output 2 3 51 4" xfId="31844"/>
    <cellStyle name="Output 2 3 51 5" xfId="41113"/>
    <cellStyle name="Output 2 3 51 6" xfId="45509"/>
    <cellStyle name="Output 2 3 51 7" xfId="46941"/>
    <cellStyle name="Output 2 3 52" xfId="7059"/>
    <cellStyle name="Output 2 3 52 2" xfId="14776"/>
    <cellStyle name="Output 2 3 52 3" xfId="23769"/>
    <cellStyle name="Output 2 3 52 4" xfId="31956"/>
    <cellStyle name="Output 2 3 52 5" xfId="41219"/>
    <cellStyle name="Output 2 3 52 6" xfId="45621"/>
    <cellStyle name="Output 2 3 52 7" xfId="53361"/>
    <cellStyle name="Output 2 3 53" xfId="7355"/>
    <cellStyle name="Output 2 3 53 2" xfId="15072"/>
    <cellStyle name="Output 2 3 53 3" xfId="24065"/>
    <cellStyle name="Output 2 3 53 4" xfId="32252"/>
    <cellStyle name="Output 2 3 53 5" xfId="41508"/>
    <cellStyle name="Output 2 3 53 6" xfId="45917"/>
    <cellStyle name="Output 2 3 53 7" xfId="50790"/>
    <cellStyle name="Output 2 3 54" xfId="7329"/>
    <cellStyle name="Output 2 3 54 2" xfId="15046"/>
    <cellStyle name="Output 2 3 54 3" xfId="24039"/>
    <cellStyle name="Output 2 3 54 4" xfId="32226"/>
    <cellStyle name="Output 2 3 54 5" xfId="41482"/>
    <cellStyle name="Output 2 3 54 6" xfId="45891"/>
    <cellStyle name="Output 2 3 54 7" xfId="53502"/>
    <cellStyle name="Output 2 3 55" xfId="7456"/>
    <cellStyle name="Output 2 3 55 2" xfId="15173"/>
    <cellStyle name="Output 2 3 55 3" xfId="24166"/>
    <cellStyle name="Output 2 3 55 4" xfId="32353"/>
    <cellStyle name="Output 2 3 55 5" xfId="41602"/>
    <cellStyle name="Output 2 3 55 6" xfId="46018"/>
    <cellStyle name="Output 2 3 55 7" xfId="49608"/>
    <cellStyle name="Output 2 3 56" xfId="7577"/>
    <cellStyle name="Output 2 3 56 2" xfId="15294"/>
    <cellStyle name="Output 2 3 56 3" xfId="24287"/>
    <cellStyle name="Output 2 3 56 4" xfId="32474"/>
    <cellStyle name="Output 2 3 56 5" xfId="41717"/>
    <cellStyle name="Output 2 3 56 6" xfId="46139"/>
    <cellStyle name="Output 2 3 56 7" xfId="49382"/>
    <cellStyle name="Output 2 3 57" xfId="7853"/>
    <cellStyle name="Output 2 3 57 2" xfId="15570"/>
    <cellStyle name="Output 2 3 57 3" xfId="24557"/>
    <cellStyle name="Output 2 3 57 4" xfId="32750"/>
    <cellStyle name="Output 2 3 57 5" xfId="41982"/>
    <cellStyle name="Output 2 3 57 6" xfId="46415"/>
    <cellStyle name="Output 2 3 57 7" xfId="50730"/>
    <cellStyle name="Output 2 3 58" xfId="7759"/>
    <cellStyle name="Output 2 3 58 2" xfId="15476"/>
    <cellStyle name="Output 2 3 58 3" xfId="24467"/>
    <cellStyle name="Output 2 3 58 4" xfId="32656"/>
    <cellStyle name="Output 2 3 58 5" xfId="41892"/>
    <cellStyle name="Output 2 3 58 6" xfId="46321"/>
    <cellStyle name="Output 2 3 58 7" xfId="52288"/>
    <cellStyle name="Output 2 3 59" xfId="7810"/>
    <cellStyle name="Output 2 3 59 2" xfId="15527"/>
    <cellStyle name="Output 2 3 59 3" xfId="24514"/>
    <cellStyle name="Output 2 3 59 4" xfId="32707"/>
    <cellStyle name="Output 2 3 59 5" xfId="41942"/>
    <cellStyle name="Output 2 3 59 6" xfId="46372"/>
    <cellStyle name="Output 2 3 59 7" xfId="54329"/>
    <cellStyle name="Output 2 3 6" xfId="1473"/>
    <cellStyle name="Output 2 3 6 2" xfId="9296"/>
    <cellStyle name="Output 2 3 6 3" xfId="16724"/>
    <cellStyle name="Output 2 3 6 4" xfId="19201"/>
    <cellStyle name="Output 2 3 6 5" xfId="26770"/>
    <cellStyle name="Output 2 3 6 6" xfId="37201"/>
    <cellStyle name="Output 2 3 6 7" xfId="47307"/>
    <cellStyle name="Output 2 3 60" xfId="8129"/>
    <cellStyle name="Output 2 3 60 2" xfId="15846"/>
    <cellStyle name="Output 2 3 60 3" xfId="33026"/>
    <cellStyle name="Output 2 3 60 4" xfId="42246"/>
    <cellStyle name="Output 2 3 60 5" xfId="46691"/>
    <cellStyle name="Output 2 3 60 6" xfId="50986"/>
    <cellStyle name="Output 2 3 61" xfId="20545"/>
    <cellStyle name="Output 2 3 62" xfId="27287"/>
    <cellStyle name="Output 2 3 63" xfId="37389"/>
    <cellStyle name="Output 2 3 64" xfId="50314"/>
    <cellStyle name="Output 2 3 7" xfId="1568"/>
    <cellStyle name="Output 2 3 7 2" xfId="9391"/>
    <cellStyle name="Output 2 3 7 3" xfId="16819"/>
    <cellStyle name="Output 2 3 7 4" xfId="26207"/>
    <cellStyle name="Output 2 3 7 5" xfId="34889"/>
    <cellStyle name="Output 2 3 7 6" xfId="41970"/>
    <cellStyle name="Output 2 3 7 7" xfId="53439"/>
    <cellStyle name="Output 2 3 8" xfId="1710"/>
    <cellStyle name="Output 2 3 8 2" xfId="9533"/>
    <cellStyle name="Output 2 3 8 3" xfId="16961"/>
    <cellStyle name="Output 2 3 8 4" xfId="26127"/>
    <cellStyle name="Output 2 3 8 5" xfId="34788"/>
    <cellStyle name="Output 2 3 8 6" xfId="37672"/>
    <cellStyle name="Output 2 3 8 7" xfId="53267"/>
    <cellStyle name="Output 2 3 9" xfId="1844"/>
    <cellStyle name="Output 2 3 9 2" xfId="9667"/>
    <cellStyle name="Output 2 3 9 3" xfId="17095"/>
    <cellStyle name="Output 2 3 9 4" xfId="26440"/>
    <cellStyle name="Output 2 3 9 5" xfId="35213"/>
    <cellStyle name="Output 2 3 9 6" xfId="37182"/>
    <cellStyle name="Output 2 3 9 7" xfId="53941"/>
    <cellStyle name="Output 2 30" xfId="7332"/>
    <cellStyle name="Output 2 30 2" xfId="15049"/>
    <cellStyle name="Output 2 30 3" xfId="24042"/>
    <cellStyle name="Output 2 30 4" xfId="32229"/>
    <cellStyle name="Output 2 30 5" xfId="41485"/>
    <cellStyle name="Output 2 30 6" xfId="45894"/>
    <cellStyle name="Output 2 30 7" xfId="48116"/>
    <cellStyle name="Output 2 31" xfId="7418"/>
    <cellStyle name="Output 2 31 2" xfId="15135"/>
    <cellStyle name="Output 2 31 3" xfId="24128"/>
    <cellStyle name="Output 2 31 4" xfId="32315"/>
    <cellStyle name="Output 2 31 5" xfId="41567"/>
    <cellStyle name="Output 2 31 6" xfId="45980"/>
    <cellStyle name="Output 2 31 7" xfId="51422"/>
    <cellStyle name="Output 2 32" xfId="8062"/>
    <cellStyle name="Output 2 32 2" xfId="15779"/>
    <cellStyle name="Output 2 32 3" xfId="24764"/>
    <cellStyle name="Output 2 32 4" xfId="32959"/>
    <cellStyle name="Output 2 32 5" xfId="42183"/>
    <cellStyle name="Output 2 32 6" xfId="46624"/>
    <cellStyle name="Output 2 32 7" xfId="49624"/>
    <cellStyle name="Output 2 33" xfId="25172"/>
    <cellStyle name="Output 2 34" xfId="33553"/>
    <cellStyle name="Output 2 35" xfId="36920"/>
    <cellStyle name="Output 2 36" xfId="51161"/>
    <cellStyle name="Output 2 4" xfId="564"/>
    <cellStyle name="Output 2 4 10" xfId="2011"/>
    <cellStyle name="Output 2 4 10 2" xfId="9834"/>
    <cellStyle name="Output 2 4 10 3" xfId="17262"/>
    <cellStyle name="Output 2 4 10 4" xfId="25350"/>
    <cellStyle name="Output 2 4 10 5" xfId="33785"/>
    <cellStyle name="Output 2 4 10 6" xfId="41773"/>
    <cellStyle name="Output 2 4 10 7" xfId="51534"/>
    <cellStyle name="Output 2 4 11" xfId="2128"/>
    <cellStyle name="Output 2 4 11 2" xfId="9951"/>
    <cellStyle name="Output 2 4 11 3" xfId="17379"/>
    <cellStyle name="Output 2 4 11 4" xfId="25695"/>
    <cellStyle name="Output 2 4 11 5" xfId="34234"/>
    <cellStyle name="Output 2 4 11 6" xfId="37501"/>
    <cellStyle name="Output 2 4 11 7" xfId="52303"/>
    <cellStyle name="Output 2 4 12" xfId="2242"/>
    <cellStyle name="Output 2 4 12 2" xfId="10065"/>
    <cellStyle name="Output 2 4 12 3" xfId="17493"/>
    <cellStyle name="Output 2 4 12 4" xfId="24844"/>
    <cellStyle name="Output 2 4 12 5" xfId="27170"/>
    <cellStyle name="Output 2 4 12 6" xfId="40563"/>
    <cellStyle name="Output 2 4 12 7" xfId="47327"/>
    <cellStyle name="Output 2 4 13" xfId="1613"/>
    <cellStyle name="Output 2 4 13 2" xfId="9436"/>
    <cellStyle name="Output 2 4 13 3" xfId="16864"/>
    <cellStyle name="Output 2 4 13 4" xfId="20362"/>
    <cellStyle name="Output 2 4 13 5" xfId="27339"/>
    <cellStyle name="Output 2 4 13 6" xfId="37349"/>
    <cellStyle name="Output 2 4 13 7" xfId="48736"/>
    <cellStyle name="Output 2 4 14" xfId="1276"/>
    <cellStyle name="Output 2 4 14 2" xfId="9099"/>
    <cellStyle name="Output 2 4 14 3" xfId="16527"/>
    <cellStyle name="Output 2 4 14 4" xfId="19792"/>
    <cellStyle name="Output 2 4 14 5" xfId="28619"/>
    <cellStyle name="Output 2 4 14 6" xfId="40658"/>
    <cellStyle name="Output 2 4 14 7" xfId="47190"/>
    <cellStyle name="Output 2 4 15" xfId="2539"/>
    <cellStyle name="Output 2 4 15 2" xfId="10362"/>
    <cellStyle name="Output 2 4 15 3" xfId="17790"/>
    <cellStyle name="Output 2 4 15 4" xfId="20598"/>
    <cellStyle name="Output 2 4 15 5" xfId="28500"/>
    <cellStyle name="Output 2 4 15 6" xfId="41261"/>
    <cellStyle name="Output 2 4 15 7" xfId="47717"/>
    <cellStyle name="Output 2 4 16" xfId="2653"/>
    <cellStyle name="Output 2 4 16 2" xfId="10476"/>
    <cellStyle name="Output 2 4 16 3" xfId="17904"/>
    <cellStyle name="Output 2 4 16 4" xfId="24967"/>
    <cellStyle name="Output 2 4 16 5" xfId="33307"/>
    <cellStyle name="Output 2 4 16 6" xfId="36889"/>
    <cellStyle name="Output 2 4 16 7" xfId="50714"/>
    <cellStyle name="Output 2 4 17" xfId="2441"/>
    <cellStyle name="Output 2 4 17 2" xfId="10264"/>
    <cellStyle name="Output 2 4 17 3" xfId="17692"/>
    <cellStyle name="Output 2 4 17 4" xfId="19265"/>
    <cellStyle name="Output 2 4 17 5" xfId="27866"/>
    <cellStyle name="Output 2 4 17 6" xfId="37027"/>
    <cellStyle name="Output 2 4 17 7" xfId="47440"/>
    <cellStyle name="Output 2 4 18" xfId="2294"/>
    <cellStyle name="Output 2 4 18 2" xfId="10117"/>
    <cellStyle name="Output 2 4 18 3" xfId="17545"/>
    <cellStyle name="Output 2 4 18 4" xfId="24890"/>
    <cellStyle name="Output 2 4 18 5" xfId="33206"/>
    <cellStyle name="Output 2 4 18 6" xfId="36287"/>
    <cellStyle name="Output 2 4 18 7" xfId="50541"/>
    <cellStyle name="Output 2 4 19" xfId="2844"/>
    <cellStyle name="Output 2 4 19 2" xfId="10667"/>
    <cellStyle name="Output 2 4 19 3" xfId="18095"/>
    <cellStyle name="Output 2 4 19 4" xfId="26599"/>
    <cellStyle name="Output 2 4 19 5" xfId="35425"/>
    <cellStyle name="Output 2 4 19 6" xfId="40088"/>
    <cellStyle name="Output 2 4 19 7" xfId="54278"/>
    <cellStyle name="Output 2 4 2" xfId="712"/>
    <cellStyle name="Output 2 4 2 2" xfId="8536"/>
    <cellStyle name="Output 2 4 2 3" xfId="15964"/>
    <cellStyle name="Output 2 4 2 4" xfId="25374"/>
    <cellStyle name="Output 2 4 2 5" xfId="33821"/>
    <cellStyle name="Output 2 4 2 6" xfId="37089"/>
    <cellStyle name="Output 2 4 2 7" xfId="51597"/>
    <cellStyle name="Output 2 4 20" xfId="2951"/>
    <cellStyle name="Output 2 4 20 2" xfId="10774"/>
    <cellStyle name="Output 2 4 20 3" xfId="18202"/>
    <cellStyle name="Output 2 4 20 4" xfId="24981"/>
    <cellStyle name="Output 2 4 20 5" xfId="33324"/>
    <cellStyle name="Output 2 4 20 6" xfId="39054"/>
    <cellStyle name="Output 2 4 20 7" xfId="50748"/>
    <cellStyle name="Output 2 4 21" xfId="3328"/>
    <cellStyle name="Output 2 4 21 2" xfId="11121"/>
    <cellStyle name="Output 2 4 21 3" xfId="18449"/>
    <cellStyle name="Output 2 4 21 4" xfId="19199"/>
    <cellStyle name="Output 2 4 21 5" xfId="26930"/>
    <cellStyle name="Output 2 4 21 6" xfId="37300"/>
    <cellStyle name="Output 2 4 21 7" xfId="49124"/>
    <cellStyle name="Output 2 4 22" xfId="3447"/>
    <cellStyle name="Output 2 4 22 2" xfId="11238"/>
    <cellStyle name="Output 2 4 22 3" xfId="18560"/>
    <cellStyle name="Output 2 4 22 4" xfId="25974"/>
    <cellStyle name="Output 2 4 22 5" xfId="34586"/>
    <cellStyle name="Output 2 4 22 6" xfId="39734"/>
    <cellStyle name="Output 2 4 22 7" xfId="52936"/>
    <cellStyle name="Output 2 4 23" xfId="3607"/>
    <cellStyle name="Output 2 4 23 2" xfId="11393"/>
    <cellStyle name="Output 2 4 23 3" xfId="18667"/>
    <cellStyle name="Output 2 4 23 4" xfId="25231"/>
    <cellStyle name="Output 2 4 23 5" xfId="33633"/>
    <cellStyle name="Output 2 4 23 6" xfId="38049"/>
    <cellStyle name="Output 2 4 23 7" xfId="51286"/>
    <cellStyle name="Output 2 4 24" xfId="3720"/>
    <cellStyle name="Output 2 4 24 2" xfId="11505"/>
    <cellStyle name="Output 2 4 24 3" xfId="18777"/>
    <cellStyle name="Output 2 4 24 4" xfId="25984"/>
    <cellStyle name="Output 2 4 24 5" xfId="34603"/>
    <cellStyle name="Output 2 4 24 6" xfId="41435"/>
    <cellStyle name="Output 2 4 24 7" xfId="52962"/>
    <cellStyle name="Output 2 4 25" xfId="3849"/>
    <cellStyle name="Output 2 4 25 2" xfId="11631"/>
    <cellStyle name="Output 2 4 25 3" xfId="18887"/>
    <cellStyle name="Output 2 4 25 4" xfId="19866"/>
    <cellStyle name="Output 2 4 25 5" xfId="28128"/>
    <cellStyle name="Output 2 4 25 6" xfId="37478"/>
    <cellStyle name="Output 2 4 25 7" xfId="49424"/>
    <cellStyle name="Output 2 4 26" xfId="3968"/>
    <cellStyle name="Output 2 4 26 2" xfId="11747"/>
    <cellStyle name="Output 2 4 26 3" xfId="18996"/>
    <cellStyle name="Output 2 4 26 4" xfId="26033"/>
    <cellStyle name="Output 2 4 26 5" xfId="34665"/>
    <cellStyle name="Output 2 4 26 6" xfId="39936"/>
    <cellStyle name="Output 2 4 26 7" xfId="53063"/>
    <cellStyle name="Output 2 4 27" xfId="3172"/>
    <cellStyle name="Output 2 4 27 2" xfId="10973"/>
    <cellStyle name="Output 2 4 27 3" xfId="20305"/>
    <cellStyle name="Output 2 4 27 4" xfId="28395"/>
    <cellStyle name="Output 2 4 27 5" xfId="37783"/>
    <cellStyle name="Output 2 4 27 6" xfId="42422"/>
    <cellStyle name="Output 2 4 27 7" xfId="52332"/>
    <cellStyle name="Output 2 4 28" xfId="4164"/>
    <cellStyle name="Output 2 4 28 2" xfId="11923"/>
    <cellStyle name="Output 2 4 28 3" xfId="20874"/>
    <cellStyle name="Output 2 4 28 4" xfId="29061"/>
    <cellStyle name="Output 2 4 28 5" xfId="38437"/>
    <cellStyle name="Output 2 4 28 6" xfId="42726"/>
    <cellStyle name="Output 2 4 28 7" xfId="49602"/>
    <cellStyle name="Output 2 4 29" xfId="4253"/>
    <cellStyle name="Output 2 4 29 2" xfId="20963"/>
    <cellStyle name="Output 2 4 29 3" xfId="29150"/>
    <cellStyle name="Output 2 4 29 4" xfId="38523"/>
    <cellStyle name="Output 2 4 29 5" xfId="42815"/>
    <cellStyle name="Output 2 4 29 6" xfId="53836"/>
    <cellStyle name="Output 2 4 3" xfId="821"/>
    <cellStyle name="Output 2 4 3 2" xfId="8645"/>
    <cellStyle name="Output 2 4 3 3" xfId="16073"/>
    <cellStyle name="Output 2 4 3 4" xfId="26434"/>
    <cellStyle name="Output 2 4 3 5" xfId="35203"/>
    <cellStyle name="Output 2 4 3 6" xfId="37500"/>
    <cellStyle name="Output 2 4 3 7" xfId="53925"/>
    <cellStyle name="Output 2 4 30" xfId="4362"/>
    <cellStyle name="Output 2 4 30 2" xfId="12079"/>
    <cellStyle name="Output 2 4 30 3" xfId="21072"/>
    <cellStyle name="Output 2 4 30 4" xfId="29259"/>
    <cellStyle name="Output 2 4 30 5" xfId="38629"/>
    <cellStyle name="Output 2 4 30 6" xfId="42924"/>
    <cellStyle name="Output 2 4 30 7" xfId="52908"/>
    <cellStyle name="Output 2 4 31" xfId="4484"/>
    <cellStyle name="Output 2 4 31 2" xfId="12201"/>
    <cellStyle name="Output 2 4 31 3" xfId="21194"/>
    <cellStyle name="Output 2 4 31 4" xfId="29381"/>
    <cellStyle name="Output 2 4 31 5" xfId="38746"/>
    <cellStyle name="Output 2 4 31 6" xfId="43046"/>
    <cellStyle name="Output 2 4 31 7" xfId="53121"/>
    <cellStyle name="Output 2 4 32" xfId="4598"/>
    <cellStyle name="Output 2 4 32 2" xfId="12315"/>
    <cellStyle name="Output 2 4 32 3" xfId="21308"/>
    <cellStyle name="Output 2 4 32 4" xfId="29495"/>
    <cellStyle name="Output 2 4 32 5" xfId="38855"/>
    <cellStyle name="Output 2 4 32 6" xfId="43160"/>
    <cellStyle name="Output 2 4 32 7" xfId="49976"/>
    <cellStyle name="Output 2 4 33" xfId="4711"/>
    <cellStyle name="Output 2 4 33 2" xfId="12428"/>
    <cellStyle name="Output 2 4 33 3" xfId="21421"/>
    <cellStyle name="Output 2 4 33 4" xfId="29608"/>
    <cellStyle name="Output 2 4 33 5" xfId="38964"/>
    <cellStyle name="Output 2 4 33 6" xfId="43273"/>
    <cellStyle name="Output 2 4 33 7" xfId="53266"/>
    <cellStyle name="Output 2 4 34" xfId="4821"/>
    <cellStyle name="Output 2 4 34 2" xfId="12538"/>
    <cellStyle name="Output 2 4 34 3" xfId="21531"/>
    <cellStyle name="Output 2 4 34 4" xfId="29718"/>
    <cellStyle name="Output 2 4 34 5" xfId="39071"/>
    <cellStyle name="Output 2 4 34 6" xfId="43383"/>
    <cellStyle name="Output 2 4 34 7" xfId="49458"/>
    <cellStyle name="Output 2 4 35" xfId="4931"/>
    <cellStyle name="Output 2 4 35 2" xfId="12648"/>
    <cellStyle name="Output 2 4 35 3" xfId="21641"/>
    <cellStyle name="Output 2 4 35 4" xfId="29828"/>
    <cellStyle name="Output 2 4 35 5" xfId="39176"/>
    <cellStyle name="Output 2 4 35 6" xfId="43493"/>
    <cellStyle name="Output 2 4 35 7" xfId="48448"/>
    <cellStyle name="Output 2 4 36" xfId="5041"/>
    <cellStyle name="Output 2 4 36 2" xfId="12758"/>
    <cellStyle name="Output 2 4 36 3" xfId="21751"/>
    <cellStyle name="Output 2 4 36 4" xfId="29938"/>
    <cellStyle name="Output 2 4 36 5" xfId="39283"/>
    <cellStyle name="Output 2 4 36 6" xfId="43603"/>
    <cellStyle name="Output 2 4 36 7" xfId="49970"/>
    <cellStyle name="Output 2 4 37" xfId="5421"/>
    <cellStyle name="Output 2 4 37 2" xfId="13138"/>
    <cellStyle name="Output 2 4 37 3" xfId="22131"/>
    <cellStyle name="Output 2 4 37 4" xfId="30318"/>
    <cellStyle name="Output 2 4 37 5" xfId="39648"/>
    <cellStyle name="Output 2 4 37 6" xfId="43983"/>
    <cellStyle name="Output 2 4 37 7" xfId="49221"/>
    <cellStyle name="Output 2 4 38" xfId="5541"/>
    <cellStyle name="Output 2 4 38 2" xfId="13258"/>
    <cellStyle name="Output 2 4 38 3" xfId="22251"/>
    <cellStyle name="Output 2 4 38 4" xfId="30438"/>
    <cellStyle name="Output 2 4 38 5" xfId="39762"/>
    <cellStyle name="Output 2 4 38 6" xfId="44103"/>
    <cellStyle name="Output 2 4 38 7" xfId="47183"/>
    <cellStyle name="Output 2 4 39" xfId="5665"/>
    <cellStyle name="Output 2 4 39 2" xfId="13382"/>
    <cellStyle name="Output 2 4 39 3" xfId="22375"/>
    <cellStyle name="Output 2 4 39 4" xfId="30562"/>
    <cellStyle name="Output 2 4 39 5" xfId="39882"/>
    <cellStyle name="Output 2 4 39 6" xfId="44227"/>
    <cellStyle name="Output 2 4 39 7" xfId="47105"/>
    <cellStyle name="Output 2 4 4" xfId="931"/>
    <cellStyle name="Output 2 4 4 2" xfId="8755"/>
    <cellStyle name="Output 2 4 4 3" xfId="16183"/>
    <cellStyle name="Output 2 4 4 4" xfId="24973"/>
    <cellStyle name="Output 2 4 4 5" xfId="33314"/>
    <cellStyle name="Output 2 4 4 6" xfId="36950"/>
    <cellStyle name="Output 2 4 4 7" xfId="50725"/>
    <cellStyle name="Output 2 4 40" xfId="5781"/>
    <cellStyle name="Output 2 4 40 2" xfId="13498"/>
    <cellStyle name="Output 2 4 40 3" xfId="22491"/>
    <cellStyle name="Output 2 4 40 4" xfId="30678"/>
    <cellStyle name="Output 2 4 40 5" xfId="39994"/>
    <cellStyle name="Output 2 4 40 6" xfId="44343"/>
    <cellStyle name="Output 2 4 40 7" xfId="48934"/>
    <cellStyle name="Output 2 4 41" xfId="5898"/>
    <cellStyle name="Output 2 4 41 2" xfId="13615"/>
    <cellStyle name="Output 2 4 41 3" xfId="22608"/>
    <cellStyle name="Output 2 4 41 4" xfId="30795"/>
    <cellStyle name="Output 2 4 41 5" xfId="40108"/>
    <cellStyle name="Output 2 4 41 6" xfId="44460"/>
    <cellStyle name="Output 2 4 41 7" xfId="49347"/>
    <cellStyle name="Output 2 4 42" xfId="6026"/>
    <cellStyle name="Output 2 4 42 2" xfId="13743"/>
    <cellStyle name="Output 2 4 42 3" xfId="22736"/>
    <cellStyle name="Output 2 4 42 4" xfId="30923"/>
    <cellStyle name="Output 2 4 42 5" xfId="40231"/>
    <cellStyle name="Output 2 4 42 6" xfId="44588"/>
    <cellStyle name="Output 2 4 42 7" xfId="51921"/>
    <cellStyle name="Output 2 4 43" xfId="6153"/>
    <cellStyle name="Output 2 4 43 2" xfId="13870"/>
    <cellStyle name="Output 2 4 43 3" xfId="22863"/>
    <cellStyle name="Output 2 4 43 4" xfId="31050"/>
    <cellStyle name="Output 2 4 43 5" xfId="40351"/>
    <cellStyle name="Output 2 4 43 6" xfId="44715"/>
    <cellStyle name="Output 2 4 43 7" xfId="53092"/>
    <cellStyle name="Output 2 4 44" xfId="6282"/>
    <cellStyle name="Output 2 4 44 2" xfId="13999"/>
    <cellStyle name="Output 2 4 44 3" xfId="22992"/>
    <cellStyle name="Output 2 4 44 4" xfId="31179"/>
    <cellStyle name="Output 2 4 44 5" xfId="40479"/>
    <cellStyle name="Output 2 4 44 6" xfId="44844"/>
    <cellStyle name="Output 2 4 44 7" xfId="49837"/>
    <cellStyle name="Output 2 4 45" xfId="6397"/>
    <cellStyle name="Output 2 4 45 2" xfId="14114"/>
    <cellStyle name="Output 2 4 45 3" xfId="23107"/>
    <cellStyle name="Output 2 4 45 4" xfId="31294"/>
    <cellStyle name="Output 2 4 45 5" xfId="40590"/>
    <cellStyle name="Output 2 4 45 6" xfId="44959"/>
    <cellStyle name="Output 2 4 45 7" xfId="50195"/>
    <cellStyle name="Output 2 4 46" xfId="6509"/>
    <cellStyle name="Output 2 4 46 2" xfId="14226"/>
    <cellStyle name="Output 2 4 46 3" xfId="23219"/>
    <cellStyle name="Output 2 4 46 4" xfId="31406"/>
    <cellStyle name="Output 2 4 46 5" xfId="40698"/>
    <cellStyle name="Output 2 4 46 6" xfId="45071"/>
    <cellStyle name="Output 2 4 46 7" xfId="48000"/>
    <cellStyle name="Output 2 4 47" xfId="6312"/>
    <cellStyle name="Output 2 4 47 2" xfId="14029"/>
    <cellStyle name="Output 2 4 47 3" xfId="23022"/>
    <cellStyle name="Output 2 4 47 4" xfId="31209"/>
    <cellStyle name="Output 2 4 47 5" xfId="40509"/>
    <cellStyle name="Output 2 4 47 6" xfId="44874"/>
    <cellStyle name="Output 2 4 47 7" xfId="52943"/>
    <cellStyle name="Output 2 4 48" xfId="6656"/>
    <cellStyle name="Output 2 4 48 2" xfId="14373"/>
    <cellStyle name="Output 2 4 48 3" xfId="23366"/>
    <cellStyle name="Output 2 4 48 4" xfId="31553"/>
    <cellStyle name="Output 2 4 48 5" xfId="40838"/>
    <cellStyle name="Output 2 4 48 6" xfId="45218"/>
    <cellStyle name="Output 2 4 48 7" xfId="52607"/>
    <cellStyle name="Output 2 4 49" xfId="6767"/>
    <cellStyle name="Output 2 4 49 2" xfId="14484"/>
    <cellStyle name="Output 2 4 49 3" xfId="23477"/>
    <cellStyle name="Output 2 4 49 4" xfId="31664"/>
    <cellStyle name="Output 2 4 49 5" xfId="40943"/>
    <cellStyle name="Output 2 4 49 6" xfId="45329"/>
    <cellStyle name="Output 2 4 49 7" xfId="49718"/>
    <cellStyle name="Output 2 4 5" xfId="1399"/>
    <cellStyle name="Output 2 4 5 2" xfId="9222"/>
    <cellStyle name="Output 2 4 5 3" xfId="16650"/>
    <cellStyle name="Output 2 4 5 4" xfId="19281"/>
    <cellStyle name="Output 2 4 5 5" xfId="27491"/>
    <cellStyle name="Output 2 4 5 6" xfId="36588"/>
    <cellStyle name="Output 2 4 5 7" xfId="50026"/>
    <cellStyle name="Output 2 4 50" xfId="6882"/>
    <cellStyle name="Output 2 4 50 2" xfId="14599"/>
    <cellStyle name="Output 2 4 50 3" xfId="23592"/>
    <cellStyle name="Output 2 4 50 4" xfId="31779"/>
    <cellStyle name="Output 2 4 50 5" xfId="41052"/>
    <cellStyle name="Output 2 4 50 6" xfId="45444"/>
    <cellStyle name="Output 2 4 50 7" xfId="47063"/>
    <cellStyle name="Output 2 4 51" xfId="6995"/>
    <cellStyle name="Output 2 4 51 2" xfId="14712"/>
    <cellStyle name="Output 2 4 51 3" xfId="23705"/>
    <cellStyle name="Output 2 4 51 4" xfId="31892"/>
    <cellStyle name="Output 2 4 51 5" xfId="41160"/>
    <cellStyle name="Output 2 4 51 6" xfId="45557"/>
    <cellStyle name="Output 2 4 51 7" xfId="46994"/>
    <cellStyle name="Output 2 4 52" xfId="7105"/>
    <cellStyle name="Output 2 4 52 2" xfId="14822"/>
    <cellStyle name="Output 2 4 52 3" xfId="23815"/>
    <cellStyle name="Output 2 4 52 4" xfId="32002"/>
    <cellStyle name="Output 2 4 52 5" xfId="41264"/>
    <cellStyle name="Output 2 4 52 6" xfId="45667"/>
    <cellStyle name="Output 2 4 52 7" xfId="47285"/>
    <cellStyle name="Output 2 4 53" xfId="7173"/>
    <cellStyle name="Output 2 4 53 2" xfId="14890"/>
    <cellStyle name="Output 2 4 53 3" xfId="23883"/>
    <cellStyle name="Output 2 4 53 4" xfId="32070"/>
    <cellStyle name="Output 2 4 53 5" xfId="41331"/>
    <cellStyle name="Output 2 4 53 6" xfId="45735"/>
    <cellStyle name="Output 2 4 53 7" xfId="54379"/>
    <cellStyle name="Output 2 4 54" xfId="7336"/>
    <cellStyle name="Output 2 4 54 2" xfId="15053"/>
    <cellStyle name="Output 2 4 54 3" xfId="24046"/>
    <cellStyle name="Output 2 4 54 4" xfId="32233"/>
    <cellStyle name="Output 2 4 54 5" xfId="41489"/>
    <cellStyle name="Output 2 4 54 6" xfId="45898"/>
    <cellStyle name="Output 2 4 54 7" xfId="52947"/>
    <cellStyle name="Output 2 4 55" xfId="7502"/>
    <cellStyle name="Output 2 4 55 2" xfId="15219"/>
    <cellStyle name="Output 2 4 55 3" xfId="24212"/>
    <cellStyle name="Output 2 4 55 4" xfId="32399"/>
    <cellStyle name="Output 2 4 55 5" xfId="41647"/>
    <cellStyle name="Output 2 4 55 6" xfId="46064"/>
    <cellStyle name="Output 2 4 55 7" xfId="50037"/>
    <cellStyle name="Output 2 4 56" xfId="7623"/>
    <cellStyle name="Output 2 4 56 2" xfId="15340"/>
    <cellStyle name="Output 2 4 56 3" xfId="24333"/>
    <cellStyle name="Output 2 4 56 4" xfId="32520"/>
    <cellStyle name="Output 2 4 56 5" xfId="41762"/>
    <cellStyle name="Output 2 4 56 6" xfId="46185"/>
    <cellStyle name="Output 2 4 56 7" xfId="53512"/>
    <cellStyle name="Output 2 4 57" xfId="7900"/>
    <cellStyle name="Output 2 4 57 2" xfId="15617"/>
    <cellStyle name="Output 2 4 57 3" xfId="24604"/>
    <cellStyle name="Output 2 4 57 4" xfId="32797"/>
    <cellStyle name="Output 2 4 57 5" xfId="42028"/>
    <cellStyle name="Output 2 4 57 6" xfId="46462"/>
    <cellStyle name="Output 2 4 57 7" xfId="53158"/>
    <cellStyle name="Output 2 4 58" xfId="8028"/>
    <cellStyle name="Output 2 4 58 2" xfId="15745"/>
    <cellStyle name="Output 2 4 58 3" xfId="24730"/>
    <cellStyle name="Output 2 4 58 4" xfId="32925"/>
    <cellStyle name="Output 2 4 58 5" xfId="42150"/>
    <cellStyle name="Output 2 4 58 6" xfId="46590"/>
    <cellStyle name="Output 2 4 58 7" xfId="48131"/>
    <cellStyle name="Output 2 4 59" xfId="7723"/>
    <cellStyle name="Output 2 4 59 2" xfId="15440"/>
    <cellStyle name="Output 2 4 59 3" xfId="24431"/>
    <cellStyle name="Output 2 4 59 4" xfId="32620"/>
    <cellStyle name="Output 2 4 59 5" xfId="41857"/>
    <cellStyle name="Output 2 4 59 6" xfId="46285"/>
    <cellStyle name="Output 2 4 59 7" xfId="47703"/>
    <cellStyle name="Output 2 4 6" xfId="1522"/>
    <cellStyle name="Output 2 4 6 2" xfId="9345"/>
    <cellStyle name="Output 2 4 6 3" xfId="16773"/>
    <cellStyle name="Output 2 4 6 4" xfId="20593"/>
    <cellStyle name="Output 2 4 6 5" xfId="27046"/>
    <cellStyle name="Output 2 4 6 6" xfId="38953"/>
    <cellStyle name="Output 2 4 6 7" xfId="49994"/>
    <cellStyle name="Output 2 4 60" xfId="8175"/>
    <cellStyle name="Output 2 4 60 2" xfId="15892"/>
    <cellStyle name="Output 2 4 60 3" xfId="33072"/>
    <cellStyle name="Output 2 4 60 4" xfId="42291"/>
    <cellStyle name="Output 2 4 60 5" xfId="46737"/>
    <cellStyle name="Output 2 4 60 6" xfId="46881"/>
    <cellStyle name="Output 2 4 61" xfId="25956"/>
    <cellStyle name="Output 2 4 62" xfId="34563"/>
    <cellStyle name="Output 2 4 63" xfId="36256"/>
    <cellStyle name="Output 2 4 64" xfId="52900"/>
    <cellStyle name="Output 2 4 7" xfId="1117"/>
    <cellStyle name="Output 2 4 7 2" xfId="8940"/>
    <cellStyle name="Output 2 4 7 3" xfId="16368"/>
    <cellStyle name="Output 2 4 7 4" xfId="19363"/>
    <cellStyle name="Output 2 4 7 5" xfId="28798"/>
    <cellStyle name="Output 2 4 7 6" xfId="36897"/>
    <cellStyle name="Output 2 4 7 7" xfId="48034"/>
    <cellStyle name="Output 2 4 8" xfId="1759"/>
    <cellStyle name="Output 2 4 8 2" xfId="9582"/>
    <cellStyle name="Output 2 4 8 3" xfId="17010"/>
    <cellStyle name="Output 2 4 8 4" xfId="19856"/>
    <cellStyle name="Output 2 4 8 5" xfId="27718"/>
    <cellStyle name="Output 2 4 8 6" xfId="38611"/>
    <cellStyle name="Output 2 4 8 7" xfId="49668"/>
    <cellStyle name="Output 2 4 9" xfId="1892"/>
    <cellStyle name="Output 2 4 9 2" xfId="9715"/>
    <cellStyle name="Output 2 4 9 3" xfId="17143"/>
    <cellStyle name="Output 2 4 9 4" xfId="19390"/>
    <cellStyle name="Output 2 4 9 5" xfId="27978"/>
    <cellStyle name="Output 2 4 9 6" xfId="38090"/>
    <cellStyle name="Output 2 4 9 7" xfId="48861"/>
    <cellStyle name="Output 2 5" xfId="548"/>
    <cellStyle name="Output 2 5 10" xfId="1995"/>
    <cellStyle name="Output 2 5 10 2" xfId="9818"/>
    <cellStyle name="Output 2 5 10 3" xfId="17246"/>
    <cellStyle name="Output 2 5 10 4" xfId="26124"/>
    <cellStyle name="Output 2 5 10 5" xfId="34785"/>
    <cellStyle name="Output 2 5 10 6" xfId="40757"/>
    <cellStyle name="Output 2 5 10 7" xfId="53261"/>
    <cellStyle name="Output 2 5 11" xfId="2113"/>
    <cellStyle name="Output 2 5 11 2" xfId="9936"/>
    <cellStyle name="Output 2 5 11 3" xfId="17364"/>
    <cellStyle name="Output 2 5 11 4" xfId="26380"/>
    <cellStyle name="Output 2 5 11 5" xfId="35124"/>
    <cellStyle name="Output 2 5 11 6" xfId="38645"/>
    <cellStyle name="Output 2 5 11 7" xfId="53809"/>
    <cellStyle name="Output 2 5 12" xfId="2226"/>
    <cellStyle name="Output 2 5 12 2" xfId="10049"/>
    <cellStyle name="Output 2 5 12 3" xfId="17477"/>
    <cellStyle name="Output 2 5 12 4" xfId="20116"/>
    <cellStyle name="Output 2 5 12 5" xfId="27335"/>
    <cellStyle name="Output 2 5 12 6" xfId="42100"/>
    <cellStyle name="Output 2 5 12 7" xfId="50318"/>
    <cellStyle name="Output 2 5 13" xfId="1034"/>
    <cellStyle name="Output 2 5 13 2" xfId="8858"/>
    <cellStyle name="Output 2 5 13 3" xfId="16286"/>
    <cellStyle name="Output 2 5 13 4" xfId="19863"/>
    <cellStyle name="Output 2 5 13 5" xfId="28205"/>
    <cellStyle name="Output 2 5 13 6" xfId="36904"/>
    <cellStyle name="Output 2 5 13 7" xfId="48246"/>
    <cellStyle name="Output 2 5 14" xfId="2329"/>
    <cellStyle name="Output 2 5 14 2" xfId="10152"/>
    <cellStyle name="Output 2 5 14 3" xfId="17580"/>
    <cellStyle name="Output 2 5 14 4" xfId="26535"/>
    <cellStyle name="Output 2 5 14 5" xfId="35335"/>
    <cellStyle name="Output 2 5 14 6" xfId="40626"/>
    <cellStyle name="Output 2 5 14 7" xfId="54142"/>
    <cellStyle name="Output 2 5 15" xfId="2524"/>
    <cellStyle name="Output 2 5 15 2" xfId="10347"/>
    <cellStyle name="Output 2 5 15 3" xfId="17775"/>
    <cellStyle name="Output 2 5 15 4" xfId="20526"/>
    <cellStyle name="Output 2 5 15 5" xfId="28095"/>
    <cellStyle name="Output 2 5 15 6" xfId="41406"/>
    <cellStyle name="Output 2 5 15 7" xfId="47902"/>
    <cellStyle name="Output 2 5 16" xfId="2637"/>
    <cellStyle name="Output 2 5 16 2" xfId="10460"/>
    <cellStyle name="Output 2 5 16 3" xfId="17888"/>
    <cellStyle name="Output 2 5 16 4" xfId="25767"/>
    <cellStyle name="Output 2 5 16 5" xfId="34324"/>
    <cellStyle name="Output 2 5 16 6" xfId="38657"/>
    <cellStyle name="Output 2 5 16 7" xfId="52469"/>
    <cellStyle name="Output 2 5 17" xfId="2433"/>
    <cellStyle name="Output 2 5 17 2" xfId="10256"/>
    <cellStyle name="Output 2 5 17 3" xfId="17684"/>
    <cellStyle name="Output 2 5 17 4" xfId="24806"/>
    <cellStyle name="Output 2 5 17 5" xfId="26812"/>
    <cellStyle name="Output 2 5 17 6" xfId="37093"/>
    <cellStyle name="Output 2 5 17 7" xfId="49703"/>
    <cellStyle name="Output 2 5 18" xfId="2691"/>
    <cellStyle name="Output 2 5 18 2" xfId="10514"/>
    <cellStyle name="Output 2 5 18 3" xfId="17942"/>
    <cellStyle name="Output 2 5 18 4" xfId="26384"/>
    <cellStyle name="Output 2 5 18 5" xfId="35130"/>
    <cellStyle name="Output 2 5 18 6" xfId="40147"/>
    <cellStyle name="Output 2 5 18 7" xfId="53814"/>
    <cellStyle name="Output 2 5 19" xfId="2830"/>
    <cellStyle name="Output 2 5 19 2" xfId="10653"/>
    <cellStyle name="Output 2 5 19 3" xfId="18081"/>
    <cellStyle name="Output 2 5 19 4" xfId="26128"/>
    <cellStyle name="Output 2 5 19 5" xfId="34789"/>
    <cellStyle name="Output 2 5 19 6" xfId="41350"/>
    <cellStyle name="Output 2 5 19 7" xfId="53268"/>
    <cellStyle name="Output 2 5 2" xfId="698"/>
    <cellStyle name="Output 2 5 2 2" xfId="8522"/>
    <cellStyle name="Output 2 5 2 3" xfId="15950"/>
    <cellStyle name="Output 2 5 2 4" xfId="26419"/>
    <cellStyle name="Output 2 5 2 5" xfId="35180"/>
    <cellStyle name="Output 2 5 2 6" xfId="37679"/>
    <cellStyle name="Output 2 5 2 7" xfId="53895"/>
    <cellStyle name="Output 2 5 20" xfId="2937"/>
    <cellStyle name="Output 2 5 20 2" xfId="10760"/>
    <cellStyle name="Output 2 5 20 3" xfId="18188"/>
    <cellStyle name="Output 2 5 20 4" xfId="25763"/>
    <cellStyle name="Output 2 5 20 5" xfId="34318"/>
    <cellStyle name="Output 2 5 20 6" xfId="40681"/>
    <cellStyle name="Output 2 5 20 7" xfId="52460"/>
    <cellStyle name="Output 2 5 21" xfId="3313"/>
    <cellStyle name="Output 2 5 21 2" xfId="11106"/>
    <cellStyle name="Output 2 5 21 3" xfId="18435"/>
    <cellStyle name="Output 2 5 21 4" xfId="24944"/>
    <cellStyle name="Output 2 5 21 5" xfId="33280"/>
    <cellStyle name="Output 2 5 21 6" xfId="37727"/>
    <cellStyle name="Output 2 5 21 7" xfId="50665"/>
    <cellStyle name="Output 2 5 22" xfId="3433"/>
    <cellStyle name="Output 2 5 22 2" xfId="11224"/>
    <cellStyle name="Output 2 5 22 3" xfId="18546"/>
    <cellStyle name="Output 2 5 22 4" xfId="26525"/>
    <cellStyle name="Output 2 5 22 5" xfId="35324"/>
    <cellStyle name="Output 2 5 22 6" xfId="40916"/>
    <cellStyle name="Output 2 5 22 7" xfId="54125"/>
    <cellStyle name="Output 2 5 23" xfId="3102"/>
    <cellStyle name="Output 2 5 23 2" xfId="10907"/>
    <cellStyle name="Output 2 5 23 3" xfId="18289"/>
    <cellStyle name="Output 2 5 23 4" xfId="19563"/>
    <cellStyle name="Output 2 5 23 5" xfId="33135"/>
    <cellStyle name="Output 2 5 23 6" xfId="37207"/>
    <cellStyle name="Output 2 5 23 7" xfId="50397"/>
    <cellStyle name="Output 2 5 24" xfId="3704"/>
    <cellStyle name="Output 2 5 24 2" xfId="11489"/>
    <cellStyle name="Output 2 5 24 3" xfId="18762"/>
    <cellStyle name="Output 2 5 24 4" xfId="19838"/>
    <cellStyle name="Output 2 5 24 5" xfId="27355"/>
    <cellStyle name="Output 2 5 24 6" xfId="39328"/>
    <cellStyle name="Output 2 5 24 7" xfId="47700"/>
    <cellStyle name="Output 2 5 25" xfId="3834"/>
    <cellStyle name="Output 2 5 25 2" xfId="11616"/>
    <cellStyle name="Output 2 5 25 3" xfId="18873"/>
    <cellStyle name="Output 2 5 25 4" xfId="25088"/>
    <cellStyle name="Output 2 5 25 5" xfId="33449"/>
    <cellStyle name="Output 2 5 25 6" xfId="37720"/>
    <cellStyle name="Output 2 5 25 7" xfId="50978"/>
    <cellStyle name="Output 2 5 26" xfId="3952"/>
    <cellStyle name="Output 2 5 26 2" xfId="11732"/>
    <cellStyle name="Output 2 5 26 3" xfId="18982"/>
    <cellStyle name="Output 2 5 26 4" xfId="19930"/>
    <cellStyle name="Output 2 5 26 5" xfId="27534"/>
    <cellStyle name="Output 2 5 26 6" xfId="41375"/>
    <cellStyle name="Output 2 5 26 7" xfId="48433"/>
    <cellStyle name="Output 2 5 27" xfId="3548"/>
    <cellStyle name="Output 2 5 27 2" xfId="11337"/>
    <cellStyle name="Output 2 5 27 3" xfId="20512"/>
    <cellStyle name="Output 2 5 27 4" xfId="28639"/>
    <cellStyle name="Output 2 5 27 5" xfId="38017"/>
    <cellStyle name="Output 2 5 27 6" xfId="42506"/>
    <cellStyle name="Output 2 5 27 7" xfId="50055"/>
    <cellStyle name="Output 2 5 28" xfId="4149"/>
    <cellStyle name="Output 2 5 28 2" xfId="11908"/>
    <cellStyle name="Output 2 5 28 3" xfId="20859"/>
    <cellStyle name="Output 2 5 28 4" xfId="29046"/>
    <cellStyle name="Output 2 5 28 5" xfId="38422"/>
    <cellStyle name="Output 2 5 28 6" xfId="42711"/>
    <cellStyle name="Output 2 5 28 7" xfId="49388"/>
    <cellStyle name="Output 2 5 29" xfId="4124"/>
    <cellStyle name="Output 2 5 29 2" xfId="20834"/>
    <cellStyle name="Output 2 5 29 3" xfId="29021"/>
    <cellStyle name="Output 2 5 29 4" xfId="38398"/>
    <cellStyle name="Output 2 5 29 5" xfId="42686"/>
    <cellStyle name="Output 2 5 29 6" xfId="52164"/>
    <cellStyle name="Output 2 5 3" xfId="806"/>
    <cellStyle name="Output 2 5 3 2" xfId="8630"/>
    <cellStyle name="Output 2 5 3 3" xfId="16058"/>
    <cellStyle name="Output 2 5 3 4" xfId="19358"/>
    <cellStyle name="Output 2 5 3 5" xfId="28097"/>
    <cellStyle name="Output 2 5 3 6" xfId="36896"/>
    <cellStyle name="Output 2 5 3 7" xfId="48889"/>
    <cellStyle name="Output 2 5 30" xfId="4346"/>
    <cellStyle name="Output 2 5 30 2" xfId="12063"/>
    <cellStyle name="Output 2 5 30 3" xfId="21056"/>
    <cellStyle name="Output 2 5 30 4" xfId="29243"/>
    <cellStyle name="Output 2 5 30 5" xfId="38613"/>
    <cellStyle name="Output 2 5 30 6" xfId="42908"/>
    <cellStyle name="Output 2 5 30 7" xfId="54033"/>
    <cellStyle name="Output 2 5 31" xfId="4469"/>
    <cellStyle name="Output 2 5 31 2" xfId="12186"/>
    <cellStyle name="Output 2 5 31 3" xfId="21179"/>
    <cellStyle name="Output 2 5 31 4" xfId="29366"/>
    <cellStyle name="Output 2 5 31 5" xfId="38731"/>
    <cellStyle name="Output 2 5 31 6" xfId="43031"/>
    <cellStyle name="Output 2 5 31 7" xfId="48386"/>
    <cellStyle name="Output 2 5 32" xfId="4583"/>
    <cellStyle name="Output 2 5 32 2" xfId="12300"/>
    <cellStyle name="Output 2 5 32 3" xfId="21293"/>
    <cellStyle name="Output 2 5 32 4" xfId="29480"/>
    <cellStyle name="Output 2 5 32 5" xfId="38840"/>
    <cellStyle name="Output 2 5 32 6" xfId="43145"/>
    <cellStyle name="Output 2 5 32 7" xfId="51377"/>
    <cellStyle name="Output 2 5 33" xfId="4696"/>
    <cellStyle name="Output 2 5 33 2" xfId="12413"/>
    <cellStyle name="Output 2 5 33 3" xfId="21406"/>
    <cellStyle name="Output 2 5 33 4" xfId="29593"/>
    <cellStyle name="Output 2 5 33 5" xfId="38949"/>
    <cellStyle name="Output 2 5 33 6" xfId="43258"/>
    <cellStyle name="Output 2 5 33 7" xfId="48551"/>
    <cellStyle name="Output 2 5 34" xfId="4807"/>
    <cellStyle name="Output 2 5 34 2" xfId="12524"/>
    <cellStyle name="Output 2 5 34 3" xfId="21517"/>
    <cellStyle name="Output 2 5 34 4" xfId="29704"/>
    <cellStyle name="Output 2 5 34 5" xfId="39057"/>
    <cellStyle name="Output 2 5 34 6" xfId="43369"/>
    <cellStyle name="Output 2 5 34 7" xfId="50899"/>
    <cellStyle name="Output 2 5 35" xfId="4916"/>
    <cellStyle name="Output 2 5 35 2" xfId="12633"/>
    <cellStyle name="Output 2 5 35 3" xfId="21626"/>
    <cellStyle name="Output 2 5 35 4" xfId="29813"/>
    <cellStyle name="Output 2 5 35 5" xfId="39161"/>
    <cellStyle name="Output 2 5 35 6" xfId="43478"/>
    <cellStyle name="Output 2 5 35 7" xfId="52964"/>
    <cellStyle name="Output 2 5 36" xfId="5027"/>
    <cellStyle name="Output 2 5 36 2" xfId="12744"/>
    <cellStyle name="Output 2 5 36 3" xfId="21737"/>
    <cellStyle name="Output 2 5 36 4" xfId="29924"/>
    <cellStyle name="Output 2 5 36 5" xfId="39269"/>
    <cellStyle name="Output 2 5 36 6" xfId="43589"/>
    <cellStyle name="Output 2 5 36 7" xfId="51267"/>
    <cellStyle name="Output 2 5 37" xfId="5406"/>
    <cellStyle name="Output 2 5 37 2" xfId="13123"/>
    <cellStyle name="Output 2 5 37 3" xfId="22116"/>
    <cellStyle name="Output 2 5 37 4" xfId="30303"/>
    <cellStyle name="Output 2 5 37 5" xfId="39633"/>
    <cellStyle name="Output 2 5 37 6" xfId="43968"/>
    <cellStyle name="Output 2 5 37 7" xfId="47491"/>
    <cellStyle name="Output 2 5 38" xfId="5526"/>
    <cellStyle name="Output 2 5 38 2" xfId="13243"/>
    <cellStyle name="Output 2 5 38 3" xfId="22236"/>
    <cellStyle name="Output 2 5 38 4" xfId="30423"/>
    <cellStyle name="Output 2 5 38 5" xfId="39747"/>
    <cellStyle name="Output 2 5 38 6" xfId="44088"/>
    <cellStyle name="Output 2 5 38 7" xfId="49650"/>
    <cellStyle name="Output 2 5 39" xfId="5650"/>
    <cellStyle name="Output 2 5 39 2" xfId="13367"/>
    <cellStyle name="Output 2 5 39 3" xfId="22360"/>
    <cellStyle name="Output 2 5 39 4" xfId="30547"/>
    <cellStyle name="Output 2 5 39 5" xfId="39867"/>
    <cellStyle name="Output 2 5 39 6" xfId="44212"/>
    <cellStyle name="Output 2 5 39 7" xfId="47116"/>
    <cellStyle name="Output 2 5 4" xfId="917"/>
    <cellStyle name="Output 2 5 4 2" xfId="8741"/>
    <cellStyle name="Output 2 5 4 3" xfId="16169"/>
    <cellStyle name="Output 2 5 4 4" xfId="25674"/>
    <cellStyle name="Output 2 5 4 5" xfId="34206"/>
    <cellStyle name="Output 2 5 4 6" xfId="37623"/>
    <cellStyle name="Output 2 5 4 7" xfId="52249"/>
    <cellStyle name="Output 2 5 40" xfId="5766"/>
    <cellStyle name="Output 2 5 40 2" xfId="13483"/>
    <cellStyle name="Output 2 5 40 3" xfId="22476"/>
    <cellStyle name="Output 2 5 40 4" xfId="30663"/>
    <cellStyle name="Output 2 5 40 5" xfId="39979"/>
    <cellStyle name="Output 2 5 40 6" xfId="44328"/>
    <cellStyle name="Output 2 5 40 7" xfId="50569"/>
    <cellStyle name="Output 2 5 41" xfId="5882"/>
    <cellStyle name="Output 2 5 41 2" xfId="13599"/>
    <cellStyle name="Output 2 5 41 3" xfId="22592"/>
    <cellStyle name="Output 2 5 41 4" xfId="30779"/>
    <cellStyle name="Output 2 5 41 5" xfId="40092"/>
    <cellStyle name="Output 2 5 41 6" xfId="44444"/>
    <cellStyle name="Output 2 5 41 7" xfId="51072"/>
    <cellStyle name="Output 2 5 42" xfId="6011"/>
    <cellStyle name="Output 2 5 42 2" xfId="13728"/>
    <cellStyle name="Output 2 5 42 3" xfId="22721"/>
    <cellStyle name="Output 2 5 42 4" xfId="30908"/>
    <cellStyle name="Output 2 5 42 5" xfId="40216"/>
    <cellStyle name="Output 2 5 42 6" xfId="44573"/>
    <cellStyle name="Output 2 5 42 7" xfId="53293"/>
    <cellStyle name="Output 2 5 43" xfId="6138"/>
    <cellStyle name="Output 2 5 43 2" xfId="13855"/>
    <cellStyle name="Output 2 5 43 3" xfId="22848"/>
    <cellStyle name="Output 2 5 43 4" xfId="31035"/>
    <cellStyle name="Output 2 5 43 5" xfId="40336"/>
    <cellStyle name="Output 2 5 43 6" xfId="44700"/>
    <cellStyle name="Output 2 5 43 7" xfId="48357"/>
    <cellStyle name="Output 2 5 44" xfId="6267"/>
    <cellStyle name="Output 2 5 44 2" xfId="13984"/>
    <cellStyle name="Output 2 5 44 3" xfId="22977"/>
    <cellStyle name="Output 2 5 44 4" xfId="31164"/>
    <cellStyle name="Output 2 5 44 5" xfId="40464"/>
    <cellStyle name="Output 2 5 44 6" xfId="44829"/>
    <cellStyle name="Output 2 5 44 7" xfId="47785"/>
    <cellStyle name="Output 2 5 45" xfId="6383"/>
    <cellStyle name="Output 2 5 45 2" xfId="14100"/>
    <cellStyle name="Output 2 5 45 3" xfId="23093"/>
    <cellStyle name="Output 2 5 45 4" xfId="31280"/>
    <cellStyle name="Output 2 5 45 5" xfId="40577"/>
    <cellStyle name="Output 2 5 45 6" xfId="44945"/>
    <cellStyle name="Output 2 5 45 7" xfId="51552"/>
    <cellStyle name="Output 2 5 46" xfId="6494"/>
    <cellStyle name="Output 2 5 46 2" xfId="14211"/>
    <cellStyle name="Output 2 5 46 3" xfId="23204"/>
    <cellStyle name="Output 2 5 46 4" xfId="31391"/>
    <cellStyle name="Output 2 5 46 5" xfId="40684"/>
    <cellStyle name="Output 2 5 46 6" xfId="45056"/>
    <cellStyle name="Output 2 5 46 7" xfId="48475"/>
    <cellStyle name="Output 2 5 47" xfId="5359"/>
    <cellStyle name="Output 2 5 47 2" xfId="13076"/>
    <cellStyle name="Output 2 5 47 3" xfId="22069"/>
    <cellStyle name="Output 2 5 47 4" xfId="30256"/>
    <cellStyle name="Output 2 5 47 5" xfId="39588"/>
    <cellStyle name="Output 2 5 47 6" xfId="43921"/>
    <cellStyle name="Output 2 5 47 7" xfId="50776"/>
    <cellStyle name="Output 2 5 48" xfId="6640"/>
    <cellStyle name="Output 2 5 48 2" xfId="14357"/>
    <cellStyle name="Output 2 5 48 3" xfId="23350"/>
    <cellStyle name="Output 2 5 48 4" xfId="31537"/>
    <cellStyle name="Output 2 5 48 5" xfId="40823"/>
    <cellStyle name="Output 2 5 48 6" xfId="45202"/>
    <cellStyle name="Output 2 5 48 7" xfId="54368"/>
    <cellStyle name="Output 2 5 49" xfId="6752"/>
    <cellStyle name="Output 2 5 49 2" xfId="14469"/>
    <cellStyle name="Output 2 5 49 3" xfId="23462"/>
    <cellStyle name="Output 2 5 49 4" xfId="31649"/>
    <cellStyle name="Output 2 5 49 5" xfId="40929"/>
    <cellStyle name="Output 2 5 49 6" xfId="45314"/>
    <cellStyle name="Output 2 5 49 7" xfId="47393"/>
    <cellStyle name="Output 2 5 5" xfId="1383"/>
    <cellStyle name="Output 2 5 5 2" xfId="9206"/>
    <cellStyle name="Output 2 5 5 3" xfId="16634"/>
    <cellStyle name="Output 2 5 5 4" xfId="25506"/>
    <cellStyle name="Output 2 5 5 5" xfId="33984"/>
    <cellStyle name="Output 2 5 5 6" xfId="37664"/>
    <cellStyle name="Output 2 5 5 7" xfId="51887"/>
    <cellStyle name="Output 2 5 50" xfId="6867"/>
    <cellStyle name="Output 2 5 50 2" xfId="14584"/>
    <cellStyle name="Output 2 5 50 3" xfId="23577"/>
    <cellStyle name="Output 2 5 50 4" xfId="31764"/>
    <cellStyle name="Output 2 5 50 5" xfId="41037"/>
    <cellStyle name="Output 2 5 50 6" xfId="45429"/>
    <cellStyle name="Output 2 5 50 7" xfId="46785"/>
    <cellStyle name="Output 2 5 51" xfId="6980"/>
    <cellStyle name="Output 2 5 51 2" xfId="14697"/>
    <cellStyle name="Output 2 5 51 3" xfId="23690"/>
    <cellStyle name="Output 2 5 51 4" xfId="31877"/>
    <cellStyle name="Output 2 5 51 5" xfId="41145"/>
    <cellStyle name="Output 2 5 51 6" xfId="45542"/>
    <cellStyle name="Output 2 5 51 7" xfId="47025"/>
    <cellStyle name="Output 2 5 52" xfId="7091"/>
    <cellStyle name="Output 2 5 52 2" xfId="14808"/>
    <cellStyle name="Output 2 5 52 3" xfId="23801"/>
    <cellStyle name="Output 2 5 52 4" xfId="31988"/>
    <cellStyle name="Output 2 5 52 5" xfId="41250"/>
    <cellStyle name="Output 2 5 52 6" xfId="45653"/>
    <cellStyle name="Output 2 5 52 7" xfId="50022"/>
    <cellStyle name="Output 2 5 53" xfId="7188"/>
    <cellStyle name="Output 2 5 53 2" xfId="14905"/>
    <cellStyle name="Output 2 5 53 3" xfId="23898"/>
    <cellStyle name="Output 2 5 53 4" xfId="32085"/>
    <cellStyle name="Output 2 5 53 5" xfId="41346"/>
    <cellStyle name="Output 2 5 53 6" xfId="45750"/>
    <cellStyle name="Output 2 5 53 7" xfId="52760"/>
    <cellStyle name="Output 2 5 54" xfId="7384"/>
    <cellStyle name="Output 2 5 54 2" xfId="15101"/>
    <cellStyle name="Output 2 5 54 3" xfId="24094"/>
    <cellStyle name="Output 2 5 54 4" xfId="32281"/>
    <cellStyle name="Output 2 5 54 5" xfId="41537"/>
    <cellStyle name="Output 2 5 54 6" xfId="45946"/>
    <cellStyle name="Output 2 5 54 7" xfId="51600"/>
    <cellStyle name="Output 2 5 55" xfId="7488"/>
    <cellStyle name="Output 2 5 55 2" xfId="15205"/>
    <cellStyle name="Output 2 5 55 3" xfId="24198"/>
    <cellStyle name="Output 2 5 55 4" xfId="32385"/>
    <cellStyle name="Output 2 5 55 5" xfId="41633"/>
    <cellStyle name="Output 2 5 55 6" xfId="46050"/>
    <cellStyle name="Output 2 5 55 7" xfId="51440"/>
    <cellStyle name="Output 2 5 56" xfId="7609"/>
    <cellStyle name="Output 2 5 56 2" xfId="15326"/>
    <cellStyle name="Output 2 5 56 3" xfId="24319"/>
    <cellStyle name="Output 2 5 56 4" xfId="32506"/>
    <cellStyle name="Output 2 5 56 5" xfId="41748"/>
    <cellStyle name="Output 2 5 56 6" xfId="46171"/>
    <cellStyle name="Output 2 5 56 7" xfId="47702"/>
    <cellStyle name="Output 2 5 57" xfId="7885"/>
    <cellStyle name="Output 2 5 57 2" xfId="15602"/>
    <cellStyle name="Output 2 5 57 3" xfId="24589"/>
    <cellStyle name="Output 2 5 57 4" xfId="32782"/>
    <cellStyle name="Output 2 5 57 5" xfId="42013"/>
    <cellStyle name="Output 2 5 57 6" xfId="46447"/>
    <cellStyle name="Output 2 5 57 7" xfId="48423"/>
    <cellStyle name="Output 2 5 58" xfId="8013"/>
    <cellStyle name="Output 2 5 58 2" xfId="15730"/>
    <cellStyle name="Output 2 5 58 3" xfId="24715"/>
    <cellStyle name="Output 2 5 58 4" xfId="32910"/>
    <cellStyle name="Output 2 5 58 5" xfId="42136"/>
    <cellStyle name="Output 2 5 58 6" xfId="46575"/>
    <cellStyle name="Output 2 5 58 7" xfId="47266"/>
    <cellStyle name="Output 2 5 59" xfId="8003"/>
    <cellStyle name="Output 2 5 59 2" xfId="15720"/>
    <cellStyle name="Output 2 5 59 3" xfId="24705"/>
    <cellStyle name="Output 2 5 59 4" xfId="32900"/>
    <cellStyle name="Output 2 5 59 5" xfId="42126"/>
    <cellStyle name="Output 2 5 59 6" xfId="46565"/>
    <cellStyle name="Output 2 5 59 7" xfId="49425"/>
    <cellStyle name="Output 2 5 6" xfId="1506"/>
    <cellStyle name="Output 2 5 6 2" xfId="9329"/>
    <cellStyle name="Output 2 5 6 3" xfId="16757"/>
    <cellStyle name="Output 2 5 6 4" xfId="25389"/>
    <cellStyle name="Output 2 5 6 5" xfId="33837"/>
    <cellStyle name="Output 2 5 6 6" xfId="39568"/>
    <cellStyle name="Output 2 5 6 7" xfId="51620"/>
    <cellStyle name="Output 2 5 60" xfId="8161"/>
    <cellStyle name="Output 2 5 60 2" xfId="15878"/>
    <cellStyle name="Output 2 5 60 3" xfId="33058"/>
    <cellStyle name="Output 2 5 60 4" xfId="42277"/>
    <cellStyle name="Output 2 5 60 5" xfId="46723"/>
    <cellStyle name="Output 2 5 60 6" xfId="47739"/>
    <cellStyle name="Output 2 5 61" xfId="26687"/>
    <cellStyle name="Output 2 5 62" xfId="35537"/>
    <cellStyle name="Output 2 5 63" xfId="36269"/>
    <cellStyle name="Output 2 5 64" xfId="54465"/>
    <cellStyle name="Output 2 5 7" xfId="980"/>
    <cellStyle name="Output 2 5 7 2" xfId="8804"/>
    <cellStyle name="Output 2 5 7 3" xfId="16232"/>
    <cellStyle name="Output 2 5 7 4" xfId="25817"/>
    <cellStyle name="Output 2 5 7 5" xfId="34398"/>
    <cellStyle name="Output 2 5 7 6" xfId="36707"/>
    <cellStyle name="Output 2 5 7 7" xfId="52600"/>
    <cellStyle name="Output 2 5 8" xfId="1743"/>
    <cellStyle name="Output 2 5 8 2" xfId="9566"/>
    <cellStyle name="Output 2 5 8 3" xfId="16994"/>
    <cellStyle name="Output 2 5 8 4" xfId="19417"/>
    <cellStyle name="Output 2 5 8 5" xfId="26977"/>
    <cellStyle name="Output 2 5 8 6" xfId="40462"/>
    <cellStyle name="Output 2 5 8 7" xfId="49556"/>
    <cellStyle name="Output 2 5 9" xfId="1877"/>
    <cellStyle name="Output 2 5 9 2" xfId="9700"/>
    <cellStyle name="Output 2 5 9 3" xfId="17128"/>
    <cellStyle name="Output 2 5 9 4" xfId="24872"/>
    <cellStyle name="Output 2 5 9 5" xfId="33186"/>
    <cellStyle name="Output 2 5 9 6" xfId="39713"/>
    <cellStyle name="Output 2 5 9 7" xfId="50504"/>
    <cellStyle name="Output 2 6" xfId="525"/>
    <cellStyle name="Output 2 6 10" xfId="1972"/>
    <cellStyle name="Output 2 6 10 2" xfId="9795"/>
    <cellStyle name="Output 2 6 10 3" xfId="17223"/>
    <cellStyle name="Output 2 6 10 4" xfId="19652"/>
    <cellStyle name="Output 2 6 10 5" xfId="28020"/>
    <cellStyle name="Output 2 6 10 6" xfId="38225"/>
    <cellStyle name="Output 2 6 10 7" xfId="49340"/>
    <cellStyle name="Output 2 6 11" xfId="2090"/>
    <cellStyle name="Output 2 6 11 2" xfId="9913"/>
    <cellStyle name="Output 2 6 11 3" xfId="17341"/>
    <cellStyle name="Output 2 6 11 4" xfId="19313"/>
    <cellStyle name="Output 2 6 11 5" xfId="28888"/>
    <cellStyle name="Output 2 6 11 6" xfId="41066"/>
    <cellStyle name="Output 2 6 11 7" xfId="49463"/>
    <cellStyle name="Output 2 6 12" xfId="2203"/>
    <cellStyle name="Output 2 6 12 2" xfId="10026"/>
    <cellStyle name="Output 2 6 12 3" xfId="17454"/>
    <cellStyle name="Output 2 6 12 4" xfId="25927"/>
    <cellStyle name="Output 2 6 12 5" xfId="34530"/>
    <cellStyle name="Output 2 6 12 6" xfId="37433"/>
    <cellStyle name="Output 2 6 12 7" xfId="52840"/>
    <cellStyle name="Output 2 6 13" xfId="2318"/>
    <cellStyle name="Output 2 6 13 2" xfId="10141"/>
    <cellStyle name="Output 2 6 13 3" xfId="17569"/>
    <cellStyle name="Output 2 6 13 4" xfId="25528"/>
    <cellStyle name="Output 2 6 13 5" xfId="34011"/>
    <cellStyle name="Output 2 6 13 6" xfId="41693"/>
    <cellStyle name="Output 2 6 13 7" xfId="51935"/>
    <cellStyle name="Output 2 6 14" xfId="2410"/>
    <cellStyle name="Output 2 6 14 2" xfId="10233"/>
    <cellStyle name="Output 2 6 14 3" xfId="17661"/>
    <cellStyle name="Output 2 6 14 4" xfId="26032"/>
    <cellStyle name="Output 2 6 14 5" xfId="34664"/>
    <cellStyle name="Output 2 6 14 6" xfId="38588"/>
    <cellStyle name="Output 2 6 14 7" xfId="53060"/>
    <cellStyle name="Output 2 6 15" xfId="2501"/>
    <cellStyle name="Output 2 6 15 2" xfId="10324"/>
    <cellStyle name="Output 2 6 15 3" xfId="17752"/>
    <cellStyle name="Output 2 6 15 4" xfId="24919"/>
    <cellStyle name="Output 2 6 15 5" xfId="33248"/>
    <cellStyle name="Output 2 6 15 6" xfId="37156"/>
    <cellStyle name="Output 2 6 15 7" xfId="50613"/>
    <cellStyle name="Output 2 6 16" xfId="2614"/>
    <cellStyle name="Output 2 6 16 2" xfId="10437"/>
    <cellStyle name="Output 2 6 16 3" xfId="17865"/>
    <cellStyle name="Output 2 6 16 4" xfId="19415"/>
    <cellStyle name="Output 2 6 16 5" xfId="27462"/>
    <cellStyle name="Output 2 6 16 6" xfId="41076"/>
    <cellStyle name="Output 2 6 16 7" xfId="47995"/>
    <cellStyle name="Output 2 6 17" xfId="2718"/>
    <cellStyle name="Output 2 6 17 2" xfId="10541"/>
    <cellStyle name="Output 2 6 17 3" xfId="17969"/>
    <cellStyle name="Output 2 6 17 4" xfId="25087"/>
    <cellStyle name="Output 2 6 17 5" xfId="33448"/>
    <cellStyle name="Output 2 6 17 6" xfId="38054"/>
    <cellStyle name="Output 2 6 17 7" xfId="50977"/>
    <cellStyle name="Output 2 6 18" xfId="2751"/>
    <cellStyle name="Output 2 6 18 2" xfId="10574"/>
    <cellStyle name="Output 2 6 18 3" xfId="18002"/>
    <cellStyle name="Output 2 6 18 4" xfId="19766"/>
    <cellStyle name="Output 2 6 18 5" xfId="28603"/>
    <cellStyle name="Output 2 6 18 6" xfId="41912"/>
    <cellStyle name="Output 2 6 18 7" xfId="50091"/>
    <cellStyle name="Output 2 6 19" xfId="2807"/>
    <cellStyle name="Output 2 6 19 2" xfId="10630"/>
    <cellStyle name="Output 2 6 19 3" xfId="18058"/>
    <cellStyle name="Output 2 6 19 4" xfId="24934"/>
    <cellStyle name="Output 2 6 19 5" xfId="33267"/>
    <cellStyle name="Output 2 6 19 6" xfId="36353"/>
    <cellStyle name="Output 2 6 19 7" xfId="50647"/>
    <cellStyle name="Output 2 6 2" xfId="675"/>
    <cellStyle name="Output 2 6 2 2" xfId="8499"/>
    <cellStyle name="Output 2 6 2 3" xfId="8259"/>
    <cellStyle name="Output 2 6 2 4" xfId="19343"/>
    <cellStyle name="Output 2 6 2 5" xfId="27855"/>
    <cellStyle name="Output 2 6 2 6" xfId="37346"/>
    <cellStyle name="Output 2 6 2 7" xfId="49991"/>
    <cellStyle name="Output 2 6 20" xfId="2914"/>
    <cellStyle name="Output 2 6 20 2" xfId="10737"/>
    <cellStyle name="Output 2 6 20 3" xfId="18165"/>
    <cellStyle name="Output 2 6 20 4" xfId="20282"/>
    <cellStyle name="Output 2 6 20 5" xfId="27728"/>
    <cellStyle name="Output 2 6 20 6" xfId="36633"/>
    <cellStyle name="Output 2 6 20 7" xfId="47857"/>
    <cellStyle name="Output 2 6 21" xfId="3290"/>
    <cellStyle name="Output 2 6 21 2" xfId="11083"/>
    <cellStyle name="Output 2 6 21 3" xfId="18412"/>
    <cellStyle name="Output 2 6 21 4" xfId="20138"/>
    <cellStyle name="Output 2 6 21 5" xfId="28125"/>
    <cellStyle name="Output 2 6 21 6" xfId="39582"/>
    <cellStyle name="Output 2 6 21 7" xfId="48043"/>
    <cellStyle name="Output 2 6 22" xfId="3410"/>
    <cellStyle name="Output 2 6 22 2" xfId="11201"/>
    <cellStyle name="Output 2 6 22 3" xfId="18523"/>
    <cellStyle name="Output 2 6 22 4" xfId="19925"/>
    <cellStyle name="Output 2 6 22 5" xfId="26936"/>
    <cellStyle name="Output 2 6 22 6" xfId="37732"/>
    <cellStyle name="Output 2 6 22 7" xfId="49109"/>
    <cellStyle name="Output 2 6 23" xfId="3216"/>
    <cellStyle name="Output 2 6 23 2" xfId="11013"/>
    <cellStyle name="Output 2 6 23 3" xfId="18353"/>
    <cellStyle name="Output 2 6 23 4" xfId="19280"/>
    <cellStyle name="Output 2 6 23 5" xfId="28885"/>
    <cellStyle name="Output 2 6 23 6" xfId="36753"/>
    <cellStyle name="Output 2 6 23 7" xfId="48212"/>
    <cellStyle name="Output 2 6 24" xfId="3681"/>
    <cellStyle name="Output 2 6 24 2" xfId="11466"/>
    <cellStyle name="Output 2 6 24 3" xfId="18739"/>
    <cellStyle name="Output 2 6 24 4" xfId="25194"/>
    <cellStyle name="Output 2 6 24 5" xfId="33578"/>
    <cellStyle name="Output 2 6 24 6" xfId="38174"/>
    <cellStyle name="Output 2 6 24 7" xfId="51204"/>
    <cellStyle name="Output 2 6 25" xfId="3811"/>
    <cellStyle name="Output 2 6 25 2" xfId="11593"/>
    <cellStyle name="Output 2 6 25 3" xfId="18850"/>
    <cellStyle name="Output 2 6 25 4" xfId="26162"/>
    <cellStyle name="Output 2 6 25 5" xfId="34831"/>
    <cellStyle name="Output 2 6 25 6" xfId="40871"/>
    <cellStyle name="Output 2 6 25 7" xfId="53340"/>
    <cellStyle name="Output 2 6 26" xfId="3929"/>
    <cellStyle name="Output 2 6 26 2" xfId="11709"/>
    <cellStyle name="Output 2 6 26 3" xfId="18959"/>
    <cellStyle name="Output 2 6 26 4" xfId="25779"/>
    <cellStyle name="Output 2 6 26 5" xfId="34340"/>
    <cellStyle name="Output 2 6 26 6" xfId="37074"/>
    <cellStyle name="Output 2 6 26 7" xfId="52507"/>
    <cellStyle name="Output 2 6 27" xfId="4025"/>
    <cellStyle name="Output 2 6 27 2" xfId="11799"/>
    <cellStyle name="Output 2 6 27 3" xfId="20735"/>
    <cellStyle name="Output 2 6 27 4" xfId="28922"/>
    <cellStyle name="Output 2 6 27 5" xfId="38304"/>
    <cellStyle name="Output 2 6 27 6" xfId="42587"/>
    <cellStyle name="Output 2 6 27 7" xfId="48461"/>
    <cellStyle name="Output 2 6 28" xfId="4126"/>
    <cellStyle name="Output 2 6 28 2" xfId="11885"/>
    <cellStyle name="Output 2 6 28 3" xfId="20836"/>
    <cellStyle name="Output 2 6 28 4" xfId="29023"/>
    <cellStyle name="Output 2 6 28 5" xfId="38400"/>
    <cellStyle name="Output 2 6 28 6" xfId="42688"/>
    <cellStyle name="Output 2 6 28 7" xfId="47579"/>
    <cellStyle name="Output 2 6 29" xfId="3219"/>
    <cellStyle name="Output 2 6 29 2" xfId="20343"/>
    <cellStyle name="Output 2 6 29 3" xfId="28431"/>
    <cellStyle name="Output 2 6 29 4" xfId="37822"/>
    <cellStyle name="Output 2 6 29 5" xfId="42449"/>
    <cellStyle name="Output 2 6 29 6" xfId="53857"/>
    <cellStyle name="Output 2 6 3" xfId="783"/>
    <cellStyle name="Output 2 6 3 2" xfId="8607"/>
    <cellStyle name="Output 2 6 3 3" xfId="16035"/>
    <cellStyle name="Output 2 6 3 4" xfId="25208"/>
    <cellStyle name="Output 2 6 3 5" xfId="33600"/>
    <cellStyle name="Output 2 6 3 6" xfId="37534"/>
    <cellStyle name="Output 2 6 3 7" xfId="51233"/>
    <cellStyle name="Output 2 6 30" xfId="4323"/>
    <cellStyle name="Output 2 6 30 2" xfId="12040"/>
    <cellStyle name="Output 2 6 30 3" xfId="21033"/>
    <cellStyle name="Output 2 6 30 4" xfId="29220"/>
    <cellStyle name="Output 2 6 30 5" xfId="38591"/>
    <cellStyle name="Output 2 6 30 6" xfId="42885"/>
    <cellStyle name="Output 2 6 30 7" xfId="49001"/>
    <cellStyle name="Output 2 6 31" xfId="4446"/>
    <cellStyle name="Output 2 6 31 2" xfId="12163"/>
    <cellStyle name="Output 2 6 31 3" xfId="21156"/>
    <cellStyle name="Output 2 6 31 4" xfId="29343"/>
    <cellStyle name="Output 2 6 31 5" xfId="38709"/>
    <cellStyle name="Output 2 6 31 6" xfId="43008"/>
    <cellStyle name="Output 2 6 31 7" xfId="50718"/>
    <cellStyle name="Output 2 6 32" xfId="4560"/>
    <cellStyle name="Output 2 6 32 2" xfId="12277"/>
    <cellStyle name="Output 2 6 32 3" xfId="21270"/>
    <cellStyle name="Output 2 6 32 4" xfId="29457"/>
    <cellStyle name="Output 2 6 32 5" xfId="38818"/>
    <cellStyle name="Output 2 6 32 6" xfId="43122"/>
    <cellStyle name="Output 2 6 32 7" xfId="53790"/>
    <cellStyle name="Output 2 6 33" xfId="4673"/>
    <cellStyle name="Output 2 6 33 2" xfId="12390"/>
    <cellStyle name="Output 2 6 33 3" xfId="21383"/>
    <cellStyle name="Output 2 6 33 4" xfId="29570"/>
    <cellStyle name="Output 2 6 33 5" xfId="38927"/>
    <cellStyle name="Output 2 6 33 6" xfId="43235"/>
    <cellStyle name="Output 2 6 33 7" xfId="49496"/>
    <cellStyle name="Output 2 6 34" xfId="4784"/>
    <cellStyle name="Output 2 6 34 2" xfId="12501"/>
    <cellStyle name="Output 2 6 34 3" xfId="21494"/>
    <cellStyle name="Output 2 6 34 4" xfId="29681"/>
    <cellStyle name="Output 2 6 34 5" xfId="39035"/>
    <cellStyle name="Output 2 6 34 6" xfId="43346"/>
    <cellStyle name="Output 2 6 34 7" xfId="53271"/>
    <cellStyle name="Output 2 6 35" xfId="4893"/>
    <cellStyle name="Output 2 6 35 2" xfId="12610"/>
    <cellStyle name="Output 2 6 35 3" xfId="21603"/>
    <cellStyle name="Output 2 6 35 4" xfId="29790"/>
    <cellStyle name="Output 2 6 35 5" xfId="39139"/>
    <cellStyle name="Output 2 6 35 6" xfId="43455"/>
    <cellStyle name="Output 2 6 35 7" xfId="47418"/>
    <cellStyle name="Output 2 6 36" xfId="5004"/>
    <cellStyle name="Output 2 6 36 2" xfId="12721"/>
    <cellStyle name="Output 2 6 36 3" xfId="21714"/>
    <cellStyle name="Output 2 6 36 4" xfId="29901"/>
    <cellStyle name="Output 2 6 36 5" xfId="39247"/>
    <cellStyle name="Output 2 6 36 6" xfId="43566"/>
    <cellStyle name="Output 2 6 36 7" xfId="53754"/>
    <cellStyle name="Output 2 6 37" xfId="5383"/>
    <cellStyle name="Output 2 6 37 2" xfId="13100"/>
    <cellStyle name="Output 2 6 37 3" xfId="22093"/>
    <cellStyle name="Output 2 6 37 4" xfId="30280"/>
    <cellStyle name="Output 2 6 37 5" xfId="39611"/>
    <cellStyle name="Output 2 6 37 6" xfId="43945"/>
    <cellStyle name="Output 2 6 37 7" xfId="53008"/>
    <cellStyle name="Output 2 6 38" xfId="5503"/>
    <cellStyle name="Output 2 6 38 2" xfId="13220"/>
    <cellStyle name="Output 2 6 38 3" xfId="22213"/>
    <cellStyle name="Output 2 6 38 4" xfId="30400"/>
    <cellStyle name="Output 2 6 38 5" xfId="39725"/>
    <cellStyle name="Output 2 6 38 6" xfId="44065"/>
    <cellStyle name="Output 2 6 38 7" xfId="47968"/>
    <cellStyle name="Output 2 6 39" xfId="5627"/>
    <cellStyle name="Output 2 6 39 2" xfId="13344"/>
    <cellStyle name="Output 2 6 39 3" xfId="22337"/>
    <cellStyle name="Output 2 6 39 4" xfId="30524"/>
    <cellStyle name="Output 2 6 39 5" xfId="39845"/>
    <cellStyle name="Output 2 6 39 6" xfId="44189"/>
    <cellStyle name="Output 2 6 39 7" xfId="47121"/>
    <cellStyle name="Output 2 6 4" xfId="894"/>
    <cellStyle name="Output 2 6 4 2" xfId="8718"/>
    <cellStyle name="Output 2 6 4 3" xfId="16146"/>
    <cellStyle name="Output 2 6 4 4" xfId="19823"/>
    <cellStyle name="Output 2 6 4 5" xfId="27569"/>
    <cellStyle name="Output 2 6 4 6" xfId="37488"/>
    <cellStyle name="Output 2 6 4 7" xfId="47730"/>
    <cellStyle name="Output 2 6 40" xfId="5743"/>
    <cellStyle name="Output 2 6 40 2" xfId="13460"/>
    <cellStyle name="Output 2 6 40 3" xfId="22453"/>
    <cellStyle name="Output 2 6 40 4" xfId="30640"/>
    <cellStyle name="Output 2 6 40 5" xfId="39957"/>
    <cellStyle name="Output 2 6 40 6" xfId="44305"/>
    <cellStyle name="Output 2 6 40 7" xfId="53029"/>
    <cellStyle name="Output 2 6 41" xfId="5859"/>
    <cellStyle name="Output 2 6 41 2" xfId="13576"/>
    <cellStyle name="Output 2 6 41 3" xfId="22569"/>
    <cellStyle name="Output 2 6 41 4" xfId="30756"/>
    <cellStyle name="Output 2 6 41 5" xfId="40070"/>
    <cellStyle name="Output 2 6 41 6" xfId="44421"/>
    <cellStyle name="Output 2 6 41 7" xfId="53680"/>
    <cellStyle name="Output 2 6 42" xfId="5988"/>
    <cellStyle name="Output 2 6 42 2" xfId="13705"/>
    <cellStyle name="Output 2 6 42 3" xfId="22698"/>
    <cellStyle name="Output 2 6 42 4" xfId="30885"/>
    <cellStyle name="Output 2 6 42 5" xfId="40194"/>
    <cellStyle name="Output 2 6 42 6" xfId="44550"/>
    <cellStyle name="Output 2 6 42 7" xfId="53521"/>
    <cellStyle name="Output 2 6 43" xfId="5166"/>
    <cellStyle name="Output 2 6 43 2" xfId="12883"/>
    <cellStyle name="Output 2 6 43 3" xfId="21876"/>
    <cellStyle name="Output 2 6 43 4" xfId="30063"/>
    <cellStyle name="Output 2 6 43 5" xfId="39402"/>
    <cellStyle name="Output 2 6 43 6" xfId="43728"/>
    <cellStyle name="Output 2 6 43 7" xfId="52955"/>
    <cellStyle name="Output 2 6 44" xfId="6244"/>
    <cellStyle name="Output 2 6 44 2" xfId="13961"/>
    <cellStyle name="Output 2 6 44 3" xfId="22954"/>
    <cellStyle name="Output 2 6 44 4" xfId="31141"/>
    <cellStyle name="Output 2 6 44 5" xfId="40442"/>
    <cellStyle name="Output 2 6 44 6" xfId="44806"/>
    <cellStyle name="Output 2 6 44 7" xfId="47518"/>
    <cellStyle name="Output 2 6 45" xfId="6360"/>
    <cellStyle name="Output 2 6 45 2" xfId="14077"/>
    <cellStyle name="Output 2 6 45 3" xfId="23070"/>
    <cellStyle name="Output 2 6 45 4" xfId="31257"/>
    <cellStyle name="Output 2 6 45 5" xfId="40555"/>
    <cellStyle name="Output 2 6 45 6" xfId="44922"/>
    <cellStyle name="Output 2 6 45 7" xfId="54237"/>
    <cellStyle name="Output 2 6 46" xfId="6471"/>
    <cellStyle name="Output 2 6 46 2" xfId="14188"/>
    <cellStyle name="Output 2 6 46 3" xfId="23181"/>
    <cellStyle name="Output 2 6 46 4" xfId="31368"/>
    <cellStyle name="Output 2 6 46 5" xfId="40662"/>
    <cellStyle name="Output 2 6 46 6" xfId="45033"/>
    <cellStyle name="Output 2 6 46 7" xfId="48837"/>
    <cellStyle name="Output 2 6 47" xfId="6560"/>
    <cellStyle name="Output 2 6 47 2" xfId="14277"/>
    <cellStyle name="Output 2 6 47 3" xfId="23270"/>
    <cellStyle name="Output 2 6 47 4" xfId="31457"/>
    <cellStyle name="Output 2 6 47 5" xfId="40746"/>
    <cellStyle name="Output 2 6 47 6" xfId="45122"/>
    <cellStyle name="Output 2 6 47 7" xfId="51793"/>
    <cellStyle name="Output 2 6 48" xfId="6617"/>
    <cellStyle name="Output 2 6 48 2" xfId="14334"/>
    <cellStyle name="Output 2 6 48 3" xfId="23327"/>
    <cellStyle name="Output 2 6 48 4" xfId="31514"/>
    <cellStyle name="Output 2 6 48 5" xfId="40801"/>
    <cellStyle name="Output 2 6 48 6" xfId="45179"/>
    <cellStyle name="Output 2 6 48 7" xfId="49161"/>
    <cellStyle name="Output 2 6 49" xfId="6729"/>
    <cellStyle name="Output 2 6 49 2" xfId="14446"/>
    <cellStyle name="Output 2 6 49 3" xfId="23439"/>
    <cellStyle name="Output 2 6 49 4" xfId="31626"/>
    <cellStyle name="Output 2 6 49 5" xfId="40907"/>
    <cellStyle name="Output 2 6 49 6" xfId="45291"/>
    <cellStyle name="Output 2 6 49 7" xfId="52185"/>
    <cellStyle name="Output 2 6 5" xfId="1360"/>
    <cellStyle name="Output 2 6 5 2" xfId="9183"/>
    <cellStyle name="Output 2 6 5 3" xfId="16611"/>
    <cellStyle name="Output 2 6 5 4" xfId="26625"/>
    <cellStyle name="Output 2 6 5 5" xfId="35458"/>
    <cellStyle name="Output 2 6 5 6" xfId="39397"/>
    <cellStyle name="Output 2 6 5 7" xfId="54337"/>
    <cellStyle name="Output 2 6 50" xfId="6844"/>
    <cellStyle name="Output 2 6 50 2" xfId="14561"/>
    <cellStyle name="Output 2 6 50 3" xfId="23554"/>
    <cellStyle name="Output 2 6 50 4" xfId="31741"/>
    <cellStyle name="Output 2 6 50 5" xfId="41015"/>
    <cellStyle name="Output 2 6 50 6" xfId="45406"/>
    <cellStyle name="Output 2 6 50 7" xfId="47005"/>
    <cellStyle name="Output 2 6 51" xfId="6957"/>
    <cellStyle name="Output 2 6 51 2" xfId="14674"/>
    <cellStyle name="Output 2 6 51 3" xfId="23667"/>
    <cellStyle name="Output 2 6 51 4" xfId="31854"/>
    <cellStyle name="Output 2 6 51 5" xfId="41123"/>
    <cellStyle name="Output 2 6 51 6" xfId="45519"/>
    <cellStyle name="Output 2 6 51 7" xfId="46811"/>
    <cellStyle name="Output 2 6 52" xfId="7068"/>
    <cellStyle name="Output 2 6 52 2" xfId="14785"/>
    <cellStyle name="Output 2 6 52 3" xfId="23778"/>
    <cellStyle name="Output 2 6 52 4" xfId="31965"/>
    <cellStyle name="Output 2 6 52 5" xfId="41228"/>
    <cellStyle name="Output 2 6 52 6" xfId="45630"/>
    <cellStyle name="Output 2 6 52 7" xfId="51783"/>
    <cellStyle name="Output 2 6 53" xfId="7347"/>
    <cellStyle name="Output 2 6 53 2" xfId="15064"/>
    <cellStyle name="Output 2 6 53 3" xfId="24057"/>
    <cellStyle name="Output 2 6 53 4" xfId="32244"/>
    <cellStyle name="Output 2 6 53 5" xfId="41500"/>
    <cellStyle name="Output 2 6 53 6" xfId="45909"/>
    <cellStyle name="Output 2 6 53 7" xfId="51567"/>
    <cellStyle name="Output 2 6 54" xfId="7362"/>
    <cellStyle name="Output 2 6 54 2" xfId="15079"/>
    <cellStyle name="Output 2 6 54 3" xfId="24072"/>
    <cellStyle name="Output 2 6 54 4" xfId="32259"/>
    <cellStyle name="Output 2 6 54 5" xfId="41515"/>
    <cellStyle name="Output 2 6 54 6" xfId="45924"/>
    <cellStyle name="Output 2 6 54 7" xfId="50064"/>
    <cellStyle name="Output 2 6 55" xfId="7465"/>
    <cellStyle name="Output 2 6 55 2" xfId="15182"/>
    <cellStyle name="Output 2 6 55 3" xfId="24175"/>
    <cellStyle name="Output 2 6 55 4" xfId="32362"/>
    <cellStyle name="Output 2 6 55 5" xfId="41611"/>
    <cellStyle name="Output 2 6 55 6" xfId="46027"/>
    <cellStyle name="Output 2 6 55 7" xfId="53964"/>
    <cellStyle name="Output 2 6 56" xfId="7586"/>
    <cellStyle name="Output 2 6 56 2" xfId="15303"/>
    <cellStyle name="Output 2 6 56 3" xfId="24296"/>
    <cellStyle name="Output 2 6 56 4" xfId="32483"/>
    <cellStyle name="Output 2 6 56 5" xfId="41726"/>
    <cellStyle name="Output 2 6 56 6" xfId="46148"/>
    <cellStyle name="Output 2 6 56 7" xfId="47271"/>
    <cellStyle name="Output 2 6 57" xfId="7862"/>
    <cellStyle name="Output 2 6 57 2" xfId="15579"/>
    <cellStyle name="Output 2 6 57 3" xfId="24566"/>
    <cellStyle name="Output 2 6 57 4" xfId="32759"/>
    <cellStyle name="Output 2 6 57 5" xfId="41991"/>
    <cellStyle name="Output 2 6 57 6" xfId="46424"/>
    <cellStyle name="Output 2 6 57 7" xfId="47460"/>
    <cellStyle name="Output 2 6 58" xfId="7756"/>
    <cellStyle name="Output 2 6 58 2" xfId="15473"/>
    <cellStyle name="Output 2 6 58 3" xfId="24464"/>
    <cellStyle name="Output 2 6 58 4" xfId="32653"/>
    <cellStyle name="Output 2 6 58 5" xfId="41889"/>
    <cellStyle name="Output 2 6 58 6" xfId="46318"/>
    <cellStyle name="Output 2 6 58 7" xfId="52652"/>
    <cellStyle name="Output 2 6 59" xfId="8074"/>
    <cellStyle name="Output 2 6 59 2" xfId="15791"/>
    <cellStyle name="Output 2 6 59 3" xfId="24776"/>
    <cellStyle name="Output 2 6 59 4" xfId="32971"/>
    <cellStyle name="Output 2 6 59 5" xfId="42193"/>
    <cellStyle name="Output 2 6 59 6" xfId="46636"/>
    <cellStyle name="Output 2 6 59 7" xfId="48293"/>
    <cellStyle name="Output 2 6 6" xfId="1483"/>
    <cellStyle name="Output 2 6 6 2" xfId="9306"/>
    <cellStyle name="Output 2 6 6 3" xfId="16734"/>
    <cellStyle name="Output 2 6 6 4" xfId="26615"/>
    <cellStyle name="Output 2 6 6 5" xfId="35445"/>
    <cellStyle name="Output 2 6 6 6" xfId="39470"/>
    <cellStyle name="Output 2 6 6 7" xfId="54317"/>
    <cellStyle name="Output 2 6 60" xfId="8138"/>
    <cellStyle name="Output 2 6 60 2" xfId="15855"/>
    <cellStyle name="Output 2 6 60 3" xfId="33035"/>
    <cellStyle name="Output 2 6 60 4" xfId="42255"/>
    <cellStyle name="Output 2 6 60 5" xfId="46700"/>
    <cellStyle name="Output 2 6 60 6" xfId="49612"/>
    <cellStyle name="Output 2 6 61" xfId="20568"/>
    <cellStyle name="Output 2 6 62" xfId="28298"/>
    <cellStyle name="Output 2 6 63" xfId="36590"/>
    <cellStyle name="Output 2 6 64" xfId="49034"/>
    <cellStyle name="Output 2 6 7" xfId="1620"/>
    <cellStyle name="Output 2 6 7 2" xfId="9443"/>
    <cellStyle name="Output 2 6 7 3" xfId="16871"/>
    <cellStyle name="Output 2 6 7 4" xfId="25365"/>
    <cellStyle name="Output 2 6 7 5" xfId="33805"/>
    <cellStyle name="Output 2 6 7 6" xfId="37141"/>
    <cellStyle name="Output 2 6 7 7" xfId="51571"/>
    <cellStyle name="Output 2 6 8" xfId="1720"/>
    <cellStyle name="Output 2 6 8 2" xfId="9543"/>
    <cellStyle name="Output 2 6 8 3" xfId="16971"/>
    <cellStyle name="Output 2 6 8 4" xfId="25712"/>
    <cellStyle name="Output 2 6 8 5" xfId="34254"/>
    <cellStyle name="Output 2 6 8 6" xfId="36393"/>
    <cellStyle name="Output 2 6 8 7" xfId="52340"/>
    <cellStyle name="Output 2 6 9" xfId="1854"/>
    <cellStyle name="Output 2 6 9 2" xfId="9677"/>
    <cellStyle name="Output 2 6 9 3" xfId="17105"/>
    <cellStyle name="Output 2 6 9 4" xfId="25987"/>
    <cellStyle name="Output 2 6 9 5" xfId="34608"/>
    <cellStyle name="Output 2 6 9 6" xfId="36822"/>
    <cellStyle name="Output 2 6 9 7" xfId="52969"/>
    <cellStyle name="Output 2 7" xfId="621"/>
    <cellStyle name="Output 2 7 2" xfId="8445"/>
    <cellStyle name="Output 2 7 3" xfId="11820"/>
    <cellStyle name="Output 2 7 4" xfId="19613"/>
    <cellStyle name="Output 2 7 5" xfId="26849"/>
    <cellStyle name="Output 2 7 6" xfId="36429"/>
    <cellStyle name="Output 2 7 7" xfId="49063"/>
    <cellStyle name="Output 2 8" xfId="218"/>
    <cellStyle name="Output 2 8 2" xfId="8323"/>
    <cellStyle name="Output 2 8 3" xfId="8312"/>
    <cellStyle name="Output 2 8 4" xfId="25237"/>
    <cellStyle name="Output 2 8 5" xfId="33641"/>
    <cellStyle name="Output 2 8 6" xfId="37735"/>
    <cellStyle name="Output 2 8 7" xfId="51295"/>
    <cellStyle name="Output 2 9" xfId="1215"/>
    <cellStyle name="Output 2 9 2" xfId="9038"/>
    <cellStyle name="Output 2 9 3" xfId="16466"/>
    <cellStyle name="Output 2 9 4" xfId="19831"/>
    <cellStyle name="Output 2 9 5" xfId="27234"/>
    <cellStyle name="Output 2 9 6" xfId="39880"/>
    <cellStyle name="Output 2 9 7" xfId="50271"/>
    <cellStyle name="Output 3" xfId="159"/>
    <cellStyle name="Output 3 10" xfId="1237"/>
    <cellStyle name="Output 3 10 2" xfId="9060"/>
    <cellStyle name="Output 3 10 3" xfId="16488"/>
    <cellStyle name="Output 3 10 4" xfId="20398"/>
    <cellStyle name="Output 3 10 5" xfId="27865"/>
    <cellStyle name="Output 3 10 6" xfId="37622"/>
    <cellStyle name="Output 3 10 7" xfId="47743"/>
    <cellStyle name="Output 3 11" xfId="1298"/>
    <cellStyle name="Output 3 11 2" xfId="9121"/>
    <cellStyle name="Output 3 11 3" xfId="16549"/>
    <cellStyle name="Output 3 11 4" xfId="20536"/>
    <cellStyle name="Output 3 11 5" xfId="27588"/>
    <cellStyle name="Output 3 11 6" xfId="38280"/>
    <cellStyle name="Output 3 11 7" xfId="48233"/>
    <cellStyle name="Output 3 12" xfId="1173"/>
    <cellStyle name="Output 3 12 2" xfId="8996"/>
    <cellStyle name="Output 3 12 3" xfId="16424"/>
    <cellStyle name="Output 3 12 4" xfId="19758"/>
    <cellStyle name="Output 3 12 5" xfId="27697"/>
    <cellStyle name="Output 3 12 6" xfId="37878"/>
    <cellStyle name="Output 3 12 7" xfId="48410"/>
    <cellStyle name="Output 3 13" xfId="2288"/>
    <cellStyle name="Output 3 13 2" xfId="10111"/>
    <cellStyle name="Output 3 13 3" xfId="17539"/>
    <cellStyle name="Output 3 13 4" xfId="25108"/>
    <cellStyle name="Output 3 13 5" xfId="33475"/>
    <cellStyle name="Output 3 13 6" xfId="36849"/>
    <cellStyle name="Output 3 13 7" xfId="51027"/>
    <cellStyle name="Output 3 14" xfId="1035"/>
    <cellStyle name="Output 3 14 2" xfId="8859"/>
    <cellStyle name="Output 3 14 3" xfId="16287"/>
    <cellStyle name="Output 3 14 4" xfId="26664"/>
    <cellStyle name="Output 3 14 5" xfId="35511"/>
    <cellStyle name="Output 3 14 6" xfId="36640"/>
    <cellStyle name="Output 3 14 7" xfId="54423"/>
    <cellStyle name="Output 3 15" xfId="3225"/>
    <cellStyle name="Output 3 15 2" xfId="11021"/>
    <cellStyle name="Output 3 15 3" xfId="18358"/>
    <cellStyle name="Output 3 15 4" xfId="26084"/>
    <cellStyle name="Output 3 15 5" xfId="34731"/>
    <cellStyle name="Output 3 15 6" xfId="39926"/>
    <cellStyle name="Output 3 15 7" xfId="53173"/>
    <cellStyle name="Output 3 16" xfId="3204"/>
    <cellStyle name="Output 3 16 2" xfId="11004"/>
    <cellStyle name="Output 3 16 3" xfId="20330"/>
    <cellStyle name="Output 3 16 4" xfId="19308"/>
    <cellStyle name="Output 3 16 5" xfId="27893"/>
    <cellStyle name="Output 3 16 6" xfId="41813"/>
    <cellStyle name="Output 3 16 7" xfId="48265"/>
    <cellStyle name="Output 3 17" xfId="3758"/>
    <cellStyle name="Output 3 17 2" xfId="20608"/>
    <cellStyle name="Output 3 17 3" xfId="28758"/>
    <cellStyle name="Output 3 17 4" xfId="38146"/>
    <cellStyle name="Output 3 17 5" xfId="42534"/>
    <cellStyle name="Output 3 17 6" xfId="52505"/>
    <cellStyle name="Output 3 18" xfId="4235"/>
    <cellStyle name="Output 3 18 2" xfId="11969"/>
    <cellStyle name="Output 3 18 3" xfId="20945"/>
    <cellStyle name="Output 3 18 4" xfId="29132"/>
    <cellStyle name="Output 3 18 5" xfId="38506"/>
    <cellStyle name="Output 3 18 6" xfId="42797"/>
    <cellStyle name="Output 3 18 7" xfId="49945"/>
    <cellStyle name="Output 3 19" xfId="4060"/>
    <cellStyle name="Output 3 19 2" xfId="11826"/>
    <cellStyle name="Output 3 19 3" xfId="20770"/>
    <cellStyle name="Output 3 19 4" xfId="28957"/>
    <cellStyle name="Output 3 19 5" xfId="38336"/>
    <cellStyle name="Output 3 19 6" xfId="42622"/>
    <cellStyle name="Output 3 19 7" xfId="51148"/>
    <cellStyle name="Output 3 2" xfId="261"/>
    <cellStyle name="Output 3 2 10" xfId="1129"/>
    <cellStyle name="Output 3 2 10 2" xfId="8952"/>
    <cellStyle name="Output 3 2 10 3" xfId="16380"/>
    <cellStyle name="Output 3 2 10 4" xfId="25588"/>
    <cellStyle name="Output 3 2 10 5" xfId="34096"/>
    <cellStyle name="Output 3 2 10 6" xfId="42137"/>
    <cellStyle name="Output 3 2 10 7" xfId="52072"/>
    <cellStyle name="Output 3 2 11" xfId="963"/>
    <cellStyle name="Output 3 2 11 2" xfId="8787"/>
    <cellStyle name="Output 3 2 11 3" xfId="16215"/>
    <cellStyle name="Output 3 2 11 4" xfId="20417"/>
    <cellStyle name="Output 3 2 11 5" xfId="28713"/>
    <cellStyle name="Output 3 2 11 6" xfId="36803"/>
    <cellStyle name="Output 3 2 11 7" xfId="48369"/>
    <cellStyle name="Output 3 2 12" xfId="1045"/>
    <cellStyle name="Output 3 2 12 2" xfId="8869"/>
    <cellStyle name="Output 3 2 12 3" xfId="16297"/>
    <cellStyle name="Output 3 2 12 4" xfId="26146"/>
    <cellStyle name="Output 3 2 12 5" xfId="34812"/>
    <cellStyle name="Output 3 2 12 6" xfId="36491"/>
    <cellStyle name="Output 3 2 12 7" xfId="53311"/>
    <cellStyle name="Output 3 2 13" xfId="1057"/>
    <cellStyle name="Output 3 2 13 2" xfId="8881"/>
    <cellStyle name="Output 3 2 13 3" xfId="16309"/>
    <cellStyle name="Output 3 2 13 4" xfId="25633"/>
    <cellStyle name="Output 3 2 13 5" xfId="34152"/>
    <cellStyle name="Output 3 2 13 6" xfId="37465"/>
    <cellStyle name="Output 3 2 13 7" xfId="52170"/>
    <cellStyle name="Output 3 2 14" xfId="1769"/>
    <cellStyle name="Output 3 2 14 2" xfId="9592"/>
    <cellStyle name="Output 3 2 14 3" xfId="17020"/>
    <cellStyle name="Output 3 2 14 4" xfId="26671"/>
    <cellStyle name="Output 3 2 14 5" xfId="35518"/>
    <cellStyle name="Output 3 2 14 6" xfId="37942"/>
    <cellStyle name="Output 3 2 14 7" xfId="54436"/>
    <cellStyle name="Output 3 2 15" xfId="1253"/>
    <cellStyle name="Output 3 2 15 2" xfId="9076"/>
    <cellStyle name="Output 3 2 15 3" xfId="16504"/>
    <cellStyle name="Output 3 2 15 4" xfId="19899"/>
    <cellStyle name="Output 3 2 15 5" xfId="27037"/>
    <cellStyle name="Output 3 2 15 6" xfId="41443"/>
    <cellStyle name="Output 3 2 15 7" xfId="46915"/>
    <cellStyle name="Output 3 2 16" xfId="1666"/>
    <cellStyle name="Output 3 2 16 2" xfId="9489"/>
    <cellStyle name="Output 3 2 16 3" xfId="16917"/>
    <cellStyle name="Output 3 2 16 4" xfId="24846"/>
    <cellStyle name="Output 3 2 16 5" xfId="26859"/>
    <cellStyle name="Output 3 2 16 6" xfId="39153"/>
    <cellStyle name="Output 3 2 16 7" xfId="49845"/>
    <cellStyle name="Output 3 2 17" xfId="1180"/>
    <cellStyle name="Output 3 2 17 2" xfId="9003"/>
    <cellStyle name="Output 3 2 17 3" xfId="16431"/>
    <cellStyle name="Output 3 2 17 4" xfId="26443"/>
    <cellStyle name="Output 3 2 17 5" xfId="35216"/>
    <cellStyle name="Output 3 2 17 6" xfId="37396"/>
    <cellStyle name="Output 3 2 17 7" xfId="53944"/>
    <cellStyle name="Output 3 2 18" xfId="1214"/>
    <cellStyle name="Output 3 2 18 2" xfId="9037"/>
    <cellStyle name="Output 3 2 18 3" xfId="16465"/>
    <cellStyle name="Output 3 2 18 4" xfId="24817"/>
    <cellStyle name="Output 3 2 18 5" xfId="33134"/>
    <cellStyle name="Output 3 2 18 6" xfId="39992"/>
    <cellStyle name="Output 3 2 18 7" xfId="50395"/>
    <cellStyle name="Output 3 2 19" xfId="2322"/>
    <cellStyle name="Output 3 2 19 2" xfId="10145"/>
    <cellStyle name="Output 3 2 19 3" xfId="17573"/>
    <cellStyle name="Output 3 2 19 4" xfId="20359"/>
    <cellStyle name="Output 3 2 19 5" xfId="28134"/>
    <cellStyle name="Output 3 2 19 6" xfId="41196"/>
    <cellStyle name="Output 3 2 19 7" xfId="50118"/>
    <cellStyle name="Output 3 2 2" xfId="535"/>
    <cellStyle name="Output 3 2 2 10" xfId="1982"/>
    <cellStyle name="Output 3 2 2 10 2" xfId="9805"/>
    <cellStyle name="Output 3 2 2 10 3" xfId="17233"/>
    <cellStyle name="Output 3 2 2 10 4" xfId="20573"/>
    <cellStyle name="Output 3 2 2 10 5" xfId="27223"/>
    <cellStyle name="Output 3 2 2 10 6" xfId="37192"/>
    <cellStyle name="Output 3 2 2 10 7" xfId="48420"/>
    <cellStyle name="Output 3 2 2 11" xfId="2100"/>
    <cellStyle name="Output 3 2 2 11 2" xfId="9923"/>
    <cellStyle name="Output 3 2 2 11 3" xfId="17351"/>
    <cellStyle name="Output 3 2 2 11 4" xfId="19202"/>
    <cellStyle name="Output 3 2 2 11 5" xfId="26966"/>
    <cellStyle name="Output 3 2 2 11 6" xfId="40245"/>
    <cellStyle name="Output 3 2 2 11 7" xfId="47306"/>
    <cellStyle name="Output 3 2 2 12" xfId="2213"/>
    <cellStyle name="Output 3 2 2 12 2" xfId="10036"/>
    <cellStyle name="Output 3 2 2 12 3" xfId="17464"/>
    <cellStyle name="Output 3 2 2 12 4" xfId="25363"/>
    <cellStyle name="Output 3 2 2 12 5" xfId="33803"/>
    <cellStyle name="Output 3 2 2 12 6" xfId="37772"/>
    <cellStyle name="Output 3 2 2 12 7" xfId="51566"/>
    <cellStyle name="Output 3 2 2 13" xfId="2309"/>
    <cellStyle name="Output 3 2 2 13 2" xfId="10132"/>
    <cellStyle name="Output 3 2 2 13 3" xfId="17560"/>
    <cellStyle name="Output 3 2 2 13 4" xfId="20135"/>
    <cellStyle name="Output 3 2 2 13 5" xfId="27644"/>
    <cellStyle name="Output 3 2 2 13 6" xfId="37004"/>
    <cellStyle name="Output 3 2 2 13 7" xfId="48898"/>
    <cellStyle name="Output 3 2 2 14" xfId="2403"/>
    <cellStyle name="Output 3 2 2 14 2" xfId="10226"/>
    <cellStyle name="Output 3 2 2 14 3" xfId="17654"/>
    <cellStyle name="Output 3 2 2 14 4" xfId="26270"/>
    <cellStyle name="Output 3 2 2 14 5" xfId="34969"/>
    <cellStyle name="Output 3 2 2 14 6" xfId="39349"/>
    <cellStyle name="Output 3 2 2 14 7" xfId="53578"/>
    <cellStyle name="Output 3 2 2 15" xfId="2511"/>
    <cellStyle name="Output 3 2 2 15 2" xfId="10334"/>
    <cellStyle name="Output 3 2 2 15 3" xfId="17762"/>
    <cellStyle name="Output 3 2 2 15 4" xfId="20627"/>
    <cellStyle name="Output 3 2 2 15 5" xfId="27168"/>
    <cellStyle name="Output 3 2 2 15 6" xfId="37661"/>
    <cellStyle name="Output 3 2 2 15 7" xfId="47420"/>
    <cellStyle name="Output 3 2 2 16" xfId="2624"/>
    <cellStyle name="Output 3 2 2 16 2" xfId="10447"/>
    <cellStyle name="Output 3 2 2 16 3" xfId="17875"/>
    <cellStyle name="Output 3 2 2 16 4" xfId="26255"/>
    <cellStyle name="Output 3 2 2 16 5" xfId="34952"/>
    <cellStyle name="Output 3 2 2 16 6" xfId="40255"/>
    <cellStyle name="Output 3 2 2 16 7" xfId="53547"/>
    <cellStyle name="Output 3 2 2 17" xfId="2709"/>
    <cellStyle name="Output 3 2 2 17 2" xfId="10532"/>
    <cellStyle name="Output 3 2 2 17 3" xfId="17960"/>
    <cellStyle name="Output 3 2 2 17 4" xfId="25600"/>
    <cellStyle name="Output 3 2 2 17 5" xfId="34110"/>
    <cellStyle name="Output 3 2 2 17 6" xfId="38671"/>
    <cellStyle name="Output 3 2 2 17 7" xfId="52090"/>
    <cellStyle name="Output 3 2 2 18" xfId="2746"/>
    <cellStyle name="Output 3 2 2 18 2" xfId="10569"/>
    <cellStyle name="Output 3 2 2 18 3" xfId="17997"/>
    <cellStyle name="Output 3 2 2 18 4" xfId="25473"/>
    <cellStyle name="Output 3 2 2 18 5" xfId="33942"/>
    <cellStyle name="Output 3 2 2 18 6" xfId="36976"/>
    <cellStyle name="Output 3 2 2 18 7" xfId="51810"/>
    <cellStyle name="Output 3 2 2 19" xfId="2817"/>
    <cellStyle name="Output 3 2 2 19 2" xfId="10640"/>
    <cellStyle name="Output 3 2 2 19 3" xfId="18068"/>
    <cellStyle name="Output 3 2 2 19 4" xfId="19814"/>
    <cellStyle name="Output 3 2 2 19 5" xfId="28568"/>
    <cellStyle name="Output 3 2 2 19 6" xfId="36733"/>
    <cellStyle name="Output 3 2 2 19 7" xfId="47381"/>
    <cellStyle name="Output 3 2 2 2" xfId="685"/>
    <cellStyle name="Output 3 2 2 2 2" xfId="8509"/>
    <cellStyle name="Output 3 2 2 2 3" xfId="15937"/>
    <cellStyle name="Output 3 2 2 2 4" xfId="19322"/>
    <cellStyle name="Output 3 2 2 2 5" xfId="27452"/>
    <cellStyle name="Output 3 2 2 2 6" xfId="36503"/>
    <cellStyle name="Output 3 2 2 2 7" xfId="48286"/>
    <cellStyle name="Output 3 2 2 20" xfId="2924"/>
    <cellStyle name="Output 3 2 2 20 2" xfId="10747"/>
    <cellStyle name="Output 3 2 2 20 3" xfId="18175"/>
    <cellStyle name="Output 3 2 2 20 4" xfId="26258"/>
    <cellStyle name="Output 3 2 2 20 5" xfId="34956"/>
    <cellStyle name="Output 3 2 2 20 6" xfId="36840"/>
    <cellStyle name="Output 3 2 2 20 7" xfId="53556"/>
    <cellStyle name="Output 3 2 2 21" xfId="3300"/>
    <cellStyle name="Output 3 2 2 21 2" xfId="11093"/>
    <cellStyle name="Output 3 2 2 21 3" xfId="18422"/>
    <cellStyle name="Output 3 2 2 21 4" xfId="25593"/>
    <cellStyle name="Output 3 2 2 21 5" xfId="34102"/>
    <cellStyle name="Output 3 2 2 21 6" xfId="36546"/>
    <cellStyle name="Output 3 2 2 21 7" xfId="52081"/>
    <cellStyle name="Output 3 2 2 22" xfId="3420"/>
    <cellStyle name="Output 3 2 2 22 2" xfId="11211"/>
    <cellStyle name="Output 3 2 2 22 3" xfId="18533"/>
    <cellStyle name="Output 3 2 2 22 4" xfId="25997"/>
    <cellStyle name="Output 3 2 2 22 5" xfId="34620"/>
    <cellStyle name="Output 3 2 2 22 6" xfId="42264"/>
    <cellStyle name="Output 3 2 2 22 7" xfId="52986"/>
    <cellStyle name="Output 3 2 2 23" xfId="2988"/>
    <cellStyle name="Output 3 2 2 23 2" xfId="10810"/>
    <cellStyle name="Output 3 2 2 23 3" xfId="18236"/>
    <cellStyle name="Output 3 2 2 23 4" xfId="26669"/>
    <cellStyle name="Output 3 2 2 23 5" xfId="35516"/>
    <cellStyle name="Output 3 2 2 23 6" xfId="42030"/>
    <cellStyle name="Output 3 2 2 23 7" xfId="54433"/>
    <cellStyle name="Output 3 2 2 24" xfId="3691"/>
    <cellStyle name="Output 3 2 2 24 2" xfId="11476"/>
    <cellStyle name="Output 3 2 2 24 3" xfId="18749"/>
    <cellStyle name="Output 3 2 2 24 4" xfId="20023"/>
    <cellStyle name="Output 3 2 2 24 5" xfId="28136"/>
    <cellStyle name="Output 3 2 2 24 6" xfId="37350"/>
    <cellStyle name="Output 3 2 2 24 7" xfId="50266"/>
    <cellStyle name="Output 3 2 2 25" xfId="3821"/>
    <cellStyle name="Output 3 2 2 25 2" xfId="11603"/>
    <cellStyle name="Output 3 2 2 25 3" xfId="18860"/>
    <cellStyle name="Output 3 2 2 25 4" xfId="25788"/>
    <cellStyle name="Output 3 2 2 25 5" xfId="34356"/>
    <cellStyle name="Output 3 2 2 25 6" xfId="40033"/>
    <cellStyle name="Output 3 2 2 25 7" xfId="52528"/>
    <cellStyle name="Output 3 2 2 26" xfId="3939"/>
    <cellStyle name="Output 3 2 2 26 2" xfId="11719"/>
    <cellStyle name="Output 3 2 2 26 3" xfId="18969"/>
    <cellStyle name="Output 3 2 2 26 4" xfId="19878"/>
    <cellStyle name="Output 3 2 2 26 5" xfId="28515"/>
    <cellStyle name="Output 3 2 2 26 6" xfId="38117"/>
    <cellStyle name="Output 3 2 2 26 7" xfId="46966"/>
    <cellStyle name="Output 3 2 2 27" xfId="4018"/>
    <cellStyle name="Output 3 2 2 27 2" xfId="11793"/>
    <cellStyle name="Output 3 2 2 27 3" xfId="20728"/>
    <cellStyle name="Output 3 2 2 27 4" xfId="28915"/>
    <cellStyle name="Output 3 2 2 27 5" xfId="38298"/>
    <cellStyle name="Output 3 2 2 27 6" xfId="42580"/>
    <cellStyle name="Output 3 2 2 27 7" xfId="52742"/>
    <cellStyle name="Output 3 2 2 28" xfId="4136"/>
    <cellStyle name="Output 3 2 2 28 2" xfId="11895"/>
    <cellStyle name="Output 3 2 2 28 3" xfId="20846"/>
    <cellStyle name="Output 3 2 2 28 4" xfId="29033"/>
    <cellStyle name="Output 3 2 2 28 5" xfId="38410"/>
    <cellStyle name="Output 3 2 2 28 6" xfId="42698"/>
    <cellStyle name="Output 3 2 2 28 7" xfId="50572"/>
    <cellStyle name="Output 3 2 2 29" xfId="4194"/>
    <cellStyle name="Output 3 2 2 29 2" xfId="20904"/>
    <cellStyle name="Output 3 2 2 29 3" xfId="29091"/>
    <cellStyle name="Output 3 2 2 29 4" xfId="38467"/>
    <cellStyle name="Output 3 2 2 29 5" xfId="42756"/>
    <cellStyle name="Output 3 2 2 29 6" xfId="52555"/>
    <cellStyle name="Output 3 2 2 3" xfId="793"/>
    <cellStyle name="Output 3 2 2 3 2" xfId="8617"/>
    <cellStyle name="Output 3 2 2 3 3" xfId="16045"/>
    <cellStyle name="Output 3 2 2 3 4" xfId="19931"/>
    <cellStyle name="Output 3 2 2 3 5" xfId="28716"/>
    <cellStyle name="Output 3 2 2 3 6" xfId="36323"/>
    <cellStyle name="Output 3 2 2 3 7" xfId="50296"/>
    <cellStyle name="Output 3 2 2 30" xfId="4333"/>
    <cellStyle name="Output 3 2 2 30 2" xfId="12050"/>
    <cellStyle name="Output 3 2 2 30 3" xfId="21043"/>
    <cellStyle name="Output 3 2 2 30 4" xfId="29230"/>
    <cellStyle name="Output 3 2 2 30 5" xfId="38601"/>
    <cellStyle name="Output 3 2 2 30 6" xfId="42895"/>
    <cellStyle name="Output 3 2 2 30 7" xfId="49057"/>
    <cellStyle name="Output 3 2 2 31" xfId="4456"/>
    <cellStyle name="Output 3 2 2 31 2" xfId="12173"/>
    <cellStyle name="Output 3 2 2 31 3" xfId="21166"/>
    <cellStyle name="Output 3 2 2 31 4" xfId="29353"/>
    <cellStyle name="Output 3 2 2 31 5" xfId="38719"/>
    <cellStyle name="Output 3 2 2 31 6" xfId="43018"/>
    <cellStyle name="Output 3 2 2 31 7" xfId="47448"/>
    <cellStyle name="Output 3 2 2 32" xfId="4570"/>
    <cellStyle name="Output 3 2 2 32 2" xfId="12287"/>
    <cellStyle name="Output 3 2 2 32 3" xfId="21280"/>
    <cellStyle name="Output 3 2 2 32 4" xfId="29467"/>
    <cellStyle name="Output 3 2 2 32 5" xfId="38828"/>
    <cellStyle name="Output 3 2 2 32 6" xfId="43132"/>
    <cellStyle name="Output 3 2 2 32 7" xfId="52860"/>
    <cellStyle name="Output 3 2 2 33" xfId="4683"/>
    <cellStyle name="Output 3 2 2 33 2" xfId="12400"/>
    <cellStyle name="Output 3 2 2 33 3" xfId="21393"/>
    <cellStyle name="Output 3 2 2 33 4" xfId="29580"/>
    <cellStyle name="Output 3 2 2 33 5" xfId="38937"/>
    <cellStyle name="Output 3 2 2 33 6" xfId="43245"/>
    <cellStyle name="Output 3 2 2 33 7" xfId="48713"/>
    <cellStyle name="Output 3 2 2 34" xfId="4794"/>
    <cellStyle name="Output 3 2 2 34 2" xfId="12511"/>
    <cellStyle name="Output 3 2 2 34 3" xfId="21504"/>
    <cellStyle name="Output 3 2 2 34 4" xfId="29691"/>
    <cellStyle name="Output 3 2 2 34 5" xfId="39045"/>
    <cellStyle name="Output 3 2 2 34 6" xfId="43356"/>
    <cellStyle name="Output 3 2 2 34 7" xfId="52466"/>
    <cellStyle name="Output 3 2 2 35" xfId="4903"/>
    <cellStyle name="Output 3 2 2 35 2" xfId="12620"/>
    <cellStyle name="Output 3 2 2 35 3" xfId="21613"/>
    <cellStyle name="Output 3 2 2 35 4" xfId="29800"/>
    <cellStyle name="Output 3 2 2 35 5" xfId="39149"/>
    <cellStyle name="Output 3 2 2 35 6" xfId="43465"/>
    <cellStyle name="Output 3 2 2 35 7" xfId="48643"/>
    <cellStyle name="Output 3 2 2 36" xfId="5014"/>
    <cellStyle name="Output 3 2 2 36 2" xfId="12731"/>
    <cellStyle name="Output 3 2 2 36 3" xfId="21724"/>
    <cellStyle name="Output 3 2 2 36 4" xfId="29911"/>
    <cellStyle name="Output 3 2 2 36 5" xfId="39257"/>
    <cellStyle name="Output 3 2 2 36 6" xfId="43576"/>
    <cellStyle name="Output 3 2 2 36 7" xfId="52751"/>
    <cellStyle name="Output 3 2 2 37" xfId="5393"/>
    <cellStyle name="Output 3 2 2 37 2" xfId="13110"/>
    <cellStyle name="Output 3 2 2 37 3" xfId="22103"/>
    <cellStyle name="Output 3 2 2 37 4" xfId="30290"/>
    <cellStyle name="Output 3 2 2 37 5" xfId="39621"/>
    <cellStyle name="Output 3 2 2 37 6" xfId="43955"/>
    <cellStyle name="Output 3 2 2 37 7" xfId="52182"/>
    <cellStyle name="Output 3 2 2 38" xfId="5513"/>
    <cellStyle name="Output 3 2 2 38 2" xfId="13230"/>
    <cellStyle name="Output 3 2 2 38 3" xfId="22223"/>
    <cellStyle name="Output 3 2 2 38 4" xfId="30410"/>
    <cellStyle name="Output 3 2 2 38 5" xfId="39735"/>
    <cellStyle name="Output 3 2 2 38 6" xfId="44075"/>
    <cellStyle name="Output 3 2 2 38 7" xfId="50071"/>
    <cellStyle name="Output 3 2 2 39" xfId="5637"/>
    <cellStyle name="Output 3 2 2 39 2" xfId="13354"/>
    <cellStyle name="Output 3 2 2 39 3" xfId="22347"/>
    <cellStyle name="Output 3 2 2 39 4" xfId="30534"/>
    <cellStyle name="Output 3 2 2 39 5" xfId="39855"/>
    <cellStyle name="Output 3 2 2 39 6" xfId="44199"/>
    <cellStyle name="Output 3 2 2 39 7" xfId="54518"/>
    <cellStyle name="Output 3 2 2 4" xfId="904"/>
    <cellStyle name="Output 3 2 2 4 2" xfId="8728"/>
    <cellStyle name="Output 3 2 2 4 3" xfId="16156"/>
    <cellStyle name="Output 3 2 2 4 4" xfId="26234"/>
    <cellStyle name="Output 3 2 2 4 5" xfId="34922"/>
    <cellStyle name="Output 3 2 2 4 6" xfId="37050"/>
    <cellStyle name="Output 3 2 2 4 7" xfId="53492"/>
    <cellStyle name="Output 3 2 2 40" xfId="5753"/>
    <cellStyle name="Output 3 2 2 40 2" xfId="13470"/>
    <cellStyle name="Output 3 2 2 40 3" xfId="22463"/>
    <cellStyle name="Output 3 2 2 40 4" xfId="30650"/>
    <cellStyle name="Output 3 2 2 40 5" xfId="39967"/>
    <cellStyle name="Output 3 2 2 40 6" xfId="44315"/>
    <cellStyle name="Output 3 2 2 40 7" xfId="52095"/>
    <cellStyle name="Output 3 2 2 41" xfId="5869"/>
    <cellStyle name="Output 3 2 2 41 2" xfId="13586"/>
    <cellStyle name="Output 3 2 2 41 3" xfId="22579"/>
    <cellStyle name="Output 3 2 2 41 4" xfId="30766"/>
    <cellStyle name="Output 3 2 2 41 5" xfId="40080"/>
    <cellStyle name="Output 3 2 2 41 6" xfId="44431"/>
    <cellStyle name="Output 3 2 2 41 7" xfId="52661"/>
    <cellStyle name="Output 3 2 2 42" xfId="5998"/>
    <cellStyle name="Output 3 2 2 42 2" xfId="13715"/>
    <cellStyle name="Output 3 2 2 42 3" xfId="22708"/>
    <cellStyle name="Output 3 2 2 42 4" xfId="30895"/>
    <cellStyle name="Output 3 2 2 42 5" xfId="40204"/>
    <cellStyle name="Output 3 2 2 42 6" xfId="44560"/>
    <cellStyle name="Output 3 2 2 42 7" xfId="48456"/>
    <cellStyle name="Output 3 2 2 43" xfId="5305"/>
    <cellStyle name="Output 3 2 2 43 2" xfId="13022"/>
    <cellStyle name="Output 3 2 2 43 3" xfId="22015"/>
    <cellStyle name="Output 3 2 2 43 4" xfId="30202"/>
    <cellStyle name="Output 3 2 2 43 5" xfId="39536"/>
    <cellStyle name="Output 3 2 2 43 6" xfId="43867"/>
    <cellStyle name="Output 3 2 2 43 7" xfId="53669"/>
    <cellStyle name="Output 3 2 2 44" xfId="6254"/>
    <cellStyle name="Output 3 2 2 44 2" xfId="13971"/>
    <cellStyle name="Output 3 2 2 44 3" xfId="22964"/>
    <cellStyle name="Output 3 2 2 44 4" xfId="31151"/>
    <cellStyle name="Output 3 2 2 44 5" xfId="40452"/>
    <cellStyle name="Output 3 2 2 44 6" xfId="44816"/>
    <cellStyle name="Output 3 2 2 44 7" xfId="49533"/>
    <cellStyle name="Output 3 2 2 45" xfId="6370"/>
    <cellStyle name="Output 3 2 2 45 2" xfId="14087"/>
    <cellStyle name="Output 3 2 2 45 3" xfId="23080"/>
    <cellStyle name="Output 3 2 2 45 4" xfId="31267"/>
    <cellStyle name="Output 3 2 2 45 5" xfId="40565"/>
    <cellStyle name="Output 3 2 2 45 6" xfId="44932"/>
    <cellStyle name="Output 3 2 2 45 7" xfId="53070"/>
    <cellStyle name="Output 3 2 2 46" xfId="6481"/>
    <cellStyle name="Output 3 2 2 46 2" xfId="14198"/>
    <cellStyle name="Output 3 2 2 46 3" xfId="23191"/>
    <cellStyle name="Output 3 2 2 46 4" xfId="31378"/>
    <cellStyle name="Output 3 2 2 46 5" xfId="40672"/>
    <cellStyle name="Output 3 2 2 46 6" xfId="45043"/>
    <cellStyle name="Output 3 2 2 46 7" xfId="51699"/>
    <cellStyle name="Output 3 2 2 47" xfId="6555"/>
    <cellStyle name="Output 3 2 2 47 2" xfId="14272"/>
    <cellStyle name="Output 3 2 2 47 3" xfId="23265"/>
    <cellStyle name="Output 3 2 2 47 4" xfId="31452"/>
    <cellStyle name="Output 3 2 2 47 5" xfId="40741"/>
    <cellStyle name="Output 3 2 2 47 6" xfId="45117"/>
    <cellStyle name="Output 3 2 2 47 7" xfId="53506"/>
    <cellStyle name="Output 3 2 2 48" xfId="6627"/>
    <cellStyle name="Output 3 2 2 48 2" xfId="14344"/>
    <cellStyle name="Output 3 2 2 48 3" xfId="23337"/>
    <cellStyle name="Output 3 2 2 48 4" xfId="31524"/>
    <cellStyle name="Output 3 2 2 48 5" xfId="40811"/>
    <cellStyle name="Output 3 2 2 48 6" xfId="45189"/>
    <cellStyle name="Output 3 2 2 48 7" xfId="51857"/>
    <cellStyle name="Output 3 2 2 49" xfId="6739"/>
    <cellStyle name="Output 3 2 2 49 2" xfId="14456"/>
    <cellStyle name="Output 3 2 2 49 3" xfId="23449"/>
    <cellStyle name="Output 3 2 2 49 4" xfId="31636"/>
    <cellStyle name="Output 3 2 2 49 5" xfId="40917"/>
    <cellStyle name="Output 3 2 2 49 6" xfId="45301"/>
    <cellStyle name="Output 3 2 2 49 7" xfId="50963"/>
    <cellStyle name="Output 3 2 2 5" xfId="1370"/>
    <cellStyle name="Output 3 2 2 5 2" xfId="9193"/>
    <cellStyle name="Output 3 2 2 5 3" xfId="16621"/>
    <cellStyle name="Output 3 2 2 5 4" xfId="26072"/>
    <cellStyle name="Output 3 2 2 5 5" xfId="34718"/>
    <cellStyle name="Output 3 2 2 5 6" xfId="36513"/>
    <cellStyle name="Output 3 2 2 5 7" xfId="53154"/>
    <cellStyle name="Output 3 2 2 50" xfId="6854"/>
    <cellStyle name="Output 3 2 2 50 2" xfId="14571"/>
    <cellStyle name="Output 3 2 2 50 3" xfId="23564"/>
    <cellStyle name="Output 3 2 2 50 4" xfId="31751"/>
    <cellStyle name="Output 3 2 2 50 5" xfId="41025"/>
    <cellStyle name="Output 3 2 2 50 6" xfId="45416"/>
    <cellStyle name="Output 3 2 2 50 7" xfId="47868"/>
    <cellStyle name="Output 3 2 2 51" xfId="6967"/>
    <cellStyle name="Output 3 2 2 51 2" xfId="14684"/>
    <cellStyle name="Output 3 2 2 51 3" xfId="23677"/>
    <cellStyle name="Output 3 2 2 51 4" xfId="31864"/>
    <cellStyle name="Output 3 2 2 51 5" xfId="41133"/>
    <cellStyle name="Output 3 2 2 51 6" xfId="45529"/>
    <cellStyle name="Output 3 2 2 51 7" xfId="47030"/>
    <cellStyle name="Output 3 2 2 52" xfId="7078"/>
    <cellStyle name="Output 3 2 2 52 2" xfId="14795"/>
    <cellStyle name="Output 3 2 2 52 3" xfId="23788"/>
    <cellStyle name="Output 3 2 2 52 4" xfId="31975"/>
    <cellStyle name="Output 3 2 2 52 5" xfId="41238"/>
    <cellStyle name="Output 3 2 2 52 6" xfId="45640"/>
    <cellStyle name="Output 3 2 2 52 7" xfId="51320"/>
    <cellStyle name="Output 3 2 2 53" xfId="7199"/>
    <cellStyle name="Output 3 2 2 53 2" xfId="14916"/>
    <cellStyle name="Output 3 2 2 53 3" xfId="23909"/>
    <cellStyle name="Output 3 2 2 53 4" xfId="32096"/>
    <cellStyle name="Output 3 2 2 53 5" xfId="41356"/>
    <cellStyle name="Output 3 2 2 53 6" xfId="45761"/>
    <cellStyle name="Output 3 2 2 53 7" xfId="51380"/>
    <cellStyle name="Output 3 2 2 54" xfId="7215"/>
    <cellStyle name="Output 3 2 2 54 2" xfId="14932"/>
    <cellStyle name="Output 3 2 2 54 3" xfId="23925"/>
    <cellStyle name="Output 3 2 2 54 4" xfId="32112"/>
    <cellStyle name="Output 3 2 2 54 5" xfId="41372"/>
    <cellStyle name="Output 3 2 2 54 6" xfId="45777"/>
    <cellStyle name="Output 3 2 2 54 7" xfId="49502"/>
    <cellStyle name="Output 3 2 2 55" xfId="7475"/>
    <cellStyle name="Output 3 2 2 55 2" xfId="15192"/>
    <cellStyle name="Output 3 2 2 55 3" xfId="24185"/>
    <cellStyle name="Output 3 2 2 55 4" xfId="32372"/>
    <cellStyle name="Output 3 2 2 55 5" xfId="41621"/>
    <cellStyle name="Output 3 2 2 55 6" xfId="46037"/>
    <cellStyle name="Output 3 2 2 55 7" xfId="51744"/>
    <cellStyle name="Output 3 2 2 56" xfId="7596"/>
    <cellStyle name="Output 3 2 2 56 2" xfId="15313"/>
    <cellStyle name="Output 3 2 2 56 3" xfId="24306"/>
    <cellStyle name="Output 3 2 2 56 4" xfId="32493"/>
    <cellStyle name="Output 3 2 2 56 5" xfId="41736"/>
    <cellStyle name="Output 3 2 2 56 6" xfId="46158"/>
    <cellStyle name="Output 3 2 2 56 7" xfId="47836"/>
    <cellStyle name="Output 3 2 2 57" xfId="7872"/>
    <cellStyle name="Output 3 2 2 57 2" xfId="15589"/>
    <cellStyle name="Output 3 2 2 57 3" xfId="24576"/>
    <cellStyle name="Output 3 2 2 57 4" xfId="32769"/>
    <cellStyle name="Output 3 2 2 57 5" xfId="42001"/>
    <cellStyle name="Output 3 2 2 57 6" xfId="46434"/>
    <cellStyle name="Output 3 2 2 57 7" xfId="48688"/>
    <cellStyle name="Output 3 2 2 58" xfId="7924"/>
    <cellStyle name="Output 3 2 2 58 2" xfId="15641"/>
    <cellStyle name="Output 3 2 2 58 3" xfId="24628"/>
    <cellStyle name="Output 3 2 2 58 4" xfId="32821"/>
    <cellStyle name="Output 3 2 2 58 5" xfId="42052"/>
    <cellStyle name="Output 3 2 2 58 6" xfId="46486"/>
    <cellStyle name="Output 3 2 2 58 7" xfId="49778"/>
    <cellStyle name="Output 3 2 2 59" xfId="8075"/>
    <cellStyle name="Output 3 2 2 59 2" xfId="15792"/>
    <cellStyle name="Output 3 2 2 59 3" xfId="24777"/>
    <cellStyle name="Output 3 2 2 59 4" xfId="32972"/>
    <cellStyle name="Output 3 2 2 59 5" xfId="42194"/>
    <cellStyle name="Output 3 2 2 59 6" xfId="46637"/>
    <cellStyle name="Output 3 2 2 59 7" xfId="47848"/>
    <cellStyle name="Output 3 2 2 6" xfId="1493"/>
    <cellStyle name="Output 3 2 2 6 2" xfId="9316"/>
    <cellStyle name="Output 3 2 2 6 3" xfId="16744"/>
    <cellStyle name="Output 3 2 2 6 4" xfId="26058"/>
    <cellStyle name="Output 3 2 2 6 5" xfId="34702"/>
    <cellStyle name="Output 3 2 2 6 6" xfId="41804"/>
    <cellStyle name="Output 3 2 2 6 7" xfId="53122"/>
    <cellStyle name="Output 3 2 2 60" xfId="8148"/>
    <cellStyle name="Output 3 2 2 60 2" xfId="15865"/>
    <cellStyle name="Output 3 2 2 60 3" xfId="33045"/>
    <cellStyle name="Output 3 2 2 60 4" xfId="42265"/>
    <cellStyle name="Output 3 2 2 60 5" xfId="46710"/>
    <cellStyle name="Output 3 2 2 60 6" xfId="49050"/>
    <cellStyle name="Output 3 2 2 61" xfId="20404"/>
    <cellStyle name="Output 3 2 2 62" xfId="27888"/>
    <cellStyle name="Output 3 2 2 63" xfId="36928"/>
    <cellStyle name="Output 3 2 2 64" xfId="49684"/>
    <cellStyle name="Output 3 2 2 7" xfId="1607"/>
    <cellStyle name="Output 3 2 2 7 2" xfId="9430"/>
    <cellStyle name="Output 3 2 2 7 3" xfId="16858"/>
    <cellStyle name="Output 3 2 2 7 4" xfId="20030"/>
    <cellStyle name="Output 3 2 2 7 5" xfId="27117"/>
    <cellStyle name="Output 3 2 2 7 6" xfId="37996"/>
    <cellStyle name="Output 3 2 2 7 7" xfId="48927"/>
    <cellStyle name="Output 3 2 2 8" xfId="1730"/>
    <cellStyle name="Output 3 2 2 8 2" xfId="9553"/>
    <cellStyle name="Output 3 2 2 8 3" xfId="16981"/>
    <cellStyle name="Output 3 2 2 8 4" xfId="25152"/>
    <cellStyle name="Output 3 2 2 8 5" xfId="33529"/>
    <cellStyle name="Output 3 2 2 8 6" xfId="41746"/>
    <cellStyle name="Output 3 2 2 8 7" xfId="51117"/>
    <cellStyle name="Output 3 2 2 9" xfId="1864"/>
    <cellStyle name="Output 3 2 2 9 2" xfId="9687"/>
    <cellStyle name="Output 3 2 2 9 3" xfId="17115"/>
    <cellStyle name="Output 3 2 2 9 4" xfId="25552"/>
    <cellStyle name="Output 3 2 2 9 5" xfId="34047"/>
    <cellStyle name="Output 3 2 2 9 6" xfId="40789"/>
    <cellStyle name="Output 3 2 2 9 7" xfId="51986"/>
    <cellStyle name="Output 3 2 20" xfId="1639"/>
    <cellStyle name="Output 3 2 20 2" xfId="9462"/>
    <cellStyle name="Output 3 2 20 3" xfId="16890"/>
    <cellStyle name="Output 3 2 20 4" xfId="26160"/>
    <cellStyle name="Output 3 2 20 5" xfId="34829"/>
    <cellStyle name="Output 3 2 20 6" xfId="42092"/>
    <cellStyle name="Output 3 2 20 7" xfId="53337"/>
    <cellStyle name="Output 3 2 21" xfId="1556"/>
    <cellStyle name="Output 3 2 21 2" xfId="9379"/>
    <cellStyle name="Output 3 2 21 3" xfId="16807"/>
    <cellStyle name="Output 3 2 21 4" xfId="19869"/>
    <cellStyle name="Output 3 2 21 5" xfId="28483"/>
    <cellStyle name="Output 3 2 21 6" xfId="37688"/>
    <cellStyle name="Output 3 2 21 7" xfId="48515"/>
    <cellStyle name="Output 3 2 22" xfId="2417"/>
    <cellStyle name="Output 3 2 22 2" xfId="10240"/>
    <cellStyle name="Output 3 2 22 3" xfId="17668"/>
    <cellStyle name="Output 3 2 22 4" xfId="25713"/>
    <cellStyle name="Output 3 2 22 5" xfId="34255"/>
    <cellStyle name="Output 3 2 22 6" xfId="38098"/>
    <cellStyle name="Output 3 2 22 7" xfId="52344"/>
    <cellStyle name="Output 3 2 23" xfId="1314"/>
    <cellStyle name="Output 3 2 23 2" xfId="9137"/>
    <cellStyle name="Output 3 2 23 3" xfId="16565"/>
    <cellStyle name="Output 3 2 23 4" xfId="25928"/>
    <cellStyle name="Output 3 2 23 5" xfId="34531"/>
    <cellStyle name="Output 3 2 23 6" xfId="37253"/>
    <cellStyle name="Output 3 2 23 7" xfId="52843"/>
    <cellStyle name="Output 3 2 24" xfId="2394"/>
    <cellStyle name="Output 3 2 24 2" xfId="10217"/>
    <cellStyle name="Output 3 2 24 3" xfId="17645"/>
    <cellStyle name="Output 3 2 24 4" xfId="20032"/>
    <cellStyle name="Output 3 2 24 5" xfId="27111"/>
    <cellStyle name="Output 3 2 24 6" xfId="40439"/>
    <cellStyle name="Output 3 2 24 7" xfId="48430"/>
    <cellStyle name="Output 3 2 25" xfId="1675"/>
    <cellStyle name="Output 3 2 25 2" xfId="9498"/>
    <cellStyle name="Output 3 2 25 3" xfId="16926"/>
    <cellStyle name="Output 3 2 25 4" xfId="19921"/>
    <cellStyle name="Output 3 2 25 5" xfId="28221"/>
    <cellStyle name="Output 3 2 25 6" xfId="38297"/>
    <cellStyle name="Output 3 2 25 7" xfId="49421"/>
    <cellStyle name="Output 3 2 26" xfId="3111"/>
    <cellStyle name="Output 3 2 26 2" xfId="10916"/>
    <cellStyle name="Output 3 2 26 3" xfId="18297"/>
    <cellStyle name="Output 3 2 26 4" xfId="19678"/>
    <cellStyle name="Output 3 2 26 5" xfId="27930"/>
    <cellStyle name="Output 3 2 26 6" xfId="40261"/>
    <cellStyle name="Output 3 2 26 7" xfId="49367"/>
    <cellStyle name="Output 3 2 27" xfId="3154"/>
    <cellStyle name="Output 3 2 27 2" xfId="10956"/>
    <cellStyle name="Output 3 2 27 3" xfId="18326"/>
    <cellStyle name="Output 3 2 27 4" xfId="26570"/>
    <cellStyle name="Output 3 2 27 5" xfId="35385"/>
    <cellStyle name="Output 3 2 27 6" xfId="36514"/>
    <cellStyle name="Output 3 2 27 7" xfId="54216"/>
    <cellStyle name="Output 3 2 28" xfId="3159"/>
    <cellStyle name="Output 3 2 28 2" xfId="10961"/>
    <cellStyle name="Output 3 2 28 3" xfId="18331"/>
    <cellStyle name="Output 3 2 28 4" xfId="26221"/>
    <cellStyle name="Output 3 2 28 5" xfId="34906"/>
    <cellStyle name="Output 3 2 28 6" xfId="39008"/>
    <cellStyle name="Output 3 2 28 7" xfId="53467"/>
    <cellStyle name="Output 3 2 29" xfId="3200"/>
    <cellStyle name="Output 3 2 29 2" xfId="11000"/>
    <cellStyle name="Output 3 2 29 3" xfId="18348"/>
    <cellStyle name="Output 3 2 29 4" xfId="19909"/>
    <cellStyle name="Output 3 2 29 5" xfId="28002"/>
    <cellStyle name="Output 3 2 29 6" xfId="36673"/>
    <cellStyle name="Output 3 2 29 7" xfId="47774"/>
    <cellStyle name="Output 3 2 3" xfId="505"/>
    <cellStyle name="Output 3 2 3 10" xfId="1952"/>
    <cellStyle name="Output 3 2 3 10 2" xfId="9775"/>
    <cellStyle name="Output 3 2 3 10 3" xfId="17203"/>
    <cellStyle name="Output 3 2 3 10 4" xfId="25291"/>
    <cellStyle name="Output 3 2 3 10 5" xfId="33704"/>
    <cellStyle name="Output 3 2 3 10 6" xfId="39414"/>
    <cellStyle name="Output 3 2 3 10 7" xfId="51406"/>
    <cellStyle name="Output 3 2 3 11" xfId="2070"/>
    <cellStyle name="Output 3 2 3 11 2" xfId="9893"/>
    <cellStyle name="Output 3 2 3 11 3" xfId="17321"/>
    <cellStyle name="Output 3 2 3 11 4" xfId="25516"/>
    <cellStyle name="Output 3 2 3 11 5" xfId="33994"/>
    <cellStyle name="Output 3 2 3 11 6" xfId="39567"/>
    <cellStyle name="Output 3 2 3 11 7" xfId="51903"/>
    <cellStyle name="Output 3 2 3 12" xfId="2183"/>
    <cellStyle name="Output 3 2 3 12 2" xfId="10006"/>
    <cellStyle name="Output 3 2 3 12 3" xfId="17434"/>
    <cellStyle name="Output 3 2 3 12 4" xfId="19854"/>
    <cellStyle name="Output 3 2 3 12 5" xfId="27835"/>
    <cellStyle name="Output 3 2 3 12 6" xfId="38910"/>
    <cellStyle name="Output 3 2 3 12 7" xfId="48581"/>
    <cellStyle name="Output 3 2 3 13" xfId="1274"/>
    <cellStyle name="Output 3 2 3 13 2" xfId="9097"/>
    <cellStyle name="Output 3 2 3 13 3" xfId="16525"/>
    <cellStyle name="Output 3 2 3 13 4" xfId="19749"/>
    <cellStyle name="Output 3 2 3 13 5" xfId="28457"/>
    <cellStyle name="Output 3 2 3 13 6" xfId="36768"/>
    <cellStyle name="Output 3 2 3 13 7" xfId="47192"/>
    <cellStyle name="Output 3 2 3 14" xfId="1570"/>
    <cellStyle name="Output 3 2 3 14 2" xfId="9393"/>
    <cellStyle name="Output 3 2 3 14 3" xfId="16821"/>
    <cellStyle name="Output 3 2 3 14 4" xfId="26111"/>
    <cellStyle name="Output 3 2 3 14 5" xfId="34767"/>
    <cellStyle name="Output 3 2 3 14 6" xfId="41590"/>
    <cellStyle name="Output 3 2 3 14 7" xfId="53230"/>
    <cellStyle name="Output 3 2 3 15" xfId="2481"/>
    <cellStyle name="Output 3 2 3 15 2" xfId="10304"/>
    <cellStyle name="Output 3 2 3 15 3" xfId="17732"/>
    <cellStyle name="Output 3 2 3 15 4" xfId="25993"/>
    <cellStyle name="Output 3 2 3 15 5" xfId="34615"/>
    <cellStyle name="Output 3 2 3 15 6" xfId="36473"/>
    <cellStyle name="Output 3 2 3 15 7" xfId="52980"/>
    <cellStyle name="Output 3 2 3 16" xfId="2594"/>
    <cellStyle name="Output 3 2 3 16 2" xfId="10417"/>
    <cellStyle name="Output 3 2 3 16 3" xfId="17845"/>
    <cellStyle name="Output 3 2 3 16 4" xfId="19630"/>
    <cellStyle name="Output 3 2 3 16 5" xfId="27906"/>
    <cellStyle name="Output 3 2 3 16 6" xfId="39547"/>
    <cellStyle name="Output 3 2 3 16 7" xfId="50282"/>
    <cellStyle name="Output 3 2 3 17" xfId="2645"/>
    <cellStyle name="Output 3 2 3 17 2" xfId="10468"/>
    <cellStyle name="Output 3 2 3 17 3" xfId="17896"/>
    <cellStyle name="Output 3 2 3 17 4" xfId="25308"/>
    <cellStyle name="Output 3 2 3 17 5" xfId="33724"/>
    <cellStyle name="Output 3 2 3 17 6" xfId="38076"/>
    <cellStyle name="Output 3 2 3 17 7" xfId="51442"/>
    <cellStyle name="Output 3 2 3 18" xfId="2451"/>
    <cellStyle name="Output 3 2 3 18 2" xfId="10274"/>
    <cellStyle name="Output 3 2 3 18 3" xfId="17702"/>
    <cellStyle name="Output 3 2 3 18 4" xfId="19820"/>
    <cellStyle name="Output 3 2 3 18 5" xfId="27322"/>
    <cellStyle name="Output 3 2 3 18 6" xfId="41612"/>
    <cellStyle name="Output 3 2 3 18 7" xfId="48667"/>
    <cellStyle name="Output 3 2 3 19" xfId="2788"/>
    <cellStyle name="Output 3 2 3 19 2" xfId="10611"/>
    <cellStyle name="Output 3 2 3 19 3" xfId="18039"/>
    <cellStyle name="Output 3 2 3 19 4" xfId="25836"/>
    <cellStyle name="Output 3 2 3 19 5" xfId="34421"/>
    <cellStyle name="Output 3 2 3 19 6" xfId="38261"/>
    <cellStyle name="Output 3 2 3 19 7" xfId="52646"/>
    <cellStyle name="Output 3 2 3 2" xfId="656"/>
    <cellStyle name="Output 3 2 3 2 2" xfId="8480"/>
    <cellStyle name="Output 3 2 3 2 3" xfId="8280"/>
    <cellStyle name="Output 3 2 3 2 4" xfId="19561"/>
    <cellStyle name="Output 3 2 3 2 5" xfId="27236"/>
    <cellStyle name="Output 3 2 3 2 6" xfId="37180"/>
    <cellStyle name="Output 3 2 3 2 7" xfId="47604"/>
    <cellStyle name="Output 3 2 3 20" xfId="2895"/>
    <cellStyle name="Output 3 2 3 20 2" xfId="10718"/>
    <cellStyle name="Output 3 2 3 20 3" xfId="18146"/>
    <cellStyle name="Output 3 2 3 20 4" xfId="19084"/>
    <cellStyle name="Output 3 2 3 20 5" xfId="26760"/>
    <cellStyle name="Output 3 2 3 20 6" xfId="38051"/>
    <cellStyle name="Output 3 2 3 20 7" xfId="49113"/>
    <cellStyle name="Output 3 2 3 21" xfId="3271"/>
    <cellStyle name="Output 3 2 3 21 2" xfId="11064"/>
    <cellStyle name="Output 3 2 3 21 3" xfId="18393"/>
    <cellStyle name="Output 3 2 3 21 4" xfId="19092"/>
    <cellStyle name="Output 3 2 3 21 5" xfId="26769"/>
    <cellStyle name="Output 3 2 3 21 6" xfId="37042"/>
    <cellStyle name="Output 3 2 3 21 7" xfId="47309"/>
    <cellStyle name="Output 3 2 3 22" xfId="3391"/>
    <cellStyle name="Output 3 2 3 22 2" xfId="11182"/>
    <cellStyle name="Output 3 2 3 22 3" xfId="18504"/>
    <cellStyle name="Output 3 2 3 22 4" xfId="25072"/>
    <cellStyle name="Output 3 2 3 22 5" xfId="33432"/>
    <cellStyle name="Output 3 2 3 22 6" xfId="38032"/>
    <cellStyle name="Output 3 2 3 22 7" xfId="50953"/>
    <cellStyle name="Output 3 2 3 23" xfId="2993"/>
    <cellStyle name="Output 3 2 3 23 2" xfId="10814"/>
    <cellStyle name="Output 3 2 3 23 3" xfId="18239"/>
    <cellStyle name="Output 3 2 3 23 4" xfId="26549"/>
    <cellStyle name="Output 3 2 3 23 5" xfId="35357"/>
    <cellStyle name="Output 3 2 3 23 6" xfId="41266"/>
    <cellStyle name="Output 3 2 3 23 7" xfId="54174"/>
    <cellStyle name="Output 3 2 3 24" xfId="3661"/>
    <cellStyle name="Output 3 2 3 24 2" xfId="11446"/>
    <cellStyle name="Output 3 2 3 24 3" xfId="18719"/>
    <cellStyle name="Output 3 2 3 24 4" xfId="26117"/>
    <cellStyle name="Output 3 2 3 24 5" xfId="34776"/>
    <cellStyle name="Output 3 2 3 24 6" xfId="40286"/>
    <cellStyle name="Output 3 2 3 24 7" xfId="53246"/>
    <cellStyle name="Output 3 2 3 25" xfId="3792"/>
    <cellStyle name="Output 3 2 3 25 2" xfId="11574"/>
    <cellStyle name="Output 3 2 3 25 3" xfId="18831"/>
    <cellStyle name="Output 3 2 3 25 4" xfId="19254"/>
    <cellStyle name="Output 3 2 3 25 5" xfId="28618"/>
    <cellStyle name="Output 3 2 3 25 6" xfId="40299"/>
    <cellStyle name="Output 3 2 3 25 7" xfId="48882"/>
    <cellStyle name="Output 3 2 3 26" xfId="3909"/>
    <cellStyle name="Output 3 2 3 26 2" xfId="11689"/>
    <cellStyle name="Output 3 2 3 26 3" xfId="18940"/>
    <cellStyle name="Output 3 2 3 26 4" xfId="24870"/>
    <cellStyle name="Output 3 2 3 26 5" xfId="33183"/>
    <cellStyle name="Output 3 2 3 26 6" xfId="38368"/>
    <cellStyle name="Output 3 2 3 26 7" xfId="50495"/>
    <cellStyle name="Output 3 2 3 27" xfId="3994"/>
    <cellStyle name="Output 3 2 3 27 2" xfId="11773"/>
    <cellStyle name="Output 3 2 3 27 3" xfId="20705"/>
    <cellStyle name="Output 3 2 3 27 4" xfId="28891"/>
    <cellStyle name="Output 3 2 3 27 5" xfId="38276"/>
    <cellStyle name="Output 3 2 3 27 6" xfId="42559"/>
    <cellStyle name="Output 3 2 3 27 7" xfId="50530"/>
    <cellStyle name="Output 3 2 3 28" xfId="4106"/>
    <cellStyle name="Output 3 2 3 28 2" xfId="11866"/>
    <cellStyle name="Output 3 2 3 28 3" xfId="20816"/>
    <cellStyle name="Output 3 2 3 28 4" xfId="29003"/>
    <cellStyle name="Output 3 2 3 28 5" xfId="38381"/>
    <cellStyle name="Output 3 2 3 28 6" xfId="42668"/>
    <cellStyle name="Output 3 2 3 28 7" xfId="53894"/>
    <cellStyle name="Output 3 2 3 29" xfId="4013"/>
    <cellStyle name="Output 3 2 3 29 2" xfId="20723"/>
    <cellStyle name="Output 3 2 3 29 3" xfId="28910"/>
    <cellStyle name="Output 3 2 3 29 4" xfId="38293"/>
    <cellStyle name="Output 3 2 3 29 5" xfId="42575"/>
    <cellStyle name="Output 3 2 3 29 6" xfId="47303"/>
    <cellStyle name="Output 3 2 3 3" xfId="763"/>
    <cellStyle name="Output 3 2 3 3 2" xfId="8587"/>
    <cellStyle name="Output 3 2 3 3 3" xfId="16015"/>
    <cellStyle name="Output 3 2 3 3 4" xfId="26180"/>
    <cellStyle name="Output 3 2 3 3 5" xfId="34853"/>
    <cellStyle name="Output 3 2 3 3 6" xfId="37172"/>
    <cellStyle name="Output 3 2 3 3 7" xfId="53380"/>
    <cellStyle name="Output 3 2 3 30" xfId="4303"/>
    <cellStyle name="Output 3 2 3 30 2" xfId="12020"/>
    <cellStyle name="Output 3 2 3 30 3" xfId="21013"/>
    <cellStyle name="Output 3 2 3 30 4" xfId="29200"/>
    <cellStyle name="Output 3 2 3 30 5" xfId="38572"/>
    <cellStyle name="Output 3 2 3 30 6" xfId="42865"/>
    <cellStyle name="Output 3 2 3 30 7" xfId="48764"/>
    <cellStyle name="Output 3 2 3 31" xfId="4426"/>
    <cellStyle name="Output 3 2 3 31 2" xfId="12143"/>
    <cellStyle name="Output 3 2 3 31 3" xfId="21136"/>
    <cellStyle name="Output 3 2 3 31 4" xfId="29323"/>
    <cellStyle name="Output 3 2 3 31 5" xfId="38690"/>
    <cellStyle name="Output 3 2 3 31 6" xfId="42988"/>
    <cellStyle name="Output 3 2 3 31 7" xfId="52823"/>
    <cellStyle name="Output 3 2 3 32" xfId="4540"/>
    <cellStyle name="Output 3 2 3 32 2" xfId="12257"/>
    <cellStyle name="Output 3 2 3 32 3" xfId="21250"/>
    <cellStyle name="Output 3 2 3 32 4" xfId="29437"/>
    <cellStyle name="Output 3 2 3 32 5" xfId="38799"/>
    <cellStyle name="Output 3 2 3 32 6" xfId="43102"/>
    <cellStyle name="Output 3 2 3 32 7" xfId="47340"/>
    <cellStyle name="Output 3 2 3 33" xfId="4653"/>
    <cellStyle name="Output 3 2 3 33 2" xfId="12370"/>
    <cellStyle name="Output 3 2 3 33 3" xfId="21363"/>
    <cellStyle name="Output 3 2 3 33 4" xfId="29550"/>
    <cellStyle name="Output 3 2 3 33 5" xfId="38907"/>
    <cellStyle name="Output 3 2 3 33 6" xfId="43215"/>
    <cellStyle name="Output 3 2 3 33 7" xfId="51945"/>
    <cellStyle name="Output 3 2 3 34" xfId="4765"/>
    <cellStyle name="Output 3 2 3 34 2" xfId="12482"/>
    <cellStyle name="Output 3 2 3 34 3" xfId="21475"/>
    <cellStyle name="Output 3 2 3 34 4" xfId="29662"/>
    <cellStyle name="Output 3 2 3 34 5" xfId="39016"/>
    <cellStyle name="Output 3 2 3 34 6" xfId="43327"/>
    <cellStyle name="Output 3 2 3 34 7" xfId="50087"/>
    <cellStyle name="Output 3 2 3 35" xfId="4873"/>
    <cellStyle name="Output 3 2 3 35 2" xfId="12590"/>
    <cellStyle name="Output 3 2 3 35 3" xfId="21583"/>
    <cellStyle name="Output 3 2 3 35 4" xfId="29770"/>
    <cellStyle name="Output 3 2 3 35 5" xfId="39119"/>
    <cellStyle name="Output 3 2 3 35 6" xfId="43435"/>
    <cellStyle name="Output 3 2 3 35 7" xfId="51875"/>
    <cellStyle name="Output 3 2 3 36" xfId="4985"/>
    <cellStyle name="Output 3 2 3 36 2" xfId="12702"/>
    <cellStyle name="Output 3 2 3 36 3" xfId="21695"/>
    <cellStyle name="Output 3 2 3 36 4" xfId="29882"/>
    <cellStyle name="Output 3 2 3 36 5" xfId="39228"/>
    <cellStyle name="Output 3 2 3 36 6" xfId="43547"/>
    <cellStyle name="Output 3 2 3 36 7" xfId="49290"/>
    <cellStyle name="Output 3 2 3 37" xfId="5126"/>
    <cellStyle name="Output 3 2 3 37 2" xfId="12843"/>
    <cellStyle name="Output 3 2 3 37 3" xfId="21836"/>
    <cellStyle name="Output 3 2 3 37 4" xfId="30023"/>
    <cellStyle name="Output 3 2 3 37 5" xfId="39364"/>
    <cellStyle name="Output 3 2 3 37 6" xfId="43688"/>
    <cellStyle name="Output 3 2 3 37 7" xfId="52232"/>
    <cellStyle name="Output 3 2 3 38" xfId="5483"/>
    <cellStyle name="Output 3 2 3 38 2" xfId="13200"/>
    <cellStyle name="Output 3 2 3 38 3" xfId="22193"/>
    <cellStyle name="Output 3 2 3 38 4" xfId="30380"/>
    <cellStyle name="Output 3 2 3 38 5" xfId="39706"/>
    <cellStyle name="Output 3 2 3 38 6" xfId="44045"/>
    <cellStyle name="Output 3 2 3 38 7" xfId="50396"/>
    <cellStyle name="Output 3 2 3 39" xfId="5608"/>
    <cellStyle name="Output 3 2 3 39 2" xfId="13325"/>
    <cellStyle name="Output 3 2 3 39 3" xfId="22318"/>
    <cellStyle name="Output 3 2 3 39 4" xfId="30505"/>
    <cellStyle name="Output 3 2 3 39 5" xfId="39826"/>
    <cellStyle name="Output 3 2 3 39 6" xfId="44170"/>
    <cellStyle name="Output 3 2 3 39 7" xfId="47134"/>
    <cellStyle name="Output 3 2 3 4" xfId="875"/>
    <cellStyle name="Output 3 2 3 4 2" xfId="8699"/>
    <cellStyle name="Output 3 2 3 4 3" xfId="16127"/>
    <cellStyle name="Output 3 2 3 4 4" xfId="25808"/>
    <cellStyle name="Output 3 2 3 4 5" xfId="34387"/>
    <cellStyle name="Output 3 2 3 4 6" xfId="37155"/>
    <cellStyle name="Output 3 2 3 4 7" xfId="52583"/>
    <cellStyle name="Output 3 2 3 40" xfId="5723"/>
    <cellStyle name="Output 3 2 3 40 2" xfId="13440"/>
    <cellStyle name="Output 3 2 3 40 3" xfId="22433"/>
    <cellStyle name="Output 3 2 3 40 4" xfId="30620"/>
    <cellStyle name="Output 3 2 3 40 5" xfId="39937"/>
    <cellStyle name="Output 3 2 3 40 6" xfId="44285"/>
    <cellStyle name="Output 3 2 3 40 7" xfId="48014"/>
    <cellStyle name="Output 3 2 3 41" xfId="5840"/>
    <cellStyle name="Output 3 2 3 41 2" xfId="13557"/>
    <cellStyle name="Output 3 2 3 41 3" xfId="22550"/>
    <cellStyle name="Output 3 2 3 41 4" xfId="30737"/>
    <cellStyle name="Output 3 2 3 41 5" xfId="40051"/>
    <cellStyle name="Output 3 2 3 41 6" xfId="44402"/>
    <cellStyle name="Output 3 2 3 41 7" xfId="48308"/>
    <cellStyle name="Output 3 2 3 42" xfId="5968"/>
    <cellStyle name="Output 3 2 3 42 2" xfId="13685"/>
    <cellStyle name="Output 3 2 3 42 3" xfId="22678"/>
    <cellStyle name="Output 3 2 3 42 4" xfId="30865"/>
    <cellStyle name="Output 3 2 3 42 5" xfId="40175"/>
    <cellStyle name="Output 3 2 3 42 6" xfId="44530"/>
    <cellStyle name="Output 3 2 3 42 7" xfId="50545"/>
    <cellStyle name="Output 3 2 3 43" xfId="5811"/>
    <cellStyle name="Output 3 2 3 43 2" xfId="13528"/>
    <cellStyle name="Output 3 2 3 43 3" xfId="22521"/>
    <cellStyle name="Output 3 2 3 43 4" xfId="30708"/>
    <cellStyle name="Output 3 2 3 43 5" xfId="40023"/>
    <cellStyle name="Output 3 2 3 43 6" xfId="44373"/>
    <cellStyle name="Output 3 2 3 43 7" xfId="52245"/>
    <cellStyle name="Output 3 2 3 44" xfId="6224"/>
    <cellStyle name="Output 3 2 3 44 2" xfId="13941"/>
    <cellStyle name="Output 3 2 3 44 3" xfId="22934"/>
    <cellStyle name="Output 3 2 3 44 4" xfId="31121"/>
    <cellStyle name="Output 3 2 3 44 5" xfId="40422"/>
    <cellStyle name="Output 3 2 3 44 6" xfId="44786"/>
    <cellStyle name="Output 3 2 3 44 7" xfId="53033"/>
    <cellStyle name="Output 3 2 3 45" xfId="6341"/>
    <cellStyle name="Output 3 2 3 45 2" xfId="14058"/>
    <cellStyle name="Output 3 2 3 45 3" xfId="23051"/>
    <cellStyle name="Output 3 2 3 45 4" xfId="31238"/>
    <cellStyle name="Output 3 2 3 45 5" xfId="40536"/>
    <cellStyle name="Output 3 2 3 45 6" xfId="44903"/>
    <cellStyle name="Output 3 2 3 45 7" xfId="47462"/>
    <cellStyle name="Output 3 2 3 46" xfId="6451"/>
    <cellStyle name="Output 3 2 3 46 2" xfId="14168"/>
    <cellStyle name="Output 3 2 3 46 3" xfId="23161"/>
    <cellStyle name="Output 3 2 3 46 4" xfId="31348"/>
    <cellStyle name="Output 3 2 3 46 5" xfId="40642"/>
    <cellStyle name="Output 3 2 3 46 6" xfId="45013"/>
    <cellStyle name="Output 3 2 3 46 7" xfId="50851"/>
    <cellStyle name="Output 3 2 3 47" xfId="5283"/>
    <cellStyle name="Output 3 2 3 47 2" xfId="13000"/>
    <cellStyle name="Output 3 2 3 47 3" xfId="21993"/>
    <cellStyle name="Output 3 2 3 47 4" xfId="30180"/>
    <cellStyle name="Output 3 2 3 47 5" xfId="39514"/>
    <cellStyle name="Output 3 2 3 47 6" xfId="43845"/>
    <cellStyle name="Output 3 2 3 47 7" xfId="51757"/>
    <cellStyle name="Output 3 2 3 48" xfId="6598"/>
    <cellStyle name="Output 3 2 3 48 2" xfId="14315"/>
    <cellStyle name="Output 3 2 3 48 3" xfId="23308"/>
    <cellStyle name="Output 3 2 3 48 4" xfId="31495"/>
    <cellStyle name="Output 3 2 3 48 5" xfId="40782"/>
    <cellStyle name="Output 3 2 3 48 6" xfId="45160"/>
    <cellStyle name="Output 3 2 3 48 7" xfId="51113"/>
    <cellStyle name="Output 3 2 3 49" xfId="6709"/>
    <cellStyle name="Output 3 2 3 49 2" xfId="14426"/>
    <cellStyle name="Output 3 2 3 49 3" xfId="23419"/>
    <cellStyle name="Output 3 2 3 49 4" xfId="31606"/>
    <cellStyle name="Output 3 2 3 49 5" xfId="40888"/>
    <cellStyle name="Output 3 2 3 49 6" xfId="45271"/>
    <cellStyle name="Output 3 2 3 49 7" xfId="54386"/>
    <cellStyle name="Output 3 2 3 5" xfId="1340"/>
    <cellStyle name="Output 3 2 3 5 2" xfId="9163"/>
    <cellStyle name="Output 3 2 3 5 3" xfId="16591"/>
    <cellStyle name="Output 3 2 3 5 4" xfId="19120"/>
    <cellStyle name="Output 3 2 3 5 5" xfId="28894"/>
    <cellStyle name="Output 3 2 3 5 6" xfId="41429"/>
    <cellStyle name="Output 3 2 3 5 7" xfId="49953"/>
    <cellStyle name="Output 3 2 3 50" xfId="6824"/>
    <cellStyle name="Output 3 2 3 50 2" xfId="14541"/>
    <cellStyle name="Output 3 2 3 50 3" xfId="23534"/>
    <cellStyle name="Output 3 2 3 50 4" xfId="31721"/>
    <cellStyle name="Output 3 2 3 50 5" xfId="40996"/>
    <cellStyle name="Output 3 2 3 50 6" xfId="45386"/>
    <cellStyle name="Output 3 2 3 50 7" xfId="49369"/>
    <cellStyle name="Output 3 2 3 51" xfId="6937"/>
    <cellStyle name="Output 3 2 3 51 2" xfId="14654"/>
    <cellStyle name="Output 3 2 3 51 3" xfId="23647"/>
    <cellStyle name="Output 3 2 3 51 4" xfId="31834"/>
    <cellStyle name="Output 3 2 3 51 5" xfId="41104"/>
    <cellStyle name="Output 3 2 3 51 6" xfId="45499"/>
    <cellStyle name="Output 3 2 3 51 7" xfId="46930"/>
    <cellStyle name="Output 3 2 3 52" xfId="7049"/>
    <cellStyle name="Output 3 2 3 52 2" xfId="14766"/>
    <cellStyle name="Output 3 2 3 52 3" xfId="23759"/>
    <cellStyle name="Output 3 2 3 52 4" xfId="31946"/>
    <cellStyle name="Output 3 2 3 52 5" xfId="41210"/>
    <cellStyle name="Output 3 2 3 52 6" xfId="45611"/>
    <cellStyle name="Output 3 2 3 52 7" xfId="54471"/>
    <cellStyle name="Output 3 2 3 53" xfId="7325"/>
    <cellStyle name="Output 3 2 3 53 2" xfId="15042"/>
    <cellStyle name="Output 3 2 3 53 3" xfId="24035"/>
    <cellStyle name="Output 3 2 3 53 4" xfId="32222"/>
    <cellStyle name="Output 3 2 3 53 5" xfId="41478"/>
    <cellStyle name="Output 3 2 3 53 6" xfId="45887"/>
    <cellStyle name="Output 3 2 3 53 7" xfId="53987"/>
    <cellStyle name="Output 3 2 3 54" xfId="7373"/>
    <cellStyle name="Output 3 2 3 54 2" xfId="15090"/>
    <cellStyle name="Output 3 2 3 54 3" xfId="24083"/>
    <cellStyle name="Output 3 2 3 54 4" xfId="32270"/>
    <cellStyle name="Output 3 2 3 54 5" xfId="41526"/>
    <cellStyle name="Output 3 2 3 54 6" xfId="45935"/>
    <cellStyle name="Output 3 2 3 54 7" xfId="48912"/>
    <cellStyle name="Output 3 2 3 55" xfId="7446"/>
    <cellStyle name="Output 3 2 3 55 2" xfId="15163"/>
    <cellStyle name="Output 3 2 3 55 3" xfId="24156"/>
    <cellStyle name="Output 3 2 3 55 4" xfId="32343"/>
    <cellStyle name="Output 3 2 3 55 5" xfId="41593"/>
    <cellStyle name="Output 3 2 3 55 6" xfId="46008"/>
    <cellStyle name="Output 3 2 3 55 7" xfId="47283"/>
    <cellStyle name="Output 3 2 3 56" xfId="7567"/>
    <cellStyle name="Output 3 2 3 56 2" xfId="15284"/>
    <cellStyle name="Output 3 2 3 56 3" xfId="24277"/>
    <cellStyle name="Output 3 2 3 56 4" xfId="32464"/>
    <cellStyle name="Output 3 2 3 56 5" xfId="41708"/>
    <cellStyle name="Output 3 2 3 56 6" xfId="46129"/>
    <cellStyle name="Output 3 2 3 56 7" xfId="50603"/>
    <cellStyle name="Output 3 2 3 57" xfId="7843"/>
    <cellStyle name="Output 3 2 3 57 2" xfId="15560"/>
    <cellStyle name="Output 3 2 3 57 3" xfId="24547"/>
    <cellStyle name="Output 3 2 3 57 4" xfId="32740"/>
    <cellStyle name="Output 3 2 3 57 5" xfId="41973"/>
    <cellStyle name="Output 3 2 3 57 6" xfId="46405"/>
    <cellStyle name="Output 3 2 3 57 7" xfId="51917"/>
    <cellStyle name="Output 3 2 3 58" xfId="7755"/>
    <cellStyle name="Output 3 2 3 58 2" xfId="15472"/>
    <cellStyle name="Output 3 2 3 58 3" xfId="24463"/>
    <cellStyle name="Output 3 2 3 58 4" xfId="32652"/>
    <cellStyle name="Output 3 2 3 58 5" xfId="41888"/>
    <cellStyle name="Output 3 2 3 58 6" xfId="46317"/>
    <cellStyle name="Output 3 2 3 58 7" xfId="52761"/>
    <cellStyle name="Output 3 2 3 59" xfId="7807"/>
    <cellStyle name="Output 3 2 3 59 2" xfId="15524"/>
    <cellStyle name="Output 3 2 3 59 3" xfId="24511"/>
    <cellStyle name="Output 3 2 3 59 4" xfId="32704"/>
    <cellStyle name="Output 3 2 3 59 5" xfId="41939"/>
    <cellStyle name="Output 3 2 3 59 6" xfId="46369"/>
    <cellStyle name="Output 3 2 3 59 7" xfId="47336"/>
    <cellStyle name="Output 3 2 3 6" xfId="1463"/>
    <cellStyle name="Output 3 2 3 6 2" xfId="9286"/>
    <cellStyle name="Output 3 2 3 6 3" xfId="16714"/>
    <cellStyle name="Output 3 2 3 6 4" xfId="20655"/>
    <cellStyle name="Output 3 2 3 6 5" xfId="28813"/>
    <cellStyle name="Output 3 2 3 6 6" xfId="37853"/>
    <cellStyle name="Output 3 2 3 6 7" xfId="49464"/>
    <cellStyle name="Output 3 2 3 60" xfId="8119"/>
    <cellStyle name="Output 3 2 3 60 2" xfId="15836"/>
    <cellStyle name="Output 3 2 3 60 3" xfId="33016"/>
    <cellStyle name="Output 3 2 3 60 4" xfId="42237"/>
    <cellStyle name="Output 3 2 3 60 5" xfId="46681"/>
    <cellStyle name="Output 3 2 3 60 6" xfId="52207"/>
    <cellStyle name="Output 3 2 3 61" xfId="25329"/>
    <cellStyle name="Output 3 2 3 62" xfId="33759"/>
    <cellStyle name="Output 3 2 3 63" xfId="38105"/>
    <cellStyle name="Output 3 2 3 64" xfId="51493"/>
    <cellStyle name="Output 3 2 3 7" xfId="958"/>
    <cellStyle name="Output 3 2 3 7 2" xfId="8782"/>
    <cellStyle name="Output 3 2 3 7 3" xfId="16210"/>
    <cellStyle name="Output 3 2 3 7 4" xfId="25731"/>
    <cellStyle name="Output 3 2 3 7 5" xfId="34279"/>
    <cellStyle name="Output 3 2 3 7 6" xfId="36378"/>
    <cellStyle name="Output 3 2 3 7 7" xfId="52391"/>
    <cellStyle name="Output 3 2 3 8" xfId="1700"/>
    <cellStyle name="Output 3 2 3 8 2" xfId="9523"/>
    <cellStyle name="Output 3 2 3 8 3" xfId="16951"/>
    <cellStyle name="Output 3 2 3 8 4" xfId="24801"/>
    <cellStyle name="Output 3 2 3 8 5" xfId="27877"/>
    <cellStyle name="Output 3 2 3 8 6" xfId="36744"/>
    <cellStyle name="Output 3 2 3 8 7" xfId="48199"/>
    <cellStyle name="Output 3 2 3 9" xfId="1834"/>
    <cellStyle name="Output 3 2 3 9 2" xfId="9657"/>
    <cellStyle name="Output 3 2 3 9 3" xfId="17085"/>
    <cellStyle name="Output 3 2 3 9 4" xfId="19966"/>
    <cellStyle name="Output 3 2 3 9 5" xfId="28782"/>
    <cellStyle name="Output 3 2 3 9 6" xfId="37626"/>
    <cellStyle name="Output 3 2 3 9 7" xfId="48240"/>
    <cellStyle name="Output 3 2 30" xfId="3746"/>
    <cellStyle name="Output 3 2 30 2" xfId="11531"/>
    <cellStyle name="Output 3 2 30 3" xfId="18801"/>
    <cellStyle name="Output 3 2 30 4" xfId="26321"/>
    <cellStyle name="Output 3 2 30 5" xfId="35044"/>
    <cellStyle name="Output 3 2 30 6" xfId="40275"/>
    <cellStyle name="Output 3 2 30 7" xfId="53685"/>
    <cellStyle name="Output 3 2 31" xfId="3122"/>
    <cellStyle name="Output 3 2 31 2" xfId="10927"/>
    <cellStyle name="Output 3 2 31 3" xfId="18305"/>
    <cellStyle name="Output 3 2 31 4" xfId="20004"/>
    <cellStyle name="Output 3 2 31 5" xfId="27558"/>
    <cellStyle name="Output 3 2 31 6" xfId="41440"/>
    <cellStyle name="Output 3 2 31 7" xfId="48460"/>
    <cellStyle name="Output 3 2 32" xfId="3072"/>
    <cellStyle name="Output 3 2 32 2" xfId="10880"/>
    <cellStyle name="Output 3 2 32 3" xfId="20234"/>
    <cellStyle name="Output 3 2 32 4" xfId="28325"/>
    <cellStyle name="Output 3 2 32 5" xfId="37706"/>
    <cellStyle name="Output 3 2 32 6" xfId="42385"/>
    <cellStyle name="Output 3 2 32 7" xfId="53358"/>
    <cellStyle name="Output 3 2 33" xfId="3194"/>
    <cellStyle name="Output 3 2 33 2" xfId="10994"/>
    <cellStyle name="Output 3 2 33 3" xfId="20321"/>
    <cellStyle name="Output 3 2 33 4" xfId="28414"/>
    <cellStyle name="Output 3 2 33 5" xfId="37800"/>
    <cellStyle name="Output 3 2 33 6" xfId="42435"/>
    <cellStyle name="Output 3 2 33 7" xfId="50025"/>
    <cellStyle name="Output 3 2 34" xfId="4067"/>
    <cellStyle name="Output 3 2 34 2" xfId="20777"/>
    <cellStyle name="Output 3 2 34 3" xfId="28964"/>
    <cellStyle name="Output 3 2 34 4" xfId="38343"/>
    <cellStyle name="Output 3 2 34 5" xfId="42629"/>
    <cellStyle name="Output 3 2 34 6" xfId="50556"/>
    <cellStyle name="Output 3 2 35" xfId="4068"/>
    <cellStyle name="Output 3 2 35 2" xfId="11833"/>
    <cellStyle name="Output 3 2 35 3" xfId="20778"/>
    <cellStyle name="Output 3 2 35 4" xfId="28965"/>
    <cellStyle name="Output 3 2 35 5" xfId="38344"/>
    <cellStyle name="Output 3 2 35 6" xfId="42630"/>
    <cellStyle name="Output 3 2 35 7" xfId="50444"/>
    <cellStyle name="Output 3 2 36" xfId="3058"/>
    <cellStyle name="Output 3 2 36 2" xfId="10868"/>
    <cellStyle name="Output 3 2 36 3" xfId="20224"/>
    <cellStyle name="Output 3 2 36 4" xfId="28316"/>
    <cellStyle name="Output 3 2 36 5" xfId="37696"/>
    <cellStyle name="Output 3 2 36 6" xfId="42381"/>
    <cellStyle name="Output 3 2 36 7" xfId="48538"/>
    <cellStyle name="Output 3 2 37" xfId="3361"/>
    <cellStyle name="Output 3 2 37 2" xfId="11153"/>
    <cellStyle name="Output 3 2 37 3" xfId="20410"/>
    <cellStyle name="Output 3 2 37 4" xfId="28517"/>
    <cellStyle name="Output 3 2 37 5" xfId="37903"/>
    <cellStyle name="Output 3 2 37 6" xfId="42467"/>
    <cellStyle name="Output 3 2 37 7" xfId="48144"/>
    <cellStyle name="Output 3 2 38" xfId="4617"/>
    <cellStyle name="Output 3 2 38 2" xfId="12334"/>
    <cellStyle name="Output 3 2 38 3" xfId="21327"/>
    <cellStyle name="Output 3 2 38 4" xfId="29514"/>
    <cellStyle name="Output 3 2 38 5" xfId="38873"/>
    <cellStyle name="Output 3 2 38 6" xfId="43179"/>
    <cellStyle name="Output 3 2 38 7" xfId="52564"/>
    <cellStyle name="Output 3 2 39" xfId="4041"/>
    <cellStyle name="Output 3 2 39 2" xfId="11812"/>
    <cellStyle name="Output 3 2 39 3" xfId="20751"/>
    <cellStyle name="Output 3 2 39 4" xfId="28938"/>
    <cellStyle name="Output 3 2 39 5" xfId="38317"/>
    <cellStyle name="Output 3 2 39 6" xfId="42603"/>
    <cellStyle name="Output 3 2 39 7" xfId="53087"/>
    <cellStyle name="Output 3 2 4" xfId="554"/>
    <cellStyle name="Output 3 2 4 10" xfId="2001"/>
    <cellStyle name="Output 3 2 4 10 2" xfId="9824"/>
    <cellStyle name="Output 3 2 4 10 3" xfId="17252"/>
    <cellStyle name="Output 3 2 4 10 4" xfId="25912"/>
    <cellStyle name="Output 3 2 4 10 5" xfId="34512"/>
    <cellStyle name="Output 3 2 4 10 6" xfId="39427"/>
    <cellStyle name="Output 3 2 4 10 7" xfId="52807"/>
    <cellStyle name="Output 3 2 4 11" xfId="2119"/>
    <cellStyle name="Output 3 2 4 11 2" xfId="9942"/>
    <cellStyle name="Output 3 2 4 11 3" xfId="17370"/>
    <cellStyle name="Output 3 2 4 11 4" xfId="19963"/>
    <cellStyle name="Output 3 2 4 11 5" xfId="27988"/>
    <cellStyle name="Output 3 2 4 11 6" xfId="38207"/>
    <cellStyle name="Output 3 2 4 11 7" xfId="48046"/>
    <cellStyle name="Output 3 2 4 12" xfId="2232"/>
    <cellStyle name="Output 3 2 4 12 2" xfId="10055"/>
    <cellStyle name="Output 3 2 4 12 3" xfId="17483"/>
    <cellStyle name="Output 3 2 4 12 4" xfId="20292"/>
    <cellStyle name="Output 3 2 4 12 5" xfId="27497"/>
    <cellStyle name="Output 3 2 4 12 6" xfId="41439"/>
    <cellStyle name="Output 3 2 4 12 7" xfId="49482"/>
    <cellStyle name="Output 3 2 4 13" xfId="1291"/>
    <cellStyle name="Output 3 2 4 13 2" xfId="9114"/>
    <cellStyle name="Output 3 2 4 13 3" xfId="16542"/>
    <cellStyle name="Output 3 2 4 13 4" xfId="20672"/>
    <cellStyle name="Output 3 2 4 13 5" xfId="28526"/>
    <cellStyle name="Output 3 2 4 13 6" xfId="38923"/>
    <cellStyle name="Output 3 2 4 13 7" xfId="47925"/>
    <cellStyle name="Output 3 2 4 14" xfId="2303"/>
    <cellStyle name="Output 3 2 4 14 2" xfId="10126"/>
    <cellStyle name="Output 3 2 4 14 3" xfId="17554"/>
    <cellStyle name="Output 3 2 4 14 4" xfId="20120"/>
    <cellStyle name="Output 3 2 4 14 5" xfId="27821"/>
    <cellStyle name="Output 3 2 4 14 6" xfId="38335"/>
    <cellStyle name="Output 3 2 4 14 7" xfId="47907"/>
    <cellStyle name="Output 3 2 4 15" xfId="2530"/>
    <cellStyle name="Output 3 2 4 15 2" xfId="10353"/>
    <cellStyle name="Output 3 2 4 15 3" xfId="17781"/>
    <cellStyle name="Output 3 2 4 15 4" xfId="19098"/>
    <cellStyle name="Output 3 2 4 15 5" xfId="28737"/>
    <cellStyle name="Output 3 2 4 15 6" xfId="41874"/>
    <cellStyle name="Output 3 2 4 15 7" xfId="47764"/>
    <cellStyle name="Output 3 2 4 16" xfId="2643"/>
    <cellStyle name="Output 3 2 4 16 2" xfId="10466"/>
    <cellStyle name="Output 3 2 4 16 3" xfId="17894"/>
    <cellStyle name="Output 3 2 4 16 4" xfId="25514"/>
    <cellStyle name="Output 3 2 4 16 5" xfId="33992"/>
    <cellStyle name="Output 3 2 4 16 6" xfId="38212"/>
    <cellStyle name="Output 3 2 4 16 7" xfId="51901"/>
    <cellStyle name="Output 3 2 4 17" xfId="1601"/>
    <cellStyle name="Output 3 2 4 17 2" xfId="9424"/>
    <cellStyle name="Output 3 2 4 17 3" xfId="16852"/>
    <cellStyle name="Output 3 2 4 17 4" xfId="20459"/>
    <cellStyle name="Output 3 2 4 17 5" xfId="27603"/>
    <cellStyle name="Output 3 2 4 17 6" xfId="38378"/>
    <cellStyle name="Output 3 2 4 17 7" xfId="49996"/>
    <cellStyle name="Output 3 2 4 18" xfId="1280"/>
    <cellStyle name="Output 3 2 4 18 2" xfId="9103"/>
    <cellStyle name="Output 3 2 4 18 3" xfId="16531"/>
    <cellStyle name="Output 3 2 4 18 4" xfId="19872"/>
    <cellStyle name="Output 3 2 4 18 5" xfId="28772"/>
    <cellStyle name="Output 3 2 4 18 6" xfId="40287"/>
    <cellStyle name="Output 3 2 4 18 7" xfId="47188"/>
    <cellStyle name="Output 3 2 4 19" xfId="2836"/>
    <cellStyle name="Output 3 2 4 19 2" xfId="10659"/>
    <cellStyle name="Output 3 2 4 19 3" xfId="18087"/>
    <cellStyle name="Output 3 2 4 19 4" xfId="25752"/>
    <cellStyle name="Output 3 2 4 19 5" xfId="34303"/>
    <cellStyle name="Output 3 2 4 19 6" xfId="36779"/>
    <cellStyle name="Output 3 2 4 19 7" xfId="52431"/>
    <cellStyle name="Output 3 2 4 2" xfId="704"/>
    <cellStyle name="Output 3 2 4 2 2" xfId="8528"/>
    <cellStyle name="Output 3 2 4 2 3" xfId="15956"/>
    <cellStyle name="Output 3 2 4 2 4" xfId="26096"/>
    <cellStyle name="Output 3 2 4 2 5" xfId="34746"/>
    <cellStyle name="Output 3 2 4 2 6" xfId="37333"/>
    <cellStyle name="Output 3 2 4 2 7" xfId="53202"/>
    <cellStyle name="Output 3 2 4 20" xfId="2943"/>
    <cellStyle name="Output 3 2 4 20 2" xfId="10766"/>
    <cellStyle name="Output 3 2 4 20 3" xfId="18194"/>
    <cellStyle name="Output 3 2 4 20 4" xfId="25509"/>
    <cellStyle name="Output 3 2 4 20 5" xfId="33987"/>
    <cellStyle name="Output 3 2 4 20 6" xfId="40089"/>
    <cellStyle name="Output 3 2 4 20 7" xfId="51892"/>
    <cellStyle name="Output 3 2 4 21" xfId="3319"/>
    <cellStyle name="Output 3 2 4 21 2" xfId="11112"/>
    <cellStyle name="Output 3 2 4 21 3" xfId="18441"/>
    <cellStyle name="Output 3 2 4 21 4" xfId="19807"/>
    <cellStyle name="Output 3 2 4 21 5" xfId="27087"/>
    <cellStyle name="Output 3 2 4 21 6" xfId="37947"/>
    <cellStyle name="Output 3 2 4 21 7" xfId="50116"/>
    <cellStyle name="Output 3 2 4 22" xfId="3439"/>
    <cellStyle name="Output 3 2 4 22 2" xfId="11230"/>
    <cellStyle name="Output 3 2 4 22 3" xfId="18552"/>
    <cellStyle name="Output 3 2 4 22 4" xfId="26249"/>
    <cellStyle name="Output 3 2 4 22 5" xfId="34943"/>
    <cellStyle name="Output 3 2 4 22 6" xfId="40451"/>
    <cellStyle name="Output 3 2 4 22 7" xfId="53535"/>
    <cellStyle name="Output 3 2 4 23" xfId="3598"/>
    <cellStyle name="Output 3 2 4 23 2" xfId="11384"/>
    <cellStyle name="Output 3 2 4 23 3" xfId="18659"/>
    <cellStyle name="Output 3 2 4 23 4" xfId="25742"/>
    <cellStyle name="Output 3 2 4 23 5" xfId="34292"/>
    <cellStyle name="Output 3 2 4 23 6" xfId="39692"/>
    <cellStyle name="Output 3 2 4 23 7" xfId="52417"/>
    <cellStyle name="Output 3 2 4 24" xfId="3710"/>
    <cellStyle name="Output 3 2 4 24 2" xfId="11495"/>
    <cellStyle name="Output 3 2 4 24 3" xfId="18768"/>
    <cellStyle name="Output 3 2 4 24 4" xfId="19675"/>
    <cellStyle name="Output 3 2 4 24 5" xfId="27226"/>
    <cellStyle name="Output 3 2 4 24 6" xfId="36489"/>
    <cellStyle name="Output 3 2 4 24 7" xfId="47825"/>
    <cellStyle name="Output 3 2 4 25" xfId="3840"/>
    <cellStyle name="Output 3 2 4 25 2" xfId="11622"/>
    <cellStyle name="Output 3 2 4 25 3" xfId="18879"/>
    <cellStyle name="Output 3 2 4 25 4" xfId="24868"/>
    <cellStyle name="Output 3 2 4 25 5" xfId="33181"/>
    <cellStyle name="Output 3 2 4 25 6" xfId="38079"/>
    <cellStyle name="Output 3 2 4 25 7" xfId="50491"/>
    <cellStyle name="Output 3 2 4 26" xfId="3958"/>
    <cellStyle name="Output 3 2 4 26 2" xfId="11738"/>
    <cellStyle name="Output 3 2 4 26 3" xfId="18988"/>
    <cellStyle name="Output 3 2 4 26 4" xfId="20565"/>
    <cellStyle name="Output 3 2 4 26 5" xfId="27623"/>
    <cellStyle name="Output 3 2 4 26 6" xfId="40781"/>
    <cellStyle name="Output 3 2 4 26 7" xfId="48206"/>
    <cellStyle name="Output 3 2 4 27" xfId="3046"/>
    <cellStyle name="Output 3 2 4 27 2" xfId="10859"/>
    <cellStyle name="Output 3 2 4 27 3" xfId="20212"/>
    <cellStyle name="Output 3 2 4 27 4" xfId="28304"/>
    <cellStyle name="Output 3 2 4 27 5" xfId="37684"/>
    <cellStyle name="Output 3 2 4 27 6" xfId="42369"/>
    <cellStyle name="Output 3 2 4 27 7" xfId="48611"/>
    <cellStyle name="Output 3 2 4 28" xfId="4155"/>
    <cellStyle name="Output 3 2 4 28 2" xfId="11914"/>
    <cellStyle name="Output 3 2 4 28 3" xfId="20865"/>
    <cellStyle name="Output 3 2 4 28 4" xfId="29052"/>
    <cellStyle name="Output 3 2 4 28 5" xfId="38428"/>
    <cellStyle name="Output 3 2 4 28 6" xfId="42717"/>
    <cellStyle name="Output 3 2 4 28 7" xfId="47806"/>
    <cellStyle name="Output 3 2 4 29" xfId="4225"/>
    <cellStyle name="Output 3 2 4 29 2" xfId="20935"/>
    <cellStyle name="Output 3 2 4 29 3" xfId="29122"/>
    <cellStyle name="Output 3 2 4 29 4" xfId="38497"/>
    <cellStyle name="Output 3 2 4 29 5" xfId="42787"/>
    <cellStyle name="Output 3 2 4 29 6" xfId="49272"/>
    <cellStyle name="Output 3 2 4 3" xfId="812"/>
    <cellStyle name="Output 3 2 4 3 2" xfId="8636"/>
    <cellStyle name="Output 3 2 4 3 3" xfId="16064"/>
    <cellStyle name="Output 3 2 4 3 4" xfId="26296"/>
    <cellStyle name="Output 3 2 4 3 5" xfId="35010"/>
    <cellStyle name="Output 3 2 4 3 6" xfId="38181"/>
    <cellStyle name="Output 3 2 4 3 7" xfId="53634"/>
    <cellStyle name="Output 3 2 4 30" xfId="4352"/>
    <cellStyle name="Output 3 2 4 30 2" xfId="12069"/>
    <cellStyle name="Output 3 2 4 30 3" xfId="21062"/>
    <cellStyle name="Output 3 2 4 30 4" xfId="29249"/>
    <cellStyle name="Output 3 2 4 30 5" xfId="38619"/>
    <cellStyle name="Output 3 2 4 30 6" xfId="42914"/>
    <cellStyle name="Output 3 2 4 30 7" xfId="53837"/>
    <cellStyle name="Output 3 2 4 31" xfId="4475"/>
    <cellStyle name="Output 3 2 4 31 2" xfId="12192"/>
    <cellStyle name="Output 3 2 4 31 3" xfId="21185"/>
    <cellStyle name="Output 3 2 4 31 4" xfId="29372"/>
    <cellStyle name="Output 3 2 4 31 5" xfId="38737"/>
    <cellStyle name="Output 3 2 4 31 6" xfId="43037"/>
    <cellStyle name="Output 3 2 4 31 7" xfId="48159"/>
    <cellStyle name="Output 3 2 4 32" xfId="4589"/>
    <cellStyle name="Output 3 2 4 32 2" xfId="12306"/>
    <cellStyle name="Output 3 2 4 32 3" xfId="21299"/>
    <cellStyle name="Output 3 2 4 32 4" xfId="29486"/>
    <cellStyle name="Output 3 2 4 32 5" xfId="38846"/>
    <cellStyle name="Output 3 2 4 32 6" xfId="43151"/>
    <cellStyle name="Output 3 2 4 32 7" xfId="49620"/>
    <cellStyle name="Output 3 2 4 33" xfId="4702"/>
    <cellStyle name="Output 3 2 4 33 2" xfId="12419"/>
    <cellStyle name="Output 3 2 4 33 3" xfId="21412"/>
    <cellStyle name="Output 3 2 4 33 4" xfId="29599"/>
    <cellStyle name="Output 3 2 4 33 5" xfId="38955"/>
    <cellStyle name="Output 3 2 4 33 6" xfId="43264"/>
    <cellStyle name="Output 3 2 4 33 7" xfId="54116"/>
    <cellStyle name="Output 3 2 4 34" xfId="4813"/>
    <cellStyle name="Output 3 2 4 34 2" xfId="12530"/>
    <cellStyle name="Output 3 2 4 34 3" xfId="21523"/>
    <cellStyle name="Output 3 2 4 34 4" xfId="29710"/>
    <cellStyle name="Output 3 2 4 34 5" xfId="39063"/>
    <cellStyle name="Output 3 2 4 34 6" xfId="43375"/>
    <cellStyle name="Output 3 2 4 34 7" xfId="50415"/>
    <cellStyle name="Output 3 2 4 35" xfId="4922"/>
    <cellStyle name="Output 3 2 4 35 2" xfId="12639"/>
    <cellStyle name="Output 3 2 4 35 3" xfId="21632"/>
    <cellStyle name="Output 3 2 4 35 4" xfId="29819"/>
    <cellStyle name="Output 3 2 4 35 5" xfId="39167"/>
    <cellStyle name="Output 3 2 4 35 6" xfId="43484"/>
    <cellStyle name="Output 3 2 4 35 7" xfId="50793"/>
    <cellStyle name="Output 3 2 4 36" xfId="5033"/>
    <cellStyle name="Output 3 2 4 36 2" xfId="12750"/>
    <cellStyle name="Output 3 2 4 36 3" xfId="21743"/>
    <cellStyle name="Output 3 2 4 36 4" xfId="29930"/>
    <cellStyle name="Output 3 2 4 36 5" xfId="39275"/>
    <cellStyle name="Output 3 2 4 36 6" xfId="43595"/>
    <cellStyle name="Output 3 2 4 36 7" xfId="47476"/>
    <cellStyle name="Output 3 2 4 37" xfId="5412"/>
    <cellStyle name="Output 3 2 4 37 2" xfId="13129"/>
    <cellStyle name="Output 3 2 4 37 3" xfId="22122"/>
    <cellStyle name="Output 3 2 4 37 4" xfId="30309"/>
    <cellStyle name="Output 3 2 4 37 5" xfId="39639"/>
    <cellStyle name="Output 3 2 4 37 6" xfId="43974"/>
    <cellStyle name="Output 3 2 4 37 7" xfId="49741"/>
    <cellStyle name="Output 3 2 4 38" xfId="5532"/>
    <cellStyle name="Output 3 2 4 38 2" xfId="13249"/>
    <cellStyle name="Output 3 2 4 38 3" xfId="22242"/>
    <cellStyle name="Output 3 2 4 38 4" xfId="30429"/>
    <cellStyle name="Output 3 2 4 38 5" xfId="39753"/>
    <cellStyle name="Output 3 2 4 38 6" xfId="44094"/>
    <cellStyle name="Output 3 2 4 38 7" xfId="48242"/>
    <cellStyle name="Output 3 2 4 39" xfId="5656"/>
    <cellStyle name="Output 3 2 4 39 2" xfId="13373"/>
    <cellStyle name="Output 3 2 4 39 3" xfId="22366"/>
    <cellStyle name="Output 3 2 4 39 4" xfId="30553"/>
    <cellStyle name="Output 3 2 4 39 5" xfId="39873"/>
    <cellStyle name="Output 3 2 4 39 6" xfId="44218"/>
    <cellStyle name="Output 3 2 4 39 7" xfId="46904"/>
    <cellStyle name="Output 3 2 4 4" xfId="923"/>
    <cellStyle name="Output 3 2 4 4 2" xfId="8747"/>
    <cellStyle name="Output 3 2 4 4 3" xfId="16175"/>
    <cellStyle name="Output 3 2 4 4 4" xfId="25314"/>
    <cellStyle name="Output 3 2 4 4 5" xfId="33734"/>
    <cellStyle name="Output 3 2 4 4 6" xfId="37405"/>
    <cellStyle name="Output 3 2 4 4 7" xfId="51453"/>
    <cellStyle name="Output 3 2 4 40" xfId="5772"/>
    <cellStyle name="Output 3 2 4 40 2" xfId="13489"/>
    <cellStyle name="Output 3 2 4 40 3" xfId="22482"/>
    <cellStyle name="Output 3 2 4 40 4" xfId="30669"/>
    <cellStyle name="Output 3 2 4 40 5" xfId="39985"/>
    <cellStyle name="Output 3 2 4 40 6" xfId="44334"/>
    <cellStyle name="Output 3 2 4 40 7" xfId="49893"/>
    <cellStyle name="Output 3 2 4 41" xfId="5888"/>
    <cellStyle name="Output 3 2 4 41 2" xfId="13605"/>
    <cellStyle name="Output 3 2 4 41 3" xfId="22598"/>
    <cellStyle name="Output 3 2 4 41 4" xfId="30785"/>
    <cellStyle name="Output 3 2 4 41 5" xfId="40098"/>
    <cellStyle name="Output 3 2 4 41 6" xfId="44450"/>
    <cellStyle name="Output 3 2 4 41 7" xfId="49690"/>
    <cellStyle name="Output 3 2 4 42" xfId="6017"/>
    <cellStyle name="Output 3 2 4 42 2" xfId="13734"/>
    <cellStyle name="Output 3 2 4 42 3" xfId="22727"/>
    <cellStyle name="Output 3 2 4 42 4" xfId="30914"/>
    <cellStyle name="Output 3 2 4 42 5" xfId="40222"/>
    <cellStyle name="Output 3 2 4 42 6" xfId="44579"/>
    <cellStyle name="Output 3 2 4 42 7" xfId="52839"/>
    <cellStyle name="Output 3 2 4 43" xfId="6144"/>
    <cellStyle name="Output 3 2 4 43 2" xfId="13861"/>
    <cellStyle name="Output 3 2 4 43 3" xfId="22854"/>
    <cellStyle name="Output 3 2 4 43 4" xfId="31041"/>
    <cellStyle name="Output 3 2 4 43 5" xfId="40342"/>
    <cellStyle name="Output 3 2 4 43 6" xfId="44706"/>
    <cellStyle name="Output 3 2 4 43 7" xfId="54156"/>
    <cellStyle name="Output 3 2 4 44" xfId="6273"/>
    <cellStyle name="Output 3 2 4 44 2" xfId="13990"/>
    <cellStyle name="Output 3 2 4 44 3" xfId="22983"/>
    <cellStyle name="Output 3 2 4 44 4" xfId="31170"/>
    <cellStyle name="Output 3 2 4 44 5" xfId="40470"/>
    <cellStyle name="Output 3 2 4 44 6" xfId="44835"/>
    <cellStyle name="Output 3 2 4 44 7" xfId="47903"/>
    <cellStyle name="Output 3 2 4 45" xfId="6389"/>
    <cellStyle name="Output 3 2 4 45 2" xfId="14106"/>
    <cellStyle name="Output 3 2 4 45 3" xfId="23099"/>
    <cellStyle name="Output 3 2 4 45 4" xfId="31286"/>
    <cellStyle name="Output 3 2 4 45 5" xfId="40583"/>
    <cellStyle name="Output 3 2 4 45 6" xfId="44951"/>
    <cellStyle name="Output 3 2 4 45 7" xfId="50908"/>
    <cellStyle name="Output 3 2 4 46" xfId="6500"/>
    <cellStyle name="Output 3 2 4 46 2" xfId="14217"/>
    <cellStyle name="Output 3 2 4 46 3" xfId="23210"/>
    <cellStyle name="Output 3 2 4 46 4" xfId="31397"/>
    <cellStyle name="Output 3 2 4 46 5" xfId="40690"/>
    <cellStyle name="Output 3 2 4 46 6" xfId="45062"/>
    <cellStyle name="Output 3 2 4 46 7" xfId="54001"/>
    <cellStyle name="Output 3 2 4 47" xfId="5300"/>
    <cellStyle name="Output 3 2 4 47 2" xfId="13017"/>
    <cellStyle name="Output 3 2 4 47 3" xfId="22010"/>
    <cellStyle name="Output 3 2 4 47 4" xfId="30197"/>
    <cellStyle name="Output 3 2 4 47 5" xfId="39531"/>
    <cellStyle name="Output 3 2 4 47 6" xfId="43862"/>
    <cellStyle name="Output 3 2 4 47 7" xfId="48138"/>
    <cellStyle name="Output 3 2 4 48" xfId="6646"/>
    <cellStyle name="Output 3 2 4 48 2" xfId="14363"/>
    <cellStyle name="Output 3 2 4 48 3" xfId="23356"/>
    <cellStyle name="Output 3 2 4 48 4" xfId="31543"/>
    <cellStyle name="Output 3 2 4 48 5" xfId="40829"/>
    <cellStyle name="Output 3 2 4 48 6" xfId="45208"/>
    <cellStyle name="Output 3 2 4 48 7" xfId="53498"/>
    <cellStyle name="Output 3 2 4 49" xfId="6758"/>
    <cellStyle name="Output 3 2 4 49 2" xfId="14475"/>
    <cellStyle name="Output 3 2 4 49 3" xfId="23468"/>
    <cellStyle name="Output 3 2 4 49 4" xfId="31655"/>
    <cellStyle name="Output 3 2 4 49 5" xfId="40935"/>
    <cellStyle name="Output 3 2 4 49 6" xfId="45320"/>
    <cellStyle name="Output 3 2 4 49 7" xfId="48996"/>
    <cellStyle name="Output 3 2 4 5" xfId="1389"/>
    <cellStyle name="Output 3 2 4 5 2" xfId="9212"/>
    <cellStyle name="Output 3 2 4 5 3" xfId="16640"/>
    <cellStyle name="Output 3 2 4 5 4" xfId="25096"/>
    <cellStyle name="Output 3 2 4 5 5" xfId="33460"/>
    <cellStyle name="Output 3 2 4 5 6" xfId="37915"/>
    <cellStyle name="Output 3 2 4 5 7" xfId="51003"/>
    <cellStyle name="Output 3 2 4 50" xfId="6873"/>
    <cellStyle name="Output 3 2 4 50 2" xfId="14590"/>
    <cellStyle name="Output 3 2 4 50 3" xfId="23583"/>
    <cellStyle name="Output 3 2 4 50 4" xfId="31770"/>
    <cellStyle name="Output 3 2 4 50 5" xfId="41043"/>
    <cellStyle name="Output 3 2 4 50 6" xfId="45435"/>
    <cellStyle name="Output 3 2 4 50 7" xfId="46893"/>
    <cellStyle name="Output 3 2 4 51" xfId="6986"/>
    <cellStyle name="Output 3 2 4 51 2" xfId="14703"/>
    <cellStyle name="Output 3 2 4 51 3" xfId="23696"/>
    <cellStyle name="Output 3 2 4 51 4" xfId="31883"/>
    <cellStyle name="Output 3 2 4 51 5" xfId="41151"/>
    <cellStyle name="Output 3 2 4 51 6" xfId="45548"/>
    <cellStyle name="Output 3 2 4 51 7" xfId="54555"/>
    <cellStyle name="Output 3 2 4 52" xfId="7097"/>
    <cellStyle name="Output 3 2 4 52 2" xfId="14814"/>
    <cellStyle name="Output 3 2 4 52 3" xfId="23807"/>
    <cellStyle name="Output 3 2 4 52 4" xfId="31994"/>
    <cellStyle name="Output 3 2 4 52 5" xfId="41256"/>
    <cellStyle name="Output 3 2 4 52 6" xfId="45659"/>
    <cellStyle name="Output 3 2 4 52 7" xfId="48932"/>
    <cellStyle name="Output 3 2 4 53" xfId="7182"/>
    <cellStyle name="Output 3 2 4 53 2" xfId="14899"/>
    <cellStyle name="Output 3 2 4 53 3" xfId="23892"/>
    <cellStyle name="Output 3 2 4 53 4" xfId="32079"/>
    <cellStyle name="Output 3 2 4 53 5" xfId="41340"/>
    <cellStyle name="Output 3 2 4 53 6" xfId="45744"/>
    <cellStyle name="Output 3 2 4 53 7" xfId="53214"/>
    <cellStyle name="Output 3 2 4 54" xfId="7260"/>
    <cellStyle name="Output 3 2 4 54 2" xfId="14977"/>
    <cellStyle name="Output 3 2 4 54 3" xfId="23970"/>
    <cellStyle name="Output 3 2 4 54 4" xfId="32157"/>
    <cellStyle name="Output 3 2 4 54 5" xfId="41413"/>
    <cellStyle name="Output 3 2 4 54 6" xfId="45822"/>
    <cellStyle name="Output 3 2 4 54 7" xfId="53404"/>
    <cellStyle name="Output 3 2 4 55" xfId="7494"/>
    <cellStyle name="Output 3 2 4 55 2" xfId="15211"/>
    <cellStyle name="Output 3 2 4 55 3" xfId="24204"/>
    <cellStyle name="Output 3 2 4 55 4" xfId="32391"/>
    <cellStyle name="Output 3 2 4 55 5" xfId="41639"/>
    <cellStyle name="Output 3 2 4 55 6" xfId="46056"/>
    <cellStyle name="Output 3 2 4 55 7" xfId="47546"/>
    <cellStyle name="Output 3 2 4 56" xfId="7615"/>
    <cellStyle name="Output 3 2 4 56 2" xfId="15332"/>
    <cellStyle name="Output 3 2 4 56 3" xfId="24325"/>
    <cellStyle name="Output 3 2 4 56 4" xfId="32512"/>
    <cellStyle name="Output 3 2 4 56 5" xfId="41754"/>
    <cellStyle name="Output 3 2 4 56 6" xfId="46177"/>
    <cellStyle name="Output 3 2 4 56 7" xfId="48339"/>
    <cellStyle name="Output 3 2 4 57" xfId="7891"/>
    <cellStyle name="Output 3 2 4 57 2" xfId="15608"/>
    <cellStyle name="Output 3 2 4 57 3" xfId="24595"/>
    <cellStyle name="Output 3 2 4 57 4" xfId="32788"/>
    <cellStyle name="Output 3 2 4 57 5" xfId="42019"/>
    <cellStyle name="Output 3 2 4 57 6" xfId="46453"/>
    <cellStyle name="Output 3 2 4 57 7" xfId="54221"/>
    <cellStyle name="Output 3 2 4 58" xfId="8019"/>
    <cellStyle name="Output 3 2 4 58 2" xfId="15736"/>
    <cellStyle name="Output 3 2 4 58 3" xfId="24721"/>
    <cellStyle name="Output 3 2 4 58 4" xfId="32916"/>
    <cellStyle name="Output 3 2 4 58 5" xfId="42142"/>
    <cellStyle name="Output 3 2 4 58 6" xfId="46581"/>
    <cellStyle name="Output 3 2 4 58 7" xfId="50775"/>
    <cellStyle name="Output 3 2 4 59" xfId="7728"/>
    <cellStyle name="Output 3 2 4 59 2" xfId="15445"/>
    <cellStyle name="Output 3 2 4 59 3" xfId="24436"/>
    <cellStyle name="Output 3 2 4 59 4" xfId="32625"/>
    <cellStyle name="Output 3 2 4 59 5" xfId="41862"/>
    <cellStyle name="Output 3 2 4 59 6" xfId="46290"/>
    <cellStyle name="Output 3 2 4 59 7" xfId="48227"/>
    <cellStyle name="Output 3 2 4 6" xfId="1512"/>
    <cellStyle name="Output 3 2 4 6 2" xfId="9335"/>
    <cellStyle name="Output 3 2 4 6 3" xfId="16763"/>
    <cellStyle name="Output 3 2 4 6 4" xfId="25081"/>
    <cellStyle name="Output 3 2 4 6 5" xfId="33442"/>
    <cellStyle name="Output 3 2 4 6 6" xfId="40220"/>
    <cellStyle name="Output 3 2 4 6 7" xfId="50970"/>
    <cellStyle name="Output 3 2 4 60" xfId="8167"/>
    <cellStyle name="Output 3 2 4 60 2" xfId="15884"/>
    <cellStyle name="Output 3 2 4 60 3" xfId="33064"/>
    <cellStyle name="Output 3 2 4 60 4" xfId="42283"/>
    <cellStyle name="Output 3 2 4 60 5" xfId="46729"/>
    <cellStyle name="Output 3 2 4 60 6" xfId="50734"/>
    <cellStyle name="Output 3 2 4 61" xfId="26391"/>
    <cellStyle name="Output 3 2 4 62" xfId="35139"/>
    <cellStyle name="Output 3 2 4 63" xfId="36267"/>
    <cellStyle name="Output 3 2 4 64" xfId="53829"/>
    <cellStyle name="Output 3 2 4 7" xfId="961"/>
    <cellStyle name="Output 3 2 4 7 2" xfId="8785"/>
    <cellStyle name="Output 3 2 4 7 3" xfId="16213"/>
    <cellStyle name="Output 3 2 4 7 4" xfId="25727"/>
    <cellStyle name="Output 3 2 4 7 5" xfId="34273"/>
    <cellStyle name="Output 3 2 4 7 6" xfId="36660"/>
    <cellStyle name="Output 3 2 4 7 7" xfId="52379"/>
    <cellStyle name="Output 3 2 4 8" xfId="1749"/>
    <cellStyle name="Output 3 2 4 8 2" xfId="9572"/>
    <cellStyle name="Output 3 2 4 8 3" xfId="17000"/>
    <cellStyle name="Output 3 2 4 8 4" xfId="19184"/>
    <cellStyle name="Output 3 2 4 8 5" xfId="26754"/>
    <cellStyle name="Output 3 2 4 8 6" xfId="39865"/>
    <cellStyle name="Output 3 2 4 8 7" xfId="49165"/>
    <cellStyle name="Output 3 2 4 9" xfId="1883"/>
    <cellStyle name="Output 3 2 4 9 2" xfId="9706"/>
    <cellStyle name="Output 3 2 4 9 3" xfId="17134"/>
    <cellStyle name="Output 3 2 4 9 4" xfId="19531"/>
    <cellStyle name="Output 3 2 4 9 5" xfId="26841"/>
    <cellStyle name="Output 3 2 4 9 6" xfId="38806"/>
    <cellStyle name="Output 3 2 4 9 7" xfId="49537"/>
    <cellStyle name="Output 3 2 40" xfId="4193"/>
    <cellStyle name="Output 3 2 40 2" xfId="11952"/>
    <cellStyle name="Output 3 2 40 3" xfId="20903"/>
    <cellStyle name="Output 3 2 40 4" xfId="29090"/>
    <cellStyle name="Output 3 2 40 5" xfId="38466"/>
    <cellStyle name="Output 3 2 40 6" xfId="42755"/>
    <cellStyle name="Output 3 2 40 7" xfId="52584"/>
    <cellStyle name="Output 3 2 41" xfId="3362"/>
    <cellStyle name="Output 3 2 41 2" xfId="11154"/>
    <cellStyle name="Output 3 2 41 3" xfId="20411"/>
    <cellStyle name="Output 3 2 41 4" xfId="28518"/>
    <cellStyle name="Output 3 2 41 5" xfId="37904"/>
    <cellStyle name="Output 3 2 41 6" xfId="42468"/>
    <cellStyle name="Output 3 2 41 7" xfId="54169"/>
    <cellStyle name="Output 3 2 42" xfId="5190"/>
    <cellStyle name="Output 3 2 42 2" xfId="12907"/>
    <cellStyle name="Output 3 2 42 3" xfId="21900"/>
    <cellStyle name="Output 3 2 42 4" xfId="30087"/>
    <cellStyle name="Output 3 2 42 5" xfId="39426"/>
    <cellStyle name="Output 3 2 42 6" xfId="43752"/>
    <cellStyle name="Output 3 2 42 7" xfId="50467"/>
    <cellStyle name="Output 3 2 43" xfId="5270"/>
    <cellStyle name="Output 3 2 43 2" xfId="12987"/>
    <cellStyle name="Output 3 2 43 3" xfId="21980"/>
    <cellStyle name="Output 3 2 43 4" xfId="30167"/>
    <cellStyle name="Output 3 2 43 5" xfId="39502"/>
    <cellStyle name="Output 3 2 43 6" xfId="43832"/>
    <cellStyle name="Output 3 2 43 7" xfId="49491"/>
    <cellStyle name="Output 3 2 44" xfId="5560"/>
    <cellStyle name="Output 3 2 44 2" xfId="13277"/>
    <cellStyle name="Output 3 2 44 3" xfId="22270"/>
    <cellStyle name="Output 3 2 44 4" xfId="30457"/>
    <cellStyle name="Output 3 2 44 5" xfId="39780"/>
    <cellStyle name="Output 3 2 44 6" xfId="44122"/>
    <cellStyle name="Output 3 2 44 7" xfId="47201"/>
    <cellStyle name="Output 3 2 45" xfId="5371"/>
    <cellStyle name="Output 3 2 45 2" xfId="13088"/>
    <cellStyle name="Output 3 2 45 3" xfId="22081"/>
    <cellStyle name="Output 3 2 45 4" xfId="30268"/>
    <cellStyle name="Output 3 2 45 5" xfId="39599"/>
    <cellStyle name="Output 3 2 45 6" xfId="43933"/>
    <cellStyle name="Output 3 2 45 7" xfId="54289"/>
    <cellStyle name="Output 3 2 46" xfId="5319"/>
    <cellStyle name="Output 3 2 46 2" xfId="13036"/>
    <cellStyle name="Output 3 2 46 3" xfId="22029"/>
    <cellStyle name="Output 3 2 46 4" xfId="30216"/>
    <cellStyle name="Output 3 2 46 5" xfId="39550"/>
    <cellStyle name="Output 3 2 46 6" xfId="43881"/>
    <cellStyle name="Output 3 2 46 7" xfId="52279"/>
    <cellStyle name="Output 3 2 47" xfId="5104"/>
    <cellStyle name="Output 3 2 47 2" xfId="12821"/>
    <cellStyle name="Output 3 2 47 3" xfId="21814"/>
    <cellStyle name="Output 3 2 47 4" xfId="30001"/>
    <cellStyle name="Output 3 2 47 5" xfId="39342"/>
    <cellStyle name="Output 3 2 47 6" xfId="43666"/>
    <cellStyle name="Output 3 2 47 7" xfId="49588"/>
    <cellStyle name="Output 3 2 48" xfId="5341"/>
    <cellStyle name="Output 3 2 48 2" xfId="13058"/>
    <cellStyle name="Output 3 2 48 3" xfId="22051"/>
    <cellStyle name="Output 3 2 48 4" xfId="30238"/>
    <cellStyle name="Output 3 2 48 5" xfId="39570"/>
    <cellStyle name="Output 3 2 48 6" xfId="43903"/>
    <cellStyle name="Output 3 2 48 7" xfId="49971"/>
    <cellStyle name="Output 3 2 49" xfId="5211"/>
    <cellStyle name="Output 3 2 49 2" xfId="12928"/>
    <cellStyle name="Output 3 2 49 3" xfId="21921"/>
    <cellStyle name="Output 3 2 49 4" xfId="30108"/>
    <cellStyle name="Output 3 2 49 5" xfId="39443"/>
    <cellStyle name="Output 3 2 49 6" xfId="43773"/>
    <cellStyle name="Output 3 2 49 7" xfId="53236"/>
    <cellStyle name="Output 3 2 5" xfId="519"/>
    <cellStyle name="Output 3 2 5 10" xfId="1966"/>
    <cellStyle name="Output 3 2 5 10 2" xfId="9789"/>
    <cellStyle name="Output 3 2 5 10 3" xfId="17217"/>
    <cellStyle name="Output 3 2 5 10 4" xfId="20007"/>
    <cellStyle name="Output 3 2 5 10 5" xfId="28723"/>
    <cellStyle name="Output 3 2 5 10 6" xfId="38683"/>
    <cellStyle name="Output 3 2 5 10 7" xfId="50004"/>
    <cellStyle name="Output 3 2 5 11" xfId="2084"/>
    <cellStyle name="Output 3 2 5 11 2" xfId="9907"/>
    <cellStyle name="Output 3 2 5 11 3" xfId="17335"/>
    <cellStyle name="Output 3 2 5 11 4" xfId="20051"/>
    <cellStyle name="Output 3 2 5 11 5" xfId="28269"/>
    <cellStyle name="Output 3 2 5 11 6" xfId="41777"/>
    <cellStyle name="Output 3 2 5 11 7" xfId="50297"/>
    <cellStyle name="Output 3 2 5 12" xfId="2197"/>
    <cellStyle name="Output 3 2 5 12 2" xfId="10020"/>
    <cellStyle name="Output 3 2 5 12 3" xfId="17448"/>
    <cellStyle name="Output 3 2 5 12 4" xfId="26139"/>
    <cellStyle name="Output 3 2 5 12 5" xfId="34804"/>
    <cellStyle name="Output 3 2 5 12 6" xfId="37857"/>
    <cellStyle name="Output 3 2 5 12 7" xfId="53294"/>
    <cellStyle name="Output 3 2 5 13" xfId="1922"/>
    <cellStyle name="Output 3 2 5 13 2" xfId="9745"/>
    <cellStyle name="Output 3 2 5 13 3" xfId="17173"/>
    <cellStyle name="Output 3 2 5 13 4" xfId="20148"/>
    <cellStyle name="Output 3 2 5 13 5" xfId="28738"/>
    <cellStyle name="Output 3 2 5 13 6" xfId="42115"/>
    <cellStyle name="Output 3 2 5 13 7" xfId="48397"/>
    <cellStyle name="Output 3 2 5 14" xfId="2364"/>
    <cellStyle name="Output 3 2 5 14 2" xfId="10187"/>
    <cellStyle name="Output 3 2 5 14 3" xfId="17615"/>
    <cellStyle name="Output 3 2 5 14 4" xfId="20666"/>
    <cellStyle name="Output 3 2 5 14 5" xfId="26895"/>
    <cellStyle name="Output 3 2 5 14 6" xfId="37421"/>
    <cellStyle name="Output 3 2 5 14 7" xfId="49708"/>
    <cellStyle name="Output 3 2 5 15" xfId="2495"/>
    <cellStyle name="Output 3 2 5 15 2" xfId="10318"/>
    <cellStyle name="Output 3 2 5 15 3" xfId="17746"/>
    <cellStyle name="Output 3 2 5 15 4" xfId="25246"/>
    <cellStyle name="Output 3 2 5 15 5" xfId="33650"/>
    <cellStyle name="Output 3 2 5 15 6" xfId="37505"/>
    <cellStyle name="Output 3 2 5 15 7" xfId="51313"/>
    <cellStyle name="Output 3 2 5 16" xfId="2608"/>
    <cellStyle name="Output 3 2 5 16 2" xfId="10431"/>
    <cellStyle name="Output 3 2 5 16 3" xfId="17859"/>
    <cellStyle name="Output 3 2 5 16 4" xfId="20050"/>
    <cellStyle name="Output 3 2 5 16 5" xfId="27405"/>
    <cellStyle name="Output 3 2 5 16 6" xfId="41785"/>
    <cellStyle name="Output 3 2 5 16 7" xfId="48875"/>
    <cellStyle name="Output 3 2 5 17" xfId="2685"/>
    <cellStyle name="Output 3 2 5 17 2" xfId="10508"/>
    <cellStyle name="Output 3 2 5 17 3" xfId="17936"/>
    <cellStyle name="Output 3 2 5 17 4" xfId="26620"/>
    <cellStyle name="Output 3 2 5 17 5" xfId="35452"/>
    <cellStyle name="Output 3 2 5 17 6" xfId="41191"/>
    <cellStyle name="Output 3 2 5 17 7" xfId="54327"/>
    <cellStyle name="Output 3 2 5 18" xfId="1026"/>
    <cellStyle name="Output 3 2 5 18 2" xfId="8850"/>
    <cellStyle name="Output 3 2 5 18 3" xfId="16278"/>
    <cellStyle name="Output 3 2 5 18 4" xfId="25376"/>
    <cellStyle name="Output 3 2 5 18 5" xfId="33824"/>
    <cellStyle name="Output 3 2 5 18 6" xfId="37520"/>
    <cellStyle name="Output 3 2 5 18 7" xfId="51601"/>
    <cellStyle name="Output 3 2 5 19" xfId="2802"/>
    <cellStyle name="Output 3 2 5 19 2" xfId="10625"/>
    <cellStyle name="Output 3 2 5 19 3" xfId="18053"/>
    <cellStyle name="Output 3 2 5 19 4" xfId="25120"/>
    <cellStyle name="Output 3 2 5 19 5" xfId="33493"/>
    <cellStyle name="Output 3 2 5 19 6" xfId="37282"/>
    <cellStyle name="Output 3 2 5 19 7" xfId="51057"/>
    <cellStyle name="Output 3 2 5 2" xfId="670"/>
    <cellStyle name="Output 3 2 5 2 2" xfId="8494"/>
    <cellStyle name="Output 3 2 5 2 3" xfId="8266"/>
    <cellStyle name="Output 3 2 5 2 4" xfId="24840"/>
    <cellStyle name="Output 3 2 5 2 5" xfId="28219"/>
    <cellStyle name="Output 3 2 5 2 6" xfId="37925"/>
    <cellStyle name="Output 3 2 5 2 7" xfId="50069"/>
    <cellStyle name="Output 3 2 5 20" xfId="2909"/>
    <cellStyle name="Output 3 2 5 20 2" xfId="10732"/>
    <cellStyle name="Output 3 2 5 20 3" xfId="18160"/>
    <cellStyle name="Output 3 2 5 20 4" xfId="25305"/>
    <cellStyle name="Output 3 2 5 20 5" xfId="33721"/>
    <cellStyle name="Output 3 2 5 20 6" xfId="37267"/>
    <cellStyle name="Output 3 2 5 20 7" xfId="51436"/>
    <cellStyle name="Output 3 2 5 21" xfId="3285"/>
    <cellStyle name="Output 3 2 5 21 2" xfId="11078"/>
    <cellStyle name="Output 3 2 5 21 3" xfId="18407"/>
    <cellStyle name="Output 3 2 5 21 4" xfId="26204"/>
    <cellStyle name="Output 3 2 5 21 5" xfId="34886"/>
    <cellStyle name="Output 3 2 5 21 6" xfId="41150"/>
    <cellStyle name="Output 3 2 5 21 7" xfId="53435"/>
    <cellStyle name="Output 3 2 5 22" xfId="3405"/>
    <cellStyle name="Output 3 2 5 22 2" xfId="11196"/>
    <cellStyle name="Output 3 2 5 22 3" xfId="18518"/>
    <cellStyle name="Output 3 2 5 22 4" xfId="19809"/>
    <cellStyle name="Output 3 2 5 22 5" xfId="27101"/>
    <cellStyle name="Output 3 2 5 22 6" xfId="37113"/>
    <cellStyle name="Output 3 2 5 22 7" xfId="47384"/>
    <cellStyle name="Output 3 2 5 23" xfId="3039"/>
    <cellStyle name="Output 3 2 5 23 2" xfId="10852"/>
    <cellStyle name="Output 3 2 5 23 3" xfId="18263"/>
    <cellStyle name="Output 3 2 5 23 4" xfId="20083"/>
    <cellStyle name="Output 3 2 5 23 5" xfId="28241"/>
    <cellStyle name="Output 3 2 5 23 6" xfId="37242"/>
    <cellStyle name="Output 3 2 5 23 7" xfId="49308"/>
    <cellStyle name="Output 3 2 5 24" xfId="3675"/>
    <cellStyle name="Output 3 2 5 24 2" xfId="11460"/>
    <cellStyle name="Output 3 2 5 24 3" xfId="18733"/>
    <cellStyle name="Output 3 2 5 24 4" xfId="19226"/>
    <cellStyle name="Output 3 2 5 24 5" xfId="27780"/>
    <cellStyle name="Output 3 2 5 24 6" xfId="38586"/>
    <cellStyle name="Output 3 2 5 24 7" xfId="47625"/>
    <cellStyle name="Output 3 2 5 25" xfId="3806"/>
    <cellStyle name="Output 3 2 5 25 2" xfId="11588"/>
    <cellStyle name="Output 3 2 5 25 3" xfId="18845"/>
    <cellStyle name="Output 3 2 5 25 4" xfId="26437"/>
    <cellStyle name="Output 3 2 5 25 5" xfId="35206"/>
    <cellStyle name="Output 3 2 5 25 6" xfId="41457"/>
    <cellStyle name="Output 3 2 5 25 7" xfId="53929"/>
    <cellStyle name="Output 3 2 5 26" xfId="3923"/>
    <cellStyle name="Output 3 2 5 26 2" xfId="11703"/>
    <cellStyle name="Output 3 2 5 26 3" xfId="18954"/>
    <cellStyle name="Output 3 2 5 26 4" xfId="19378"/>
    <cellStyle name="Output 3 2 5 26 5" xfId="26972"/>
    <cellStyle name="Output 3 2 5 26 6" xfId="37423"/>
    <cellStyle name="Output 3 2 5 26 7" xfId="49065"/>
    <cellStyle name="Output 3 2 5 27" xfId="3241"/>
    <cellStyle name="Output 3 2 5 27 2" xfId="11034"/>
    <cellStyle name="Output 3 2 5 27 3" xfId="20358"/>
    <cellStyle name="Output 3 2 5 27 4" xfId="28447"/>
    <cellStyle name="Output 3 2 5 27 5" xfId="37840"/>
    <cellStyle name="Output 3 2 5 27 6" xfId="42461"/>
    <cellStyle name="Output 3 2 5 27 7" xfId="51551"/>
    <cellStyle name="Output 3 2 5 28" xfId="4120"/>
    <cellStyle name="Output 3 2 5 28 2" xfId="11880"/>
    <cellStyle name="Output 3 2 5 28 3" xfId="20830"/>
    <cellStyle name="Output 3 2 5 28 4" xfId="29017"/>
    <cellStyle name="Output 3 2 5 28 5" xfId="38394"/>
    <cellStyle name="Output 3 2 5 28 6" xfId="42682"/>
    <cellStyle name="Output 3 2 5 28 7" xfId="52533"/>
    <cellStyle name="Output 3 2 5 29" xfId="4043"/>
    <cellStyle name="Output 3 2 5 29 2" xfId="20753"/>
    <cellStyle name="Output 3 2 5 29 3" xfId="28940"/>
    <cellStyle name="Output 3 2 5 29 4" xfId="38319"/>
    <cellStyle name="Output 3 2 5 29 5" xfId="42605"/>
    <cellStyle name="Output 3 2 5 29 6" xfId="52553"/>
    <cellStyle name="Output 3 2 5 3" xfId="777"/>
    <cellStyle name="Output 3 2 5 3 2" xfId="8601"/>
    <cellStyle name="Output 3 2 5 3 3" xfId="16029"/>
    <cellStyle name="Output 3 2 5 3 4" xfId="25620"/>
    <cellStyle name="Output 3 2 5 3 5" xfId="34134"/>
    <cellStyle name="Output 3 2 5 3 6" xfId="38088"/>
    <cellStyle name="Output 3 2 5 3 7" xfId="52130"/>
    <cellStyle name="Output 3 2 5 30" xfId="4317"/>
    <cellStyle name="Output 3 2 5 30 2" xfId="12034"/>
    <cellStyle name="Output 3 2 5 30 3" xfId="21027"/>
    <cellStyle name="Output 3 2 5 30 4" xfId="29214"/>
    <cellStyle name="Output 3 2 5 30 5" xfId="38585"/>
    <cellStyle name="Output 3 2 5 30 6" xfId="42879"/>
    <cellStyle name="Output 3 2 5 30 7" xfId="50571"/>
    <cellStyle name="Output 3 2 5 31" xfId="4440"/>
    <cellStyle name="Output 3 2 5 31 2" xfId="12157"/>
    <cellStyle name="Output 3 2 5 31 3" xfId="21150"/>
    <cellStyle name="Output 3 2 5 31 4" xfId="29337"/>
    <cellStyle name="Output 3 2 5 31 5" xfId="38703"/>
    <cellStyle name="Output 3 2 5 31 6" xfId="43002"/>
    <cellStyle name="Output 3 2 5 31 7" xfId="51236"/>
    <cellStyle name="Output 3 2 5 32" xfId="4554"/>
    <cellStyle name="Output 3 2 5 32 2" xfId="12271"/>
    <cellStyle name="Output 3 2 5 32 3" xfId="21264"/>
    <cellStyle name="Output 3 2 5 32 4" xfId="29451"/>
    <cellStyle name="Output 3 2 5 32 5" xfId="38812"/>
    <cellStyle name="Output 3 2 5 32 6" xfId="43116"/>
    <cellStyle name="Output 3 2 5 32 7" xfId="54391"/>
    <cellStyle name="Output 3 2 5 33" xfId="4667"/>
    <cellStyle name="Output 3 2 5 33 2" xfId="12384"/>
    <cellStyle name="Output 3 2 5 33 3" xfId="21377"/>
    <cellStyle name="Output 3 2 5 33 4" xfId="29564"/>
    <cellStyle name="Output 3 2 5 33 5" xfId="38921"/>
    <cellStyle name="Output 3 2 5 33 6" xfId="43229"/>
    <cellStyle name="Output 3 2 5 33 7" xfId="50351"/>
    <cellStyle name="Output 3 2 5 34" xfId="4779"/>
    <cellStyle name="Output 3 2 5 34 2" xfId="12496"/>
    <cellStyle name="Output 3 2 5 34 3" xfId="21489"/>
    <cellStyle name="Output 3 2 5 34 4" xfId="29676"/>
    <cellStyle name="Output 3 2 5 34 5" xfId="39030"/>
    <cellStyle name="Output 3 2 5 34 6" xfId="43341"/>
    <cellStyle name="Output 3 2 5 34 7" xfId="53849"/>
    <cellStyle name="Output 3 2 5 35" xfId="4887"/>
    <cellStyle name="Output 3 2 5 35 2" xfId="12604"/>
    <cellStyle name="Output 3 2 5 35 3" xfId="21597"/>
    <cellStyle name="Output 3 2 5 35 4" xfId="29784"/>
    <cellStyle name="Output 3 2 5 35 5" xfId="39133"/>
    <cellStyle name="Output 3 2 5 35 6" xfId="43449"/>
    <cellStyle name="Output 3 2 5 35 7" xfId="50267"/>
    <cellStyle name="Output 3 2 5 36" xfId="4999"/>
    <cellStyle name="Output 3 2 5 36 2" xfId="12716"/>
    <cellStyle name="Output 3 2 5 36 3" xfId="21709"/>
    <cellStyle name="Output 3 2 5 36 4" xfId="29896"/>
    <cellStyle name="Output 3 2 5 36 5" xfId="39242"/>
    <cellStyle name="Output 3 2 5 36 6" xfId="43561"/>
    <cellStyle name="Output 3 2 5 36 7" xfId="54020"/>
    <cellStyle name="Output 3 2 5 37" xfId="5112"/>
    <cellStyle name="Output 3 2 5 37 2" xfId="12829"/>
    <cellStyle name="Output 3 2 5 37 3" xfId="21822"/>
    <cellStyle name="Output 3 2 5 37 4" xfId="30009"/>
    <cellStyle name="Output 3 2 5 37 5" xfId="39350"/>
    <cellStyle name="Output 3 2 5 37 6" xfId="43674"/>
    <cellStyle name="Output 3 2 5 37 7" xfId="49523"/>
    <cellStyle name="Output 3 2 5 38" xfId="5497"/>
    <cellStyle name="Output 3 2 5 38 2" xfId="13214"/>
    <cellStyle name="Output 3 2 5 38 3" xfId="22207"/>
    <cellStyle name="Output 3 2 5 38 4" xfId="30394"/>
    <cellStyle name="Output 3 2 5 38 5" xfId="39719"/>
    <cellStyle name="Output 3 2 5 38 6" xfId="44059"/>
    <cellStyle name="Output 3 2 5 38 7" xfId="48967"/>
    <cellStyle name="Output 3 2 5 39" xfId="5622"/>
    <cellStyle name="Output 3 2 5 39 2" xfId="13339"/>
    <cellStyle name="Output 3 2 5 39 3" xfId="22332"/>
    <cellStyle name="Output 3 2 5 39 4" xfId="30519"/>
    <cellStyle name="Output 3 2 5 39 5" xfId="39840"/>
    <cellStyle name="Output 3 2 5 39 6" xfId="44184"/>
    <cellStyle name="Output 3 2 5 39 7" xfId="47125"/>
    <cellStyle name="Output 3 2 5 4" xfId="889"/>
    <cellStyle name="Output 3 2 5 4 2" xfId="8713"/>
    <cellStyle name="Output 3 2 5 4 3" xfId="16141"/>
    <cellStyle name="Output 3 2 5 4 4" xfId="26500"/>
    <cellStyle name="Output 3 2 5 4 5" xfId="35293"/>
    <cellStyle name="Output 3 2 5 4 6" xfId="37944"/>
    <cellStyle name="Output 3 2 5 4 7" xfId="54077"/>
    <cellStyle name="Output 3 2 5 40" xfId="5737"/>
    <cellStyle name="Output 3 2 5 40 2" xfId="13454"/>
    <cellStyle name="Output 3 2 5 40 3" xfId="22447"/>
    <cellStyle name="Output 3 2 5 40 4" xfId="30634"/>
    <cellStyle name="Output 3 2 5 40 5" xfId="39951"/>
    <cellStyle name="Output 3 2 5 40 6" xfId="44299"/>
    <cellStyle name="Output 3 2 5 40 7" xfId="53696"/>
    <cellStyle name="Output 3 2 5 41" xfId="5854"/>
    <cellStyle name="Output 3 2 5 41 2" xfId="13571"/>
    <cellStyle name="Output 3 2 5 41 3" xfId="22564"/>
    <cellStyle name="Output 3 2 5 41 4" xfId="30751"/>
    <cellStyle name="Output 3 2 5 41 5" xfId="40065"/>
    <cellStyle name="Output 3 2 5 41 6" xfId="44416"/>
    <cellStyle name="Output 3 2 5 41 7" xfId="54274"/>
    <cellStyle name="Output 3 2 5 42" xfId="5982"/>
    <cellStyle name="Output 3 2 5 42 2" xfId="13699"/>
    <cellStyle name="Output 3 2 5 42 3" xfId="22692"/>
    <cellStyle name="Output 3 2 5 42 4" xfId="30879"/>
    <cellStyle name="Output 3 2 5 42 5" xfId="40188"/>
    <cellStyle name="Output 3 2 5 42 6" xfId="44544"/>
    <cellStyle name="Output 3 2 5 42 7" xfId="47965"/>
    <cellStyle name="Output 3 2 5 43" xfId="5318"/>
    <cellStyle name="Output 3 2 5 43 2" xfId="13035"/>
    <cellStyle name="Output 3 2 5 43 3" xfId="22028"/>
    <cellStyle name="Output 3 2 5 43 4" xfId="30215"/>
    <cellStyle name="Output 3 2 5 43 5" xfId="39549"/>
    <cellStyle name="Output 3 2 5 43 6" xfId="43880"/>
    <cellStyle name="Output 3 2 5 43 7" xfId="52400"/>
    <cellStyle name="Output 3 2 5 44" xfId="6238"/>
    <cellStyle name="Output 3 2 5 44 2" xfId="13955"/>
    <cellStyle name="Output 3 2 5 44 3" xfId="22948"/>
    <cellStyle name="Output 3 2 5 44 4" xfId="31135"/>
    <cellStyle name="Output 3 2 5 44 5" xfId="40436"/>
    <cellStyle name="Output 3 2 5 44 6" xfId="44800"/>
    <cellStyle name="Output 3 2 5 44 7" xfId="51412"/>
    <cellStyle name="Output 3 2 5 45" xfId="6355"/>
    <cellStyle name="Output 3 2 5 45 2" xfId="14072"/>
    <cellStyle name="Output 3 2 5 45 3" xfId="23065"/>
    <cellStyle name="Output 3 2 5 45 4" xfId="31252"/>
    <cellStyle name="Output 3 2 5 45 5" xfId="40550"/>
    <cellStyle name="Output 3 2 5 45 6" xfId="44917"/>
    <cellStyle name="Output 3 2 5 45 7" xfId="47828"/>
    <cellStyle name="Output 3 2 5 46" xfId="6465"/>
    <cellStyle name="Output 3 2 5 46 2" xfId="14182"/>
    <cellStyle name="Output 3 2 5 46 3" xfId="23175"/>
    <cellStyle name="Output 3 2 5 46 4" xfId="31362"/>
    <cellStyle name="Output 3 2 5 46 5" xfId="40656"/>
    <cellStyle name="Output 3 2 5 46 6" xfId="45027"/>
    <cellStyle name="Output 3 2 5 46 7" xfId="49336"/>
    <cellStyle name="Output 3 2 5 47" xfId="5358"/>
    <cellStyle name="Output 3 2 5 47 2" xfId="13075"/>
    <cellStyle name="Output 3 2 5 47 3" xfId="22068"/>
    <cellStyle name="Output 3 2 5 47 4" xfId="30255"/>
    <cellStyle name="Output 3 2 5 47 5" xfId="39587"/>
    <cellStyle name="Output 3 2 5 47 6" xfId="43920"/>
    <cellStyle name="Output 3 2 5 47 7" xfId="50913"/>
    <cellStyle name="Output 3 2 5 48" xfId="6612"/>
    <cellStyle name="Output 3 2 5 48 2" xfId="14329"/>
    <cellStyle name="Output 3 2 5 48 3" xfId="23322"/>
    <cellStyle name="Output 3 2 5 48 4" xfId="31509"/>
    <cellStyle name="Output 3 2 5 48 5" xfId="40796"/>
    <cellStyle name="Output 3 2 5 48 6" xfId="45174"/>
    <cellStyle name="Output 3 2 5 48 7" xfId="47434"/>
    <cellStyle name="Output 3 2 5 49" xfId="6723"/>
    <cellStyle name="Output 3 2 5 49 2" xfId="14440"/>
    <cellStyle name="Output 3 2 5 49 3" xfId="23433"/>
    <cellStyle name="Output 3 2 5 49 4" xfId="31620"/>
    <cellStyle name="Output 3 2 5 49 5" xfId="40901"/>
    <cellStyle name="Output 3 2 5 49 6" xfId="45285"/>
    <cellStyle name="Output 3 2 5 49 7" xfId="52871"/>
    <cellStyle name="Output 3 2 5 5" xfId="1354"/>
    <cellStyle name="Output 3 2 5 5 2" xfId="9177"/>
    <cellStyle name="Output 3 2 5 5 3" xfId="16605"/>
    <cellStyle name="Output 3 2 5 5 4" xfId="19893"/>
    <cellStyle name="Output 3 2 5 5 5" xfId="27352"/>
    <cellStyle name="Output 3 2 5 5 6" xfId="41200"/>
    <cellStyle name="Output 3 2 5 5 7" xfId="48545"/>
    <cellStyle name="Output 3 2 5 50" xfId="6838"/>
    <cellStyle name="Output 3 2 5 50 2" xfId="14555"/>
    <cellStyle name="Output 3 2 5 50 3" xfId="23548"/>
    <cellStyle name="Output 3 2 5 50 4" xfId="31735"/>
    <cellStyle name="Output 3 2 5 50 5" xfId="41009"/>
    <cellStyle name="Output 3 2 5 50 6" xfId="45400"/>
    <cellStyle name="Output 3 2 5 50 7" xfId="47887"/>
    <cellStyle name="Output 3 2 5 51" xfId="6951"/>
    <cellStyle name="Output 3 2 5 51 2" xfId="14668"/>
    <cellStyle name="Output 3 2 5 51 3" xfId="23661"/>
    <cellStyle name="Output 3 2 5 51 4" xfId="31848"/>
    <cellStyle name="Output 3 2 5 51 5" xfId="41117"/>
    <cellStyle name="Output 3 2 5 51 6" xfId="45513"/>
    <cellStyle name="Output 3 2 5 51 7" xfId="47036"/>
    <cellStyle name="Output 3 2 5 52" xfId="7063"/>
    <cellStyle name="Output 3 2 5 52 2" xfId="14780"/>
    <cellStyle name="Output 3 2 5 52 3" xfId="23773"/>
    <cellStyle name="Output 3 2 5 52 4" xfId="31960"/>
    <cellStyle name="Output 3 2 5 52 5" xfId="41223"/>
    <cellStyle name="Output 3 2 5 52 6" xfId="45625"/>
    <cellStyle name="Output 3 2 5 52 7" xfId="53045"/>
    <cellStyle name="Output 3 2 5 53" xfId="7371"/>
    <cellStyle name="Output 3 2 5 53 2" xfId="15088"/>
    <cellStyle name="Output 3 2 5 53 3" xfId="24081"/>
    <cellStyle name="Output 3 2 5 53 4" xfId="32268"/>
    <cellStyle name="Output 3 2 5 53 5" xfId="41524"/>
    <cellStyle name="Output 3 2 5 53 6" xfId="45933"/>
    <cellStyle name="Output 3 2 5 53 7" xfId="48278"/>
    <cellStyle name="Output 3 2 5 54" xfId="7241"/>
    <cellStyle name="Output 3 2 5 54 2" xfId="14958"/>
    <cellStyle name="Output 3 2 5 54 3" xfId="23951"/>
    <cellStyle name="Output 3 2 5 54 4" xfId="32138"/>
    <cellStyle name="Output 3 2 5 54 5" xfId="41395"/>
    <cellStyle name="Output 3 2 5 54 6" xfId="45803"/>
    <cellStyle name="Output 3 2 5 54 7" xfId="54149"/>
    <cellStyle name="Output 3 2 5 55" xfId="7460"/>
    <cellStyle name="Output 3 2 5 55 2" xfId="15177"/>
    <cellStyle name="Output 3 2 5 55 3" xfId="24170"/>
    <cellStyle name="Output 3 2 5 55 4" xfId="32357"/>
    <cellStyle name="Output 3 2 5 55 5" xfId="41606"/>
    <cellStyle name="Output 3 2 5 55 6" xfId="46022"/>
    <cellStyle name="Output 3 2 5 55 7" xfId="54486"/>
    <cellStyle name="Output 3 2 5 56" xfId="7581"/>
    <cellStyle name="Output 3 2 5 56 2" xfId="15298"/>
    <cellStyle name="Output 3 2 5 56 3" xfId="24291"/>
    <cellStyle name="Output 3 2 5 56 4" xfId="32478"/>
    <cellStyle name="Output 3 2 5 56 5" xfId="41721"/>
    <cellStyle name="Output 3 2 5 56 6" xfId="46143"/>
    <cellStyle name="Output 3 2 5 56 7" xfId="49076"/>
    <cellStyle name="Output 3 2 5 57" xfId="7857"/>
    <cellStyle name="Output 3 2 5 57 2" xfId="15574"/>
    <cellStyle name="Output 3 2 5 57 3" xfId="24561"/>
    <cellStyle name="Output 3 2 5 57 4" xfId="32754"/>
    <cellStyle name="Output 3 2 5 57 5" xfId="41986"/>
    <cellStyle name="Output 3 2 5 57 6" xfId="46419"/>
    <cellStyle name="Output 3 2 5 57 7" xfId="50312"/>
    <cellStyle name="Output 3 2 5 58" xfId="7939"/>
    <cellStyle name="Output 3 2 5 58 2" xfId="15656"/>
    <cellStyle name="Output 3 2 5 58 3" xfId="24642"/>
    <cellStyle name="Output 3 2 5 58 4" xfId="32836"/>
    <cellStyle name="Output 3 2 5 58 5" xfId="42065"/>
    <cellStyle name="Output 3 2 5 58 6" xfId="46501"/>
    <cellStyle name="Output 3 2 5 58 7" xfId="48632"/>
    <cellStyle name="Output 3 2 5 59" xfId="8069"/>
    <cellStyle name="Output 3 2 5 59 2" xfId="15786"/>
    <cellStyle name="Output 3 2 5 59 3" xfId="24771"/>
    <cellStyle name="Output 3 2 5 59 4" xfId="32966"/>
    <cellStyle name="Output 3 2 5 59 5" xfId="42190"/>
    <cellStyle name="Output 3 2 5 59 6" xfId="46631"/>
    <cellStyle name="Output 3 2 5 59 7" xfId="49965"/>
    <cellStyle name="Output 3 2 5 6" xfId="1477"/>
    <cellStyle name="Output 3 2 5 6 2" xfId="9300"/>
    <cellStyle name="Output 3 2 5 6 3" xfId="16728"/>
    <cellStyle name="Output 3 2 5 6 4" xfId="19674"/>
    <cellStyle name="Output 3 2 5 6 5" xfId="28643"/>
    <cellStyle name="Output 3 2 5 6 6" xfId="39497"/>
    <cellStyle name="Output 3 2 5 6 7" xfId="48513"/>
    <cellStyle name="Output 3 2 5 60" xfId="8133"/>
    <cellStyle name="Output 3 2 5 60 2" xfId="15850"/>
    <cellStyle name="Output 3 2 5 60 3" xfId="33030"/>
    <cellStyle name="Output 3 2 5 60 4" xfId="42250"/>
    <cellStyle name="Output 3 2 5 60 5" xfId="46695"/>
    <cellStyle name="Output 3 2 5 60 6" xfId="50683"/>
    <cellStyle name="Output 3 2 5 61" xfId="19984"/>
    <cellStyle name="Output 3 2 5 62" xfId="28435"/>
    <cellStyle name="Output 3 2 5 63" xfId="37162"/>
    <cellStyle name="Output 3 2 5 64" xfId="49606"/>
    <cellStyle name="Output 3 2 5 7" xfId="1564"/>
    <cellStyle name="Output 3 2 5 7 2" xfId="9387"/>
    <cellStyle name="Output 3 2 5 7 3" xfId="16815"/>
    <cellStyle name="Output 3 2 5 7 4" xfId="26433"/>
    <cellStyle name="Output 3 2 5 7 5" xfId="35201"/>
    <cellStyle name="Output 3 2 5 7 6" xfId="42191"/>
    <cellStyle name="Output 3 2 5 7 7" xfId="53924"/>
    <cellStyle name="Output 3 2 5 8" xfId="1714"/>
    <cellStyle name="Output 3 2 5 8 2" xfId="9537"/>
    <cellStyle name="Output 3 2 5 8 3" xfId="16965"/>
    <cellStyle name="Output 3 2 5 8 4" xfId="25465"/>
    <cellStyle name="Output 3 2 5 8 5" xfId="33930"/>
    <cellStyle name="Output 3 2 5 8 6" xfId="37276"/>
    <cellStyle name="Output 3 2 5 8 7" xfId="51791"/>
    <cellStyle name="Output 3 2 5 9" xfId="1848"/>
    <cellStyle name="Output 3 2 5 9 2" xfId="9671"/>
    <cellStyle name="Output 3 2 5 9 3" xfId="17099"/>
    <cellStyle name="Output 3 2 5 9 4" xfId="26215"/>
    <cellStyle name="Output 3 2 5 9 5" xfId="34900"/>
    <cellStyle name="Output 3 2 5 9 6" xfId="36947"/>
    <cellStyle name="Output 3 2 5 9 7" xfId="53456"/>
    <cellStyle name="Output 3 2 50" xfId="5294"/>
    <cellStyle name="Output 3 2 50 2" xfId="13011"/>
    <cellStyle name="Output 3 2 50 3" xfId="22004"/>
    <cellStyle name="Output 3 2 50 4" xfId="30191"/>
    <cellStyle name="Output 3 2 50 5" xfId="39525"/>
    <cellStyle name="Output 3 2 50 6" xfId="43856"/>
    <cellStyle name="Output 3 2 50 7" xfId="48365"/>
    <cellStyle name="Output 3 2 51" xfId="5284"/>
    <cellStyle name="Output 3 2 51 2" xfId="13001"/>
    <cellStyle name="Output 3 2 51 3" xfId="21994"/>
    <cellStyle name="Output 3 2 51 4" xfId="30181"/>
    <cellStyle name="Output 3 2 51 5" xfId="39515"/>
    <cellStyle name="Output 3 2 51 6" xfId="43846"/>
    <cellStyle name="Output 3 2 51 7" xfId="51687"/>
    <cellStyle name="Output 3 2 52" xfId="5317"/>
    <cellStyle name="Output 3 2 52 2" xfId="13034"/>
    <cellStyle name="Output 3 2 52 3" xfId="22027"/>
    <cellStyle name="Output 3 2 52 4" xfId="30214"/>
    <cellStyle name="Output 3 2 52 5" xfId="39548"/>
    <cellStyle name="Output 3 2 52 6" xfId="43879"/>
    <cellStyle name="Output 3 2 52 7" xfId="52508"/>
    <cellStyle name="Output 3 2 53" xfId="6060"/>
    <cellStyle name="Output 3 2 53 2" xfId="13777"/>
    <cellStyle name="Output 3 2 53 3" xfId="22770"/>
    <cellStyle name="Output 3 2 53 4" xfId="30957"/>
    <cellStyle name="Output 3 2 53 5" xfId="40264"/>
    <cellStyle name="Output 3 2 53 6" xfId="44622"/>
    <cellStyle name="Output 3 2 53 7" xfId="51751"/>
    <cellStyle name="Output 3 2 54" xfId="6561"/>
    <cellStyle name="Output 3 2 54 2" xfId="14278"/>
    <cellStyle name="Output 3 2 54 3" xfId="23271"/>
    <cellStyle name="Output 3 2 54 4" xfId="31458"/>
    <cellStyle name="Output 3 2 54 5" xfId="40747"/>
    <cellStyle name="Output 3 2 54 6" xfId="45123"/>
    <cellStyle name="Output 3 2 54 7" xfId="51723"/>
    <cellStyle name="Output 3 2 55" xfId="5067"/>
    <cellStyle name="Output 3 2 55 2" xfId="12784"/>
    <cellStyle name="Output 3 2 55 3" xfId="21777"/>
    <cellStyle name="Output 3 2 55 4" xfId="29964"/>
    <cellStyle name="Output 3 2 55 5" xfId="39307"/>
    <cellStyle name="Output 3 2 55 6" xfId="43629"/>
    <cellStyle name="Output 3 2 55 7" xfId="54309"/>
    <cellStyle name="Output 3 2 56" xfId="5154"/>
    <cellStyle name="Output 3 2 56 2" xfId="12871"/>
    <cellStyle name="Output 3 2 56 3" xfId="21864"/>
    <cellStyle name="Output 3 2 56 4" xfId="30051"/>
    <cellStyle name="Output 3 2 56 5" xfId="39390"/>
    <cellStyle name="Output 3 2 56 6" xfId="43716"/>
    <cellStyle name="Output 3 2 56 7" xfId="48145"/>
    <cellStyle name="Output 3 2 57" xfId="6426"/>
    <cellStyle name="Output 3 2 57 2" xfId="14143"/>
    <cellStyle name="Output 3 2 57 3" xfId="23136"/>
    <cellStyle name="Output 3 2 57 4" xfId="31323"/>
    <cellStyle name="Output 3 2 57 5" xfId="40618"/>
    <cellStyle name="Output 3 2 57 6" xfId="44988"/>
    <cellStyle name="Output 3 2 57 7" xfId="53603"/>
    <cellStyle name="Output 3 2 58" xfId="7327"/>
    <cellStyle name="Output 3 2 58 2" xfId="15044"/>
    <cellStyle name="Output 3 2 58 3" xfId="24037"/>
    <cellStyle name="Output 3 2 58 4" xfId="32224"/>
    <cellStyle name="Output 3 2 58 5" xfId="41480"/>
    <cellStyle name="Output 3 2 58 6" xfId="45889"/>
    <cellStyle name="Output 3 2 58 7" xfId="53653"/>
    <cellStyle name="Output 3 2 59" xfId="7280"/>
    <cellStyle name="Output 3 2 59 2" xfId="14997"/>
    <cellStyle name="Output 3 2 59 3" xfId="23990"/>
    <cellStyle name="Output 3 2 59 4" xfId="32177"/>
    <cellStyle name="Output 3 2 59 5" xfId="41433"/>
    <cellStyle name="Output 3 2 59 6" xfId="45842"/>
    <cellStyle name="Output 3 2 59 7" xfId="51258"/>
    <cellStyle name="Output 3 2 6" xfId="516"/>
    <cellStyle name="Output 3 2 6 10" xfId="1963"/>
    <cellStyle name="Output 3 2 6 10 2" xfId="9786"/>
    <cellStyle name="Output 3 2 6 10 3" xfId="17214"/>
    <cellStyle name="Output 3 2 6 10 4" xfId="20324"/>
    <cellStyle name="Output 3 2 6 10 5" xfId="33126"/>
    <cellStyle name="Output 3 2 6 10 6" xfId="39009"/>
    <cellStyle name="Output 3 2 6 10 7" xfId="50382"/>
    <cellStyle name="Output 3 2 6 11" xfId="2081"/>
    <cellStyle name="Output 3 2 6 11 2" xfId="9904"/>
    <cellStyle name="Output 3 2 6 11 3" xfId="17332"/>
    <cellStyle name="Output 3 2 6 11 4" xfId="24850"/>
    <cellStyle name="Output 3 2 6 11 5" xfId="26876"/>
    <cellStyle name="Output 3 2 6 11 6" xfId="41921"/>
    <cellStyle name="Output 3 2 6 11 7" xfId="49777"/>
    <cellStyle name="Output 3 2 6 12" xfId="2194"/>
    <cellStyle name="Output 3 2 6 12 2" xfId="10017"/>
    <cellStyle name="Output 3 2 6 12 3" xfId="17445"/>
    <cellStyle name="Output 3 2 6 12 4" xfId="26350"/>
    <cellStyle name="Output 3 2 6 12 5" xfId="35077"/>
    <cellStyle name="Output 3 2 6 12 6" xfId="37642"/>
    <cellStyle name="Output 3 2 6 12 7" xfId="53733"/>
    <cellStyle name="Output 3 2 6 13" xfId="2268"/>
    <cellStyle name="Output 3 2 6 13 2" xfId="10091"/>
    <cellStyle name="Output 3 2 6 13 3" xfId="17519"/>
    <cellStyle name="Output 3 2 6 13 4" xfId="19469"/>
    <cellStyle name="Output 3 2 6 13 5" xfId="27687"/>
    <cellStyle name="Output 3 2 6 13 6" xfId="38015"/>
    <cellStyle name="Output 3 2 6 13 7" xfId="48102"/>
    <cellStyle name="Output 3 2 6 14" xfId="1592"/>
    <cellStyle name="Output 3 2 6 14 2" xfId="9415"/>
    <cellStyle name="Output 3 2 6 14 3" xfId="16843"/>
    <cellStyle name="Output 3 2 6 14 4" xfId="25028"/>
    <cellStyle name="Output 3 2 6 14 5" xfId="33383"/>
    <cellStyle name="Output 3 2 6 14 6" xfId="39225"/>
    <cellStyle name="Output 3 2 6 14 7" xfId="50857"/>
    <cellStyle name="Output 3 2 6 15" xfId="2492"/>
    <cellStyle name="Output 3 2 6 15 2" xfId="10315"/>
    <cellStyle name="Output 3 2 6 15 3" xfId="17743"/>
    <cellStyle name="Output 3 2 6 15 4" xfId="25502"/>
    <cellStyle name="Output 3 2 6 15 5" xfId="33980"/>
    <cellStyle name="Output 3 2 6 15 6" xfId="36420"/>
    <cellStyle name="Output 3 2 6 15 7" xfId="51877"/>
    <cellStyle name="Output 3 2 6 16" xfId="2605"/>
    <cellStyle name="Output 3 2 6 16 2" xfId="10428"/>
    <cellStyle name="Output 3 2 6 16 3" xfId="17856"/>
    <cellStyle name="Output 3 2 6 16 4" xfId="19185"/>
    <cellStyle name="Output 3 2 6 16 5" xfId="26921"/>
    <cellStyle name="Output 3 2 6 16 6" xfId="41926"/>
    <cellStyle name="Output 3 2 6 16 7" xfId="49160"/>
    <cellStyle name="Output 3 2 6 17" xfId="2283"/>
    <cellStyle name="Output 3 2 6 17 2" xfId="10106"/>
    <cellStyle name="Output 3 2 6 17 3" xfId="17534"/>
    <cellStyle name="Output 3 2 6 17 4" xfId="25360"/>
    <cellStyle name="Output 3 2 6 17 5" xfId="33798"/>
    <cellStyle name="Output 3 2 6 17 6" xfId="36338"/>
    <cellStyle name="Output 3 2 6 17 7" xfId="51556"/>
    <cellStyle name="Output 3 2 6 18" xfId="2414"/>
    <cellStyle name="Output 3 2 6 18 2" xfId="10237"/>
    <cellStyle name="Output 3 2 6 18 3" xfId="17665"/>
    <cellStyle name="Output 3 2 6 18 4" xfId="25867"/>
    <cellStyle name="Output 3 2 6 18 5" xfId="34456"/>
    <cellStyle name="Output 3 2 6 18 6" xfId="37741"/>
    <cellStyle name="Output 3 2 6 18 7" xfId="52708"/>
    <cellStyle name="Output 3 2 6 19" xfId="2799"/>
    <cellStyle name="Output 3 2 6 19 2" xfId="10622"/>
    <cellStyle name="Output 3 2 6 19 3" xfId="18050"/>
    <cellStyle name="Output 3 2 6 19 4" xfId="25272"/>
    <cellStyle name="Output 3 2 6 19 5" xfId="33682"/>
    <cellStyle name="Output 3 2 6 19 6" xfId="36618"/>
    <cellStyle name="Output 3 2 6 19 7" xfId="51375"/>
    <cellStyle name="Output 3 2 6 2" xfId="667"/>
    <cellStyle name="Output 3 2 6 2 2" xfId="8491"/>
    <cellStyle name="Output 3 2 6 2 3" xfId="8267"/>
    <cellStyle name="Output 3 2 6 2 4" xfId="19339"/>
    <cellStyle name="Output 3 2 6 2 5" xfId="27654"/>
    <cellStyle name="Output 3 2 6 2 6" xfId="38170"/>
    <cellStyle name="Output 3 2 6 2 7" xfId="47498"/>
    <cellStyle name="Output 3 2 6 20" xfId="2906"/>
    <cellStyle name="Output 3 2 6 20 2" xfId="10729"/>
    <cellStyle name="Output 3 2 6 20 3" xfId="18157"/>
    <cellStyle name="Output 3 2 6 20 4" xfId="25489"/>
    <cellStyle name="Output 3 2 6 20 5" xfId="33964"/>
    <cellStyle name="Output 3 2 6 20 6" xfId="37724"/>
    <cellStyle name="Output 3 2 6 20 7" xfId="51848"/>
    <cellStyle name="Output 3 2 6 21" xfId="3282"/>
    <cellStyle name="Output 3 2 6 21 2" xfId="11075"/>
    <cellStyle name="Output 3 2 6 21 3" xfId="18404"/>
    <cellStyle name="Output 3 2 6 21 4" xfId="26378"/>
    <cellStyle name="Output 3 2 6 21 5" xfId="35122"/>
    <cellStyle name="Output 3 2 6 21 6" xfId="41424"/>
    <cellStyle name="Output 3 2 6 21 7" xfId="53806"/>
    <cellStyle name="Output 3 2 6 22" xfId="3402"/>
    <cellStyle name="Output 3 2 6 22 2" xfId="11193"/>
    <cellStyle name="Output 3 2 6 22 3" xfId="18515"/>
    <cellStyle name="Output 3 2 6 22 4" xfId="19995"/>
    <cellStyle name="Output 3 2 6 22 5" xfId="28818"/>
    <cellStyle name="Output 3 2 6 22 6" xfId="36848"/>
    <cellStyle name="Output 3 2 6 22 7" xfId="49977"/>
    <cellStyle name="Output 3 2 6 23" xfId="3041"/>
    <cellStyle name="Output 3 2 6 23 2" xfId="10854"/>
    <cellStyle name="Output 3 2 6 23 3" xfId="18265"/>
    <cellStyle name="Output 3 2 6 23 4" xfId="19030"/>
    <cellStyle name="Output 3 2 6 23 5" xfId="26933"/>
    <cellStyle name="Output 3 2 6 23 6" xfId="37118"/>
    <cellStyle name="Output 3 2 6 23 7" xfId="49114"/>
    <cellStyle name="Output 3 2 6 24" xfId="3672"/>
    <cellStyle name="Output 3 2 6 24 2" xfId="11457"/>
    <cellStyle name="Output 3 2 6 24 3" xfId="18730"/>
    <cellStyle name="Output 3 2 6 24 4" xfId="25703"/>
    <cellStyle name="Output 3 2 6 24 5" xfId="34243"/>
    <cellStyle name="Output 3 2 6 24 6" xfId="38922"/>
    <cellStyle name="Output 3 2 6 24 7" xfId="52319"/>
    <cellStyle name="Output 3 2 6 25" xfId="3803"/>
    <cellStyle name="Output 3 2 6 25 2" xfId="11585"/>
    <cellStyle name="Output 3 2 6 25 3" xfId="18842"/>
    <cellStyle name="Output 3 2 6 25 4" xfId="26520"/>
    <cellStyle name="Output 3 2 6 25 5" xfId="35317"/>
    <cellStyle name="Output 3 2 6 25 6" xfId="41956"/>
    <cellStyle name="Output 3 2 6 25 7" xfId="54109"/>
    <cellStyle name="Output 3 2 6 26" xfId="3920"/>
    <cellStyle name="Output 3 2 6 26 2" xfId="11700"/>
    <cellStyle name="Output 3 2 6 26 3" xfId="18951"/>
    <cellStyle name="Output 3 2 6 26 4" xfId="19552"/>
    <cellStyle name="Output 3 2 6 26 5" xfId="27482"/>
    <cellStyle name="Output 3 2 6 26 6" xfId="37525"/>
    <cellStyle name="Output 3 2 6 26 7" xfId="49350"/>
    <cellStyle name="Output 3 2 6 27" xfId="3988"/>
    <cellStyle name="Output 3 2 6 27 2" xfId="11767"/>
    <cellStyle name="Output 3 2 6 27 3" xfId="20700"/>
    <cellStyle name="Output 3 2 6 27 4" xfId="28889"/>
    <cellStyle name="Output 3 2 6 27 5" xfId="38273"/>
    <cellStyle name="Output 3 2 6 27 6" xfId="42557"/>
    <cellStyle name="Output 3 2 6 27 7" xfId="51016"/>
    <cellStyle name="Output 3 2 6 28" xfId="4117"/>
    <cellStyle name="Output 3 2 6 28 2" xfId="11877"/>
    <cellStyle name="Output 3 2 6 28 3" xfId="20827"/>
    <cellStyle name="Output 3 2 6 28 4" xfId="29014"/>
    <cellStyle name="Output 3 2 6 28 5" xfId="38391"/>
    <cellStyle name="Output 3 2 6 28 6" xfId="42679"/>
    <cellStyle name="Output 3 2 6 28 7" xfId="52850"/>
    <cellStyle name="Output 3 2 6 29" xfId="3013"/>
    <cellStyle name="Output 3 2 6 29 2" xfId="20187"/>
    <cellStyle name="Output 3 2 6 29 3" xfId="28277"/>
    <cellStyle name="Output 3 2 6 29 4" xfId="37658"/>
    <cellStyle name="Output 3 2 6 29 5" xfId="42352"/>
    <cellStyle name="Output 3 2 6 29 6" xfId="52071"/>
    <cellStyle name="Output 3 2 6 3" xfId="774"/>
    <cellStyle name="Output 3 2 6 3 2" xfId="8598"/>
    <cellStyle name="Output 3 2 6 3 3" xfId="16026"/>
    <cellStyle name="Output 3 2 6 3 4" xfId="25716"/>
    <cellStyle name="Output 3 2 6 3 5" xfId="34258"/>
    <cellStyle name="Output 3 2 6 3 6" xfId="36462"/>
    <cellStyle name="Output 3 2 6 3 7" xfId="52349"/>
    <cellStyle name="Output 3 2 6 30" xfId="4314"/>
    <cellStyle name="Output 3 2 6 30 2" xfId="12031"/>
    <cellStyle name="Output 3 2 6 30 3" xfId="21024"/>
    <cellStyle name="Output 3 2 6 30 4" xfId="29211"/>
    <cellStyle name="Output 3 2 6 30 5" xfId="38582"/>
    <cellStyle name="Output 3 2 6 30 6" xfId="42876"/>
    <cellStyle name="Output 3 2 6 30 7" xfId="48012"/>
    <cellStyle name="Output 3 2 6 31" xfId="4437"/>
    <cellStyle name="Output 3 2 6 31 2" xfId="12154"/>
    <cellStyle name="Output 3 2 6 31 3" xfId="21147"/>
    <cellStyle name="Output 3 2 6 31 4" xfId="29334"/>
    <cellStyle name="Output 3 2 6 31 5" xfId="38700"/>
    <cellStyle name="Output 3 2 6 31 6" xfId="42999"/>
    <cellStyle name="Output 3 2 6 31 7" xfId="51550"/>
    <cellStyle name="Output 3 2 6 32" xfId="4551"/>
    <cellStyle name="Output 3 2 6 32 2" xfId="12268"/>
    <cellStyle name="Output 3 2 6 32 3" xfId="21261"/>
    <cellStyle name="Output 3 2 6 32 4" xfId="29448"/>
    <cellStyle name="Output 3 2 6 32 5" xfId="38809"/>
    <cellStyle name="Output 3 2 6 32 6" xfId="43113"/>
    <cellStyle name="Output 3 2 6 32 7" xfId="48370"/>
    <cellStyle name="Output 3 2 6 33" xfId="4664"/>
    <cellStyle name="Output 3 2 6 33 2" xfId="12381"/>
    <cellStyle name="Output 3 2 6 33 3" xfId="21374"/>
    <cellStyle name="Output 3 2 6 33 4" xfId="29561"/>
    <cellStyle name="Output 3 2 6 33 5" xfId="38918"/>
    <cellStyle name="Output 3 2 6 33 6" xfId="43226"/>
    <cellStyle name="Output 3 2 6 33 7" xfId="50646"/>
    <cellStyle name="Output 3 2 6 34" xfId="4776"/>
    <cellStyle name="Output 3 2 6 34 2" xfId="12493"/>
    <cellStyle name="Output 3 2 6 34 3" xfId="21486"/>
    <cellStyle name="Output 3 2 6 34 4" xfId="29673"/>
    <cellStyle name="Output 3 2 6 34 5" xfId="39027"/>
    <cellStyle name="Output 3 2 6 34 6" xfId="43338"/>
    <cellStyle name="Output 3 2 6 34 7" xfId="48204"/>
    <cellStyle name="Output 3 2 6 35" xfId="4884"/>
    <cellStyle name="Output 3 2 6 35 2" xfId="12601"/>
    <cellStyle name="Output 3 2 6 35 3" xfId="21594"/>
    <cellStyle name="Output 3 2 6 35 4" xfId="29781"/>
    <cellStyle name="Output 3 2 6 35 5" xfId="39130"/>
    <cellStyle name="Output 3 2 6 35 6" xfId="43446"/>
    <cellStyle name="Output 3 2 6 35 7" xfId="49962"/>
    <cellStyle name="Output 3 2 6 36" xfId="4996"/>
    <cellStyle name="Output 3 2 6 36 2" xfId="12713"/>
    <cellStyle name="Output 3 2 6 36 3" xfId="21706"/>
    <cellStyle name="Output 3 2 6 36 4" xfId="29893"/>
    <cellStyle name="Output 3 2 6 36 5" xfId="39239"/>
    <cellStyle name="Output 3 2 6 36 6" xfId="43558"/>
    <cellStyle name="Output 3 2 6 36 7" xfId="54420"/>
    <cellStyle name="Output 3 2 6 37" xfId="5117"/>
    <cellStyle name="Output 3 2 6 37 2" xfId="12834"/>
    <cellStyle name="Output 3 2 6 37 3" xfId="21827"/>
    <cellStyle name="Output 3 2 6 37 4" xfId="30014"/>
    <cellStyle name="Output 3 2 6 37 5" xfId="39355"/>
    <cellStyle name="Output 3 2 6 37 6" xfId="43679"/>
    <cellStyle name="Output 3 2 6 37 7" xfId="49236"/>
    <cellStyle name="Output 3 2 6 38" xfId="5494"/>
    <cellStyle name="Output 3 2 6 38 2" xfId="13211"/>
    <cellStyle name="Output 3 2 6 38 3" xfId="22204"/>
    <cellStyle name="Output 3 2 6 38 4" xfId="30391"/>
    <cellStyle name="Output 3 2 6 38 5" xfId="39716"/>
    <cellStyle name="Output 3 2 6 38 6" xfId="44056"/>
    <cellStyle name="Output 3 2 6 38 7" xfId="49255"/>
    <cellStyle name="Output 3 2 6 39" xfId="5619"/>
    <cellStyle name="Output 3 2 6 39 2" xfId="13336"/>
    <cellStyle name="Output 3 2 6 39 3" xfId="22329"/>
    <cellStyle name="Output 3 2 6 39 4" xfId="30516"/>
    <cellStyle name="Output 3 2 6 39 5" xfId="39837"/>
    <cellStyle name="Output 3 2 6 39 6" xfId="44181"/>
    <cellStyle name="Output 3 2 6 39 7" xfId="47126"/>
    <cellStyle name="Output 3 2 6 4" xfId="886"/>
    <cellStyle name="Output 3 2 6 4 2" xfId="8710"/>
    <cellStyle name="Output 3 2 6 4 3" xfId="16138"/>
    <cellStyle name="Output 3 2 6 4 4" xfId="26526"/>
    <cellStyle name="Output 3 2 6 4 5" xfId="35326"/>
    <cellStyle name="Output 3 2 6 4 6" xfId="38190"/>
    <cellStyle name="Output 3 2 6 4 7" xfId="54127"/>
    <cellStyle name="Output 3 2 6 40" xfId="5734"/>
    <cellStyle name="Output 3 2 6 40 2" xfId="13451"/>
    <cellStyle name="Output 3 2 6 40 3" xfId="22444"/>
    <cellStyle name="Output 3 2 6 40 4" xfId="30631"/>
    <cellStyle name="Output 3 2 6 40 5" xfId="39948"/>
    <cellStyle name="Output 3 2 6 40 6" xfId="44296"/>
    <cellStyle name="Output 3 2 6 40 7" xfId="53933"/>
    <cellStyle name="Output 3 2 6 41" xfId="5851"/>
    <cellStyle name="Output 3 2 6 41 2" xfId="13568"/>
    <cellStyle name="Output 3 2 6 41 3" xfId="22561"/>
    <cellStyle name="Output 3 2 6 41 4" xfId="30748"/>
    <cellStyle name="Output 3 2 6 41 5" xfId="40062"/>
    <cellStyle name="Output 3 2 6 41 6" xfId="44413"/>
    <cellStyle name="Output 3 2 6 41 7" xfId="54439"/>
    <cellStyle name="Output 3 2 6 42" xfId="5979"/>
    <cellStyle name="Output 3 2 6 42 2" xfId="13696"/>
    <cellStyle name="Output 3 2 6 42 3" xfId="22689"/>
    <cellStyle name="Output 3 2 6 42 4" xfId="30876"/>
    <cellStyle name="Output 3 2 6 42 5" xfId="40185"/>
    <cellStyle name="Output 3 2 6 42 6" xfId="44541"/>
    <cellStyle name="Output 3 2 6 42 7" xfId="49291"/>
    <cellStyle name="Output 3 2 6 43" xfId="5095"/>
    <cellStyle name="Output 3 2 6 43 2" xfId="12812"/>
    <cellStyle name="Output 3 2 6 43 3" xfId="21805"/>
    <cellStyle name="Output 3 2 6 43 4" xfId="29992"/>
    <cellStyle name="Output 3 2 6 43 5" xfId="39334"/>
    <cellStyle name="Output 3 2 6 43 6" xfId="43657"/>
    <cellStyle name="Output 3 2 6 43 7" xfId="51401"/>
    <cellStyle name="Output 3 2 6 44" xfId="6235"/>
    <cellStyle name="Output 3 2 6 44 2" xfId="13952"/>
    <cellStyle name="Output 3 2 6 44 3" xfId="22945"/>
    <cellStyle name="Output 3 2 6 44 4" xfId="31132"/>
    <cellStyle name="Output 3 2 6 44 5" xfId="40433"/>
    <cellStyle name="Output 3 2 6 44 6" xfId="44797"/>
    <cellStyle name="Output 3 2 6 44 7" xfId="51982"/>
    <cellStyle name="Output 3 2 6 45" xfId="6352"/>
    <cellStyle name="Output 3 2 6 45 2" xfId="14069"/>
    <cellStyle name="Output 3 2 6 45 3" xfId="23062"/>
    <cellStyle name="Output 3 2 6 45 4" xfId="31249"/>
    <cellStyle name="Output 3 2 6 45 5" xfId="40547"/>
    <cellStyle name="Output 3 2 6 45 6" xfId="44914"/>
    <cellStyle name="Output 3 2 6 45 7" xfId="47324"/>
    <cellStyle name="Output 3 2 6 46" xfId="6462"/>
    <cellStyle name="Output 3 2 6 46 2" xfId="14179"/>
    <cellStyle name="Output 3 2 6 46 3" xfId="23172"/>
    <cellStyle name="Output 3 2 6 46 4" xfId="31359"/>
    <cellStyle name="Output 3 2 6 46 5" xfId="40653"/>
    <cellStyle name="Output 3 2 6 46 6" xfId="45024"/>
    <cellStyle name="Output 3 2 6 46 7" xfId="49513"/>
    <cellStyle name="Output 3 2 6 47" xfId="6534"/>
    <cellStyle name="Output 3 2 6 47 2" xfId="14251"/>
    <cellStyle name="Output 3 2 6 47 3" xfId="23244"/>
    <cellStyle name="Output 3 2 6 47 4" xfId="31431"/>
    <cellStyle name="Output 3 2 6 47 5" xfId="40722"/>
    <cellStyle name="Output 3 2 6 47 6" xfId="45096"/>
    <cellStyle name="Output 3 2 6 47 7" xfId="50183"/>
    <cellStyle name="Output 3 2 6 48" xfId="6609"/>
    <cellStyle name="Output 3 2 6 48 2" xfId="14326"/>
    <cellStyle name="Output 3 2 6 48 3" xfId="23319"/>
    <cellStyle name="Output 3 2 6 48 4" xfId="31506"/>
    <cellStyle name="Output 3 2 6 48 5" xfId="40793"/>
    <cellStyle name="Output 3 2 6 48 6" xfId="45171"/>
    <cellStyle name="Output 3 2 6 48 7" xfId="50029"/>
    <cellStyle name="Output 3 2 6 49" xfId="6720"/>
    <cellStyle name="Output 3 2 6 49 2" xfId="14437"/>
    <cellStyle name="Output 3 2 6 49 3" xfId="23430"/>
    <cellStyle name="Output 3 2 6 49 4" xfId="31617"/>
    <cellStyle name="Output 3 2 6 49 5" xfId="40898"/>
    <cellStyle name="Output 3 2 6 49 6" xfId="45282"/>
    <cellStyle name="Output 3 2 6 49 7" xfId="53115"/>
    <cellStyle name="Output 3 2 6 5" xfId="1351"/>
    <cellStyle name="Output 3 2 6 5 2" xfId="9174"/>
    <cellStyle name="Output 3 2 6 5 3" xfId="16602"/>
    <cellStyle name="Output 3 2 6 5 4" xfId="19245"/>
    <cellStyle name="Output 3 2 6 5 5" xfId="28240"/>
    <cellStyle name="Output 3 2 6 5 6" xfId="41582"/>
    <cellStyle name="Output 3 2 6 5 7" xfId="48805"/>
    <cellStyle name="Output 3 2 6 50" xfId="6835"/>
    <cellStyle name="Output 3 2 6 50 2" xfId="14552"/>
    <cellStyle name="Output 3 2 6 50 3" xfId="23545"/>
    <cellStyle name="Output 3 2 6 50 4" xfId="31732"/>
    <cellStyle name="Output 3 2 6 50 5" xfId="41006"/>
    <cellStyle name="Output 3 2 6 50 6" xfId="45397"/>
    <cellStyle name="Output 3 2 6 50 7" xfId="47914"/>
    <cellStyle name="Output 3 2 6 51" xfId="6948"/>
    <cellStyle name="Output 3 2 6 51 2" xfId="14665"/>
    <cellStyle name="Output 3 2 6 51 3" xfId="23658"/>
    <cellStyle name="Output 3 2 6 51 4" xfId="31845"/>
    <cellStyle name="Output 3 2 6 51 5" xfId="41114"/>
    <cellStyle name="Output 3 2 6 51 6" xfId="45510"/>
    <cellStyle name="Output 3 2 6 51 7" xfId="46927"/>
    <cellStyle name="Output 3 2 6 52" xfId="7060"/>
    <cellStyle name="Output 3 2 6 52 2" xfId="14777"/>
    <cellStyle name="Output 3 2 6 52 3" xfId="23770"/>
    <cellStyle name="Output 3 2 6 52 4" xfId="31957"/>
    <cellStyle name="Output 3 2 6 52 5" xfId="41220"/>
    <cellStyle name="Output 3 2 6 52 6" xfId="45622"/>
    <cellStyle name="Output 3 2 6 52 7" xfId="53256"/>
    <cellStyle name="Output 3 2 6 53" xfId="7366"/>
    <cellStyle name="Output 3 2 6 53 2" xfId="15083"/>
    <cellStyle name="Output 3 2 6 53 3" xfId="24076"/>
    <cellStyle name="Output 3 2 6 53 4" xfId="32263"/>
    <cellStyle name="Output 3 2 6 53 5" xfId="41519"/>
    <cellStyle name="Output 3 2 6 53 6" xfId="45928"/>
    <cellStyle name="Output 3 2 6 53 7" xfId="49483"/>
    <cellStyle name="Output 3 2 6 54" xfId="7264"/>
    <cellStyle name="Output 3 2 6 54 2" xfId="14981"/>
    <cellStyle name="Output 3 2 6 54 3" xfId="23974"/>
    <cellStyle name="Output 3 2 6 54 4" xfId="32161"/>
    <cellStyle name="Output 3 2 6 54 5" xfId="41417"/>
    <cellStyle name="Output 3 2 6 54 6" xfId="45826"/>
    <cellStyle name="Output 3 2 6 54 7" xfId="53089"/>
    <cellStyle name="Output 3 2 6 55" xfId="7457"/>
    <cellStyle name="Output 3 2 6 55 2" xfId="15174"/>
    <cellStyle name="Output 3 2 6 55 3" xfId="24167"/>
    <cellStyle name="Output 3 2 6 55 4" xfId="32354"/>
    <cellStyle name="Output 3 2 6 55 5" xfId="41603"/>
    <cellStyle name="Output 3 2 6 55 6" xfId="46019"/>
    <cellStyle name="Output 3 2 6 55 7" xfId="48557"/>
    <cellStyle name="Output 3 2 6 56" xfId="7578"/>
    <cellStyle name="Output 3 2 6 56 2" xfId="15295"/>
    <cellStyle name="Output 3 2 6 56 3" xfId="24288"/>
    <cellStyle name="Output 3 2 6 56 4" xfId="32475"/>
    <cellStyle name="Output 3 2 6 56 5" xfId="41718"/>
    <cellStyle name="Output 3 2 6 56 6" xfId="46140"/>
    <cellStyle name="Output 3 2 6 56 7" xfId="49357"/>
    <cellStyle name="Output 3 2 6 57" xfId="7854"/>
    <cellStyle name="Output 3 2 6 57 2" xfId="15571"/>
    <cellStyle name="Output 3 2 6 57 3" xfId="24558"/>
    <cellStyle name="Output 3 2 6 57 4" xfId="32751"/>
    <cellStyle name="Output 3 2 6 57 5" xfId="41983"/>
    <cellStyle name="Output 3 2 6 57 6" xfId="46416"/>
    <cellStyle name="Output 3 2 6 57 7" xfId="50331"/>
    <cellStyle name="Output 3 2 6 58" xfId="7722"/>
    <cellStyle name="Output 3 2 6 58 2" xfId="15439"/>
    <cellStyle name="Output 3 2 6 58 3" xfId="24430"/>
    <cellStyle name="Output 3 2 6 58 4" xfId="32619"/>
    <cellStyle name="Output 3 2 6 58 5" xfId="41856"/>
    <cellStyle name="Output 3 2 6 58 6" xfId="46284"/>
    <cellStyle name="Output 3 2 6 58 7" xfId="49469"/>
    <cellStyle name="Output 3 2 6 59" xfId="8056"/>
    <cellStyle name="Output 3 2 6 59 2" xfId="15773"/>
    <cellStyle name="Output 3 2 6 59 3" xfId="24758"/>
    <cellStyle name="Output 3 2 6 59 4" xfId="32953"/>
    <cellStyle name="Output 3 2 6 59 5" xfId="42178"/>
    <cellStyle name="Output 3 2 6 59 6" xfId="46618"/>
    <cellStyle name="Output 3 2 6 59 7" xfId="51262"/>
    <cellStyle name="Output 3 2 6 6" xfId="1474"/>
    <cellStyle name="Output 3 2 6 6 2" xfId="9297"/>
    <cellStyle name="Output 3 2 6 6 3" xfId="16725"/>
    <cellStyle name="Output 3 2 6 6 4" xfId="26614"/>
    <cellStyle name="Output 3 2 6 6 5" xfId="35443"/>
    <cellStyle name="Output 3 2 6 6 6" xfId="37140"/>
    <cellStyle name="Output 3 2 6 6 7" xfId="54315"/>
    <cellStyle name="Output 3 2 6 60" xfId="8130"/>
    <cellStyle name="Output 3 2 6 60 2" xfId="15847"/>
    <cellStyle name="Output 3 2 6 60 3" xfId="33027"/>
    <cellStyle name="Output 3 2 6 60 4" xfId="42247"/>
    <cellStyle name="Output 3 2 6 60 5" xfId="46692"/>
    <cellStyle name="Output 3 2 6 60 6" xfId="50870"/>
    <cellStyle name="Output 3 2 6 61" xfId="19058"/>
    <cellStyle name="Output 3 2 6 62" xfId="33170"/>
    <cellStyle name="Output 3 2 6 63" xfId="37344"/>
    <cellStyle name="Output 3 2 6 64" xfId="50475"/>
    <cellStyle name="Output 3 2 6 7" xfId="1226"/>
    <cellStyle name="Output 3 2 6 7 2" xfId="9049"/>
    <cellStyle name="Output 3 2 6 7 3" xfId="16477"/>
    <cellStyle name="Output 3 2 6 7 4" xfId="20514"/>
    <cellStyle name="Output 3 2 6 7 5" xfId="26954"/>
    <cellStyle name="Output 3 2 6 7 6" xfId="38480"/>
    <cellStyle name="Output 3 2 6 7 7" xfId="49071"/>
    <cellStyle name="Output 3 2 6 8" xfId="1711"/>
    <cellStyle name="Output 3 2 6 8 2" xfId="9534"/>
    <cellStyle name="Output 3 2 6 8 3" xfId="16962"/>
    <cellStyle name="Output 3 2 6 8 4" xfId="20070"/>
    <cellStyle name="Output 3 2 6 8 5" xfId="28726"/>
    <cellStyle name="Output 3 2 6 8 6" xfId="37788"/>
    <cellStyle name="Output 3 2 6 8 7" xfId="48084"/>
    <cellStyle name="Output 3 2 6 9" xfId="1845"/>
    <cellStyle name="Output 3 2 6 9 2" xfId="9668"/>
    <cellStyle name="Output 3 2 6 9 3" xfId="17096"/>
    <cellStyle name="Output 3 2 6 9 4" xfId="26389"/>
    <cellStyle name="Output 3 2 6 9 5" xfId="35137"/>
    <cellStyle name="Output 3 2 6 9 6" xfId="37119"/>
    <cellStyle name="Output 3 2 6 9 7" xfId="53827"/>
    <cellStyle name="Output 3 2 60" xfId="7301"/>
    <cellStyle name="Output 3 2 60 2" xfId="15018"/>
    <cellStyle name="Output 3 2 60 3" xfId="24011"/>
    <cellStyle name="Output 3 2 60 4" xfId="32198"/>
    <cellStyle name="Output 3 2 60 5" xfId="41454"/>
    <cellStyle name="Output 3 2 60 6" xfId="45863"/>
    <cellStyle name="Output 3 2 60 7" xfId="47872"/>
    <cellStyle name="Output 3 2 61" xfId="7534"/>
    <cellStyle name="Output 3 2 61 2" xfId="15251"/>
    <cellStyle name="Output 3 2 61 3" xfId="24244"/>
    <cellStyle name="Output 3 2 61 4" xfId="32431"/>
    <cellStyle name="Output 3 2 61 5" xfId="41677"/>
    <cellStyle name="Output 3 2 61 6" xfId="46096"/>
    <cellStyle name="Output 3 2 61 7" xfId="54199"/>
    <cellStyle name="Output 3 2 62" xfId="7735"/>
    <cellStyle name="Output 3 2 62 2" xfId="15452"/>
    <cellStyle name="Output 3 2 62 3" xfId="24443"/>
    <cellStyle name="Output 3 2 62 4" xfId="32632"/>
    <cellStyle name="Output 3 2 62 5" xfId="41868"/>
    <cellStyle name="Output 3 2 62 6" xfId="46297"/>
    <cellStyle name="Output 3 2 62 7" xfId="48500"/>
    <cellStyle name="Output 3 2 63" xfId="7808"/>
    <cellStyle name="Output 3 2 63 2" xfId="15525"/>
    <cellStyle name="Output 3 2 63 3" xfId="24512"/>
    <cellStyle name="Output 3 2 63 4" xfId="32705"/>
    <cellStyle name="Output 3 2 63 5" xfId="41940"/>
    <cellStyle name="Output 3 2 63 6" xfId="46370"/>
    <cellStyle name="Output 3 2 63 7" xfId="54097"/>
    <cellStyle name="Output 3 2 64" xfId="7757"/>
    <cellStyle name="Output 3 2 64 2" xfId="15474"/>
    <cellStyle name="Output 3 2 64 3" xfId="24465"/>
    <cellStyle name="Output 3 2 64 4" xfId="32654"/>
    <cellStyle name="Output 3 2 64 5" xfId="41890"/>
    <cellStyle name="Output 3 2 64 6" xfId="46319"/>
    <cellStyle name="Output 3 2 64 7" xfId="51781"/>
    <cellStyle name="Output 3 2 65" xfId="7971"/>
    <cellStyle name="Output 3 2 65 2" xfId="15688"/>
    <cellStyle name="Output 3 2 65 3" xfId="32868"/>
    <cellStyle name="Output 3 2 65 4" xfId="42095"/>
    <cellStyle name="Output 3 2 65 5" xfId="46533"/>
    <cellStyle name="Output 3 2 65 6" xfId="53026"/>
    <cellStyle name="Output 3 2 66" xfId="26539"/>
    <cellStyle name="Output 3 2 67" xfId="35339"/>
    <cellStyle name="Output 3 2 68" xfId="36290"/>
    <cellStyle name="Output 3 2 69" xfId="54146"/>
    <cellStyle name="Output 3 2 7" xfId="602"/>
    <cellStyle name="Output 3 2 7 2" xfId="8426"/>
    <cellStyle name="Output 3 2 7 3" xfId="8405"/>
    <cellStyle name="Output 3 2 7 4" xfId="19338"/>
    <cellStyle name="Output 3 2 7 5" xfId="27197"/>
    <cellStyle name="Output 3 2 7 6" xfId="36899"/>
    <cellStyle name="Output 3 2 7 7" xfId="48757"/>
    <cellStyle name="Output 3 2 8" xfId="248"/>
    <cellStyle name="Output 3 2 8 2" xfId="8348"/>
    <cellStyle name="Output 3 2 8 3" xfId="8366"/>
    <cellStyle name="Output 3 2 8 4" xfId="25986"/>
    <cellStyle name="Output 3 2 8 5" xfId="34607"/>
    <cellStyle name="Output 3 2 8 6" xfId="37161"/>
    <cellStyle name="Output 3 2 8 7" xfId="52968"/>
    <cellStyle name="Output 3 2 9" xfId="845"/>
    <cellStyle name="Output 3 2 9 2" xfId="8669"/>
    <cellStyle name="Output 3 2 9 3" xfId="16097"/>
    <cellStyle name="Output 3 2 9 4" xfId="25238"/>
    <cellStyle name="Output 3 2 9 5" xfId="33642"/>
    <cellStyle name="Output 3 2 9 6" xfId="36676"/>
    <cellStyle name="Output 3 2 9 7" xfId="51296"/>
    <cellStyle name="Output 3 20" xfId="4065"/>
    <cellStyle name="Output 3 20 2" xfId="11831"/>
    <cellStyle name="Output 3 20 3" xfId="20775"/>
    <cellStyle name="Output 3 20 4" xfId="28962"/>
    <cellStyle name="Output 3 20 5" xfId="38341"/>
    <cellStyle name="Output 3 20 6" xfId="42627"/>
    <cellStyle name="Output 3 20 7" xfId="50738"/>
    <cellStyle name="Output 3 21" xfId="3084"/>
    <cellStyle name="Output 3 21 2" xfId="10891"/>
    <cellStyle name="Output 3 21 3" xfId="20245"/>
    <cellStyle name="Output 3 21 4" xfId="28335"/>
    <cellStyle name="Output 3 21 5" xfId="37715"/>
    <cellStyle name="Output 3 21 6" xfId="42392"/>
    <cellStyle name="Output 3 21 7" xfId="52326"/>
    <cellStyle name="Output 3 22" xfId="2999"/>
    <cellStyle name="Output 3 22 2" xfId="10818"/>
    <cellStyle name="Output 3 22 3" xfId="20180"/>
    <cellStyle name="Output 3 22 4" xfId="28266"/>
    <cellStyle name="Output 3 22 5" xfId="37651"/>
    <cellStyle name="Output 3 22 6" xfId="42347"/>
    <cellStyle name="Output 3 22 7" xfId="53321"/>
    <cellStyle name="Output 3 23" xfId="5102"/>
    <cellStyle name="Output 3 23 2" xfId="12819"/>
    <cellStyle name="Output 3 23 3" xfId="21812"/>
    <cellStyle name="Output 3 23 4" xfId="29999"/>
    <cellStyle name="Output 3 23 5" xfId="39340"/>
    <cellStyle name="Output 3 23 6" xfId="43664"/>
    <cellStyle name="Output 3 23 7" xfId="47507"/>
    <cellStyle name="Output 3 24" xfId="5091"/>
    <cellStyle name="Output 3 24 2" xfId="12808"/>
    <cellStyle name="Output 3 24 3" xfId="21801"/>
    <cellStyle name="Output 3 24 4" xfId="29988"/>
    <cellStyle name="Output 3 24 5" xfId="39331"/>
    <cellStyle name="Output 3 24 6" xfId="43653"/>
    <cellStyle name="Output 3 24 7" xfId="47613"/>
    <cellStyle name="Output 3 25" xfId="5203"/>
    <cellStyle name="Output 3 25 2" xfId="12920"/>
    <cellStyle name="Output 3 25 3" xfId="21913"/>
    <cellStyle name="Output 3 25 4" xfId="30100"/>
    <cellStyle name="Output 3 25 5" xfId="39437"/>
    <cellStyle name="Output 3 25 6" xfId="43765"/>
    <cellStyle name="Output 3 25 7" xfId="49110"/>
    <cellStyle name="Output 3 26" xfId="5224"/>
    <cellStyle name="Output 3 26 2" xfId="12941"/>
    <cellStyle name="Output 3 26 3" xfId="21934"/>
    <cellStyle name="Output 3 26 4" xfId="30121"/>
    <cellStyle name="Output 3 26 5" xfId="39456"/>
    <cellStyle name="Output 3 26 6" xfId="43786"/>
    <cellStyle name="Output 3 26 7" xfId="53996"/>
    <cellStyle name="Output 3 27" xfId="5216"/>
    <cellStyle name="Output 3 27 2" xfId="12933"/>
    <cellStyle name="Output 3 27 3" xfId="21926"/>
    <cellStyle name="Output 3 27 4" xfId="30113"/>
    <cellStyle name="Output 3 27 5" xfId="39448"/>
    <cellStyle name="Output 3 27 6" xfId="43778"/>
    <cellStyle name="Output 3 27 7" xfId="52618"/>
    <cellStyle name="Output 3 28" xfId="6647"/>
    <cellStyle name="Output 3 28 2" xfId="14364"/>
    <cellStyle name="Output 3 28 3" xfId="23357"/>
    <cellStyle name="Output 3 28 4" xfId="31544"/>
    <cellStyle name="Output 3 28 5" xfId="40830"/>
    <cellStyle name="Output 3 28 6" xfId="45209"/>
    <cellStyle name="Output 3 28 7" xfId="53396"/>
    <cellStyle name="Output 3 29" xfId="7296"/>
    <cellStyle name="Output 3 29 2" xfId="15013"/>
    <cellStyle name="Output 3 29 3" xfId="24006"/>
    <cellStyle name="Output 3 29 4" xfId="32193"/>
    <cellStyle name="Output 3 29 5" xfId="41449"/>
    <cellStyle name="Output 3 29 6" xfId="45858"/>
    <cellStyle name="Output 3 29 7" xfId="49486"/>
    <cellStyle name="Output 3 3" xfId="514"/>
    <cellStyle name="Output 3 3 10" xfId="1961"/>
    <cellStyle name="Output 3 3 10 2" xfId="9784"/>
    <cellStyle name="Output 3 3 10 3" xfId="17212"/>
    <cellStyle name="Output 3 3 10 4" xfId="24909"/>
    <cellStyle name="Output 3 3 10 5" xfId="33232"/>
    <cellStyle name="Output 3 3 10 6" xfId="39220"/>
    <cellStyle name="Output 3 3 10 7" xfId="50585"/>
    <cellStyle name="Output 3 3 11" xfId="2079"/>
    <cellStyle name="Output 3 3 11 2" xfId="9902"/>
    <cellStyle name="Output 3 3 11 3" xfId="17330"/>
    <cellStyle name="Output 3 3 11 4" xfId="25001"/>
    <cellStyle name="Output 3 3 11 5" xfId="33352"/>
    <cellStyle name="Output 3 3 11 6" xfId="41850"/>
    <cellStyle name="Output 3 3 11 7" xfId="50799"/>
    <cellStyle name="Output 3 3 12" xfId="2192"/>
    <cellStyle name="Output 3 3 12 2" xfId="10015"/>
    <cellStyle name="Output 3 3 12 3" xfId="17443"/>
    <cellStyle name="Output 3 3 12 4" xfId="26409"/>
    <cellStyle name="Output 3 3 12 5" xfId="35167"/>
    <cellStyle name="Output 3 3 12 6" xfId="38168"/>
    <cellStyle name="Output 3 3 12 7" xfId="53872"/>
    <cellStyle name="Output 3 3 13" xfId="1020"/>
    <cellStyle name="Output 3 3 13 2" xfId="8844"/>
    <cellStyle name="Output 3 3 13 3" xfId="16272"/>
    <cellStyle name="Output 3 3 13 4" xfId="19951"/>
    <cellStyle name="Output 3 3 13 5" xfId="27845"/>
    <cellStyle name="Output 3 3 13 6" xfId="37756"/>
    <cellStyle name="Output 3 3 13 7" xfId="48604"/>
    <cellStyle name="Output 3 3 14" xfId="1208"/>
    <cellStyle name="Output 3 3 14 2" xfId="9031"/>
    <cellStyle name="Output 3 3 14 3" xfId="16459"/>
    <cellStyle name="Output 3 3 14 4" xfId="25039"/>
    <cellStyle name="Output 3 3 14 5" xfId="33397"/>
    <cellStyle name="Output 3 3 14 6" xfId="40588"/>
    <cellStyle name="Output 3 3 14 7" xfId="50878"/>
    <cellStyle name="Output 3 3 15" xfId="2490"/>
    <cellStyle name="Output 3 3 15 2" xfId="10313"/>
    <cellStyle name="Output 3 3 15 3" xfId="17741"/>
    <cellStyle name="Output 3 3 15 4" xfId="25606"/>
    <cellStyle name="Output 3 3 15 5" xfId="34117"/>
    <cellStyle name="Output 3 3 15 6" xfId="37867"/>
    <cellStyle name="Output 3 3 15 7" xfId="52104"/>
    <cellStyle name="Output 3 3 16" xfId="2603"/>
    <cellStyle name="Output 3 3 16 2" xfId="10426"/>
    <cellStyle name="Output 3 3 16 3" xfId="17854"/>
    <cellStyle name="Output 3 3 16 4" xfId="20433"/>
    <cellStyle name="Output 3 3 16 5" xfId="28874"/>
    <cellStyle name="Output 3 3 16 6" xfId="41861"/>
    <cellStyle name="Output 3 3 16 7" xfId="48395"/>
    <cellStyle name="Output 3 3 17" xfId="1162"/>
    <cellStyle name="Output 3 3 17 2" xfId="8985"/>
    <cellStyle name="Output 3 3 17 3" xfId="16413"/>
    <cellStyle name="Output 3 3 17 4" xfId="19240"/>
    <cellStyle name="Output 3 3 17 5" xfId="27535"/>
    <cellStyle name="Output 3 3 17 6" xfId="38614"/>
    <cellStyle name="Output 3 3 17 7" xfId="49670"/>
    <cellStyle name="Output 3 3 18" xfId="2434"/>
    <cellStyle name="Output 3 3 18 2" xfId="10257"/>
    <cellStyle name="Output 3 3 18 3" xfId="17685"/>
    <cellStyle name="Output 3 3 18 4" xfId="24884"/>
    <cellStyle name="Output 3 3 18 5" xfId="33198"/>
    <cellStyle name="Output 3 3 18 6" xfId="36334"/>
    <cellStyle name="Output 3 3 18 7" xfId="50527"/>
    <cellStyle name="Output 3 3 19" xfId="2797"/>
    <cellStyle name="Output 3 3 19 2" xfId="10620"/>
    <cellStyle name="Output 3 3 19 3" xfId="18048"/>
    <cellStyle name="Output 3 3 19 4" xfId="25399"/>
    <cellStyle name="Output 3 3 19 5" xfId="33851"/>
    <cellStyle name="Output 3 3 19 6" xfId="37562"/>
    <cellStyle name="Output 3 3 19 7" xfId="51640"/>
    <cellStyle name="Output 3 3 2" xfId="665"/>
    <cellStyle name="Output 3 3 2 2" xfId="8489"/>
    <cellStyle name="Output 3 3 2 3" xfId="8269"/>
    <cellStyle name="Output 3 3 2 4" xfId="25079"/>
    <cellStyle name="Output 3 3 2 5" xfId="33440"/>
    <cellStyle name="Output 3 3 2 6" xfId="36465"/>
    <cellStyle name="Output 3 3 2 7" xfId="50967"/>
    <cellStyle name="Output 3 3 20" xfId="2904"/>
    <cellStyle name="Output 3 3 20 2" xfId="10727"/>
    <cellStyle name="Output 3 3 20 3" xfId="18155"/>
    <cellStyle name="Output 3 3 20 4" xfId="25459"/>
    <cellStyle name="Output 3 3 20 5" xfId="33924"/>
    <cellStyle name="Output 3 3 20 6" xfId="38077"/>
    <cellStyle name="Output 3 3 20 7" xfId="51777"/>
    <cellStyle name="Output 3 3 21" xfId="3280"/>
    <cellStyle name="Output 3 3 21 2" xfId="11073"/>
    <cellStyle name="Output 3 3 21 3" xfId="18402"/>
    <cellStyle name="Output 3 3 21 4" xfId="26554"/>
    <cellStyle name="Output 3 3 21 5" xfId="35363"/>
    <cellStyle name="Output 3 3 21 6" xfId="41753"/>
    <cellStyle name="Output 3 3 21 7" xfId="54184"/>
    <cellStyle name="Output 3 3 22" xfId="3400"/>
    <cellStyle name="Output 3 3 22 2" xfId="11191"/>
    <cellStyle name="Output 3 3 22 3" xfId="18513"/>
    <cellStyle name="Output 3 3 22 4" xfId="20454"/>
    <cellStyle name="Output 3 3 22 5" xfId="27438"/>
    <cellStyle name="Output 3 3 22 6" xfId="37402"/>
    <cellStyle name="Output 3 3 22 7" xfId="50129"/>
    <cellStyle name="Output 3 3 23" xfId="3131"/>
    <cellStyle name="Output 3 3 23 2" xfId="10936"/>
    <cellStyle name="Output 3 3 23 3" xfId="18314"/>
    <cellStyle name="Output 3 3 23 4" xfId="19439"/>
    <cellStyle name="Output 3 3 23 5" xfId="27896"/>
    <cellStyle name="Output 3 3 23 6" xfId="42062"/>
    <cellStyle name="Output 3 3 23 7" xfId="47013"/>
    <cellStyle name="Output 3 3 24" xfId="3670"/>
    <cellStyle name="Output 3 3 24 2" xfId="11455"/>
    <cellStyle name="Output 3 3 24 3" xfId="18728"/>
    <cellStyle name="Output 3 3 24 4" xfId="25791"/>
    <cellStyle name="Output 3 3 24 5" xfId="34361"/>
    <cellStyle name="Output 3 3 24 6" xfId="39134"/>
    <cellStyle name="Output 3 3 24 7" xfId="52536"/>
    <cellStyle name="Output 3 3 25" xfId="3801"/>
    <cellStyle name="Output 3 3 25 2" xfId="11583"/>
    <cellStyle name="Output 3 3 25 3" xfId="18840"/>
    <cellStyle name="Output 3 3 25 4" xfId="26507"/>
    <cellStyle name="Output 3 3 25 5" xfId="35301"/>
    <cellStyle name="Output 3 3 25 6" xfId="42020"/>
    <cellStyle name="Output 3 3 25 7" xfId="54086"/>
    <cellStyle name="Output 3 3 26" xfId="3918"/>
    <cellStyle name="Output 3 3 26 2" xfId="11698"/>
    <cellStyle name="Output 3 3 26 3" xfId="18949"/>
    <cellStyle name="Output 3 3 26 4" xfId="19767"/>
    <cellStyle name="Output 3 3 26 5" xfId="27982"/>
    <cellStyle name="Output 3 3 26 6" xfId="37583"/>
    <cellStyle name="Output 3 3 26 7" xfId="49427"/>
    <cellStyle name="Output 3 3 27" xfId="3090"/>
    <cellStyle name="Output 3 3 27 2" xfId="10897"/>
    <cellStyle name="Output 3 3 27 3" xfId="20250"/>
    <cellStyle name="Output 3 3 27 4" xfId="28341"/>
    <cellStyle name="Output 3 3 27 5" xfId="37719"/>
    <cellStyle name="Output 3 3 27 6" xfId="42395"/>
    <cellStyle name="Output 3 3 27 7" xfId="51526"/>
    <cellStyle name="Output 3 3 28" xfId="4115"/>
    <cellStyle name="Output 3 3 28 2" xfId="11875"/>
    <cellStyle name="Output 3 3 28 3" xfId="20825"/>
    <cellStyle name="Output 3 3 28 4" xfId="29012"/>
    <cellStyle name="Output 3 3 28 5" xfId="38389"/>
    <cellStyle name="Output 3 3 28 6" xfId="42677"/>
    <cellStyle name="Output 3 3 28 7" xfId="48017"/>
    <cellStyle name="Output 3 3 29" xfId="3767"/>
    <cellStyle name="Output 3 3 29 2" xfId="20617"/>
    <cellStyle name="Output 3 3 29 3" xfId="28767"/>
    <cellStyle name="Output 3 3 29 4" xfId="38155"/>
    <cellStyle name="Output 3 3 29 5" xfId="42543"/>
    <cellStyle name="Output 3 3 29 6" xfId="51369"/>
    <cellStyle name="Output 3 3 3" xfId="772"/>
    <cellStyle name="Output 3 3 3 2" xfId="8596"/>
    <cellStyle name="Output 3 3 3 3" xfId="16024"/>
    <cellStyle name="Output 3 3 3 4" xfId="25812"/>
    <cellStyle name="Output 3 3 3 5" xfId="34391"/>
    <cellStyle name="Output 3 3 3 6" xfId="36759"/>
    <cellStyle name="Output 3 3 3 7" xfId="52590"/>
    <cellStyle name="Output 3 3 30" xfId="4312"/>
    <cellStyle name="Output 3 3 30 2" xfId="12029"/>
    <cellStyle name="Output 3 3 30 3" xfId="21022"/>
    <cellStyle name="Output 3 3 30 4" xfId="29209"/>
    <cellStyle name="Output 3 3 30 5" xfId="38580"/>
    <cellStyle name="Output 3 3 30 6" xfId="42874"/>
    <cellStyle name="Output 3 3 30 7" xfId="47987"/>
    <cellStyle name="Output 3 3 31" xfId="4435"/>
    <cellStyle name="Output 3 3 31 2" xfId="12152"/>
    <cellStyle name="Output 3 3 31 3" xfId="21145"/>
    <cellStyle name="Output 3 3 31 4" xfId="29332"/>
    <cellStyle name="Output 3 3 31 5" xfId="38698"/>
    <cellStyle name="Output 3 3 31 6" xfId="42997"/>
    <cellStyle name="Output 3 3 31 7" xfId="52016"/>
    <cellStyle name="Output 3 3 32" xfId="4549"/>
    <cellStyle name="Output 3 3 32 2" xfId="12266"/>
    <cellStyle name="Output 3 3 32 3" xfId="21259"/>
    <cellStyle name="Output 3 3 32 4" xfId="29446"/>
    <cellStyle name="Output 3 3 32 5" xfId="38807"/>
    <cellStyle name="Output 3 3 32 6" xfId="43111"/>
    <cellStyle name="Output 3 3 32 7" xfId="53673"/>
    <cellStyle name="Output 3 3 33" xfId="4662"/>
    <cellStyle name="Output 3 3 33 2" xfId="12379"/>
    <cellStyle name="Output 3 3 33 3" xfId="21372"/>
    <cellStyle name="Output 3 3 33 4" xfId="29559"/>
    <cellStyle name="Output 3 3 33 5" xfId="38916"/>
    <cellStyle name="Output 3 3 33 6" xfId="43224"/>
    <cellStyle name="Output 3 3 33 7" xfId="49693"/>
    <cellStyle name="Output 3 3 34" xfId="4774"/>
    <cellStyle name="Output 3 3 34 2" xfId="12491"/>
    <cellStyle name="Output 3 3 34 3" xfId="21484"/>
    <cellStyle name="Output 3 3 34 4" xfId="29671"/>
    <cellStyle name="Output 3 3 34 5" xfId="39025"/>
    <cellStyle name="Output 3 3 34 6" xfId="43336"/>
    <cellStyle name="Output 3 3 34 7" xfId="54348"/>
    <cellStyle name="Output 3 3 35" xfId="4882"/>
    <cellStyle name="Output 3 3 35 2" xfId="12599"/>
    <cellStyle name="Output 3 3 35 3" xfId="21592"/>
    <cellStyle name="Output 3 3 35 4" xfId="29779"/>
    <cellStyle name="Output 3 3 35 5" xfId="39128"/>
    <cellStyle name="Output 3 3 35 6" xfId="43444"/>
    <cellStyle name="Output 3 3 35 7" xfId="47521"/>
    <cellStyle name="Output 3 3 36" xfId="4994"/>
    <cellStyle name="Output 3 3 36 2" xfId="12711"/>
    <cellStyle name="Output 3 3 36 3" xfId="21704"/>
    <cellStyle name="Output 3 3 36 4" xfId="29891"/>
    <cellStyle name="Output 3 3 36 5" xfId="39237"/>
    <cellStyle name="Output 3 3 36 6" xfId="43556"/>
    <cellStyle name="Output 3 3 36 7" xfId="48364"/>
    <cellStyle name="Output 3 3 37" xfId="5119"/>
    <cellStyle name="Output 3 3 37 2" xfId="12836"/>
    <cellStyle name="Output 3 3 37 3" xfId="21829"/>
    <cellStyle name="Output 3 3 37 4" xfId="30016"/>
    <cellStyle name="Output 3 3 37 5" xfId="39357"/>
    <cellStyle name="Output 3 3 37 6" xfId="43681"/>
    <cellStyle name="Output 3 3 37 7" xfId="48300"/>
    <cellStyle name="Output 3 3 38" xfId="5492"/>
    <cellStyle name="Output 3 3 38 2" xfId="13209"/>
    <cellStyle name="Output 3 3 38 3" xfId="22202"/>
    <cellStyle name="Output 3 3 38 4" xfId="30389"/>
    <cellStyle name="Output 3 3 38 5" xfId="39714"/>
    <cellStyle name="Output 3 3 38 6" xfId="44054"/>
    <cellStyle name="Output 3 3 38 7" xfId="49374"/>
    <cellStyle name="Output 3 3 39" xfId="5617"/>
    <cellStyle name="Output 3 3 39 2" xfId="13334"/>
    <cellStyle name="Output 3 3 39 3" xfId="22327"/>
    <cellStyle name="Output 3 3 39 4" xfId="30514"/>
    <cellStyle name="Output 3 3 39 5" xfId="39835"/>
    <cellStyle name="Output 3 3 39 6" xfId="44179"/>
    <cellStyle name="Output 3 3 39 7" xfId="47129"/>
    <cellStyle name="Output 3 3 4" xfId="884"/>
    <cellStyle name="Output 3 3 4 2" xfId="8708"/>
    <cellStyle name="Output 3 3 4 3" xfId="16136"/>
    <cellStyle name="Output 3 3 4 4" xfId="19738"/>
    <cellStyle name="Output 3 3 4 5" xfId="27146"/>
    <cellStyle name="Output 3 3 4 6" xfId="36484"/>
    <cellStyle name="Output 3 3 4 7" xfId="47353"/>
    <cellStyle name="Output 3 3 40" xfId="5732"/>
    <cellStyle name="Output 3 3 40 2" xfId="13449"/>
    <cellStyle name="Output 3 3 40 3" xfId="22442"/>
    <cellStyle name="Output 3 3 40 4" xfId="30629"/>
    <cellStyle name="Output 3 3 40 5" xfId="39946"/>
    <cellStyle name="Output 3 3 40 6" xfId="44294"/>
    <cellStyle name="Output 3 3 40 7" xfId="54283"/>
    <cellStyle name="Output 3 3 41" xfId="5849"/>
    <cellStyle name="Output 3 3 41 2" xfId="13566"/>
    <cellStyle name="Output 3 3 41 3" xfId="22559"/>
    <cellStyle name="Output 3 3 41 4" xfId="30746"/>
    <cellStyle name="Output 3 3 41 5" xfId="40060"/>
    <cellStyle name="Output 3 3 41 6" xfId="44411"/>
    <cellStyle name="Output 3 3 41 7" xfId="48382"/>
    <cellStyle name="Output 3 3 42" xfId="5977"/>
    <cellStyle name="Output 3 3 42 2" xfId="13694"/>
    <cellStyle name="Output 3 3 42 3" xfId="22687"/>
    <cellStyle name="Output 3 3 42 4" xfId="30874"/>
    <cellStyle name="Output 3 3 42 5" xfId="40183"/>
    <cellStyle name="Output 3 3 42 6" xfId="44539"/>
    <cellStyle name="Output 3 3 42 7" xfId="49016"/>
    <cellStyle name="Output 3 3 43" xfId="5696"/>
    <cellStyle name="Output 3 3 43 2" xfId="13413"/>
    <cellStyle name="Output 3 3 43 3" xfId="22406"/>
    <cellStyle name="Output 3 3 43 4" xfId="30593"/>
    <cellStyle name="Output 3 3 43 5" xfId="39911"/>
    <cellStyle name="Output 3 3 43 6" xfId="44258"/>
    <cellStyle name="Output 3 3 43 7" xfId="47083"/>
    <cellStyle name="Output 3 3 44" xfId="6233"/>
    <cellStyle name="Output 3 3 44 2" xfId="13950"/>
    <cellStyle name="Output 3 3 44 3" xfId="22943"/>
    <cellStyle name="Output 3 3 44 4" xfId="31130"/>
    <cellStyle name="Output 3 3 44 5" xfId="40431"/>
    <cellStyle name="Output 3 3 44 6" xfId="44795"/>
    <cellStyle name="Output 3 3 44 7" xfId="47623"/>
    <cellStyle name="Output 3 3 45" xfId="6350"/>
    <cellStyle name="Output 3 3 45 2" xfId="14067"/>
    <cellStyle name="Output 3 3 45 3" xfId="23060"/>
    <cellStyle name="Output 3 3 45 4" xfId="31247"/>
    <cellStyle name="Output 3 3 45 5" xfId="40545"/>
    <cellStyle name="Output 3 3 45 6" xfId="44912"/>
    <cellStyle name="Output 3 3 45 7" xfId="48800"/>
    <cellStyle name="Output 3 3 46" xfId="6460"/>
    <cellStyle name="Output 3 3 46 2" xfId="14177"/>
    <cellStyle name="Output 3 3 46 3" xfId="23170"/>
    <cellStyle name="Output 3 3 46 4" xfId="31357"/>
    <cellStyle name="Output 3 3 46 5" xfId="40651"/>
    <cellStyle name="Output 3 3 46 6" xfId="45022"/>
    <cellStyle name="Output 3 3 46 7" xfId="49990"/>
    <cellStyle name="Output 3 3 47" xfId="5314"/>
    <cellStyle name="Output 3 3 47 2" xfId="13031"/>
    <cellStyle name="Output 3 3 47 3" xfId="22024"/>
    <cellStyle name="Output 3 3 47 4" xfId="30211"/>
    <cellStyle name="Output 3 3 47 5" xfId="39545"/>
    <cellStyle name="Output 3 3 47 6" xfId="43876"/>
    <cellStyle name="Output 3 3 47 7" xfId="52752"/>
    <cellStyle name="Output 3 3 48" xfId="6607"/>
    <cellStyle name="Output 3 3 48 2" xfId="14324"/>
    <cellStyle name="Output 3 3 48 3" xfId="23317"/>
    <cellStyle name="Output 3 3 48 4" xfId="31504"/>
    <cellStyle name="Output 3 3 48 5" xfId="40791"/>
    <cellStyle name="Output 3 3 48 6" xfId="45169"/>
    <cellStyle name="Output 3 3 48 7" xfId="50283"/>
    <cellStyle name="Output 3 3 49" xfId="6718"/>
    <cellStyle name="Output 3 3 49 2" xfId="14435"/>
    <cellStyle name="Output 3 3 49 3" xfId="23428"/>
    <cellStyle name="Output 3 3 49 4" xfId="31615"/>
    <cellStyle name="Output 3 3 49 5" xfId="40896"/>
    <cellStyle name="Output 3 3 49 6" xfId="45280"/>
    <cellStyle name="Output 3 3 49 7" xfId="53221"/>
    <cellStyle name="Output 3 3 5" xfId="1349"/>
    <cellStyle name="Output 3 3 5 2" xfId="9172"/>
    <cellStyle name="Output 3 3 5 3" xfId="16600"/>
    <cellStyle name="Output 3 3 5 4" xfId="20076"/>
    <cellStyle name="Output 3 3 5 5" xfId="27310"/>
    <cellStyle name="Output 3 3 5 6" xfId="41963"/>
    <cellStyle name="Output 3 3 5 7" xfId="48297"/>
    <cellStyle name="Output 3 3 50" xfId="6833"/>
    <cellStyle name="Output 3 3 50 2" xfId="14550"/>
    <cellStyle name="Output 3 3 50 3" xfId="23543"/>
    <cellStyle name="Output 3 3 50 4" xfId="31730"/>
    <cellStyle name="Output 3 3 50 5" xfId="41004"/>
    <cellStyle name="Output 3 3 50 6" xfId="45395"/>
    <cellStyle name="Output 3 3 50 7" xfId="47274"/>
    <cellStyle name="Output 3 3 51" xfId="6946"/>
    <cellStyle name="Output 3 3 51 2" xfId="14663"/>
    <cellStyle name="Output 3 3 51 3" xfId="23656"/>
    <cellStyle name="Output 3 3 51 4" xfId="31843"/>
    <cellStyle name="Output 3 3 51 5" xfId="41112"/>
    <cellStyle name="Output 3 3 51 6" xfId="45508"/>
    <cellStyle name="Output 3 3 51 7" xfId="46934"/>
    <cellStyle name="Output 3 3 52" xfId="7058"/>
    <cellStyle name="Output 3 3 52 2" xfId="14775"/>
    <cellStyle name="Output 3 3 52 3" xfId="23768"/>
    <cellStyle name="Output 3 3 52 4" xfId="31955"/>
    <cellStyle name="Output 3 3 52 5" xfId="41218"/>
    <cellStyle name="Output 3 3 52 6" xfId="45620"/>
    <cellStyle name="Output 3 3 52 7" xfId="53464"/>
    <cellStyle name="Output 3 3 53" xfId="7204"/>
    <cellStyle name="Output 3 3 53 2" xfId="14921"/>
    <cellStyle name="Output 3 3 53 3" xfId="23914"/>
    <cellStyle name="Output 3 3 53 4" xfId="32101"/>
    <cellStyle name="Output 3 3 53 5" xfId="41361"/>
    <cellStyle name="Output 3 3 53 6" xfId="45766"/>
    <cellStyle name="Output 3 3 53 7" xfId="50840"/>
    <cellStyle name="Output 3 3 54" xfId="7303"/>
    <cellStyle name="Output 3 3 54 2" xfId="15020"/>
    <cellStyle name="Output 3 3 54 3" xfId="24013"/>
    <cellStyle name="Output 3 3 54 4" xfId="32200"/>
    <cellStyle name="Output 3 3 54 5" xfId="41456"/>
    <cellStyle name="Output 3 3 54 6" xfId="45865"/>
    <cellStyle name="Output 3 3 54 7" xfId="48916"/>
    <cellStyle name="Output 3 3 55" xfId="7455"/>
    <cellStyle name="Output 3 3 55 2" xfId="15172"/>
    <cellStyle name="Output 3 3 55 3" xfId="24165"/>
    <cellStyle name="Output 3 3 55 4" xfId="32352"/>
    <cellStyle name="Output 3 3 55 5" xfId="41601"/>
    <cellStyle name="Output 3 3 55 6" xfId="46017"/>
    <cellStyle name="Output 3 3 55 7" xfId="49846"/>
    <cellStyle name="Output 3 3 56" xfId="7576"/>
    <cellStyle name="Output 3 3 56 2" xfId="15293"/>
    <cellStyle name="Output 3 3 56 3" xfId="24286"/>
    <cellStyle name="Output 3 3 56 4" xfId="32473"/>
    <cellStyle name="Output 3 3 56 5" xfId="41716"/>
    <cellStyle name="Output 3 3 56 6" xfId="46138"/>
    <cellStyle name="Output 3 3 56 7" xfId="49430"/>
    <cellStyle name="Output 3 3 57" xfId="7852"/>
    <cellStyle name="Output 3 3 57 2" xfId="15569"/>
    <cellStyle name="Output 3 3 57 3" xfId="24556"/>
    <cellStyle name="Output 3 3 57 4" xfId="32749"/>
    <cellStyle name="Output 3 3 57 5" xfId="41981"/>
    <cellStyle name="Output 3 3 57 6" xfId="46414"/>
    <cellStyle name="Output 3 3 57 7" xfId="50765"/>
    <cellStyle name="Output 3 3 58" xfId="7990"/>
    <cellStyle name="Output 3 3 58 2" xfId="15707"/>
    <cellStyle name="Output 3 3 58 3" xfId="24692"/>
    <cellStyle name="Output 3 3 58 4" xfId="32887"/>
    <cellStyle name="Output 3 3 58 5" xfId="42113"/>
    <cellStyle name="Output 3 3 58 6" xfId="46552"/>
    <cellStyle name="Output 3 3 58 7" xfId="50864"/>
    <cellStyle name="Output 3 3 59" xfId="7658"/>
    <cellStyle name="Output 3 3 59 2" xfId="15375"/>
    <cellStyle name="Output 3 3 59 3" xfId="24367"/>
    <cellStyle name="Output 3 3 59 4" xfId="32555"/>
    <cellStyle name="Output 3 3 59 5" xfId="41796"/>
    <cellStyle name="Output 3 3 59 6" xfId="46220"/>
    <cellStyle name="Output 3 3 59 7" xfId="50007"/>
    <cellStyle name="Output 3 3 6" xfId="1472"/>
    <cellStyle name="Output 3 3 6 2" xfId="9295"/>
    <cellStyle name="Output 3 3 6 3" xfId="16723"/>
    <cellStyle name="Output 3 3 6 4" xfId="19554"/>
    <cellStyle name="Output 3 3 6 5" xfId="28697"/>
    <cellStyle name="Output 3 3 6 6" xfId="36596"/>
    <cellStyle name="Output 3 3 6 7" xfId="48674"/>
    <cellStyle name="Output 3 3 60" xfId="8128"/>
    <cellStyle name="Output 3 3 60 2" xfId="15845"/>
    <cellStyle name="Output 3 3 60 3" xfId="33025"/>
    <cellStyle name="Output 3 3 60 4" xfId="42245"/>
    <cellStyle name="Output 3 3 60 5" xfId="46690"/>
    <cellStyle name="Output 3 3 60 6" xfId="51093"/>
    <cellStyle name="Output 3 3 61" xfId="24941"/>
    <cellStyle name="Output 3 3 62" xfId="33276"/>
    <cellStyle name="Output 3 3 63" xfId="37451"/>
    <cellStyle name="Output 3 3 64" xfId="50659"/>
    <cellStyle name="Output 3 3 7" xfId="989"/>
    <cellStyle name="Output 3 3 7 2" xfId="8813"/>
    <cellStyle name="Output 3 3 7 3" xfId="16241"/>
    <cellStyle name="Output 3 3 7 4" xfId="25585"/>
    <cellStyle name="Output 3 3 7 5" xfId="34091"/>
    <cellStyle name="Output 3 3 7 6" xfId="36796"/>
    <cellStyle name="Output 3 3 7 7" xfId="52064"/>
    <cellStyle name="Output 3 3 8" xfId="1709"/>
    <cellStyle name="Output 3 3 8 2" xfId="9532"/>
    <cellStyle name="Output 3 3 8 3" xfId="16960"/>
    <cellStyle name="Output 3 3 8 4" xfId="26175"/>
    <cellStyle name="Output 3 3 8 5" xfId="34847"/>
    <cellStyle name="Output 3 3 8 6" xfId="38213"/>
    <cellStyle name="Output 3 3 8 7" xfId="53372"/>
    <cellStyle name="Output 3 3 9" xfId="1843"/>
    <cellStyle name="Output 3 3 9 2" xfId="9666"/>
    <cellStyle name="Output 3 3 9 3" xfId="17094"/>
    <cellStyle name="Output 3 3 9 4" xfId="26565"/>
    <cellStyle name="Output 3 3 9 5" xfId="35377"/>
    <cellStyle name="Output 3 3 9 6" xfId="37243"/>
    <cellStyle name="Output 3 3 9 7" xfId="54205"/>
    <cellStyle name="Output 3 30" xfId="7368"/>
    <cellStyle name="Output 3 30 2" xfId="15085"/>
    <cellStyle name="Output 3 30 3" xfId="24078"/>
    <cellStyle name="Output 3 30 4" xfId="32265"/>
    <cellStyle name="Output 3 30 5" xfId="41521"/>
    <cellStyle name="Output 3 30 6" xfId="45930"/>
    <cellStyle name="Output 3 30 7" xfId="49092"/>
    <cellStyle name="Output 3 31" xfId="7364"/>
    <cellStyle name="Output 3 31 2" xfId="15081"/>
    <cellStyle name="Output 3 31 3" xfId="24074"/>
    <cellStyle name="Output 3 31 4" xfId="32261"/>
    <cellStyle name="Output 3 31 5" xfId="41517"/>
    <cellStyle name="Output 3 31 6" xfId="45926"/>
    <cellStyle name="Output 3 31 7" xfId="49583"/>
    <cellStyle name="Output 3 32" xfId="7988"/>
    <cellStyle name="Output 3 32 2" xfId="15705"/>
    <cellStyle name="Output 3 32 3" xfId="24690"/>
    <cellStyle name="Output 3 32 4" xfId="32885"/>
    <cellStyle name="Output 3 32 5" xfId="42111"/>
    <cellStyle name="Output 3 32 6" xfId="46550"/>
    <cellStyle name="Output 3 32 7" xfId="51087"/>
    <cellStyle name="Output 3 33" xfId="25222"/>
    <cellStyle name="Output 3 34" xfId="33622"/>
    <cellStyle name="Output 3 35" xfId="36606"/>
    <cellStyle name="Output 3 36" xfId="51268"/>
    <cellStyle name="Output 3 4" xfId="565"/>
    <cellStyle name="Output 3 4 10" xfId="2012"/>
    <cellStyle name="Output 3 4 10 2" xfId="9835"/>
    <cellStyle name="Output 3 4 10 3" xfId="17263"/>
    <cellStyle name="Output 3 4 10 4" xfId="25301"/>
    <cellStyle name="Output 3 4 10 5" xfId="33717"/>
    <cellStyle name="Output 3 4 10 6" xfId="41657"/>
    <cellStyle name="Output 3 4 10 7" xfId="51429"/>
    <cellStyle name="Output 3 4 11" xfId="2129"/>
    <cellStyle name="Output 3 4 11 2" xfId="9952"/>
    <cellStyle name="Output 3 4 11 3" xfId="17380"/>
    <cellStyle name="Output 3 4 11 4" xfId="25645"/>
    <cellStyle name="Output 3 4 11 5" xfId="34166"/>
    <cellStyle name="Output 3 4 11 6" xfId="37347"/>
    <cellStyle name="Output 3 4 11 7" xfId="52193"/>
    <cellStyle name="Output 3 4 12" xfId="2243"/>
    <cellStyle name="Output 3 4 12 2" xfId="10066"/>
    <cellStyle name="Output 3 4 12 3" xfId="17494"/>
    <cellStyle name="Output 3 4 12 4" xfId="26242"/>
    <cellStyle name="Output 3 4 12 5" xfId="34933"/>
    <cellStyle name="Output 3 4 12 6" xfId="40450"/>
    <cellStyle name="Output 3 4 12 7" xfId="53519"/>
    <cellStyle name="Output 3 4 13" xfId="1055"/>
    <cellStyle name="Output 3 4 13 2" xfId="8879"/>
    <cellStyle name="Output 3 4 13 3" xfId="16307"/>
    <cellStyle name="Output 3 4 13 4" xfId="25734"/>
    <cellStyle name="Output 3 4 13 5" xfId="34283"/>
    <cellStyle name="Output 3 4 13 6" xfId="37324"/>
    <cellStyle name="Output 3 4 13 7" xfId="52401"/>
    <cellStyle name="Output 3 4 14" xfId="970"/>
    <cellStyle name="Output 3 4 14 2" xfId="8794"/>
    <cellStyle name="Output 3 4 14 3" xfId="16222"/>
    <cellStyle name="Output 3 4 14 4" xfId="26423"/>
    <cellStyle name="Output 3 4 14 5" xfId="35187"/>
    <cellStyle name="Output 3 4 14 6" xfId="37963"/>
    <cellStyle name="Output 3 4 14 7" xfId="53903"/>
    <cellStyle name="Output 3 4 15" xfId="2540"/>
    <cellStyle name="Output 3 4 15 2" xfId="10363"/>
    <cellStyle name="Output 3 4 15 3" xfId="17791"/>
    <cellStyle name="Output 3 4 15 4" xfId="19490"/>
    <cellStyle name="Output 3 4 15 5" xfId="27792"/>
    <cellStyle name="Output 3 4 15 6" xfId="41157"/>
    <cellStyle name="Output 3 4 15 7" xfId="47726"/>
    <cellStyle name="Output 3 4 16" xfId="2654"/>
    <cellStyle name="Output 3 4 16 2" xfId="10477"/>
    <cellStyle name="Output 3 4 16 3" xfId="17905"/>
    <cellStyle name="Output 3 4 16 4" xfId="24855"/>
    <cellStyle name="Output 3 4 16 5" xfId="28036"/>
    <cellStyle name="Output 3 4 16 6" xfId="37480"/>
    <cellStyle name="Output 3 4 16 7" xfId="49937"/>
    <cellStyle name="Output 3 4 17" xfId="2447"/>
    <cellStyle name="Output 3 4 17 2" xfId="10270"/>
    <cellStyle name="Output 3 4 17 3" xfId="17698"/>
    <cellStyle name="Output 3 4 17 4" xfId="19655"/>
    <cellStyle name="Output 3 4 17 5" xfId="28000"/>
    <cellStyle name="Output 3 4 17 6" xfId="42130"/>
    <cellStyle name="Output 3 4 17 7" xfId="48984"/>
    <cellStyle name="Output 3 4 18" xfId="2701"/>
    <cellStyle name="Output 3 4 18 2" xfId="10524"/>
    <cellStyle name="Output 3 4 18 3" xfId="17952"/>
    <cellStyle name="Output 3 4 18 4" xfId="25949"/>
    <cellStyle name="Output 3 4 18 5" xfId="34554"/>
    <cellStyle name="Output 3 4 18 6" xfId="36507"/>
    <cellStyle name="Output 3 4 18 7" xfId="52884"/>
    <cellStyle name="Output 3 4 19" xfId="2845"/>
    <cellStyle name="Output 3 4 19 2" xfId="10668"/>
    <cellStyle name="Output 3 4 19 3" xfId="18096"/>
    <cellStyle name="Output 3 4 19 4" xfId="26483"/>
    <cellStyle name="Output 3 4 19 5" xfId="35270"/>
    <cellStyle name="Output 3 4 19 6" xfId="39975"/>
    <cellStyle name="Output 3 4 19 7" xfId="54042"/>
    <cellStyle name="Output 3 4 2" xfId="713"/>
    <cellStyle name="Output 3 4 2 2" xfId="8537"/>
    <cellStyle name="Output 3 4 2 3" xfId="15965"/>
    <cellStyle name="Output 3 4 2 4" xfId="25733"/>
    <cellStyle name="Output 3 4 2 5" xfId="34281"/>
    <cellStyle name="Output 3 4 2 6" xfId="36330"/>
    <cellStyle name="Output 3 4 2 7" xfId="52396"/>
    <cellStyle name="Output 3 4 20" xfId="2952"/>
    <cellStyle name="Output 3 4 20 2" xfId="10775"/>
    <cellStyle name="Output 3 4 20 3" xfId="18203"/>
    <cellStyle name="Output 3 4 20 4" xfId="20024"/>
    <cellStyle name="Output 3 4 20 5" xfId="27198"/>
    <cellStyle name="Output 3 4 20 6" xfId="38946"/>
    <cellStyle name="Output 3 4 20 7" xfId="47539"/>
    <cellStyle name="Output 3 4 21" xfId="3329"/>
    <cellStyle name="Output 3 4 21 2" xfId="11122"/>
    <cellStyle name="Output 3 4 21 3" xfId="18450"/>
    <cellStyle name="Output 3 4 21 4" xfId="19099"/>
    <cellStyle name="Output 3 4 21 5" xfId="27493"/>
    <cellStyle name="Output 3 4 21 6" xfId="36727"/>
    <cellStyle name="Output 3 4 21 7" xfId="47865"/>
    <cellStyle name="Output 3 4 22" xfId="3448"/>
    <cellStyle name="Output 3 4 22 2" xfId="11239"/>
    <cellStyle name="Output 3 4 22 3" xfId="18561"/>
    <cellStyle name="Output 3 4 22 4" xfId="25924"/>
    <cellStyle name="Output 3 4 22 5" xfId="34526"/>
    <cellStyle name="Output 3 4 22 6" xfId="39620"/>
    <cellStyle name="Output 3 4 22 7" xfId="52831"/>
    <cellStyle name="Output 3 4 23" xfId="3608"/>
    <cellStyle name="Output 3 4 23 2" xfId="11394"/>
    <cellStyle name="Output 3 4 23 3" xfId="18668"/>
    <cellStyle name="Output 3 4 23 4" xfId="25181"/>
    <cellStyle name="Output 3 4 23 5" xfId="33564"/>
    <cellStyle name="Output 3 4 23 6" xfId="36454"/>
    <cellStyle name="Output 3 4 23 7" xfId="51179"/>
    <cellStyle name="Output 3 4 24" xfId="3721"/>
    <cellStyle name="Output 3 4 24 2" xfId="11506"/>
    <cellStyle name="Output 3 4 24 3" xfId="18778"/>
    <cellStyle name="Output 3 4 24 4" xfId="25444"/>
    <cellStyle name="Output 3 4 24 5" xfId="33904"/>
    <cellStyle name="Output 3 4 24 6" xfId="41430"/>
    <cellStyle name="Output 3 4 24 7" xfId="51738"/>
    <cellStyle name="Output 3 4 25" xfId="3850"/>
    <cellStyle name="Output 3 4 25 2" xfId="11632"/>
    <cellStyle name="Output 3 4 25 3" xfId="18888"/>
    <cellStyle name="Output 3 4 25 4" xfId="20566"/>
    <cellStyle name="Output 3 4 25 5" xfId="28735"/>
    <cellStyle name="Output 3 4 25 6" xfId="37420"/>
    <cellStyle name="Output 3 4 25 7" xfId="48948"/>
    <cellStyle name="Output 3 4 26" xfId="3969"/>
    <cellStyle name="Output 3 4 26 2" xfId="11748"/>
    <cellStyle name="Output 3 4 26 3" xfId="18997"/>
    <cellStyle name="Output 3 4 26 4" xfId="19806"/>
    <cellStyle name="Output 3 4 26 5" xfId="28177"/>
    <cellStyle name="Output 3 4 26 6" xfId="39825"/>
    <cellStyle name="Output 3 4 26 7" xfId="48091"/>
    <cellStyle name="Output 3 4 27" xfId="3149"/>
    <cellStyle name="Output 3 4 27 2" xfId="10953"/>
    <cellStyle name="Output 3 4 27 3" xfId="20286"/>
    <cellStyle name="Output 3 4 27 4" xfId="28379"/>
    <cellStyle name="Output 3 4 27 5" xfId="37765"/>
    <cellStyle name="Output 3 4 27 6" xfId="42413"/>
    <cellStyle name="Output 3 4 27 7" xfId="54474"/>
    <cellStyle name="Output 3 4 28" xfId="4165"/>
    <cellStyle name="Output 3 4 28 2" xfId="11924"/>
    <cellStyle name="Output 3 4 28 3" xfId="20875"/>
    <cellStyle name="Output 3 4 28 4" xfId="29062"/>
    <cellStyle name="Output 3 4 28 5" xfId="38438"/>
    <cellStyle name="Output 3 4 28 6" xfId="42727"/>
    <cellStyle name="Output 3 4 28 7" xfId="50114"/>
    <cellStyle name="Output 3 4 29" xfId="3036"/>
    <cellStyle name="Output 3 4 29 2" xfId="20205"/>
    <cellStyle name="Output 3 4 29 3" xfId="28296"/>
    <cellStyle name="Output 3 4 29 4" xfId="37676"/>
    <cellStyle name="Output 3 4 29 5" xfId="42364"/>
    <cellStyle name="Output 3 4 29 6" xfId="47389"/>
    <cellStyle name="Output 3 4 3" xfId="822"/>
    <cellStyle name="Output 3 4 3 2" xfId="8646"/>
    <cellStyle name="Output 3 4 3 3" xfId="16074"/>
    <cellStyle name="Output 3 4 3 4" xfId="26382"/>
    <cellStyle name="Output 3 4 3 5" xfId="35127"/>
    <cellStyle name="Output 3 4 3 6" xfId="37448"/>
    <cellStyle name="Output 3 4 3 7" xfId="53811"/>
    <cellStyle name="Output 3 4 30" xfId="4363"/>
    <cellStyle name="Output 3 4 30 2" xfId="12080"/>
    <cellStyle name="Output 3 4 30 3" xfId="21073"/>
    <cellStyle name="Output 3 4 30 4" xfId="29260"/>
    <cellStyle name="Output 3 4 30 5" xfId="38630"/>
    <cellStyle name="Output 3 4 30 6" xfId="42925"/>
    <cellStyle name="Output 3 4 30 7" xfId="52804"/>
    <cellStyle name="Output 3 4 31" xfId="4485"/>
    <cellStyle name="Output 3 4 31 2" xfId="12202"/>
    <cellStyle name="Output 3 4 31 3" xfId="21195"/>
    <cellStyle name="Output 3 4 31 4" xfId="29382"/>
    <cellStyle name="Output 3 4 31 5" xfId="38747"/>
    <cellStyle name="Output 3 4 31 6" xfId="43047"/>
    <cellStyle name="Output 3 4 31 7" xfId="53017"/>
    <cellStyle name="Output 3 4 32" xfId="4599"/>
    <cellStyle name="Output 3 4 32 2" xfId="12316"/>
    <cellStyle name="Output 3 4 32 3" xfId="21309"/>
    <cellStyle name="Output 3 4 32 4" xfId="29496"/>
    <cellStyle name="Output 3 4 32 5" xfId="38856"/>
    <cellStyle name="Output 3 4 32 6" xfId="43161"/>
    <cellStyle name="Output 3 4 32 7" xfId="49863"/>
    <cellStyle name="Output 3 4 33" xfId="4712"/>
    <cellStyle name="Output 3 4 33 2" xfId="12429"/>
    <cellStyle name="Output 3 4 33 3" xfId="21422"/>
    <cellStyle name="Output 3 4 33 4" xfId="29609"/>
    <cellStyle name="Output 3 4 33 5" xfId="38965"/>
    <cellStyle name="Output 3 4 33 6" xfId="43274"/>
    <cellStyle name="Output 3 4 33 7" xfId="53160"/>
    <cellStyle name="Output 3 4 34" xfId="4822"/>
    <cellStyle name="Output 3 4 34 2" xfId="12539"/>
    <cellStyle name="Output 3 4 34 3" xfId="21532"/>
    <cellStyle name="Output 3 4 34 4" xfId="29719"/>
    <cellStyle name="Output 3 4 34 5" xfId="39072"/>
    <cellStyle name="Output 3 4 34 6" xfId="43384"/>
    <cellStyle name="Output 3 4 34 7" xfId="49321"/>
    <cellStyle name="Output 3 4 35" xfId="4932"/>
    <cellStyle name="Output 3 4 35 2" xfId="12649"/>
    <cellStyle name="Output 3 4 35 3" xfId="21642"/>
    <cellStyle name="Output 3 4 35 4" xfId="29829"/>
    <cellStyle name="Output 3 4 35 5" xfId="39177"/>
    <cellStyle name="Output 3 4 35 6" xfId="43494"/>
    <cellStyle name="Output 3 4 35 7" xfId="47771"/>
    <cellStyle name="Output 3 4 36" xfId="5042"/>
    <cellStyle name="Output 3 4 36 2" xfId="12759"/>
    <cellStyle name="Output 3 4 36 3" xfId="21752"/>
    <cellStyle name="Output 3 4 36 4" xfId="29939"/>
    <cellStyle name="Output 3 4 36 5" xfId="39284"/>
    <cellStyle name="Output 3 4 36 6" xfId="43604"/>
    <cellStyle name="Output 3 4 36 7" xfId="49857"/>
    <cellStyle name="Output 3 4 37" xfId="5422"/>
    <cellStyle name="Output 3 4 37 2" xfId="13139"/>
    <cellStyle name="Output 3 4 37 3" xfId="22132"/>
    <cellStyle name="Output 3 4 37 4" xfId="30319"/>
    <cellStyle name="Output 3 4 37 5" xfId="39649"/>
    <cellStyle name="Output 3 4 37 6" xfId="43984"/>
    <cellStyle name="Output 3 4 37 7" xfId="49116"/>
    <cellStyle name="Output 3 4 38" xfId="5542"/>
    <cellStyle name="Output 3 4 38 2" xfId="13259"/>
    <cellStyle name="Output 3 4 38 3" xfId="22252"/>
    <cellStyle name="Output 3 4 38 4" xfId="30439"/>
    <cellStyle name="Output 3 4 38 5" xfId="39763"/>
    <cellStyle name="Output 3 4 38 6" xfId="44104"/>
    <cellStyle name="Output 3 4 38 7" xfId="47182"/>
    <cellStyle name="Output 3 4 39" xfId="5666"/>
    <cellStyle name="Output 3 4 39 2" xfId="13383"/>
    <cellStyle name="Output 3 4 39 3" xfId="22376"/>
    <cellStyle name="Output 3 4 39 4" xfId="30563"/>
    <cellStyle name="Output 3 4 39 5" xfId="39883"/>
    <cellStyle name="Output 3 4 39 6" xfId="44228"/>
    <cellStyle name="Output 3 4 39 7" xfId="46832"/>
    <cellStyle name="Output 3 4 4" xfId="932"/>
    <cellStyle name="Output 3 4 4 2" xfId="8756"/>
    <cellStyle name="Output 3 4 4 3" xfId="16184"/>
    <cellStyle name="Output 3 4 4 4" xfId="19801"/>
    <cellStyle name="Output 3 4 4 5" xfId="27502"/>
    <cellStyle name="Output 3 4 4 6" xfId="36876"/>
    <cellStyle name="Output 3 4 4 7" xfId="50324"/>
    <cellStyle name="Output 3 4 40" xfId="5782"/>
    <cellStyle name="Output 3 4 40 2" xfId="13499"/>
    <cellStyle name="Output 3 4 40 3" xfId="22492"/>
    <cellStyle name="Output 3 4 40 4" xfId="30679"/>
    <cellStyle name="Output 3 4 40 5" xfId="39995"/>
    <cellStyle name="Output 3 4 40 6" xfId="44344"/>
    <cellStyle name="Output 3 4 40 7" xfId="48853"/>
    <cellStyle name="Output 3 4 41" xfId="5899"/>
    <cellStyle name="Output 3 4 41 2" xfId="13616"/>
    <cellStyle name="Output 3 4 41 3" xfId="22609"/>
    <cellStyle name="Output 3 4 41 4" xfId="30796"/>
    <cellStyle name="Output 3 4 41 5" xfId="40109"/>
    <cellStyle name="Output 3 4 41 6" xfId="44461"/>
    <cellStyle name="Output 3 4 41 7" xfId="49306"/>
    <cellStyle name="Output 3 4 42" xfId="6027"/>
    <cellStyle name="Output 3 4 42 2" xfId="13744"/>
    <cellStyle name="Output 3 4 42 3" xfId="22737"/>
    <cellStyle name="Output 3 4 42 4" xfId="30924"/>
    <cellStyle name="Output 3 4 42 5" xfId="40232"/>
    <cellStyle name="Output 3 4 42 6" xfId="44589"/>
    <cellStyle name="Output 3 4 42 7" xfId="51565"/>
    <cellStyle name="Output 3 4 43" xfId="6154"/>
    <cellStyle name="Output 3 4 43 2" xfId="13871"/>
    <cellStyle name="Output 3 4 43 3" xfId="22864"/>
    <cellStyle name="Output 3 4 43 4" xfId="31051"/>
    <cellStyle name="Output 3 4 43 5" xfId="40352"/>
    <cellStyle name="Output 3 4 43 6" xfId="44716"/>
    <cellStyle name="Output 3 4 43 7" xfId="52988"/>
    <cellStyle name="Output 3 4 44" xfId="6283"/>
    <cellStyle name="Output 3 4 44 2" xfId="14000"/>
    <cellStyle name="Output 3 4 44 3" xfId="22993"/>
    <cellStyle name="Output 3 4 44 4" xfId="31180"/>
    <cellStyle name="Output 3 4 44 5" xfId="40480"/>
    <cellStyle name="Output 3 4 44 6" xfId="44845"/>
    <cellStyle name="Output 3 4 44 7" xfId="49849"/>
    <cellStyle name="Output 3 4 45" xfId="6398"/>
    <cellStyle name="Output 3 4 45 2" xfId="14115"/>
    <cellStyle name="Output 3 4 45 3" xfId="23108"/>
    <cellStyle name="Output 3 4 45 4" xfId="31295"/>
    <cellStyle name="Output 3 4 45 5" xfId="40591"/>
    <cellStyle name="Output 3 4 45 6" xfId="44960"/>
    <cellStyle name="Output 3 4 45 7" xfId="50045"/>
    <cellStyle name="Output 3 4 46" xfId="6510"/>
    <cellStyle name="Output 3 4 46 2" xfId="14227"/>
    <cellStyle name="Output 3 4 46 3" xfId="23220"/>
    <cellStyle name="Output 3 4 46 4" xfId="31407"/>
    <cellStyle name="Output 3 4 46 5" xfId="40699"/>
    <cellStyle name="Output 3 4 46 6" xfId="45072"/>
    <cellStyle name="Output 3 4 46 7" xfId="51803"/>
    <cellStyle name="Output 3 4 47" xfId="5657"/>
    <cellStyle name="Output 3 4 47 2" xfId="13374"/>
    <cellStyle name="Output 3 4 47 3" xfId="22367"/>
    <cellStyle name="Output 3 4 47 4" xfId="30554"/>
    <cellStyle name="Output 3 4 47 5" xfId="39874"/>
    <cellStyle name="Output 3 4 47 6" xfId="44219"/>
    <cellStyle name="Output 3 4 47 7" xfId="47112"/>
    <cellStyle name="Output 3 4 48" xfId="6657"/>
    <cellStyle name="Output 3 4 48 2" xfId="14374"/>
    <cellStyle name="Output 3 4 48 3" xfId="23367"/>
    <cellStyle name="Output 3 4 48 4" xfId="31554"/>
    <cellStyle name="Output 3 4 48 5" xfId="40839"/>
    <cellStyle name="Output 3 4 48 6" xfId="45219"/>
    <cellStyle name="Output 3 4 48 7" xfId="52486"/>
    <cellStyle name="Output 3 4 49" xfId="6768"/>
    <cellStyle name="Output 3 4 49 2" xfId="14485"/>
    <cellStyle name="Output 3 4 49 3" xfId="23478"/>
    <cellStyle name="Output 3 4 49 4" xfId="31665"/>
    <cellStyle name="Output 3 4 49 5" xfId="40944"/>
    <cellStyle name="Output 3 4 49 6" xfId="45330"/>
    <cellStyle name="Output 3 4 49 7" xfId="48129"/>
    <cellStyle name="Output 3 4 5" xfId="1400"/>
    <cellStyle name="Output 3 4 5 2" xfId="9223"/>
    <cellStyle name="Output 3 4 5 3" xfId="16651"/>
    <cellStyle name="Output 3 4 5 4" xfId="19111"/>
    <cellStyle name="Output 3 4 5 5" xfId="28079"/>
    <cellStyle name="Output 3 4 5 6" xfId="37198"/>
    <cellStyle name="Output 3 4 5 7" xfId="49912"/>
    <cellStyle name="Output 3 4 50" xfId="6883"/>
    <cellStyle name="Output 3 4 50 2" xfId="14600"/>
    <cellStyle name="Output 3 4 50 3" xfId="23593"/>
    <cellStyle name="Output 3 4 50 4" xfId="31780"/>
    <cellStyle name="Output 3 4 50 5" xfId="41053"/>
    <cellStyle name="Output 3 4 50 6" xfId="45445"/>
    <cellStyle name="Output 3 4 50 7" xfId="47062"/>
    <cellStyle name="Output 3 4 51" xfId="6996"/>
    <cellStyle name="Output 3 4 51 2" xfId="14713"/>
    <cellStyle name="Output 3 4 51 3" xfId="23706"/>
    <cellStyle name="Output 3 4 51 4" xfId="31893"/>
    <cellStyle name="Output 3 4 51 5" xfId="41161"/>
    <cellStyle name="Output 3 4 51 6" xfId="45558"/>
    <cellStyle name="Output 3 4 51 7" xfId="47206"/>
    <cellStyle name="Output 3 4 52" xfId="7106"/>
    <cellStyle name="Output 3 4 52 2" xfId="14823"/>
    <cellStyle name="Output 3 4 52 3" xfId="23816"/>
    <cellStyle name="Output 3 4 52 4" xfId="32003"/>
    <cellStyle name="Output 3 4 52 5" xfId="41265"/>
    <cellStyle name="Output 3 4 52 6" xfId="45668"/>
    <cellStyle name="Output 3 4 52 7" xfId="48568"/>
    <cellStyle name="Output 3 4 53" xfId="7170"/>
    <cellStyle name="Output 3 4 53 2" xfId="14887"/>
    <cellStyle name="Output 3 4 53 3" xfId="23880"/>
    <cellStyle name="Output 3 4 53 4" xfId="32067"/>
    <cellStyle name="Output 3 4 53 5" xfId="41329"/>
    <cellStyle name="Output 3 4 53 6" xfId="45732"/>
    <cellStyle name="Output 3 4 53 7" xfId="47931"/>
    <cellStyle name="Output 3 4 54" xfId="7211"/>
    <cellStyle name="Output 3 4 54 2" xfId="14928"/>
    <cellStyle name="Output 3 4 54 3" xfId="23921"/>
    <cellStyle name="Output 3 4 54 4" xfId="32108"/>
    <cellStyle name="Output 3 4 54 5" xfId="41368"/>
    <cellStyle name="Output 3 4 54 6" xfId="45773"/>
    <cellStyle name="Output 3 4 54 7" xfId="50232"/>
    <cellStyle name="Output 3 4 55" xfId="7503"/>
    <cellStyle name="Output 3 4 55 2" xfId="15220"/>
    <cellStyle name="Output 3 4 55 3" xfId="24213"/>
    <cellStyle name="Output 3 4 55 4" xfId="32400"/>
    <cellStyle name="Output 3 4 55 5" xfId="41648"/>
    <cellStyle name="Output 3 4 55 6" xfId="46065"/>
    <cellStyle name="Output 3 4 55 7" xfId="49924"/>
    <cellStyle name="Output 3 4 56" xfId="7624"/>
    <cellStyle name="Output 3 4 56 2" xfId="15341"/>
    <cellStyle name="Output 3 4 56 3" xfId="24334"/>
    <cellStyle name="Output 3 4 56 4" xfId="32521"/>
    <cellStyle name="Output 3 4 56 5" xfId="41763"/>
    <cellStyle name="Output 3 4 56 6" xfId="46186"/>
    <cellStyle name="Output 3 4 56 7" xfId="53728"/>
    <cellStyle name="Output 3 4 57" xfId="7901"/>
    <cellStyle name="Output 3 4 57 2" xfId="15618"/>
    <cellStyle name="Output 3 4 57 3" xfId="24605"/>
    <cellStyle name="Output 3 4 57 4" xfId="32798"/>
    <cellStyle name="Output 3 4 57 5" xfId="42029"/>
    <cellStyle name="Output 3 4 57 6" xfId="46463"/>
    <cellStyle name="Output 3 4 57 7" xfId="53053"/>
    <cellStyle name="Output 3 4 58" xfId="8029"/>
    <cellStyle name="Output 3 4 58 2" xfId="15746"/>
    <cellStyle name="Output 3 4 58 3" xfId="24731"/>
    <cellStyle name="Output 3 4 58 4" xfId="32926"/>
    <cellStyle name="Output 3 4 58 5" xfId="42151"/>
    <cellStyle name="Output 3 4 58 6" xfId="46591"/>
    <cellStyle name="Output 3 4 58 7" xfId="54260"/>
    <cellStyle name="Output 3 4 59" xfId="7929"/>
    <cellStyle name="Output 3 4 59 2" xfId="15646"/>
    <cellStyle name="Output 3 4 59 3" xfId="24633"/>
    <cellStyle name="Output 3 4 59 4" xfId="32826"/>
    <cellStyle name="Output 3 4 59 5" xfId="42057"/>
    <cellStyle name="Output 3 4 59 6" xfId="46491"/>
    <cellStyle name="Output 3 4 59 7" xfId="50030"/>
    <cellStyle name="Output 3 4 6" xfId="1523"/>
    <cellStyle name="Output 3 4 6 2" xfId="9346"/>
    <cellStyle name="Output 3 4 6 3" xfId="16774"/>
    <cellStyle name="Output 3 4 6 4" xfId="19127"/>
    <cellStyle name="Output 3 4 6 5" xfId="28482"/>
    <cellStyle name="Output 3 4 6 6" xfId="38844"/>
    <cellStyle name="Output 3 4 6 7" xfId="49881"/>
    <cellStyle name="Output 3 4 60" xfId="8176"/>
    <cellStyle name="Output 3 4 60 2" xfId="15893"/>
    <cellStyle name="Output 3 4 60 3" xfId="33073"/>
    <cellStyle name="Output 3 4 60 4" xfId="42292"/>
    <cellStyle name="Output 3 4 60 5" xfId="46738"/>
    <cellStyle name="Output 3 4 60 6" xfId="46878"/>
    <cellStyle name="Output 3 4 61" xfId="25908"/>
    <cellStyle name="Output 3 4 62" xfId="34504"/>
    <cellStyle name="Output 3 4 63" xfId="36300"/>
    <cellStyle name="Output 3 4 64" xfId="52796"/>
    <cellStyle name="Output 3 4 7" xfId="1143"/>
    <cellStyle name="Output 3 4 7 2" xfId="8966"/>
    <cellStyle name="Output 3 4 7 3" xfId="16394"/>
    <cellStyle name="Output 3 4 7 4" xfId="19059"/>
    <cellStyle name="Output 3 4 7 5" xfId="33168"/>
    <cellStyle name="Output 3 4 7 6" xfId="40507"/>
    <cellStyle name="Output 3 4 7 7" xfId="50472"/>
    <cellStyle name="Output 3 4 8" xfId="1760"/>
    <cellStyle name="Output 3 4 8 2" xfId="9583"/>
    <cellStyle name="Output 3 4 8 3" xfId="17011"/>
    <cellStyle name="Output 3 4 8 4" xfId="24927"/>
    <cellStyle name="Output 3 4 8 5" xfId="33257"/>
    <cellStyle name="Output 3 4 8 6" xfId="37649"/>
    <cellStyle name="Output 3 4 8 7" xfId="50626"/>
    <cellStyle name="Output 3 4 9" xfId="1893"/>
    <cellStyle name="Output 3 4 9 2" xfId="9716"/>
    <cellStyle name="Output 3 4 9 3" xfId="17144"/>
    <cellStyle name="Output 3 4 9 4" xfId="19571"/>
    <cellStyle name="Output 3 4 9 5" xfId="27476"/>
    <cellStyle name="Output 3 4 9 6" xfId="37751"/>
    <cellStyle name="Output 3 4 9 7" xfId="48755"/>
    <cellStyle name="Output 3 5" xfId="547"/>
    <cellStyle name="Output 3 5 10" xfId="1994"/>
    <cellStyle name="Output 3 5 10 2" xfId="9817"/>
    <cellStyle name="Output 3 5 10 3" xfId="17245"/>
    <cellStyle name="Output 3 5 10 4" xfId="26172"/>
    <cellStyle name="Output 3 5 10 5" xfId="34843"/>
    <cellStyle name="Output 3 5 10 6" xfId="40748"/>
    <cellStyle name="Output 3 5 10 7" xfId="53366"/>
    <cellStyle name="Output 3 5 11" xfId="2112"/>
    <cellStyle name="Output 3 5 11 2" xfId="9935"/>
    <cellStyle name="Output 3 5 11 3" xfId="17363"/>
    <cellStyle name="Output 3 5 11 4" xfId="26432"/>
    <cellStyle name="Output 3 5 11 5" xfId="35200"/>
    <cellStyle name="Output 3 5 11 6" xfId="38760"/>
    <cellStyle name="Output 3 5 11 7" xfId="53923"/>
    <cellStyle name="Output 3 5 12" xfId="2225"/>
    <cellStyle name="Output 3 5 12 2" xfId="10048"/>
    <cellStyle name="Output 3 5 12 3" xfId="17476"/>
    <cellStyle name="Output 3 5 12 4" xfId="19071"/>
    <cellStyle name="Output 3 5 12 5" xfId="33154"/>
    <cellStyle name="Output 3 5 12 6" xfId="42197"/>
    <cellStyle name="Output 3 5 12 7" xfId="50440"/>
    <cellStyle name="Output 3 5 13" xfId="2003"/>
    <cellStyle name="Output 3 5 13 2" xfId="9826"/>
    <cellStyle name="Output 3 5 13 3" xfId="17254"/>
    <cellStyle name="Output 3 5 13 4" xfId="25804"/>
    <cellStyle name="Output 3 5 13 5" xfId="34381"/>
    <cellStyle name="Output 3 5 13 6" xfId="36987"/>
    <cellStyle name="Output 3 5 13 7" xfId="52576"/>
    <cellStyle name="Output 3 5 14" xfId="2306"/>
    <cellStyle name="Output 3 5 14 2" xfId="10129"/>
    <cellStyle name="Output 3 5 14 3" xfId="17557"/>
    <cellStyle name="Output 3 5 14 4" xfId="19177"/>
    <cellStyle name="Output 3 5 14 5" xfId="26910"/>
    <cellStyle name="Output 3 5 14 6" xfId="36687"/>
    <cellStyle name="Output 3 5 14 7" xfId="49182"/>
    <cellStyle name="Output 3 5 15" xfId="2523"/>
    <cellStyle name="Output 3 5 15 2" xfId="10346"/>
    <cellStyle name="Output 3 5 15 3" xfId="17774"/>
    <cellStyle name="Output 3 5 15 4" xfId="20621"/>
    <cellStyle name="Output 3 5 15 5" xfId="27641"/>
    <cellStyle name="Output 3 5 15 6" xfId="41549"/>
    <cellStyle name="Output 3 5 15 7" xfId="47955"/>
    <cellStyle name="Output 3 5 16" xfId="2636"/>
    <cellStyle name="Output 3 5 16 2" xfId="10459"/>
    <cellStyle name="Output 3 5 16 3" xfId="17887"/>
    <cellStyle name="Output 3 5 16 4" xfId="25798"/>
    <cellStyle name="Output 3 5 16 5" xfId="34371"/>
    <cellStyle name="Output 3 5 16 6" xfId="38770"/>
    <cellStyle name="Output 3 5 16 7" xfId="52559"/>
    <cellStyle name="Output 3 5 17" xfId="2387"/>
    <cellStyle name="Output 3 5 17 2" xfId="10210"/>
    <cellStyle name="Output 3 5 17 3" xfId="17638"/>
    <cellStyle name="Output 3 5 17 4" xfId="24985"/>
    <cellStyle name="Output 3 5 17 5" xfId="33329"/>
    <cellStyle name="Output 3 5 17 6" xfId="41012"/>
    <cellStyle name="Output 3 5 17 7" xfId="50759"/>
    <cellStyle name="Output 3 5 18" xfId="2729"/>
    <cellStyle name="Output 3 5 18 2" xfId="10552"/>
    <cellStyle name="Output 3 5 18 3" xfId="17980"/>
    <cellStyle name="Output 3 5 18 4" xfId="19496"/>
    <cellStyle name="Output 3 5 18 5" xfId="27143"/>
    <cellStyle name="Output 3 5 18 6" xfId="36910"/>
    <cellStyle name="Output 3 5 18 7" xfId="50001"/>
    <cellStyle name="Output 3 5 19" xfId="2829"/>
    <cellStyle name="Output 3 5 19 2" xfId="10652"/>
    <cellStyle name="Output 3 5 19 3" xfId="18080"/>
    <cellStyle name="Output 3 5 19 4" xfId="26176"/>
    <cellStyle name="Output 3 5 19 5" xfId="34848"/>
    <cellStyle name="Output 3 5 19 6" xfId="41496"/>
    <cellStyle name="Output 3 5 19 7" xfId="53373"/>
    <cellStyle name="Output 3 5 2" xfId="697"/>
    <cellStyle name="Output 3 5 2 2" xfId="8521"/>
    <cellStyle name="Output 3 5 2 3" xfId="15949"/>
    <cellStyle name="Output 3 5 2 4" xfId="26543"/>
    <cellStyle name="Output 3 5 2 5" xfId="35346"/>
    <cellStyle name="Output 3 5 2 6" xfId="38094"/>
    <cellStyle name="Output 3 5 2 7" xfId="54159"/>
    <cellStyle name="Output 3 5 20" xfId="2936"/>
    <cellStyle name="Output 3 5 20 2" xfId="10759"/>
    <cellStyle name="Output 3 5 20 3" xfId="18187"/>
    <cellStyle name="Output 3 5 20 4" xfId="25795"/>
    <cellStyle name="Output 3 5 20 5" xfId="34366"/>
    <cellStyle name="Output 3 5 20 6" xfId="40284"/>
    <cellStyle name="Output 3 5 20 7" xfId="52551"/>
    <cellStyle name="Output 3 5 21" xfId="3312"/>
    <cellStyle name="Output 3 5 21 2" xfId="11105"/>
    <cellStyle name="Output 3 5 21 3" xfId="18434"/>
    <cellStyle name="Output 3 5 21 4" xfId="20689"/>
    <cellStyle name="Output 3 5 21 5" xfId="27585"/>
    <cellStyle name="Output 3 5 21 6" xfId="38427"/>
    <cellStyle name="Output 3 5 21 7" xfId="47499"/>
    <cellStyle name="Output 3 5 22" xfId="3432"/>
    <cellStyle name="Output 3 5 22 2" xfId="11223"/>
    <cellStyle name="Output 3 5 22 3" xfId="18545"/>
    <cellStyle name="Output 3 5 22 4" xfId="26639"/>
    <cellStyle name="Output 3 5 22 5" xfId="35475"/>
    <cellStyle name="Output 3 5 22 6" xfId="41024"/>
    <cellStyle name="Output 3 5 22 7" xfId="54363"/>
    <cellStyle name="Output 3 5 23" xfId="2981"/>
    <cellStyle name="Output 3 5 23 2" xfId="10803"/>
    <cellStyle name="Output 3 5 23 3" xfId="18230"/>
    <cellStyle name="Output 3 5 23 4" xfId="20115"/>
    <cellStyle name="Output 3 5 23 5" xfId="28127"/>
    <cellStyle name="Output 3 5 23 6" xfId="36983"/>
    <cellStyle name="Output 3 5 23 7" xfId="49660"/>
    <cellStyle name="Output 3 5 24" xfId="3703"/>
    <cellStyle name="Output 3 5 24 2" xfId="11488"/>
    <cellStyle name="Output 3 5 24 3" xfId="18761"/>
    <cellStyle name="Output 3 5 24 4" xfId="20125"/>
    <cellStyle name="Output 3 5 24 5" xfId="27951"/>
    <cellStyle name="Output 3 5 24 6" xfId="39394"/>
    <cellStyle name="Output 3 5 24 7" xfId="47746"/>
    <cellStyle name="Output 3 5 25" xfId="3833"/>
    <cellStyle name="Output 3 5 25 2" xfId="11615"/>
    <cellStyle name="Output 3 5 25 3" xfId="18872"/>
    <cellStyle name="Output 3 5 25 4" xfId="25138"/>
    <cellStyle name="Output 3 5 25 5" xfId="33511"/>
    <cellStyle name="Output 3 5 25 6" xfId="38554"/>
    <cellStyle name="Output 3 5 25 7" xfId="51085"/>
    <cellStyle name="Output 3 5 26" xfId="3951"/>
    <cellStyle name="Output 3 5 26 2" xfId="11731"/>
    <cellStyle name="Output 3 5 26 3" xfId="18981"/>
    <cellStyle name="Output 3 5 26 4" xfId="19524"/>
    <cellStyle name="Output 3 5 26 5" xfId="27274"/>
    <cellStyle name="Output 3 5 26 6" xfId="41592"/>
    <cellStyle name="Output 3 5 26 7" xfId="48558"/>
    <cellStyle name="Output 3 5 27" xfId="3526"/>
    <cellStyle name="Output 3 5 27 2" xfId="11317"/>
    <cellStyle name="Output 3 5 27 3" xfId="20498"/>
    <cellStyle name="Output 3 5 27 4" xfId="28623"/>
    <cellStyle name="Output 3 5 27 5" xfId="37999"/>
    <cellStyle name="Output 3 5 27 6" xfId="42496"/>
    <cellStyle name="Output 3 5 27 7" xfId="52364"/>
    <cellStyle name="Output 3 5 28" xfId="4148"/>
    <cellStyle name="Output 3 5 28 2" xfId="11907"/>
    <cellStyle name="Output 3 5 28 3" xfId="20858"/>
    <cellStyle name="Output 3 5 28 4" xfId="29045"/>
    <cellStyle name="Output 3 5 28 5" xfId="38421"/>
    <cellStyle name="Output 3 5 28 6" xfId="42710"/>
    <cellStyle name="Output 3 5 28 7" xfId="47373"/>
    <cellStyle name="Output 3 5 29" xfId="4237"/>
    <cellStyle name="Output 3 5 29 2" xfId="20947"/>
    <cellStyle name="Output 3 5 29 3" xfId="29134"/>
    <cellStyle name="Output 3 5 29 4" xfId="38508"/>
    <cellStyle name="Output 3 5 29 5" xfId="42799"/>
    <cellStyle name="Output 3 5 29 6" xfId="49480"/>
    <cellStyle name="Output 3 5 3" xfId="805"/>
    <cellStyle name="Output 3 5 3 2" xfId="8629"/>
    <cellStyle name="Output 3 5 3 3" xfId="16057"/>
    <cellStyle name="Output 3 5 3 4" xfId="20539"/>
    <cellStyle name="Output 3 5 3 5" xfId="28384"/>
    <cellStyle name="Output 3 5 3 6" xfId="36961"/>
    <cellStyle name="Output 3 5 3 7" xfId="48261"/>
    <cellStyle name="Output 3 5 30" xfId="4345"/>
    <cellStyle name="Output 3 5 30 2" xfId="12062"/>
    <cellStyle name="Output 3 5 30 3" xfId="21055"/>
    <cellStyle name="Output 3 5 30 4" xfId="29242"/>
    <cellStyle name="Output 3 5 30 5" xfId="38612"/>
    <cellStyle name="Output 3 5 30 6" xfId="42907"/>
    <cellStyle name="Output 3 5 30 7" xfId="54473"/>
    <cellStyle name="Output 3 5 31" xfId="4468"/>
    <cellStyle name="Output 3 5 31 2" xfId="12185"/>
    <cellStyle name="Output 3 5 31 3" xfId="21178"/>
    <cellStyle name="Output 3 5 31 4" xfId="29365"/>
    <cellStyle name="Output 3 5 31 5" xfId="38730"/>
    <cellStyle name="Output 3 5 31 6" xfId="43030"/>
    <cellStyle name="Output 3 5 31 7" xfId="48512"/>
    <cellStyle name="Output 3 5 32" xfId="4582"/>
    <cellStyle name="Output 3 5 32 2" xfId="12299"/>
    <cellStyle name="Output 3 5 32 3" xfId="21292"/>
    <cellStyle name="Output 3 5 32 4" xfId="29479"/>
    <cellStyle name="Output 3 5 32 5" xfId="38839"/>
    <cellStyle name="Output 3 5 32 6" xfId="43144"/>
    <cellStyle name="Output 3 5 32 7" xfId="51483"/>
    <cellStyle name="Output 3 5 33" xfId="4695"/>
    <cellStyle name="Output 3 5 33 2" xfId="12412"/>
    <cellStyle name="Output 3 5 33 3" xfId="21405"/>
    <cellStyle name="Output 3 5 33 4" xfId="29592"/>
    <cellStyle name="Output 3 5 33 5" xfId="38948"/>
    <cellStyle name="Output 3 5 33 6" xfId="43257"/>
    <cellStyle name="Output 3 5 33 7" xfId="50085"/>
    <cellStyle name="Output 3 5 34" xfId="4806"/>
    <cellStyle name="Output 3 5 34 2" xfId="12523"/>
    <cellStyle name="Output 3 5 34 3" xfId="21516"/>
    <cellStyle name="Output 3 5 34 4" xfId="29703"/>
    <cellStyle name="Output 3 5 34 5" xfId="39056"/>
    <cellStyle name="Output 3 5 34 6" xfId="43368"/>
    <cellStyle name="Output 3 5 34 7" xfId="51014"/>
    <cellStyle name="Output 3 5 35" xfId="4915"/>
    <cellStyle name="Output 3 5 35 2" xfId="12632"/>
    <cellStyle name="Output 3 5 35 3" xfId="21625"/>
    <cellStyle name="Output 3 5 35 4" xfId="29812"/>
    <cellStyle name="Output 3 5 35 5" xfId="39160"/>
    <cellStyle name="Output 3 5 35 6" xfId="43477"/>
    <cellStyle name="Output 3 5 35 7" xfId="47007"/>
    <cellStyle name="Output 3 5 36" xfId="5026"/>
    <cellStyle name="Output 3 5 36 2" xfId="12743"/>
    <cellStyle name="Output 3 5 36 3" xfId="21736"/>
    <cellStyle name="Output 3 5 36 4" xfId="29923"/>
    <cellStyle name="Output 3 5 36 5" xfId="39268"/>
    <cellStyle name="Output 3 5 36 6" xfId="43588"/>
    <cellStyle name="Output 3 5 36 7" xfId="51370"/>
    <cellStyle name="Output 3 5 37" xfId="5405"/>
    <cellStyle name="Output 3 5 37 2" xfId="13122"/>
    <cellStyle name="Output 3 5 37 3" xfId="22115"/>
    <cellStyle name="Output 3 5 37 4" xfId="30302"/>
    <cellStyle name="Output 3 5 37 5" xfId="39632"/>
    <cellStyle name="Output 3 5 37 6" xfId="43967"/>
    <cellStyle name="Output 3 5 37 7" xfId="50628"/>
    <cellStyle name="Output 3 5 38" xfId="5525"/>
    <cellStyle name="Output 3 5 38 2" xfId="13242"/>
    <cellStyle name="Output 3 5 38 3" xfId="22235"/>
    <cellStyle name="Output 3 5 38 4" xfId="30422"/>
    <cellStyle name="Output 3 5 38 5" xfId="39746"/>
    <cellStyle name="Output 3 5 38 6" xfId="44087"/>
    <cellStyle name="Output 3 5 38 7" xfId="50078"/>
    <cellStyle name="Output 3 5 39" xfId="5649"/>
    <cellStyle name="Output 3 5 39 2" xfId="13366"/>
    <cellStyle name="Output 3 5 39 3" xfId="22359"/>
    <cellStyle name="Output 3 5 39 4" xfId="30546"/>
    <cellStyle name="Output 3 5 39 5" xfId="39866"/>
    <cellStyle name="Output 3 5 39 6" xfId="44211"/>
    <cellStyle name="Output 3 5 39 7" xfId="47198"/>
    <cellStyle name="Output 3 5 4" xfId="916"/>
    <cellStyle name="Output 3 5 4 2" xfId="8740"/>
    <cellStyle name="Output 3 5 4 3" xfId="16168"/>
    <cellStyle name="Output 3 5 4 4" xfId="25720"/>
    <cellStyle name="Output 3 5 4 5" xfId="34264"/>
    <cellStyle name="Output 3 5 4 6" xfId="37887"/>
    <cellStyle name="Output 3 5 4 7" xfId="52360"/>
    <cellStyle name="Output 3 5 40" xfId="5765"/>
    <cellStyle name="Output 3 5 40 2" xfId="13482"/>
    <cellStyle name="Output 3 5 40 3" xfId="22475"/>
    <cellStyle name="Output 3 5 40 4" xfId="30662"/>
    <cellStyle name="Output 3 5 40 5" xfId="39978"/>
    <cellStyle name="Output 3 5 40 6" xfId="44327"/>
    <cellStyle name="Output 3 5 40 7" xfId="50680"/>
    <cellStyle name="Output 3 5 41" xfId="5881"/>
    <cellStyle name="Output 3 5 41 2" xfId="13598"/>
    <cellStyle name="Output 3 5 41 3" xfId="22591"/>
    <cellStyle name="Output 3 5 41 4" xfId="30778"/>
    <cellStyle name="Output 3 5 41 5" xfId="40091"/>
    <cellStyle name="Output 3 5 41 6" xfId="44443"/>
    <cellStyle name="Output 3 5 41 7" xfId="51180"/>
    <cellStyle name="Output 3 5 42" xfId="6010"/>
    <cellStyle name="Output 3 5 42 2" xfId="13727"/>
    <cellStyle name="Output 3 5 42 3" xfId="22720"/>
    <cellStyle name="Output 3 5 42 4" xfId="30907"/>
    <cellStyle name="Output 3 5 42 5" xfId="40215"/>
    <cellStyle name="Output 3 5 42 6" xfId="44572"/>
    <cellStyle name="Output 3 5 42 7" xfId="53398"/>
    <cellStyle name="Output 3 5 43" xfId="6137"/>
    <cellStyle name="Output 3 5 43 2" xfId="13854"/>
    <cellStyle name="Output 3 5 43 3" xfId="22847"/>
    <cellStyle name="Output 3 5 43 4" xfId="31034"/>
    <cellStyle name="Output 3 5 43 5" xfId="40335"/>
    <cellStyle name="Output 3 5 43 6" xfId="44699"/>
    <cellStyle name="Output 3 5 43 7" xfId="48483"/>
    <cellStyle name="Output 3 5 44" xfId="6266"/>
    <cellStyle name="Output 3 5 44 2" xfId="13983"/>
    <cellStyle name="Output 3 5 44 3" xfId="22976"/>
    <cellStyle name="Output 3 5 44 4" xfId="31163"/>
    <cellStyle name="Output 3 5 44 5" xfId="40463"/>
    <cellStyle name="Output 3 5 44 6" xfId="44828"/>
    <cellStyle name="Output 3 5 44 7" xfId="47273"/>
    <cellStyle name="Output 3 5 45" xfId="6382"/>
    <cellStyle name="Output 3 5 45 2" xfId="14099"/>
    <cellStyle name="Output 3 5 45 3" xfId="23092"/>
    <cellStyle name="Output 3 5 45 4" xfId="31279"/>
    <cellStyle name="Output 3 5 45 5" xfId="40576"/>
    <cellStyle name="Output 3 5 45 6" xfId="44944"/>
    <cellStyle name="Output 3 5 45 7" xfId="51907"/>
    <cellStyle name="Output 3 5 46" xfId="6493"/>
    <cellStyle name="Output 3 5 46 2" xfId="14210"/>
    <cellStyle name="Output 3 5 46 3" xfId="23203"/>
    <cellStyle name="Output 3 5 46 4" xfId="31390"/>
    <cellStyle name="Output 3 5 46 5" xfId="40683"/>
    <cellStyle name="Output 3 5 46 6" xfId="45055"/>
    <cellStyle name="Output 3 5 46 7" xfId="53758"/>
    <cellStyle name="Output 3 5 47" xfId="5938"/>
    <cellStyle name="Output 3 5 47 2" xfId="13655"/>
    <cellStyle name="Output 3 5 47 3" xfId="22648"/>
    <cellStyle name="Output 3 5 47 4" xfId="30835"/>
    <cellStyle name="Output 3 5 47 5" xfId="40146"/>
    <cellStyle name="Output 3 5 47 6" xfId="44500"/>
    <cellStyle name="Output 3 5 47 7" xfId="53531"/>
    <cellStyle name="Output 3 5 48" xfId="6639"/>
    <cellStyle name="Output 3 5 48 2" xfId="14356"/>
    <cellStyle name="Output 3 5 48 3" xfId="23349"/>
    <cellStyle name="Output 3 5 48 4" xfId="31536"/>
    <cellStyle name="Output 3 5 48 5" xfId="40822"/>
    <cellStyle name="Output 3 5 48 6" xfId="45201"/>
    <cellStyle name="Output 3 5 48 7" xfId="54085"/>
    <cellStyle name="Output 3 5 49" xfId="6751"/>
    <cellStyle name="Output 3 5 49 2" xfId="14468"/>
    <cellStyle name="Output 3 5 49 3" xfId="23461"/>
    <cellStyle name="Output 3 5 49 4" xfId="31648"/>
    <cellStyle name="Output 3 5 49 5" xfId="40928"/>
    <cellStyle name="Output 3 5 49 6" xfId="45313"/>
    <cellStyle name="Output 3 5 49 7" xfId="49510"/>
    <cellStyle name="Output 3 5 5" xfId="1382"/>
    <cellStyle name="Output 3 5 5 2" xfId="9205"/>
    <cellStyle name="Output 3 5 5 3" xfId="16633"/>
    <cellStyle name="Output 3 5 5 4" xfId="25558"/>
    <cellStyle name="Output 3 5 5 5" xfId="34054"/>
    <cellStyle name="Output 3 5 5 6" xfId="38371"/>
    <cellStyle name="Output 3 5 5 7" xfId="51998"/>
    <cellStyle name="Output 3 5 50" xfId="6866"/>
    <cellStyle name="Output 3 5 50 2" xfId="14583"/>
    <cellStyle name="Output 3 5 50 3" xfId="23576"/>
    <cellStyle name="Output 3 5 50 4" xfId="31763"/>
    <cellStyle name="Output 3 5 50 5" xfId="41036"/>
    <cellStyle name="Output 3 5 50 6" xfId="45428"/>
    <cellStyle name="Output 3 5 50 7" xfId="47068"/>
    <cellStyle name="Output 3 5 51" xfId="6979"/>
    <cellStyle name="Output 3 5 51 2" xfId="14696"/>
    <cellStyle name="Output 3 5 51 3" xfId="23689"/>
    <cellStyle name="Output 3 5 51 4" xfId="31876"/>
    <cellStyle name="Output 3 5 51 5" xfId="41144"/>
    <cellStyle name="Output 3 5 51 6" xfId="45541"/>
    <cellStyle name="Output 3 5 51 7" xfId="47023"/>
    <cellStyle name="Output 3 5 52" xfId="7090"/>
    <cellStyle name="Output 3 5 52 2" xfId="14807"/>
    <cellStyle name="Output 3 5 52 3" xfId="23800"/>
    <cellStyle name="Output 3 5 52 4" xfId="31987"/>
    <cellStyle name="Output 3 5 52 5" xfId="41249"/>
    <cellStyle name="Output 3 5 52 6" xfId="45652"/>
    <cellStyle name="Output 3 5 52 7" xfId="49699"/>
    <cellStyle name="Output 3 5 53" xfId="7187"/>
    <cellStyle name="Output 3 5 53 2" xfId="14904"/>
    <cellStyle name="Output 3 5 53 3" xfId="23897"/>
    <cellStyle name="Output 3 5 53 4" xfId="32084"/>
    <cellStyle name="Output 3 5 53 5" xfId="41345"/>
    <cellStyle name="Output 3 5 53 6" xfId="45749"/>
    <cellStyle name="Output 3 5 53 7" xfId="52863"/>
    <cellStyle name="Output 3 5 54" xfId="7334"/>
    <cellStyle name="Output 3 5 54 2" xfId="15051"/>
    <cellStyle name="Output 3 5 54 3" xfId="24044"/>
    <cellStyle name="Output 3 5 54 4" xfId="32231"/>
    <cellStyle name="Output 3 5 54 5" xfId="41487"/>
    <cellStyle name="Output 3 5 54 6" xfId="45896"/>
    <cellStyle name="Output 3 5 54 7" xfId="53086"/>
    <cellStyle name="Output 3 5 55" xfId="7487"/>
    <cellStyle name="Output 3 5 55 2" xfId="15204"/>
    <cellStyle name="Output 3 5 55 3" xfId="24197"/>
    <cellStyle name="Output 3 5 55 4" xfId="32384"/>
    <cellStyle name="Output 3 5 55 5" xfId="41632"/>
    <cellStyle name="Output 3 5 55 6" xfId="46049"/>
    <cellStyle name="Output 3 5 55 7" xfId="51544"/>
    <cellStyle name="Output 3 5 56" xfId="7608"/>
    <cellStyle name="Output 3 5 56 2" xfId="15325"/>
    <cellStyle name="Output 3 5 56 3" xfId="24318"/>
    <cellStyle name="Output 3 5 56 4" xfId="32505"/>
    <cellStyle name="Output 3 5 56 5" xfId="41747"/>
    <cellStyle name="Output 3 5 56 6" xfId="46170"/>
    <cellStyle name="Output 3 5 56 7" xfId="46880"/>
    <cellStyle name="Output 3 5 57" xfId="7884"/>
    <cellStyle name="Output 3 5 57 2" xfId="15601"/>
    <cellStyle name="Output 3 5 57 3" xfId="24588"/>
    <cellStyle name="Output 3 5 57 4" xfId="32781"/>
    <cellStyle name="Output 3 5 57 5" xfId="42012"/>
    <cellStyle name="Output 3 5 57 6" xfId="46446"/>
    <cellStyle name="Output 3 5 57 7" xfId="48549"/>
    <cellStyle name="Output 3 5 58" xfId="8012"/>
    <cellStyle name="Output 3 5 58 2" xfId="15729"/>
    <cellStyle name="Output 3 5 58 3" xfId="24714"/>
    <cellStyle name="Output 3 5 58 4" xfId="32909"/>
    <cellStyle name="Output 3 5 58 5" xfId="42135"/>
    <cellStyle name="Output 3 5 58 6" xfId="46574"/>
    <cellStyle name="Output 3 5 58 7" xfId="48633"/>
    <cellStyle name="Output 3 5 59" xfId="8008"/>
    <cellStyle name="Output 3 5 59 2" xfId="15725"/>
    <cellStyle name="Output 3 5 59 3" xfId="24710"/>
    <cellStyle name="Output 3 5 59 4" xfId="32905"/>
    <cellStyle name="Output 3 5 59 5" xfId="42131"/>
    <cellStyle name="Output 3 5 59 6" xfId="46570"/>
    <cellStyle name="Output 3 5 59 7" xfId="47784"/>
    <cellStyle name="Output 3 5 6" xfId="1505"/>
    <cellStyle name="Output 3 5 6 2" xfId="9328"/>
    <cellStyle name="Output 3 5 6 3" xfId="16756"/>
    <cellStyle name="Output 3 5 6 4" xfId="25541"/>
    <cellStyle name="Output 3 5 6 5" xfId="34032"/>
    <cellStyle name="Output 3 5 6 6" xfId="36785"/>
    <cellStyle name="Output 3 5 6 7" xfId="51966"/>
    <cellStyle name="Output 3 5 60" xfId="8160"/>
    <cellStyle name="Output 3 5 60 2" xfId="15877"/>
    <cellStyle name="Output 3 5 60 3" xfId="33057"/>
    <cellStyle name="Output 3 5 60 4" xfId="42276"/>
    <cellStyle name="Output 3 5 60 5" xfId="46722"/>
    <cellStyle name="Output 3 5 60 6" xfId="47912"/>
    <cellStyle name="Output 3 5 61" xfId="20010"/>
    <cellStyle name="Output 3 5 62" xfId="27599"/>
    <cellStyle name="Output 3 5 63" xfId="36293"/>
    <cellStyle name="Output 3 5 64" xfId="48269"/>
    <cellStyle name="Output 3 5 7" xfId="1144"/>
    <cellStyle name="Output 3 5 7 2" xfId="8967"/>
    <cellStyle name="Output 3 5 7 3" xfId="16395"/>
    <cellStyle name="Output 3 5 7 4" xfId="19355"/>
    <cellStyle name="Output 3 5 7 5" xfId="26780"/>
    <cellStyle name="Output 3 5 7 6" xfId="40685"/>
    <cellStyle name="Output 3 5 7 7" xfId="50361"/>
    <cellStyle name="Output 3 5 8" xfId="1742"/>
    <cellStyle name="Output 3 5 8 2" xfId="9565"/>
    <cellStyle name="Output 3 5 8 3" xfId="16993"/>
    <cellStyle name="Output 3 5 8 4" xfId="24854"/>
    <cellStyle name="Output 3 5 8 5" xfId="27035"/>
    <cellStyle name="Output 3 5 8 6" xfId="40575"/>
    <cellStyle name="Output 3 5 8 7" xfId="49919"/>
    <cellStyle name="Output 3 5 9" xfId="1876"/>
    <cellStyle name="Output 3 5 9 2" xfId="9699"/>
    <cellStyle name="Output 3 5 9 3" xfId="17127"/>
    <cellStyle name="Output 3 5 9 4" xfId="24907"/>
    <cellStyle name="Output 3 5 9 5" xfId="33229"/>
    <cellStyle name="Output 3 5 9 6" xfId="36522"/>
    <cellStyle name="Output 3 5 9 7" xfId="50578"/>
    <cellStyle name="Output 3 6" xfId="593"/>
    <cellStyle name="Output 3 6 10" xfId="2039"/>
    <cellStyle name="Output 3 6 10 2" xfId="9862"/>
    <cellStyle name="Output 3 6 10 3" xfId="17290"/>
    <cellStyle name="Output 3 6 10 4" xfId="19304"/>
    <cellStyle name="Output 3 6 10 5" xfId="28033"/>
    <cellStyle name="Output 3 6 10 6" xfId="38756"/>
    <cellStyle name="Output 3 6 10 7" xfId="48657"/>
    <cellStyle name="Output 3 6 11" xfId="2153"/>
    <cellStyle name="Output 3 6 11 2" xfId="9976"/>
    <cellStyle name="Output 3 6 11 3" xfId="17404"/>
    <cellStyle name="Output 3 6 11 4" xfId="19637"/>
    <cellStyle name="Output 3 6 11 5" xfId="28717"/>
    <cellStyle name="Output 3 6 11 6" xfId="42094"/>
    <cellStyle name="Output 3 6 11 7" xfId="49417"/>
    <cellStyle name="Output 3 6 12" xfId="2270"/>
    <cellStyle name="Output 3 6 12 2" xfId="10093"/>
    <cellStyle name="Output 3 6 12 3" xfId="17521"/>
    <cellStyle name="Output 3 6 12 4" xfId="26039"/>
    <cellStyle name="Output 3 6 12 5" xfId="34673"/>
    <cellStyle name="Output 3 6 12 6" xfId="37868"/>
    <cellStyle name="Output 3 6 12 7" xfId="53074"/>
    <cellStyle name="Output 3 6 13" xfId="1614"/>
    <cellStyle name="Output 3 6 13 2" xfId="9437"/>
    <cellStyle name="Output 3 6 13 3" xfId="16865"/>
    <cellStyle name="Output 3 6 13 4" xfId="20517"/>
    <cellStyle name="Output 3 6 13 5" xfId="28100"/>
    <cellStyle name="Output 3 6 13 6" xfId="37483"/>
    <cellStyle name="Output 3 6 13 7" xfId="48625"/>
    <cellStyle name="Output 3 6 14" xfId="976"/>
    <cellStyle name="Output 3 6 14 2" xfId="8800"/>
    <cellStyle name="Output 3 6 14 3" xfId="16228"/>
    <cellStyle name="Output 3 6 14 4" xfId="26100"/>
    <cellStyle name="Output 3 6 14 5" xfId="34753"/>
    <cellStyle name="Output 3 6 14 6" xfId="36921"/>
    <cellStyle name="Output 3 6 14 7" xfId="53210"/>
    <cellStyle name="Output 3 6 15" xfId="2566"/>
    <cellStyle name="Output 3 6 15 2" xfId="10389"/>
    <cellStyle name="Output 3 6 15 3" xfId="17817"/>
    <cellStyle name="Output 3 6 15 4" xfId="26028"/>
    <cellStyle name="Output 3 6 15 5" xfId="34658"/>
    <cellStyle name="Output 3 6 15 6" xfId="36493"/>
    <cellStyle name="Output 3 6 15 7" xfId="53051"/>
    <cellStyle name="Output 3 6 16" xfId="2680"/>
    <cellStyle name="Output 3 6 16 2" xfId="10503"/>
    <cellStyle name="Output 3 6 16 3" xfId="17931"/>
    <cellStyle name="Output 3 6 16 4" xfId="25996"/>
    <cellStyle name="Output 3 6 16 5" xfId="34618"/>
    <cellStyle name="Output 3 6 16 6" xfId="41953"/>
    <cellStyle name="Output 3 6 16 7" xfId="52984"/>
    <cellStyle name="Output 3 6 17" xfId="1795"/>
    <cellStyle name="Output 3 6 17 2" xfId="9618"/>
    <cellStyle name="Output 3 6 17 3" xfId="17046"/>
    <cellStyle name="Output 3 6 17 4" xfId="25393"/>
    <cellStyle name="Output 3 6 17 5" xfId="33841"/>
    <cellStyle name="Output 3 6 17 6" xfId="41442"/>
    <cellStyle name="Output 3 6 17 7" xfId="51627"/>
    <cellStyle name="Output 3 6 18" xfId="2389"/>
    <cellStyle name="Output 3 6 18 2" xfId="10212"/>
    <cellStyle name="Output 3 6 18 3" xfId="17640"/>
    <cellStyle name="Output 3 6 18 4" xfId="19965"/>
    <cellStyle name="Output 3 6 18 5" xfId="33108"/>
    <cellStyle name="Output 3 6 18 6" xfId="40799"/>
    <cellStyle name="Output 3 6 18 7" xfId="49689"/>
    <cellStyle name="Output 3 6 19" xfId="2869"/>
    <cellStyle name="Output 3 6 19 2" xfId="10692"/>
    <cellStyle name="Output 3 6 19 3" xfId="18120"/>
    <cellStyle name="Output 3 6 19 4" xfId="25534"/>
    <cellStyle name="Output 3 6 19 5" xfId="34023"/>
    <cellStyle name="Output 3 6 19 6" xfId="36426"/>
    <cellStyle name="Output 3 6 19 7" xfId="51953"/>
    <cellStyle name="Output 3 6 2" xfId="736"/>
    <cellStyle name="Output 3 6 2 2" xfId="8560"/>
    <cellStyle name="Output 3 6 2 3" xfId="15988"/>
    <cellStyle name="Output 3 6 2 4" xfId="19118"/>
    <cellStyle name="Output 3 6 2 5" xfId="26984"/>
    <cellStyle name="Output 3 6 2 6" xfId="37211"/>
    <cellStyle name="Output 3 6 2 7" xfId="49854"/>
    <cellStyle name="Output 3 6 20" xfId="2975"/>
    <cellStyle name="Output 3 6 20 2" xfId="10798"/>
    <cellStyle name="Output 3 6 20 3" xfId="18226"/>
    <cellStyle name="Output 3 6 20 4" xfId="25062"/>
    <cellStyle name="Output 3 6 20 5" xfId="33422"/>
    <cellStyle name="Output 3 6 20 6" xfId="36576"/>
    <cellStyle name="Output 3 6 20 7" xfId="50933"/>
    <cellStyle name="Output 3 6 21" xfId="3356"/>
    <cellStyle name="Output 3 6 21 2" xfId="11149"/>
    <cellStyle name="Output 3 6 21 3" xfId="18475"/>
    <cellStyle name="Output 3 6 21 4" xfId="19386"/>
    <cellStyle name="Output 3 6 21 5" xfId="28541"/>
    <cellStyle name="Output 3 6 21 6" xfId="41334"/>
    <cellStyle name="Output 3 6 21 7" xfId="47896"/>
    <cellStyle name="Output 3 6 22" xfId="3475"/>
    <cellStyle name="Output 3 6 22 2" xfId="11266"/>
    <cellStyle name="Output 3 6 22 3" xfId="18585"/>
    <cellStyle name="Output 3 6 22 4" xfId="20557"/>
    <cellStyle name="Output 3 6 22 5" xfId="28133"/>
    <cellStyle name="Output 3 6 22 6" xfId="36579"/>
    <cellStyle name="Output 3 6 22 7" xfId="50052"/>
    <cellStyle name="Output 3 6 23" xfId="3633"/>
    <cellStyle name="Output 3 6 23 2" xfId="11418"/>
    <cellStyle name="Output 3 6 23 3" xfId="18691"/>
    <cellStyle name="Output 3 6 23 4" xfId="19360"/>
    <cellStyle name="Output 3 6 23 5" xfId="28493"/>
    <cellStyle name="Output 3 6 23 6" xfId="41828"/>
    <cellStyle name="Output 3 6 23 7" xfId="48728"/>
    <cellStyle name="Output 3 6 24" xfId="3748"/>
    <cellStyle name="Output 3 6 24 2" xfId="11533"/>
    <cellStyle name="Output 3 6 24 3" xfId="18803"/>
    <cellStyle name="Output 3 6 24 4" xfId="26145"/>
    <cellStyle name="Output 3 6 24 5" xfId="34811"/>
    <cellStyle name="Output 3 6 24 6" xfId="40044"/>
    <cellStyle name="Output 3 6 24 7" xfId="53308"/>
    <cellStyle name="Output 3 6 25" xfId="3877"/>
    <cellStyle name="Output 3 6 25 2" xfId="11658"/>
    <cellStyle name="Output 3 6 25 3" xfId="18912"/>
    <cellStyle name="Output 3 6 25 4" xfId="26358"/>
    <cellStyle name="Output 3 6 25 5" xfId="35090"/>
    <cellStyle name="Output 3 6 25 6" xfId="41695"/>
    <cellStyle name="Output 3 6 25 7" xfId="53752"/>
    <cellStyle name="Output 3 6 26" xfId="3996"/>
    <cellStyle name="Output 3 6 26 2" xfId="11775"/>
    <cellStyle name="Output 3 6 26 3" xfId="19020"/>
    <cellStyle name="Output 3 6 26 4" xfId="20127"/>
    <cellStyle name="Output 3 6 26 5" xfId="28856"/>
    <cellStyle name="Output 3 6 26 6" xfId="37431"/>
    <cellStyle name="Output 3 6 26 7" xfId="50294"/>
    <cellStyle name="Output 3 6 27" xfId="3730"/>
    <cellStyle name="Output 3 6 27 2" xfId="11515"/>
    <cellStyle name="Output 3 6 27 3" xfId="20595"/>
    <cellStyle name="Output 3 6 27 4" xfId="28744"/>
    <cellStyle name="Output 3 6 27 5" xfId="38129"/>
    <cellStyle name="Output 3 6 27 6" xfId="42526"/>
    <cellStyle name="Output 3 6 27 7" xfId="47782"/>
    <cellStyle name="Output 3 6 28" xfId="4190"/>
    <cellStyle name="Output 3 6 28 2" xfId="11949"/>
    <cellStyle name="Output 3 6 28 3" xfId="20900"/>
    <cellStyle name="Output 3 6 28 4" xfId="29087"/>
    <cellStyle name="Output 3 6 28 5" xfId="38463"/>
    <cellStyle name="Output 3 6 28 6" xfId="42752"/>
    <cellStyle name="Output 3 6 28 7" xfId="52919"/>
    <cellStyle name="Output 3 6 29" xfId="4268"/>
    <cellStyle name="Output 3 6 29 2" xfId="20978"/>
    <cellStyle name="Output 3 6 29 3" xfId="29165"/>
    <cellStyle name="Output 3 6 29 4" xfId="38538"/>
    <cellStyle name="Output 3 6 29 5" xfId="42830"/>
    <cellStyle name="Output 3 6 29 6" xfId="52452"/>
    <cellStyle name="Output 3 6 3" xfId="847"/>
    <cellStyle name="Output 3 6 3 2" xfId="8671"/>
    <cellStyle name="Output 3 6 3 3" xfId="16099"/>
    <cellStyle name="Output 3 6 3 4" xfId="25135"/>
    <cellStyle name="Output 3 6 3 5" xfId="33508"/>
    <cellStyle name="Output 3 6 3 6" xfId="36706"/>
    <cellStyle name="Output 3 6 3 7" xfId="51081"/>
    <cellStyle name="Output 3 6 30" xfId="4391"/>
    <cellStyle name="Output 3 6 30 2" xfId="12108"/>
    <cellStyle name="Output 3 6 30 3" xfId="21101"/>
    <cellStyle name="Output 3 6 30 4" xfId="29288"/>
    <cellStyle name="Output 3 6 30 5" xfId="38658"/>
    <cellStyle name="Output 3 6 30 6" xfId="42953"/>
    <cellStyle name="Output 3 6 30 7" xfId="49910"/>
    <cellStyle name="Output 3 6 31" xfId="4510"/>
    <cellStyle name="Output 3 6 31 2" xfId="12227"/>
    <cellStyle name="Output 3 6 31 3" xfId="21220"/>
    <cellStyle name="Output 3 6 31 4" xfId="29407"/>
    <cellStyle name="Output 3 6 31 5" xfId="38771"/>
    <cellStyle name="Output 3 6 31 6" xfId="43072"/>
    <cellStyle name="Output 3 6 31 7" xfId="49770"/>
    <cellStyle name="Output 3 6 32" xfId="4624"/>
    <cellStyle name="Output 3 6 32 2" xfId="12341"/>
    <cellStyle name="Output 3 6 32 3" xfId="21334"/>
    <cellStyle name="Output 3 6 32 4" xfId="29521"/>
    <cellStyle name="Output 3 6 32 5" xfId="38880"/>
    <cellStyle name="Output 3 6 32 6" xfId="43186"/>
    <cellStyle name="Output 3 6 32 7" xfId="48367"/>
    <cellStyle name="Output 3 6 33" xfId="4737"/>
    <cellStyle name="Output 3 6 33 2" xfId="12454"/>
    <cellStyle name="Output 3 6 33 3" xfId="21447"/>
    <cellStyle name="Output 3 6 33 4" xfId="29634"/>
    <cellStyle name="Output 3 6 33 5" xfId="38989"/>
    <cellStyle name="Output 3 6 33 6" xfId="43299"/>
    <cellStyle name="Output 3 6 33 7" xfId="50706"/>
    <cellStyle name="Output 3 6 34" xfId="4846"/>
    <cellStyle name="Output 3 6 34 2" xfId="12563"/>
    <cellStyle name="Output 3 6 34 3" xfId="21556"/>
    <cellStyle name="Output 3 6 34 4" xfId="29743"/>
    <cellStyle name="Output 3 6 34 5" xfId="39094"/>
    <cellStyle name="Output 3 6 34 6" xfId="43408"/>
    <cellStyle name="Output 3 6 34 7" xfId="54405"/>
    <cellStyle name="Output 3 6 35" xfId="4957"/>
    <cellStyle name="Output 3 6 35 2" xfId="12674"/>
    <cellStyle name="Output 3 6 35 3" xfId="21667"/>
    <cellStyle name="Output 3 6 35 4" xfId="29854"/>
    <cellStyle name="Output 3 6 35 5" xfId="39201"/>
    <cellStyle name="Output 3 6 35 6" xfId="43519"/>
    <cellStyle name="Output 3 6 35 7" xfId="52251"/>
    <cellStyle name="Output 3 6 36" xfId="5065"/>
    <cellStyle name="Output 3 6 36 2" xfId="12782"/>
    <cellStyle name="Output 3 6 36 3" xfId="21775"/>
    <cellStyle name="Output 3 6 36 4" xfId="29962"/>
    <cellStyle name="Output 3 6 36 5" xfId="39305"/>
    <cellStyle name="Output 3 6 36 6" xfId="43627"/>
    <cellStyle name="Output 3 6 36 7" xfId="54449"/>
    <cellStyle name="Output 3 6 37" xfId="5448"/>
    <cellStyle name="Output 3 6 37 2" xfId="13165"/>
    <cellStyle name="Output 3 6 37 3" xfId="22158"/>
    <cellStyle name="Output 3 6 37 4" xfId="30345"/>
    <cellStyle name="Output 3 6 37 5" xfId="39674"/>
    <cellStyle name="Output 3 6 37 6" xfId="44010"/>
    <cellStyle name="Output 3 6 37 7" xfId="53945"/>
    <cellStyle name="Output 3 6 38" xfId="5567"/>
    <cellStyle name="Output 3 6 38 2" xfId="13284"/>
    <cellStyle name="Output 3 6 38 3" xfId="22277"/>
    <cellStyle name="Output 3 6 38 4" xfId="30464"/>
    <cellStyle name="Output 3 6 38 5" xfId="39787"/>
    <cellStyle name="Output 3 6 38 6" xfId="44129"/>
    <cellStyle name="Output 3 6 38 7" xfId="47161"/>
    <cellStyle name="Output 3 6 39" xfId="5693"/>
    <cellStyle name="Output 3 6 39 2" xfId="13410"/>
    <cellStyle name="Output 3 6 39 3" xfId="22403"/>
    <cellStyle name="Output 3 6 39 4" xfId="30590"/>
    <cellStyle name="Output 3 6 39 5" xfId="39908"/>
    <cellStyle name="Output 3 6 39 6" xfId="44255"/>
    <cellStyle name="Output 3 6 39 7" xfId="47086"/>
    <cellStyle name="Output 3 6 4" xfId="955"/>
    <cellStyle name="Output 3 6 4 2" xfId="8779"/>
    <cellStyle name="Output 3 6 4 3" xfId="16207"/>
    <cellStyle name="Output 3 6 4 4" xfId="26095"/>
    <cellStyle name="Output 3 6 4 5" xfId="34745"/>
    <cellStyle name="Output 3 6 4 6" xfId="36329"/>
    <cellStyle name="Output 3 6 4 7" xfId="53197"/>
    <cellStyle name="Output 3 6 40" xfId="5807"/>
    <cellStyle name="Output 3 6 40 2" xfId="13524"/>
    <cellStyle name="Output 3 6 40 3" xfId="22517"/>
    <cellStyle name="Output 3 6 40 4" xfId="30704"/>
    <cellStyle name="Output 3 6 40 5" xfId="40019"/>
    <cellStyle name="Output 3 6 40 6" xfId="44369"/>
    <cellStyle name="Output 3 6 40 7" xfId="52719"/>
    <cellStyle name="Output 3 6 41" xfId="5926"/>
    <cellStyle name="Output 3 6 41 2" xfId="13643"/>
    <cellStyle name="Output 3 6 41 3" xfId="22636"/>
    <cellStyle name="Output 3 6 41 4" xfId="30823"/>
    <cellStyle name="Output 3 6 41 5" xfId="40135"/>
    <cellStyle name="Output 3 6 41 6" xfId="44488"/>
    <cellStyle name="Output 3 6 41 7" xfId="53622"/>
    <cellStyle name="Output 3 6 42" xfId="6052"/>
    <cellStyle name="Output 3 6 42 2" xfId="13769"/>
    <cellStyle name="Output 3 6 42 3" xfId="22762"/>
    <cellStyle name="Output 3 6 42 4" xfId="30949"/>
    <cellStyle name="Output 3 6 42 5" xfId="40256"/>
    <cellStyle name="Output 3 6 42 6" xfId="44614"/>
    <cellStyle name="Output 3 6 42 7" xfId="48700"/>
    <cellStyle name="Output 3 6 43" xfId="6179"/>
    <cellStyle name="Output 3 6 43 2" xfId="13896"/>
    <cellStyle name="Output 3 6 43 3" xfId="22889"/>
    <cellStyle name="Output 3 6 43 4" xfId="31076"/>
    <cellStyle name="Output 3 6 43 5" xfId="40377"/>
    <cellStyle name="Output 3 6 43 6" xfId="44741"/>
    <cellStyle name="Output 3 6 43 7" xfId="50341"/>
    <cellStyle name="Output 3 6 44" xfId="6308"/>
    <cellStyle name="Output 3 6 44 2" xfId="14025"/>
    <cellStyle name="Output 3 6 44 3" xfId="23018"/>
    <cellStyle name="Output 3 6 44 4" xfId="31205"/>
    <cellStyle name="Output 3 6 44 5" xfId="40505"/>
    <cellStyle name="Output 3 6 44 6" xfId="44870"/>
    <cellStyle name="Output 3 6 44 7" xfId="48111"/>
    <cellStyle name="Output 3 6 45" xfId="6422"/>
    <cellStyle name="Output 3 6 45 2" xfId="14139"/>
    <cellStyle name="Output 3 6 45 3" xfId="23132"/>
    <cellStyle name="Output 3 6 45 4" xfId="31319"/>
    <cellStyle name="Output 3 6 45 5" xfId="40614"/>
    <cellStyle name="Output 3 6 45 6" xfId="44984"/>
    <cellStyle name="Output 3 6 45 7" xfId="54182"/>
    <cellStyle name="Output 3 6 46" xfId="6536"/>
    <cellStyle name="Output 3 6 46 2" xfId="14253"/>
    <cellStyle name="Output 3 6 46 3" xfId="23246"/>
    <cellStyle name="Output 3 6 46 4" xfId="31433"/>
    <cellStyle name="Output 3 6 46 5" xfId="40724"/>
    <cellStyle name="Output 3 6 46 6" xfId="45098"/>
    <cellStyle name="Output 3 6 46 7" xfId="50328"/>
    <cellStyle name="Output 3 6 47" xfId="6097"/>
    <cellStyle name="Output 3 6 47 2" xfId="13814"/>
    <cellStyle name="Output 3 6 47 3" xfId="22807"/>
    <cellStyle name="Output 3 6 47 4" xfId="30994"/>
    <cellStyle name="Output 3 6 47 5" xfId="40297"/>
    <cellStyle name="Output 3 6 47 6" xfId="44659"/>
    <cellStyle name="Output 3 6 47 7" xfId="51528"/>
    <cellStyle name="Output 3 6 48" xfId="6681"/>
    <cellStyle name="Output 3 6 48 2" xfId="14398"/>
    <cellStyle name="Output 3 6 48 3" xfId="23391"/>
    <cellStyle name="Output 3 6 48 4" xfId="31578"/>
    <cellStyle name="Output 3 6 48 5" xfId="40862"/>
    <cellStyle name="Output 3 6 48 6" xfId="45243"/>
    <cellStyle name="Output 3 6 48 7" xfId="49579"/>
    <cellStyle name="Output 3 6 49" xfId="6794"/>
    <cellStyle name="Output 3 6 49 2" xfId="14511"/>
    <cellStyle name="Output 3 6 49 3" xfId="23504"/>
    <cellStyle name="Output 3 6 49 4" xfId="31691"/>
    <cellStyle name="Output 3 6 49 5" xfId="40970"/>
    <cellStyle name="Output 3 6 49 6" xfId="45356"/>
    <cellStyle name="Output 3 6 49 7" xfId="52791"/>
    <cellStyle name="Output 3 6 5" xfId="1427"/>
    <cellStyle name="Output 3 6 5 2" xfId="9250"/>
    <cellStyle name="Output 3 6 5 3" xfId="16678"/>
    <cellStyle name="Output 3 6 5 4" xfId="26182"/>
    <cellStyle name="Output 3 6 5 5" xfId="34855"/>
    <cellStyle name="Output 3 6 5 6" xfId="41206"/>
    <cellStyle name="Output 3 6 5 7" xfId="53382"/>
    <cellStyle name="Output 3 6 50" xfId="6908"/>
    <cellStyle name="Output 3 6 50 2" xfId="14625"/>
    <cellStyle name="Output 3 6 50 3" xfId="23618"/>
    <cellStyle name="Output 3 6 50 4" xfId="31805"/>
    <cellStyle name="Output 3 6 50 5" xfId="41077"/>
    <cellStyle name="Output 3 6 50 6" xfId="45470"/>
    <cellStyle name="Output 3 6 50 7" xfId="46885"/>
    <cellStyle name="Output 3 6 51" xfId="7021"/>
    <cellStyle name="Output 3 6 51 2" xfId="14738"/>
    <cellStyle name="Output 3 6 51 3" xfId="23731"/>
    <cellStyle name="Output 3 6 51 4" xfId="31918"/>
    <cellStyle name="Output 3 6 51 5" xfId="41185"/>
    <cellStyle name="Output 3 6 51 6" xfId="45583"/>
    <cellStyle name="Output 3 6 51 7" xfId="54546"/>
    <cellStyle name="Output 3 6 52" xfId="7129"/>
    <cellStyle name="Output 3 6 52 2" xfId="14846"/>
    <cellStyle name="Output 3 6 52 3" xfId="23839"/>
    <cellStyle name="Output 3 6 52 4" xfId="32026"/>
    <cellStyle name="Output 3 6 52 5" xfId="41288"/>
    <cellStyle name="Output 3 6 52 6" xfId="45691"/>
    <cellStyle name="Output 3 6 52 7" xfId="52478"/>
    <cellStyle name="Output 3 6 53" xfId="7379"/>
    <cellStyle name="Output 3 6 53 2" xfId="15096"/>
    <cellStyle name="Output 3 6 53 3" xfId="24089"/>
    <cellStyle name="Output 3 6 53 4" xfId="32276"/>
    <cellStyle name="Output 3 6 53 5" xfId="41532"/>
    <cellStyle name="Output 3 6 53 6" xfId="45941"/>
    <cellStyle name="Output 3 6 53 7" xfId="52341"/>
    <cellStyle name="Output 3 6 54" xfId="7254"/>
    <cellStyle name="Output 3 6 54 2" xfId="14971"/>
    <cellStyle name="Output 3 6 54 3" xfId="23964"/>
    <cellStyle name="Output 3 6 54 4" xfId="32151"/>
    <cellStyle name="Output 3 6 54 5" xfId="41407"/>
    <cellStyle name="Output 3 6 54 6" xfId="45816"/>
    <cellStyle name="Output 3 6 54 7" xfId="54257"/>
    <cellStyle name="Output 3 6 55" xfId="7526"/>
    <cellStyle name="Output 3 6 55 2" xfId="15243"/>
    <cellStyle name="Output 3 6 55 3" xfId="24236"/>
    <cellStyle name="Output 3 6 55 4" xfId="32423"/>
    <cellStyle name="Output 3 6 55 5" xfId="41669"/>
    <cellStyle name="Output 3 6 55 6" xfId="46088"/>
    <cellStyle name="Output 3 6 55 7" xfId="47984"/>
    <cellStyle name="Output 3 6 56" xfId="7647"/>
    <cellStyle name="Output 3 6 56 2" xfId="15364"/>
    <cellStyle name="Output 3 6 56 3" xfId="24357"/>
    <cellStyle name="Output 3 6 56 4" xfId="32544"/>
    <cellStyle name="Output 3 6 56 5" xfId="41786"/>
    <cellStyle name="Output 3 6 56 6" xfId="46209"/>
    <cellStyle name="Output 3 6 56 7" xfId="51091"/>
    <cellStyle name="Output 3 6 57" xfId="7926"/>
    <cellStyle name="Output 3 6 57 2" xfId="15643"/>
    <cellStyle name="Output 3 6 57 3" xfId="24630"/>
    <cellStyle name="Output 3 6 57 4" xfId="32823"/>
    <cellStyle name="Output 3 6 57 5" xfId="42054"/>
    <cellStyle name="Output 3 6 57 6" xfId="46488"/>
    <cellStyle name="Output 3 6 57 7" xfId="50408"/>
    <cellStyle name="Output 3 6 58" xfId="8054"/>
    <cellStyle name="Output 3 6 58 2" xfId="15771"/>
    <cellStyle name="Output 3 6 58 3" xfId="24756"/>
    <cellStyle name="Output 3 6 58 4" xfId="32951"/>
    <cellStyle name="Output 3 6 58 5" xfId="42176"/>
    <cellStyle name="Output 3 6 58 6" xfId="46616"/>
    <cellStyle name="Output 3 6 58 7" xfId="51471"/>
    <cellStyle name="Output 3 6 59" xfId="8091"/>
    <cellStyle name="Output 3 6 59 2" xfId="15808"/>
    <cellStyle name="Output 3 6 59 3" xfId="24792"/>
    <cellStyle name="Output 3 6 59 4" xfId="32988"/>
    <cellStyle name="Output 3 6 59 5" xfId="42210"/>
    <cellStyle name="Output 3 6 59 6" xfId="46653"/>
    <cellStyle name="Output 3 6 59 7" xfId="49044"/>
    <cellStyle name="Output 3 6 6" xfId="1549"/>
    <cellStyle name="Output 3 6 6 2" xfId="9372"/>
    <cellStyle name="Output 3 6 6 3" xfId="16800"/>
    <cellStyle name="Output 3 6 6 4" xfId="19392"/>
    <cellStyle name="Output 3 6 6 5" xfId="27232"/>
    <cellStyle name="Output 3 6 6 6" xfId="36348"/>
    <cellStyle name="Output 3 6 6 7" xfId="47341"/>
    <cellStyle name="Output 3 6 60" xfId="8199"/>
    <cellStyle name="Output 3 6 60 2" xfId="15916"/>
    <cellStyle name="Output 3 6 60 3" xfId="33096"/>
    <cellStyle name="Output 3 6 60 4" xfId="42315"/>
    <cellStyle name="Output 3 6 60 5" xfId="46761"/>
    <cellStyle name="Output 3 6 60 6" xfId="46857"/>
    <cellStyle name="Output 3 6 61" xfId="20570"/>
    <cellStyle name="Output 3 6 62" xfId="26856"/>
    <cellStyle name="Output 3 6 63" xfId="37900"/>
    <cellStyle name="Output 3 6 64" xfId="47421"/>
    <cellStyle name="Output 3 6 7" xfId="1121"/>
    <cellStyle name="Output 3 6 7 2" xfId="8944"/>
    <cellStyle name="Output 3 6 7 3" xfId="16372"/>
    <cellStyle name="Output 3 6 7 4" xfId="25938"/>
    <cellStyle name="Output 3 6 7 5" xfId="34543"/>
    <cellStyle name="Output 3 6 7 6" xfId="36698"/>
    <cellStyle name="Output 3 6 7 7" xfId="52867"/>
    <cellStyle name="Output 3 6 8" xfId="1788"/>
    <cellStyle name="Output 3 6 8 2" xfId="9611"/>
    <cellStyle name="Output 3 6 8 3" xfId="17039"/>
    <cellStyle name="Output 3 6 8 4" xfId="25681"/>
    <cellStyle name="Output 3 6 8 5" xfId="34214"/>
    <cellStyle name="Output 3 6 8 6" xfId="42060"/>
    <cellStyle name="Output 3 6 8 7" xfId="52267"/>
    <cellStyle name="Output 3 6 9" xfId="1920"/>
    <cellStyle name="Output 3 6 9 2" xfId="9743"/>
    <cellStyle name="Output 3 6 9 3" xfId="17171"/>
    <cellStyle name="Output 3 6 9 4" xfId="19825"/>
    <cellStyle name="Output 3 6 9 5" xfId="28228"/>
    <cellStyle name="Output 3 6 9 6" xfId="42195"/>
    <cellStyle name="Output 3 6 9 7" xfId="47360"/>
    <cellStyle name="Output 3 7" xfId="622"/>
    <cellStyle name="Output 3 7 2" xfId="8446"/>
    <cellStyle name="Output 3 7 3" xfId="8399"/>
    <cellStyle name="Output 3 7 4" xfId="20657"/>
    <cellStyle name="Output 3 7 5" xfId="27758"/>
    <cellStyle name="Output 3 7 6" xfId="37556"/>
    <cellStyle name="Output 3 7 7" xfId="48974"/>
    <cellStyle name="Output 3 8" xfId="219"/>
    <cellStyle name="Output 3 8 2" xfId="8324"/>
    <cellStyle name="Output 3 8 3" xfId="8311"/>
    <cellStyle name="Output 3 8 4" xfId="25187"/>
    <cellStyle name="Output 3 8 5" xfId="33570"/>
    <cellStyle name="Output 3 8 6" xfId="37509"/>
    <cellStyle name="Output 3 8 7" xfId="51188"/>
    <cellStyle name="Output 3 9" xfId="1221"/>
    <cellStyle name="Output 3 9 2" xfId="9044"/>
    <cellStyle name="Output 3 9 3" xfId="16472"/>
    <cellStyle name="Output 3 9 4" xfId="20444"/>
    <cellStyle name="Output 3 9 5" xfId="27298"/>
    <cellStyle name="Output 3 9 6" xfId="39069"/>
    <cellStyle name="Output 3 9 7" xfId="49439"/>
    <cellStyle name="Percent" xfId="8" builtinId="5"/>
    <cellStyle name="Percent 10" xfId="205"/>
    <cellStyle name="Percent 10 2" xfId="439"/>
    <cellStyle name="Percent 10 3" xfId="438"/>
    <cellStyle name="Percent 10 4" xfId="54563"/>
    <cellStyle name="Percent 11" xfId="8210"/>
    <cellStyle name="Percent 11 2" xfId="54564"/>
    <cellStyle name="Percent 11 3" xfId="54571"/>
    <cellStyle name="Percent 12" xfId="8204"/>
    <cellStyle name="Percent 13" xfId="54570"/>
    <cellStyle name="Percent 2" xfId="11"/>
    <cellStyle name="Percent 2 2" xfId="19"/>
    <cellStyle name="Percent 2 2 2" xfId="440"/>
    <cellStyle name="Percent 2 3" xfId="74"/>
    <cellStyle name="Percent 2 3 2" xfId="441"/>
    <cellStyle name="Percent 2 4" xfId="75"/>
    <cellStyle name="Percent 2 4 2" xfId="442"/>
    <cellStyle name="Percent 2 5" xfId="76"/>
    <cellStyle name="Percent 2 5 2" xfId="443"/>
    <cellStyle name="Percent 2 6" xfId="444"/>
    <cellStyle name="Percent 2 7" xfId="445"/>
    <cellStyle name="Percent 3" xfId="4"/>
    <cellStyle name="Percent 4" xfId="18"/>
    <cellStyle name="Percent 4 2" xfId="206"/>
    <cellStyle name="Percent 5" xfId="161"/>
    <cellStyle name="Percent 5 2" xfId="207"/>
    <cellStyle name="Percent 6" xfId="168"/>
    <cellStyle name="Percent 7" xfId="180"/>
    <cellStyle name="Percent 7 2" xfId="208"/>
    <cellStyle name="Percent 8" xfId="182"/>
    <cellStyle name="Percent 8 2" xfId="209"/>
    <cellStyle name="Percent 8 2 2" xfId="446"/>
    <cellStyle name="Percent 8 3" xfId="447"/>
    <cellStyle name="Percent 9" xfId="187"/>
    <cellStyle name="Percent 9 2" xfId="270"/>
    <cellStyle name="Percent 9 2 2" xfId="449"/>
    <cellStyle name="Percent 9 3" xfId="450"/>
    <cellStyle name="Percent 9 4" xfId="448"/>
    <cellStyle name="Percent 9 5" xfId="239"/>
    <cellStyle name="Title 2" xfId="163"/>
    <cellStyle name="Title 3" xfId="162"/>
    <cellStyle name="Total 2" xfId="165"/>
    <cellStyle name="Total 2 10" xfId="1240"/>
    <cellStyle name="Total 2 10 2" xfId="9063"/>
    <cellStyle name="Total 2 10 3" xfId="16491"/>
    <cellStyle name="Total 2 10 4" xfId="19671"/>
    <cellStyle name="Total 2 10 5" xfId="28320"/>
    <cellStyle name="Total 2 10 6" xfId="36694"/>
    <cellStyle name="Total 2 10 7" xfId="47781"/>
    <cellStyle name="Total 2 11" xfId="1593"/>
    <cellStyle name="Total 2 11 2" xfId="9416"/>
    <cellStyle name="Total 2 11 3" xfId="16844"/>
    <cellStyle name="Total 2 11 4" xfId="20452"/>
    <cellStyle name="Total 2 11 5" xfId="27185"/>
    <cellStyle name="Total 2 11 6" xfId="39116"/>
    <cellStyle name="Total 2 11 7" xfId="47503"/>
    <cellStyle name="Total 2 12" xfId="1053"/>
    <cellStyle name="Total 2 12 2" xfId="8877"/>
    <cellStyle name="Total 2 12 3" xfId="16305"/>
    <cellStyle name="Total 2 12 4" xfId="25835"/>
    <cellStyle name="Total 2 12 5" xfId="34420"/>
    <cellStyle name="Total 2 12 6" xfId="36436"/>
    <cellStyle name="Total 2 12 7" xfId="52644"/>
    <cellStyle name="Total 2 13" xfId="2343"/>
    <cellStyle name="Total 2 13 2" xfId="10166"/>
    <cellStyle name="Total 2 13 3" xfId="17594"/>
    <cellStyle name="Total 2 13 4" xfId="25405"/>
    <cellStyle name="Total 2 13 5" xfId="33860"/>
    <cellStyle name="Total 2 13 6" xfId="39000"/>
    <cellStyle name="Total 2 13 7" xfId="51657"/>
    <cellStyle name="Total 2 14" xfId="1670"/>
    <cellStyle name="Total 2 14 2" xfId="9493"/>
    <cellStyle name="Total 2 14 3" xfId="16921"/>
    <cellStyle name="Total 2 14 4" xfId="19570"/>
    <cellStyle name="Total 2 14 5" xfId="27196"/>
    <cellStyle name="Total 2 14 6" xfId="38723"/>
    <cellStyle name="Total 2 14 7" xfId="49649"/>
    <cellStyle name="Total 2 15" xfId="3166"/>
    <cellStyle name="Total 2 15 2" xfId="10968"/>
    <cellStyle name="Total 2 15 3" xfId="18335"/>
    <cellStyle name="Total 2 15 4" xfId="25959"/>
    <cellStyle name="Total 2 15 5" xfId="34567"/>
    <cellStyle name="Total 2 15 6" xfId="38373"/>
    <cellStyle name="Total 2 15 7" xfId="52909"/>
    <cellStyle name="Total 2 16" xfId="3176"/>
    <cellStyle name="Total 2 16 2" xfId="10977"/>
    <cellStyle name="Total 2 16 3" xfId="20308"/>
    <cellStyle name="Total 2 16 4" xfId="25557"/>
    <cellStyle name="Total 2 16 5" xfId="34053"/>
    <cellStyle name="Total 2 16 6" xfId="36403"/>
    <cellStyle name="Total 2 16 7" xfId="51997"/>
    <cellStyle name="Total 2 17" xfId="4015"/>
    <cellStyle name="Total 2 17 2" xfId="20725"/>
    <cellStyle name="Total 2 17 3" xfId="28912"/>
    <cellStyle name="Total 2 17 4" xfId="38295"/>
    <cellStyle name="Total 2 17 5" xfId="42577"/>
    <cellStyle name="Total 2 17 6" xfId="51837"/>
    <cellStyle name="Total 2 18" xfId="4055"/>
    <cellStyle name="Total 2 18 2" xfId="11822"/>
    <cellStyle name="Total 2 18 3" xfId="20765"/>
    <cellStyle name="Total 2 18 4" xfId="28952"/>
    <cellStyle name="Total 2 18 5" xfId="38331"/>
    <cellStyle name="Total 2 18 6" xfId="42617"/>
    <cellStyle name="Total 2 18 7" xfId="51925"/>
    <cellStyle name="Total 2 19" xfId="4195"/>
    <cellStyle name="Total 2 19 2" xfId="11953"/>
    <cellStyle name="Total 2 19 3" xfId="20905"/>
    <cellStyle name="Total 2 19 4" xfId="29092"/>
    <cellStyle name="Total 2 19 5" xfId="38468"/>
    <cellStyle name="Total 2 19 6" xfId="42757"/>
    <cellStyle name="Total 2 19 7" xfId="52464"/>
    <cellStyle name="Total 2 2" xfId="264"/>
    <cellStyle name="Total 2 2 10" xfId="1132"/>
    <cellStyle name="Total 2 2 10 2" xfId="8955"/>
    <cellStyle name="Total 2 2 10 3" xfId="16383"/>
    <cellStyle name="Total 2 2 10 4" xfId="25327"/>
    <cellStyle name="Total 2 2 10 5" xfId="33757"/>
    <cellStyle name="Total 2 2 10 6" xfId="42014"/>
    <cellStyle name="Total 2 2 10 7" xfId="51490"/>
    <cellStyle name="Total 2 2 11" xfId="1066"/>
    <cellStyle name="Total 2 2 11 2" xfId="8890"/>
    <cellStyle name="Total 2 2 11 3" xfId="16318"/>
    <cellStyle name="Total 2 2 11 4" xfId="25119"/>
    <cellStyle name="Total 2 2 11 5" xfId="33491"/>
    <cellStyle name="Total 2 2 11 6" xfId="37705"/>
    <cellStyle name="Total 2 2 11 7" xfId="51055"/>
    <cellStyle name="Total 2 2 12" xfId="1046"/>
    <cellStyle name="Total 2 2 12 2" xfId="8870"/>
    <cellStyle name="Total 2 2 12 3" xfId="16298"/>
    <cellStyle name="Total 2 2 12 4" xfId="26098"/>
    <cellStyle name="Total 2 2 12 5" xfId="34751"/>
    <cellStyle name="Total 2 2 12 6" xfId="38262"/>
    <cellStyle name="Total 2 2 12 7" xfId="53207"/>
    <cellStyle name="Total 2 2 13" xfId="1171"/>
    <cellStyle name="Total 2 2 13 2" xfId="8994"/>
    <cellStyle name="Total 2 2 13 3" xfId="16422"/>
    <cellStyle name="Total 2 2 13 4" xfId="19266"/>
    <cellStyle name="Total 2 2 13 5" xfId="27688"/>
    <cellStyle name="Total 2 2 13 6" xfId="38024"/>
    <cellStyle name="Total 2 2 13 7" xfId="47705"/>
    <cellStyle name="Total 2 2 14" xfId="1028"/>
    <cellStyle name="Total 2 2 14 2" xfId="8852"/>
    <cellStyle name="Total 2 2 14 3" xfId="16280"/>
    <cellStyle name="Total 2 2 14 4" xfId="25402"/>
    <cellStyle name="Total 2 2 14 5" xfId="33857"/>
    <cellStyle name="Total 2 2 14 6" xfId="36712"/>
    <cellStyle name="Total 2 2 14 7" xfId="51650"/>
    <cellStyle name="Total 2 2 15" xfId="1018"/>
    <cellStyle name="Total 2 2 15 2" xfId="8842"/>
    <cellStyle name="Total 2 2 15 3" xfId="16270"/>
    <cellStyle name="Total 2 2 15 4" xfId="20635"/>
    <cellStyle name="Total 2 2 15 5" xfId="28830"/>
    <cellStyle name="Total 2 2 15 6" xfId="37726"/>
    <cellStyle name="Total 2 2 15 7" xfId="48822"/>
    <cellStyle name="Total 2 2 16" xfId="996"/>
    <cellStyle name="Total 2 2 16 2" xfId="8820"/>
    <cellStyle name="Total 2 2 16 3" xfId="16248"/>
    <cellStyle name="Total 2 2 16 4" xfId="25121"/>
    <cellStyle name="Total 2 2 16 5" xfId="33494"/>
    <cellStyle name="Total 2 2 16 6" xfId="37957"/>
    <cellStyle name="Total 2 2 16 7" xfId="51058"/>
    <cellStyle name="Total 2 2 17" xfId="1669"/>
    <cellStyle name="Total 2 2 17 2" xfId="9492"/>
    <cellStyle name="Total 2 2 17 3" xfId="16920"/>
    <cellStyle name="Total 2 2 17 4" xfId="19546"/>
    <cellStyle name="Total 2 2 17 5" xfId="27576"/>
    <cellStyle name="Total 2 2 17 6" xfId="38832"/>
    <cellStyle name="Total 2 2 17 7" xfId="50252"/>
    <cellStyle name="Total 2 2 18" xfId="1278"/>
    <cellStyle name="Total 2 2 18 2" xfId="9101"/>
    <cellStyle name="Total 2 2 18 3" xfId="16529"/>
    <cellStyle name="Total 2 2 18 4" xfId="19829"/>
    <cellStyle name="Total 2 2 18 5" xfId="28696"/>
    <cellStyle name="Total 2 2 18 6" xfId="40438"/>
    <cellStyle name="Total 2 2 18 7" xfId="47189"/>
    <cellStyle name="Total 2 2 19" xfId="1628"/>
    <cellStyle name="Total 2 2 19 2" xfId="9451"/>
    <cellStyle name="Total 2 2 19 3" xfId="16879"/>
    <cellStyle name="Total 2 2 19 4" xfId="19253"/>
    <cellStyle name="Total 2 2 19 5" xfId="28152"/>
    <cellStyle name="Total 2 2 19 6" xfId="36577"/>
    <cellStyle name="Total 2 2 19 7" xfId="48248"/>
    <cellStyle name="Total 2 2 2" xfId="538"/>
    <cellStyle name="Total 2 2 2 10" xfId="1985"/>
    <cellStyle name="Total 2 2 2 10 2" xfId="9808"/>
    <cellStyle name="Total 2 2 2 10 3" xfId="17236"/>
    <cellStyle name="Total 2 2 2 10 4" xfId="19108"/>
    <cellStyle name="Total 2 2 2 10 5" xfId="27104"/>
    <cellStyle name="Total 2 2 2 10 6" xfId="37366"/>
    <cellStyle name="Total 2 2 2 10 7" xfId="48193"/>
    <cellStyle name="Total 2 2 2 11" xfId="2103"/>
    <cellStyle name="Total 2 2 2 11 2" xfId="9926"/>
    <cellStyle name="Total 2 2 2 11 3" xfId="17354"/>
    <cellStyle name="Total 2 2 2 11 4" xfId="26325"/>
    <cellStyle name="Total 2 2 2 11 5" xfId="35049"/>
    <cellStyle name="Total 2 2 2 11 6" xfId="39896"/>
    <cellStyle name="Total 2 2 2 11 7" xfId="53691"/>
    <cellStyle name="Total 2 2 2 12" xfId="2216"/>
    <cellStyle name="Total 2 2 2 12 2" xfId="10039"/>
    <cellStyle name="Total 2 2 2 12 3" xfId="17467"/>
    <cellStyle name="Total 2 2 2 12 4" xfId="25216"/>
    <cellStyle name="Total 2 2 2 12 5" xfId="33615"/>
    <cellStyle name="Total 2 2 2 12 6" xfId="37518"/>
    <cellStyle name="Total 2 2 2 12 7" xfId="51253"/>
    <cellStyle name="Total 2 2 2 13" xfId="2345"/>
    <cellStyle name="Total 2 2 2 13 2" xfId="10168"/>
    <cellStyle name="Total 2 2 2 13 3" xfId="17596"/>
    <cellStyle name="Total 2 2 2 13 4" xfId="25368"/>
    <cellStyle name="Total 2 2 2 13 5" xfId="33811"/>
    <cellStyle name="Total 2 2 2 13 6" xfId="38784"/>
    <cellStyle name="Total 2 2 2 13 7" xfId="51582"/>
    <cellStyle name="Total 2 2 2 14" xfId="2432"/>
    <cellStyle name="Total 2 2 2 14 2" xfId="10255"/>
    <cellStyle name="Total 2 2 2 14 3" xfId="17683"/>
    <cellStyle name="Total 2 2 2 14 4" xfId="24966"/>
    <cellStyle name="Total 2 2 2 14 5" xfId="33305"/>
    <cellStyle name="Total 2 2 2 14 6" xfId="37153"/>
    <cellStyle name="Total 2 2 2 14 7" xfId="50710"/>
    <cellStyle name="Total 2 2 2 15" xfId="2514"/>
    <cellStyle name="Total 2 2 2 15 2" xfId="10337"/>
    <cellStyle name="Total 2 2 2 15 3" xfId="17765"/>
    <cellStyle name="Total 2 2 2 15 4" xfId="19602"/>
    <cellStyle name="Total 2 2 2 15 5" xfId="27543"/>
    <cellStyle name="Total 2 2 2 15 6" xfId="36277"/>
    <cellStyle name="Total 2 2 2 15 7" xfId="49349"/>
    <cellStyle name="Total 2 2 2 16" xfId="2627"/>
    <cellStyle name="Total 2 2 2 16 2" xfId="10450"/>
    <cellStyle name="Total 2 2 2 16 3" xfId="17878"/>
    <cellStyle name="Total 2 2 2 16 4" xfId="26131"/>
    <cellStyle name="Total 2 2 2 16 5" xfId="34793"/>
    <cellStyle name="Total 2 2 2 16 6" xfId="39907"/>
    <cellStyle name="Total 2 2 2 16 7" xfId="53274"/>
    <cellStyle name="Total 2 2 2 17" xfId="2731"/>
    <cellStyle name="Total 2 2 2 17 2" xfId="10554"/>
    <cellStyle name="Total 2 2 2 17 3" xfId="17982"/>
    <cellStyle name="Total 2 2 2 17 4" xfId="19114"/>
    <cellStyle name="Total 2 2 2 17 5" xfId="27816"/>
    <cellStyle name="Total 2 2 2 17 6" xfId="37193"/>
    <cellStyle name="Total 2 2 2 17 7" xfId="49524"/>
    <cellStyle name="Total 2 2 2 18" xfId="2757"/>
    <cellStyle name="Total 2 2 2 18 2" xfId="10580"/>
    <cellStyle name="Total 2 2 2 18 3" xfId="18008"/>
    <cellStyle name="Total 2 2 2 18 4" xfId="26528"/>
    <cellStyle name="Total 2 2 2 18 5" xfId="35328"/>
    <cellStyle name="Total 2 2 2 18 6" xfId="41336"/>
    <cellStyle name="Total 2 2 2 18 7" xfId="54132"/>
    <cellStyle name="Total 2 2 2 19" xfId="2820"/>
    <cellStyle name="Total 2 2 2 19 2" xfId="10643"/>
    <cellStyle name="Total 2 2 2 19 3" xfId="18071"/>
    <cellStyle name="Total 2 2 2 19 4" xfId="19944"/>
    <cellStyle name="Total 2 2 2 19 5" xfId="28479"/>
    <cellStyle name="Total 2 2 2 19 6" xfId="36580"/>
    <cellStyle name="Total 2 2 2 19 7" xfId="47803"/>
    <cellStyle name="Total 2 2 2 2" xfId="688"/>
    <cellStyle name="Total 2 2 2 2 2" xfId="8512"/>
    <cellStyle name="Total 2 2 2 2 3" xfId="15940"/>
    <cellStyle name="Total 2 2 2 2 4" xfId="19336"/>
    <cellStyle name="Total 2 2 2 2 5" xfId="28538"/>
    <cellStyle name="Total 2 2 2 2 6" xfId="37020"/>
    <cellStyle name="Total 2 2 2 2 7" xfId="48620"/>
    <cellStyle name="Total 2 2 2 20" xfId="2927"/>
    <cellStyle name="Total 2 2 2 20 2" xfId="10750"/>
    <cellStyle name="Total 2 2 2 20 3" xfId="18178"/>
    <cellStyle name="Total 2 2 2 20 4" xfId="26126"/>
    <cellStyle name="Total 2 2 2 20 5" xfId="34787"/>
    <cellStyle name="Total 2 2 2 20 6" xfId="41630"/>
    <cellStyle name="Total 2 2 2 20 7" xfId="53265"/>
    <cellStyle name="Total 2 2 2 21" xfId="3303"/>
    <cellStyle name="Total 2 2 2 21 2" xfId="11096"/>
    <cellStyle name="Total 2 2 2 21 3" xfId="18425"/>
    <cellStyle name="Total 2 2 2 21 4" xfId="25391"/>
    <cellStyle name="Total 2 2 2 21 5" xfId="33839"/>
    <cellStyle name="Total 2 2 2 21 6" xfId="39274"/>
    <cellStyle name="Total 2 2 2 21 7" xfId="51622"/>
    <cellStyle name="Total 2 2 2 22" xfId="3423"/>
    <cellStyle name="Total 2 2 2 22 2" xfId="11214"/>
    <cellStyle name="Total 2 2 2 22 3" xfId="18536"/>
    <cellStyle name="Total 2 2 2 22 4" xfId="25484"/>
    <cellStyle name="Total 2 2 2 22 5" xfId="33958"/>
    <cellStyle name="Total 2 2 2 22 6" xfId="42116"/>
    <cellStyle name="Total 2 2 2 22 7" xfId="51840"/>
    <cellStyle name="Total 2 2 2 23" xfId="3125"/>
    <cellStyle name="Total 2 2 2 23 2" xfId="10930"/>
    <cellStyle name="Total 2 2 2 23 3" xfId="18308"/>
    <cellStyle name="Total 2 2 2 23 4" xfId="19382"/>
    <cellStyle name="Total 2 2 2 23 5" xfId="28202"/>
    <cellStyle name="Total 2 2 2 23 6" xfId="37009"/>
    <cellStyle name="Total 2 2 2 23 7" xfId="48006"/>
    <cellStyle name="Total 2 2 2 24" xfId="3694"/>
    <cellStyle name="Total 2 2 2 24 2" xfId="11479"/>
    <cellStyle name="Total 2 2 2 24 3" xfId="18752"/>
    <cellStyle name="Total 2 2 2 24 4" xfId="19696"/>
    <cellStyle name="Total 2 2 2 24 5" xfId="28099"/>
    <cellStyle name="Total 2 2 2 24 6" xfId="36900"/>
    <cellStyle name="Total 2 2 2 24 7" xfId="50012"/>
    <cellStyle name="Total 2 2 2 25" xfId="3824"/>
    <cellStyle name="Total 2 2 2 25 2" xfId="11606"/>
    <cellStyle name="Total 2 2 2 25 3" xfId="18863"/>
    <cellStyle name="Total 2 2 2 25 4" xfId="25650"/>
    <cellStyle name="Total 2 2 2 25 5" xfId="34172"/>
    <cellStyle name="Total 2 2 2 25 6" xfId="36508"/>
    <cellStyle name="Total 2 2 2 25 7" xfId="52199"/>
    <cellStyle name="Total 2 2 2 26" xfId="3942"/>
    <cellStyle name="Total 2 2 2 26 2" xfId="11722"/>
    <cellStyle name="Total 2 2 2 26 3" xfId="18972"/>
    <cellStyle name="Total 2 2 2 26 4" xfId="26464"/>
    <cellStyle name="Total 2 2 2 26 5" xfId="35243"/>
    <cellStyle name="Total 2 2 2 26 6" xfId="36943"/>
    <cellStyle name="Total 2 2 2 26 7" xfId="53994"/>
    <cellStyle name="Total 2 2 2 27" xfId="4040"/>
    <cellStyle name="Total 2 2 2 27 2" xfId="11811"/>
    <cellStyle name="Total 2 2 2 27 3" xfId="20750"/>
    <cellStyle name="Total 2 2 2 27 4" xfId="28937"/>
    <cellStyle name="Total 2 2 2 27 5" xfId="38316"/>
    <cellStyle name="Total 2 2 2 27 6" xfId="42602"/>
    <cellStyle name="Total 2 2 2 27 7" xfId="53192"/>
    <cellStyle name="Total 2 2 2 28" xfId="4139"/>
    <cellStyle name="Total 2 2 2 28 2" xfId="11898"/>
    <cellStyle name="Total 2 2 2 28 3" xfId="20849"/>
    <cellStyle name="Total 2 2 2 28 4" xfId="29036"/>
    <cellStyle name="Total 2 2 2 28 5" xfId="38413"/>
    <cellStyle name="Total 2 2 2 28 6" xfId="42701"/>
    <cellStyle name="Total 2 2 2 28 7" xfId="50142"/>
    <cellStyle name="Total 2 2 2 29" xfId="4265"/>
    <cellStyle name="Total 2 2 2 29 2" xfId="20975"/>
    <cellStyle name="Total 2 2 2 29 3" xfId="29162"/>
    <cellStyle name="Total 2 2 2 29 4" xfId="38535"/>
    <cellStyle name="Total 2 2 2 29 5" xfId="42827"/>
    <cellStyle name="Total 2 2 2 29 6" xfId="52695"/>
    <cellStyle name="Total 2 2 2 3" xfId="796"/>
    <cellStyle name="Total 2 2 2 3 2" xfId="8620"/>
    <cellStyle name="Total 2 2 2 3 3" xfId="16048"/>
    <cellStyle name="Total 2 2 2 3 4" xfId="19121"/>
    <cellStyle name="Total 2 2 2 3 5" xfId="28836"/>
    <cellStyle name="Total 2 2 2 3 6" xfId="37770"/>
    <cellStyle name="Total 2 2 2 3 7" xfId="49927"/>
    <cellStyle name="Total 2 2 2 30" xfId="4336"/>
    <cellStyle name="Total 2 2 2 30 2" xfId="12053"/>
    <cellStyle name="Total 2 2 2 30 3" xfId="21046"/>
    <cellStyle name="Total 2 2 2 30 4" xfId="29233"/>
    <cellStyle name="Total 2 2 2 30 5" xfId="38604"/>
    <cellStyle name="Total 2 2 2 30 6" xfId="42898"/>
    <cellStyle name="Total 2 2 2 30 7" xfId="47862"/>
    <cellStyle name="Total 2 2 2 31" xfId="4459"/>
    <cellStyle name="Total 2 2 2 31 2" xfId="12176"/>
    <cellStyle name="Total 2 2 2 31 3" xfId="21169"/>
    <cellStyle name="Total 2 2 2 31 4" xfId="29356"/>
    <cellStyle name="Total 2 2 2 31 5" xfId="38722"/>
    <cellStyle name="Total 2 2 2 31 6" xfId="43021"/>
    <cellStyle name="Total 2 2 2 31 7" xfId="48799"/>
    <cellStyle name="Total 2 2 2 32" xfId="4573"/>
    <cellStyle name="Total 2 2 2 32 2" xfId="12290"/>
    <cellStyle name="Total 2 2 2 32 3" xfId="21283"/>
    <cellStyle name="Total 2 2 2 32 4" xfId="29470"/>
    <cellStyle name="Total 2 2 2 32 5" xfId="38831"/>
    <cellStyle name="Total 2 2 2 32 6" xfId="43135"/>
    <cellStyle name="Total 2 2 2 32 7" xfId="51689"/>
    <cellStyle name="Total 2 2 2 33" xfId="4686"/>
    <cellStyle name="Total 2 2 2 33 2" xfId="12403"/>
    <cellStyle name="Total 2 2 2 33 3" xfId="21396"/>
    <cellStyle name="Total 2 2 2 33 4" xfId="29583"/>
    <cellStyle name="Total 2 2 2 33 5" xfId="38940"/>
    <cellStyle name="Total 2 2 2 33 6" xfId="43248"/>
    <cellStyle name="Total 2 2 2 33 7" xfId="51679"/>
    <cellStyle name="Total 2 2 2 34" xfId="4797"/>
    <cellStyle name="Total 2 2 2 34 2" xfId="12514"/>
    <cellStyle name="Total 2 2 2 34 3" xfId="21507"/>
    <cellStyle name="Total 2 2 2 34 4" xfId="29694"/>
    <cellStyle name="Total 2 2 2 34 5" xfId="39048"/>
    <cellStyle name="Total 2 2 2 34 6" xfId="43359"/>
    <cellStyle name="Total 2 2 2 34 7" xfId="52126"/>
    <cellStyle name="Total 2 2 2 35" xfId="4906"/>
    <cellStyle name="Total 2 2 2 35 2" xfId="12623"/>
    <cellStyle name="Total 2 2 2 35 3" xfId="21616"/>
    <cellStyle name="Total 2 2 2 35 4" xfId="29803"/>
    <cellStyle name="Total 2 2 2 35 5" xfId="39152"/>
    <cellStyle name="Total 2 2 2 35 6" xfId="43468"/>
    <cellStyle name="Total 2 2 2 35 7" xfId="47927"/>
    <cellStyle name="Total 2 2 2 36" xfId="5017"/>
    <cellStyle name="Total 2 2 2 36 2" xfId="12734"/>
    <cellStyle name="Total 2 2 2 36 3" xfId="21727"/>
    <cellStyle name="Total 2 2 2 36 4" xfId="29914"/>
    <cellStyle name="Total 2 2 2 36 5" xfId="39260"/>
    <cellStyle name="Total 2 2 2 36 6" xfId="43579"/>
    <cellStyle name="Total 2 2 2 36 7" xfId="52506"/>
    <cellStyle name="Total 2 2 2 37" xfId="5396"/>
    <cellStyle name="Total 2 2 2 37 2" xfId="13113"/>
    <cellStyle name="Total 2 2 2 37 3" xfId="22106"/>
    <cellStyle name="Total 2 2 2 37 4" xfId="30293"/>
    <cellStyle name="Total 2 2 2 37 5" xfId="39624"/>
    <cellStyle name="Total 2 2 2 37 6" xfId="43958"/>
    <cellStyle name="Total 2 2 2 37 7" xfId="51956"/>
    <cellStyle name="Total 2 2 2 38" xfId="5516"/>
    <cellStyle name="Total 2 2 2 38 2" xfId="13233"/>
    <cellStyle name="Total 2 2 2 38 3" xfId="22226"/>
    <cellStyle name="Total 2 2 2 38 4" xfId="30413"/>
    <cellStyle name="Total 2 2 2 38 5" xfId="39738"/>
    <cellStyle name="Total 2 2 2 38 6" xfId="44078"/>
    <cellStyle name="Total 2 2 2 38 7" xfId="49696"/>
    <cellStyle name="Total 2 2 2 39" xfId="5640"/>
    <cellStyle name="Total 2 2 2 39 2" xfId="13357"/>
    <cellStyle name="Total 2 2 2 39 3" xfId="22350"/>
    <cellStyle name="Total 2 2 2 39 4" xfId="30537"/>
    <cellStyle name="Total 2 2 2 39 5" xfId="39858"/>
    <cellStyle name="Total 2 2 2 39 6" xfId="44202"/>
    <cellStyle name="Total 2 2 2 39 7" xfId="47209"/>
    <cellStyle name="Total 2 2 2 4" xfId="907"/>
    <cellStyle name="Total 2 2 2 4 2" xfId="8731"/>
    <cellStyle name="Total 2 2 2 4 3" xfId="16159"/>
    <cellStyle name="Total 2 2 2 4 4" xfId="20650"/>
    <cellStyle name="Total 2 2 2 4 5" xfId="27382"/>
    <cellStyle name="Total 2 2 2 4 6" xfId="36855"/>
    <cellStyle name="Total 2 2 2 4 7" xfId="48103"/>
    <cellStyle name="Total 2 2 2 40" xfId="5756"/>
    <cellStyle name="Total 2 2 2 40 2" xfId="13473"/>
    <cellStyle name="Total 2 2 2 40 3" xfId="22466"/>
    <cellStyle name="Total 2 2 2 40 4" xfId="30653"/>
    <cellStyle name="Total 2 2 2 40 5" xfId="39970"/>
    <cellStyle name="Total 2 2 2 40 6" xfId="44318"/>
    <cellStyle name="Total 2 2 2 40 7" xfId="51513"/>
    <cellStyle name="Total 2 2 2 41" xfId="5872"/>
    <cellStyle name="Total 2 2 2 41 2" xfId="13589"/>
    <cellStyle name="Total 2 2 2 41 3" xfId="22582"/>
    <cellStyle name="Total 2 2 2 41 4" xfId="30769"/>
    <cellStyle name="Total 2 2 2 41 5" xfId="40083"/>
    <cellStyle name="Total 2 2 2 41 6" xfId="44434"/>
    <cellStyle name="Total 2 2 2 41 7" xfId="52297"/>
    <cellStyle name="Total 2 2 2 42" xfId="6001"/>
    <cellStyle name="Total 2 2 2 42 2" xfId="13718"/>
    <cellStyle name="Total 2 2 2 42 3" xfId="22711"/>
    <cellStyle name="Total 2 2 2 42 4" xfId="30898"/>
    <cellStyle name="Total 2 2 2 42 5" xfId="40207"/>
    <cellStyle name="Total 2 2 2 42 6" xfId="44563"/>
    <cellStyle name="Total 2 2 2 42 7" xfId="48228"/>
    <cellStyle name="Total 2 2 2 43" xfId="5232"/>
    <cellStyle name="Total 2 2 2 43 2" xfId="12949"/>
    <cellStyle name="Total 2 2 2 43 3" xfId="21942"/>
    <cellStyle name="Total 2 2 2 43 4" xfId="30129"/>
    <cellStyle name="Total 2 2 2 43 5" xfId="39464"/>
    <cellStyle name="Total 2 2 2 43 6" xfId="43794"/>
    <cellStyle name="Total 2 2 2 43 7" xfId="53676"/>
    <cellStyle name="Total 2 2 2 44" xfId="6257"/>
    <cellStyle name="Total 2 2 2 44 2" xfId="13974"/>
    <cellStyle name="Total 2 2 2 44 3" xfId="22967"/>
    <cellStyle name="Total 2 2 2 44 4" xfId="31154"/>
    <cellStyle name="Total 2 2 2 44 5" xfId="40455"/>
    <cellStyle name="Total 2 2 2 44 6" xfId="44819"/>
    <cellStyle name="Total 2 2 2 44 7" xfId="49375"/>
    <cellStyle name="Total 2 2 2 45" xfId="6373"/>
    <cellStyle name="Total 2 2 2 45 2" xfId="14090"/>
    <cellStyle name="Total 2 2 2 45 3" xfId="23083"/>
    <cellStyle name="Total 2 2 2 45 4" xfId="31270"/>
    <cellStyle name="Total 2 2 2 45 5" xfId="40568"/>
    <cellStyle name="Total 2 2 2 45 6" xfId="44935"/>
    <cellStyle name="Total 2 2 2 45 7" xfId="52825"/>
    <cellStyle name="Total 2 2 2 46" xfId="6484"/>
    <cellStyle name="Total 2 2 2 46 2" xfId="14201"/>
    <cellStyle name="Total 2 2 2 46 3" xfId="23194"/>
    <cellStyle name="Total 2 2 2 46 4" xfId="31381"/>
    <cellStyle name="Total 2 2 2 46 5" xfId="40675"/>
    <cellStyle name="Total 2 2 2 46 6" xfId="45046"/>
    <cellStyle name="Total 2 2 2 46 7" xfId="50597"/>
    <cellStyle name="Total 2 2 2 47" xfId="6569"/>
    <cellStyle name="Total 2 2 2 47 2" xfId="14286"/>
    <cellStyle name="Total 2 2 2 47 3" xfId="23279"/>
    <cellStyle name="Total 2 2 2 47 4" xfId="31466"/>
    <cellStyle name="Total 2 2 2 47 5" xfId="40754"/>
    <cellStyle name="Total 2 2 2 47 6" xfId="45131"/>
    <cellStyle name="Total 2 2 2 47 7" xfId="54027"/>
    <cellStyle name="Total 2 2 2 48" xfId="6630"/>
    <cellStyle name="Total 2 2 2 48 2" xfId="14347"/>
    <cellStyle name="Total 2 2 2 48 3" xfId="23340"/>
    <cellStyle name="Total 2 2 2 48 4" xfId="31527"/>
    <cellStyle name="Total 2 2 2 48 5" xfId="40814"/>
    <cellStyle name="Total 2 2 2 48 6" xfId="45192"/>
    <cellStyle name="Total 2 2 2 48 7" xfId="51859"/>
    <cellStyle name="Total 2 2 2 49" xfId="6742"/>
    <cellStyle name="Total 2 2 2 49 2" xfId="14459"/>
    <cellStyle name="Total 2 2 2 49 3" xfId="23452"/>
    <cellStyle name="Total 2 2 2 49 4" xfId="31639"/>
    <cellStyle name="Total 2 2 2 49 5" xfId="40920"/>
    <cellStyle name="Total 2 2 2 49 6" xfId="45304"/>
    <cellStyle name="Total 2 2 2 49 7" xfId="50127"/>
    <cellStyle name="Total 2 2 2 5" xfId="1373"/>
    <cellStyle name="Total 2 2 2 5 2" xfId="9196"/>
    <cellStyle name="Total 2 2 2 5 3" xfId="16624"/>
    <cellStyle name="Total 2 2 2 5 4" xfId="25960"/>
    <cellStyle name="Total 2 2 2 5 5" xfId="34568"/>
    <cellStyle name="Total 2 2 2 5 6" xfId="39217"/>
    <cellStyle name="Total 2 2 2 5 7" xfId="52910"/>
    <cellStyle name="Total 2 2 2 50" xfId="6857"/>
    <cellStyle name="Total 2 2 2 50 2" xfId="14574"/>
    <cellStyle name="Total 2 2 2 50 3" xfId="23567"/>
    <cellStyle name="Total 2 2 2 50 4" xfId="31754"/>
    <cellStyle name="Total 2 2 2 50 5" xfId="41028"/>
    <cellStyle name="Total 2 2 2 50 6" xfId="45419"/>
    <cellStyle name="Total 2 2 2 50 7" xfId="54533"/>
    <cellStyle name="Total 2 2 2 51" xfId="6970"/>
    <cellStyle name="Total 2 2 2 51 2" xfId="14687"/>
    <cellStyle name="Total 2 2 2 51 3" xfId="23680"/>
    <cellStyle name="Total 2 2 2 51 4" xfId="31867"/>
    <cellStyle name="Total 2 2 2 51 5" xfId="41136"/>
    <cellStyle name="Total 2 2 2 51 6" xfId="45532"/>
    <cellStyle name="Total 2 2 2 51 7" xfId="46807"/>
    <cellStyle name="Total 2 2 2 52" xfId="7081"/>
    <cellStyle name="Total 2 2 2 52 2" xfId="14798"/>
    <cellStyle name="Total 2 2 2 52 3" xfId="23791"/>
    <cellStyle name="Total 2 2 2 52 4" xfId="31978"/>
    <cellStyle name="Total 2 2 2 52 5" xfId="41241"/>
    <cellStyle name="Total 2 2 2 52 6" xfId="45643"/>
    <cellStyle name="Total 2 2 2 52 7" xfId="50999"/>
    <cellStyle name="Total 2 2 2 53" xfId="7198"/>
    <cellStyle name="Total 2 2 2 53 2" xfId="14915"/>
    <cellStyle name="Total 2 2 2 53 3" xfId="23908"/>
    <cellStyle name="Total 2 2 2 53 4" xfId="32095"/>
    <cellStyle name="Total 2 2 2 53 5" xfId="41355"/>
    <cellStyle name="Total 2 2 2 53 6" xfId="45760"/>
    <cellStyle name="Total 2 2 2 53 7" xfId="51486"/>
    <cellStyle name="Total 2 2 2 54" xfId="7404"/>
    <cellStyle name="Total 2 2 2 54 2" xfId="15121"/>
    <cellStyle name="Total 2 2 2 54 3" xfId="24114"/>
    <cellStyle name="Total 2 2 2 54 4" xfId="32301"/>
    <cellStyle name="Total 2 2 2 54 5" xfId="41553"/>
    <cellStyle name="Total 2 2 2 54 6" xfId="45966"/>
    <cellStyle name="Total 2 2 2 54 7" xfId="53043"/>
    <cellStyle name="Total 2 2 2 55" xfId="7478"/>
    <cellStyle name="Total 2 2 2 55 2" xfId="15195"/>
    <cellStyle name="Total 2 2 2 55 3" xfId="24188"/>
    <cellStyle name="Total 2 2 2 55 4" xfId="32375"/>
    <cellStyle name="Total 2 2 2 55 5" xfId="41624"/>
    <cellStyle name="Total 2 2 2 55 6" xfId="46040"/>
    <cellStyle name="Total 2 2 2 55 7" xfId="52710"/>
    <cellStyle name="Total 2 2 2 56" xfId="7599"/>
    <cellStyle name="Total 2 2 2 56 2" xfId="15316"/>
    <cellStyle name="Total 2 2 2 56 3" xfId="24309"/>
    <cellStyle name="Total 2 2 2 56 4" xfId="32496"/>
    <cellStyle name="Total 2 2 2 56 5" xfId="41739"/>
    <cellStyle name="Total 2 2 2 56 6" xfId="46161"/>
    <cellStyle name="Total 2 2 2 56 7" xfId="49796"/>
    <cellStyle name="Total 2 2 2 57" xfId="7875"/>
    <cellStyle name="Total 2 2 2 57 2" xfId="15592"/>
    <cellStyle name="Total 2 2 2 57 3" xfId="24579"/>
    <cellStyle name="Total 2 2 2 57 4" xfId="32772"/>
    <cellStyle name="Total 2 2 2 57 5" xfId="42004"/>
    <cellStyle name="Total 2 2 2 57 6" xfId="46437"/>
    <cellStyle name="Total 2 2 2 57 7" xfId="53522"/>
    <cellStyle name="Total 2 2 2 58" xfId="7973"/>
    <cellStyle name="Total 2 2 2 58 2" xfId="15690"/>
    <cellStyle name="Total 2 2 2 58 3" xfId="24675"/>
    <cellStyle name="Total 2 2 2 58 4" xfId="32870"/>
    <cellStyle name="Total 2 2 2 58 5" xfId="42097"/>
    <cellStyle name="Total 2 2 2 58 6" xfId="46535"/>
    <cellStyle name="Total 2 2 2 58 7" xfId="52887"/>
    <cellStyle name="Total 2 2 2 59" xfId="8077"/>
    <cellStyle name="Total 2 2 2 59 2" xfId="15794"/>
    <cellStyle name="Total 2 2 2 59 3" xfId="24778"/>
    <cellStyle name="Total 2 2 2 59 4" xfId="32974"/>
    <cellStyle name="Total 2 2 2 59 5" xfId="42196"/>
    <cellStyle name="Total 2 2 2 59 6" xfId="46639"/>
    <cellStyle name="Total 2 2 2 59 7" xfId="49097"/>
    <cellStyle name="Total 2 2 2 6" xfId="1496"/>
    <cellStyle name="Total 2 2 2 6 2" xfId="9319"/>
    <cellStyle name="Total 2 2 2 6 3" xfId="16747"/>
    <cellStyle name="Total 2 2 2 6 4" xfId="25944"/>
    <cellStyle name="Total 2 2 2 6 5" xfId="34549"/>
    <cellStyle name="Total 2 2 2 6 6" xfId="41752"/>
    <cellStyle name="Total 2 2 2 6 7" xfId="52878"/>
    <cellStyle name="Total 2 2 2 60" xfId="8151"/>
    <cellStyle name="Total 2 2 2 60 2" xfId="15868"/>
    <cellStyle name="Total 2 2 2 60 3" xfId="33048"/>
    <cellStyle name="Total 2 2 2 60 4" xfId="42268"/>
    <cellStyle name="Total 2 2 2 60 5" xfId="46713"/>
    <cellStyle name="Total 2 2 2 60 6" xfId="48750"/>
    <cellStyle name="Total 2 2 2 61" xfId="19879"/>
    <cellStyle name="Total 2 2 2 62" xfId="26891"/>
    <cellStyle name="Total 2 2 2 63" xfId="36887"/>
    <cellStyle name="Total 2 2 2 64" xfId="49723"/>
    <cellStyle name="Total 2 2 2 7" xfId="1648"/>
    <cellStyle name="Total 2 2 2 7 2" xfId="9471"/>
    <cellStyle name="Total 2 2 2 7 3" xfId="16899"/>
    <cellStyle name="Total 2 2 2 7 4" xfId="25471"/>
    <cellStyle name="Total 2 2 2 7 5" xfId="33940"/>
    <cellStyle name="Total 2 2 2 7 6" xfId="41029"/>
    <cellStyle name="Total 2 2 2 7 7" xfId="51808"/>
    <cellStyle name="Total 2 2 2 8" xfId="1733"/>
    <cellStyle name="Total 2 2 2 8 2" xfId="9556"/>
    <cellStyle name="Total 2 2 2 8 3" xfId="16984"/>
    <cellStyle name="Total 2 2 2 8 4" xfId="19646"/>
    <cellStyle name="Total 2 2 2 8 5" xfId="28859"/>
    <cellStyle name="Total 2 2 2 8 6" xfId="41348"/>
    <cellStyle name="Total 2 2 2 8 7" xfId="47541"/>
    <cellStyle name="Total 2 2 2 9" xfId="1867"/>
    <cellStyle name="Total 2 2 2 9 2" xfId="9690"/>
    <cellStyle name="Total 2 2 2 9 3" xfId="17118"/>
    <cellStyle name="Total 2 2 2 9 4" xfId="25294"/>
    <cellStyle name="Total 2 2 2 9 5" xfId="33708"/>
    <cellStyle name="Total 2 2 2 9 6" xfId="40649"/>
    <cellStyle name="Total 2 2 2 9 7" xfId="51416"/>
    <cellStyle name="Total 2 2 20" xfId="986"/>
    <cellStyle name="Total 2 2 20 2" xfId="8810"/>
    <cellStyle name="Total 2 2 20 3" xfId="16238"/>
    <cellStyle name="Total 2 2 20 4" xfId="25686"/>
    <cellStyle name="Total 2 2 20 5" xfId="34223"/>
    <cellStyle name="Total 2 2 20 6" xfId="36985"/>
    <cellStyle name="Total 2 2 20 7" xfId="52283"/>
    <cellStyle name="Total 2 2 21" xfId="2297"/>
    <cellStyle name="Total 2 2 21 2" xfId="10120"/>
    <cellStyle name="Total 2 2 21 3" xfId="17548"/>
    <cellStyle name="Total 2 2 21 4" xfId="19110"/>
    <cellStyle name="Total 2 2 21 5" xfId="27529"/>
    <cellStyle name="Total 2 2 21 6" xfId="39581"/>
    <cellStyle name="Total 2 2 21 7" xfId="50199"/>
    <cellStyle name="Total 2 2 22" xfId="1075"/>
    <cellStyle name="Total 2 2 22 2" xfId="8899"/>
    <cellStyle name="Total 2 2 22 3" xfId="16327"/>
    <cellStyle name="Total 2 2 22 4" xfId="19580"/>
    <cellStyle name="Total 2 2 22 5" xfId="27371"/>
    <cellStyle name="Total 2 2 22 6" xfId="37031"/>
    <cellStyle name="Total 2 2 22 7" xfId="50225"/>
    <cellStyle name="Total 2 2 23" xfId="1852"/>
    <cellStyle name="Total 2 2 23 2" xfId="9675"/>
    <cellStyle name="Total 2 2 23 3" xfId="17103"/>
    <cellStyle name="Total 2 2 23 4" xfId="26067"/>
    <cellStyle name="Total 2 2 23 5" xfId="34712"/>
    <cellStyle name="Total 2 2 23 6" xfId="42073"/>
    <cellStyle name="Total 2 2 23 7" xfId="53142"/>
    <cellStyle name="Total 2 2 24" xfId="2428"/>
    <cellStyle name="Total 2 2 24 2" xfId="10251"/>
    <cellStyle name="Total 2 2 24 3" xfId="17679"/>
    <cellStyle name="Total 2 2 24 4" xfId="25102"/>
    <cellStyle name="Total 2 2 24 5" xfId="33466"/>
    <cellStyle name="Total 2 2 24 6" xfId="37380"/>
    <cellStyle name="Total 2 2 24 7" xfId="51013"/>
    <cellStyle name="Total 2 2 25" xfId="1259"/>
    <cellStyle name="Total 2 2 25 2" xfId="9082"/>
    <cellStyle name="Total 2 2 25 3" xfId="16510"/>
    <cellStyle name="Total 2 2 25 4" xfId="19593"/>
    <cellStyle name="Total 2 2 25 5" xfId="28115"/>
    <cellStyle name="Total 2 2 25 6" xfId="42252"/>
    <cellStyle name="Total 2 2 25 7" xfId="47196"/>
    <cellStyle name="Total 2 2 26" xfId="3114"/>
    <cellStyle name="Total 2 2 26 2" xfId="10919"/>
    <cellStyle name="Total 2 2 26 3" xfId="18300"/>
    <cellStyle name="Total 2 2 26 4" xfId="19051"/>
    <cellStyle name="Total 2 2 26 5" xfId="26923"/>
    <cellStyle name="Total 2 2 26 6" xfId="36275"/>
    <cellStyle name="Total 2 2 26 7" xfId="49151"/>
    <cellStyle name="Total 2 2 27" xfId="3063"/>
    <cellStyle name="Total 2 2 27 2" xfId="10872"/>
    <cellStyle name="Total 2 2 27 3" xfId="18267"/>
    <cellStyle name="Total 2 2 27 4" xfId="26612"/>
    <cellStyle name="Total 2 2 27 5" xfId="35440"/>
    <cellStyle name="Total 2 2 27 6" xfId="40650"/>
    <cellStyle name="Total 2 2 27 7" xfId="54307"/>
    <cellStyle name="Total 2 2 28" xfId="3035"/>
    <cellStyle name="Total 2 2 28 2" xfId="10850"/>
    <cellStyle name="Total 2 2 28 3" xfId="18261"/>
    <cellStyle name="Total 2 2 28 4" xfId="20078"/>
    <cellStyle name="Total 2 2 28 5" xfId="27467"/>
    <cellStyle name="Total 2 2 28 6" xfId="37471"/>
    <cellStyle name="Total 2 2 28 7" xfId="49505"/>
    <cellStyle name="Total 2 2 29" xfId="3060"/>
    <cellStyle name="Total 2 2 29 2" xfId="10870"/>
    <cellStyle name="Total 2 2 29 3" xfId="18266"/>
    <cellStyle name="Total 2 2 29 4" xfId="20667"/>
    <cellStyle name="Total 2 2 29 5" xfId="28056"/>
    <cellStyle name="Total 2 2 29 6" xfId="40790"/>
    <cellStyle name="Total 2 2 29 7" xfId="48287"/>
    <cellStyle name="Total 2 2 3" xfId="503"/>
    <cellStyle name="Total 2 2 3 10" xfId="1950"/>
    <cellStyle name="Total 2 2 3 10 2" xfId="9773"/>
    <cellStyle name="Total 2 2 3 10 3" xfId="17201"/>
    <cellStyle name="Total 2 2 3 10 4" xfId="25498"/>
    <cellStyle name="Total 2 2 3 10 5" xfId="33974"/>
    <cellStyle name="Total 2 2 3 10 6" xfId="40528"/>
    <cellStyle name="Total 2 2 3 10 7" xfId="51866"/>
    <cellStyle name="Total 2 2 3 11" xfId="2068"/>
    <cellStyle name="Total 2 2 3 11 2" xfId="9891"/>
    <cellStyle name="Total 2 2 3 11 3" xfId="17319"/>
    <cellStyle name="Total 2 2 3 11 4" xfId="25621"/>
    <cellStyle name="Total 2 2 3 11 5" xfId="34135"/>
    <cellStyle name="Total 2 2 3 11 6" xfId="39566"/>
    <cellStyle name="Total 2 2 3 11 7" xfId="52131"/>
    <cellStyle name="Total 2 2 3 12" xfId="2181"/>
    <cellStyle name="Total 2 2 3 12 2" xfId="10004"/>
    <cellStyle name="Total 2 2 3 12 3" xfId="17432"/>
    <cellStyle name="Total 2 2 3 12 4" xfId="26413"/>
    <cellStyle name="Total 2 2 3 12 5" xfId="35173"/>
    <cellStyle name="Total 2 2 3 12 6" xfId="39122"/>
    <cellStyle name="Total 2 2 3 12 7" xfId="53884"/>
    <cellStyle name="Total 2 2 3 13" xfId="1634"/>
    <cellStyle name="Total 2 2 3 13 2" xfId="9457"/>
    <cellStyle name="Total 2 2 3 13 3" xfId="16885"/>
    <cellStyle name="Total 2 2 3 13 4" xfId="26435"/>
    <cellStyle name="Total 2 2 3 13 5" xfId="35204"/>
    <cellStyle name="Total 2 2 3 13 6" xfId="36965"/>
    <cellStyle name="Total 2 2 3 13 7" xfId="53926"/>
    <cellStyle name="Total 2 2 3 14" xfId="1299"/>
    <cellStyle name="Total 2 2 3 14 2" xfId="9122"/>
    <cellStyle name="Total 2 2 3 14 3" xfId="16550"/>
    <cellStyle name="Total 2 2 3 14 4" xfId="26659"/>
    <cellStyle name="Total 2 2 3 14 5" xfId="35504"/>
    <cellStyle name="Total 2 2 3 14 6" xfId="38238"/>
    <cellStyle name="Total 2 2 3 14 7" xfId="54410"/>
    <cellStyle name="Total 2 2 3 15" xfId="2479"/>
    <cellStyle name="Total 2 2 3 15 2" xfId="10302"/>
    <cellStyle name="Total 2 2 3 15 3" xfId="17730"/>
    <cellStyle name="Total 2 2 3 15 4" xfId="26068"/>
    <cellStyle name="Total 2 2 3 15 5" xfId="34713"/>
    <cellStyle name="Total 2 2 3 15 6" xfId="38592"/>
    <cellStyle name="Total 2 2 3 15 7" xfId="53143"/>
    <cellStyle name="Total 2 2 3 16" xfId="2592"/>
    <cellStyle name="Total 2 2 3 16 2" xfId="10415"/>
    <cellStyle name="Total 2 2 3 16 3" xfId="17843"/>
    <cellStyle name="Total 2 2 3 16 4" xfId="24880"/>
    <cellStyle name="Total 2 2 3 16 5" xfId="33194"/>
    <cellStyle name="Total 2 2 3 16 6" xfId="40856"/>
    <cellStyle name="Total 2 2 3 16 7" xfId="50518"/>
    <cellStyle name="Total 2 2 3 17" xfId="2401"/>
    <cellStyle name="Total 2 2 3 17 2" xfId="10224"/>
    <cellStyle name="Total 2 2 3 17 3" xfId="17652"/>
    <cellStyle name="Total 2 2 3 17 4" xfId="26451"/>
    <cellStyle name="Total 2 2 3 17 5" xfId="35226"/>
    <cellStyle name="Total 2 2 3 17 6" xfId="36529"/>
    <cellStyle name="Total 2 2 3 17 7" xfId="53962"/>
    <cellStyle name="Total 2 2 3 18" xfId="2398"/>
    <cellStyle name="Total 2 2 3 18 2" xfId="10221"/>
    <cellStyle name="Total 2 2 3 18 3" xfId="17649"/>
    <cellStyle name="Total 2 2 3 18 4" xfId="26476"/>
    <cellStyle name="Total 2 2 3 18 5" xfId="35259"/>
    <cellStyle name="Total 2 2 3 18 6" xfId="40068"/>
    <cellStyle name="Total 2 2 3 18 7" xfId="54023"/>
    <cellStyle name="Total 2 2 3 19" xfId="2786"/>
    <cellStyle name="Total 2 2 3 19 2" xfId="10609"/>
    <cellStyle name="Total 2 2 3 19 3" xfId="18037"/>
    <cellStyle name="Total 2 2 3 19 4" xfId="25933"/>
    <cellStyle name="Total 2 2 3 19 5" xfId="34538"/>
    <cellStyle name="Total 2 2 3 19 6" xfId="38430"/>
    <cellStyle name="Total 2 2 3 19 7" xfId="52858"/>
    <cellStyle name="Total 2 2 3 2" xfId="654"/>
    <cellStyle name="Total 2 2 3 2 2" xfId="8478"/>
    <cellStyle name="Total 2 2 3 2 3" xfId="8282"/>
    <cellStyle name="Total 2 2 3 2 4" xfId="25692"/>
    <cellStyle name="Total 2 2 3 2 5" xfId="34230"/>
    <cellStyle name="Total 2 2 3 2 6" xfId="36623"/>
    <cellStyle name="Total 2 2 3 2 7" xfId="52299"/>
    <cellStyle name="Total 2 2 3 20" xfId="2893"/>
    <cellStyle name="Total 2 2 3 20 2" xfId="10716"/>
    <cellStyle name="Total 2 2 3 20 3" xfId="18144"/>
    <cellStyle name="Total 2 2 3 20 4" xfId="19311"/>
    <cellStyle name="Total 2 2 3 20 5" xfId="28233"/>
    <cellStyle name="Total 2 2 3 20 6" xfId="38350"/>
    <cellStyle name="Total 2 2 3 20 7" xfId="48482"/>
    <cellStyle name="Total 2 2 3 21" xfId="3269"/>
    <cellStyle name="Total 2 2 3 21 2" xfId="11062"/>
    <cellStyle name="Total 2 2 3 21 3" xfId="18391"/>
    <cellStyle name="Total 2 2 3 21 4" xfId="19574"/>
    <cellStyle name="Total 2 2 3 21 5" xfId="27270"/>
    <cellStyle name="Total 2 2 3 21 6" xfId="38542"/>
    <cellStyle name="Total 2 2 3 21 7" xfId="48786"/>
    <cellStyle name="Total 2 2 3 22" xfId="3389"/>
    <cellStyle name="Total 2 2 3 22 2" xfId="11180"/>
    <cellStyle name="Total 2 2 3 22 3" xfId="18502"/>
    <cellStyle name="Total 2 2 3 22 4" xfId="25176"/>
    <cellStyle name="Total 2 2 3 22 5" xfId="33557"/>
    <cellStyle name="Total 2 2 3 22 6" xfId="38120"/>
    <cellStyle name="Total 2 2 3 22 7" xfId="51168"/>
    <cellStyle name="Total 2 2 3 23" xfId="3220"/>
    <cellStyle name="Total 2 2 3 23 2" xfId="11016"/>
    <cellStyle name="Total 2 2 3 23 3" xfId="18356"/>
    <cellStyle name="Total 2 2 3 23 4" xfId="26302"/>
    <cellStyle name="Total 2 2 3 23 5" xfId="35019"/>
    <cellStyle name="Total 2 2 3 23 6" xfId="40410"/>
    <cellStyle name="Total 2 2 3 23 7" xfId="53651"/>
    <cellStyle name="Total 2 2 3 24" xfId="3659"/>
    <cellStyle name="Total 2 2 3 24 2" xfId="11444"/>
    <cellStyle name="Total 2 2 3 24 3" xfId="18717"/>
    <cellStyle name="Total 2 2 3 24 4" xfId="26214"/>
    <cellStyle name="Total 2 2 3 24 5" xfId="34898"/>
    <cellStyle name="Total 2 2 3 24 6" xfId="40437"/>
    <cellStyle name="Total 2 2 3 24 7" xfId="53454"/>
    <cellStyle name="Total 2 2 3 25" xfId="3790"/>
    <cellStyle name="Total 2 2 3 25 2" xfId="11572"/>
    <cellStyle name="Total 2 2 3 25 3" xfId="18829"/>
    <cellStyle name="Total 2 2 3 25 4" xfId="19910"/>
    <cellStyle name="Total 2 2 3 25 5" xfId="26762"/>
    <cellStyle name="Total 2 2 3 25 6" xfId="39541"/>
    <cellStyle name="Total 2 2 3 25 7" xfId="49101"/>
    <cellStyle name="Total 2 2 3 26" xfId="3907"/>
    <cellStyle name="Total 2 2 3 26 2" xfId="11687"/>
    <cellStyle name="Total 2 2 3 26 3" xfId="18938"/>
    <cellStyle name="Total 2 2 3 26 4" xfId="24955"/>
    <cellStyle name="Total 2 2 3 26 5" xfId="33291"/>
    <cellStyle name="Total 2 2 3 26 6" xfId="38047"/>
    <cellStyle name="Total 2 2 3 26 7" xfId="50679"/>
    <cellStyle name="Total 2 2 3 27" xfId="3244"/>
    <cellStyle name="Total 2 2 3 27 2" xfId="11037"/>
    <cellStyle name="Total 2 2 3 27 3" xfId="20360"/>
    <cellStyle name="Total 2 2 3 27 4" xfId="28449"/>
    <cellStyle name="Total 2 2 3 27 5" xfId="37842"/>
    <cellStyle name="Total 2 2 3 27 6" xfId="42462"/>
    <cellStyle name="Total 2 2 3 27 7" xfId="51237"/>
    <cellStyle name="Total 2 2 3 28" xfId="4104"/>
    <cellStyle name="Total 2 2 3 28 2" xfId="11864"/>
    <cellStyle name="Total 2 2 3 28 3" xfId="20814"/>
    <cellStyle name="Total 2 2 3 28 4" xfId="29001"/>
    <cellStyle name="Total 2 2 3 28 5" xfId="38379"/>
    <cellStyle name="Total 2 2 3 28 6" xfId="42666"/>
    <cellStyle name="Total 2 2 3 28 7" xfId="48132"/>
    <cellStyle name="Total 2 2 3 29" xfId="3015"/>
    <cellStyle name="Total 2 2 3 29 2" xfId="20189"/>
    <cellStyle name="Total 2 2 3 29 3" xfId="28279"/>
    <cellStyle name="Total 2 2 3 29 4" xfId="37660"/>
    <cellStyle name="Total 2 2 3 29 5" xfId="42354"/>
    <cellStyle name="Total 2 2 3 29 6" xfId="51954"/>
    <cellStyle name="Total 2 2 3 3" xfId="761"/>
    <cellStyle name="Total 2 2 3 3 2" xfId="8585"/>
    <cellStyle name="Total 2 2 3 3 3" xfId="16013"/>
    <cellStyle name="Total 2 2 3 3 4" xfId="26252"/>
    <cellStyle name="Total 2 2 3 3 5" xfId="34949"/>
    <cellStyle name="Total 2 2 3 3 6" xfId="36736"/>
    <cellStyle name="Total 2 2 3 3 7" xfId="53544"/>
    <cellStyle name="Total 2 2 3 30" xfId="4301"/>
    <cellStyle name="Total 2 2 3 30 2" xfId="12018"/>
    <cellStyle name="Total 2 2 3 30 3" xfId="21011"/>
    <cellStyle name="Total 2 2 3 30 4" xfId="29198"/>
    <cellStyle name="Total 2 2 3 30 5" xfId="38570"/>
    <cellStyle name="Total 2 2 3 30 6" xfId="42863"/>
    <cellStyle name="Total 2 2 3 30 7" xfId="47719"/>
    <cellStyle name="Total 2 2 3 31" xfId="4424"/>
    <cellStyle name="Total 2 2 3 31 2" xfId="12141"/>
    <cellStyle name="Total 2 2 3 31 3" xfId="21134"/>
    <cellStyle name="Total 2 2 3 31 4" xfId="29321"/>
    <cellStyle name="Total 2 2 3 31 5" xfId="38688"/>
    <cellStyle name="Total 2 2 3 31 6" xfId="42986"/>
    <cellStyle name="Total 2 2 3 31 7" xfId="51769"/>
    <cellStyle name="Total 2 2 3 32" xfId="4538"/>
    <cellStyle name="Total 2 2 3 32 2" xfId="12255"/>
    <cellStyle name="Total 2 2 3 32 3" xfId="21248"/>
    <cellStyle name="Total 2 2 3 32 4" xfId="29435"/>
    <cellStyle name="Total 2 2 3 32 5" xfId="38797"/>
    <cellStyle name="Total 2 2 3 32 6" xfId="43100"/>
    <cellStyle name="Total 2 2 3 32 7" xfId="46979"/>
    <cellStyle name="Total 2 2 3 33" xfId="4651"/>
    <cellStyle name="Total 2 2 3 33 2" xfId="12368"/>
    <cellStyle name="Total 2 2 3 33 3" xfId="21361"/>
    <cellStyle name="Total 2 2 3 33 4" xfId="29548"/>
    <cellStyle name="Total 2 2 3 33 5" xfId="38905"/>
    <cellStyle name="Total 2 2 3 33 6" xfId="43213"/>
    <cellStyle name="Total 2 2 3 33 7" xfId="52062"/>
    <cellStyle name="Total 2 2 3 34" xfId="4763"/>
    <cellStyle name="Total 2 2 3 34 2" xfId="12480"/>
    <cellStyle name="Total 2 2 3 34 3" xfId="21473"/>
    <cellStyle name="Total 2 2 3 34 4" xfId="29660"/>
    <cellStyle name="Total 2 2 3 34 5" xfId="39014"/>
    <cellStyle name="Total 2 2 3 34 6" xfId="43325"/>
    <cellStyle name="Total 2 2 3 34 7" xfId="50792"/>
    <cellStyle name="Total 2 2 3 35" xfId="4871"/>
    <cellStyle name="Total 2 2 3 35 2" xfId="12588"/>
    <cellStyle name="Total 2 2 3 35 3" xfId="21581"/>
    <cellStyle name="Total 2 2 3 35 4" xfId="29768"/>
    <cellStyle name="Total 2 2 3 35 5" xfId="39117"/>
    <cellStyle name="Total 2 2 3 35 6" xfId="43433"/>
    <cellStyle name="Total 2 2 3 35 7" xfId="47626"/>
    <cellStyle name="Total 2 2 3 36" xfId="4983"/>
    <cellStyle name="Total 2 2 3 36 2" xfId="12700"/>
    <cellStyle name="Total 2 2 3 36 3" xfId="21693"/>
    <cellStyle name="Total 2 2 3 36 4" xfId="29880"/>
    <cellStyle name="Total 2 2 3 36 5" xfId="39226"/>
    <cellStyle name="Total 2 2 3 36 6" xfId="43545"/>
    <cellStyle name="Total 2 2 3 36 7" xfId="47757"/>
    <cellStyle name="Total 2 2 3 37" xfId="5128"/>
    <cellStyle name="Total 2 2 3 37 2" xfId="12845"/>
    <cellStyle name="Total 2 2 3 37 3" xfId="21838"/>
    <cellStyle name="Total 2 2 3 37 4" xfId="30025"/>
    <cellStyle name="Total 2 2 3 37 5" xfId="39366"/>
    <cellStyle name="Total 2 2 3 37 6" xfId="43690"/>
    <cellStyle name="Total 2 2 3 37 7" xfId="51656"/>
    <cellStyle name="Total 2 2 3 38" xfId="5481"/>
    <cellStyle name="Total 2 2 3 38 2" xfId="13198"/>
    <cellStyle name="Total 2 2 3 38 3" xfId="22191"/>
    <cellStyle name="Total 2 2 3 38 4" xfId="30378"/>
    <cellStyle name="Total 2 2 3 38 5" xfId="39704"/>
    <cellStyle name="Total 2 2 3 38 6" xfId="44043"/>
    <cellStyle name="Total 2 2 3 38 7" xfId="50587"/>
    <cellStyle name="Total 2 2 3 39" xfId="5606"/>
    <cellStyle name="Total 2 2 3 39 2" xfId="13323"/>
    <cellStyle name="Total 2 2 3 39 3" xfId="22316"/>
    <cellStyle name="Total 2 2 3 39 4" xfId="30503"/>
    <cellStyle name="Total 2 2 3 39 5" xfId="39824"/>
    <cellStyle name="Total 2 2 3 39 6" xfId="44168"/>
    <cellStyle name="Total 2 2 3 39 7" xfId="47136"/>
    <cellStyle name="Total 2 2 3 4" xfId="873"/>
    <cellStyle name="Total 2 2 3 4 2" xfId="8697"/>
    <cellStyle name="Total 2 2 3 4 3" xfId="16125"/>
    <cellStyle name="Total 2 2 3 4 4" xfId="26305"/>
    <cellStyle name="Total 2 2 3 4 5" xfId="35023"/>
    <cellStyle name="Total 2 2 3 4 6" xfId="37277"/>
    <cellStyle name="Total 2 2 3 4 7" xfId="53656"/>
    <cellStyle name="Total 2 2 3 40" xfId="5721"/>
    <cellStyle name="Total 2 2 3 40 2" xfId="13438"/>
    <cellStyle name="Total 2 2 3 40 3" xfId="22431"/>
    <cellStyle name="Total 2 2 3 40 4" xfId="30618"/>
    <cellStyle name="Total 2 2 3 40 5" xfId="39935"/>
    <cellStyle name="Total 2 2 3 40 6" xfId="44283"/>
    <cellStyle name="Total 2 2 3 40 7" xfId="46901"/>
    <cellStyle name="Total 2 2 3 41" xfId="5838"/>
    <cellStyle name="Total 2 2 3 41 2" xfId="13555"/>
    <cellStyle name="Total 2 2 3 41 3" xfId="22548"/>
    <cellStyle name="Total 2 2 3 41 4" xfId="30735"/>
    <cellStyle name="Total 2 2 3 41 5" xfId="40049"/>
    <cellStyle name="Total 2 2 3 41 6" xfId="44400"/>
    <cellStyle name="Total 2 2 3 41 7" xfId="49284"/>
    <cellStyle name="Total 2 2 3 42" xfId="5966"/>
    <cellStyle name="Total 2 2 3 42 2" xfId="13683"/>
    <cellStyle name="Total 2 2 3 42 3" xfId="22676"/>
    <cellStyle name="Total 2 2 3 42 4" xfId="30863"/>
    <cellStyle name="Total 2 2 3 42 5" xfId="40173"/>
    <cellStyle name="Total 2 2 3 42 6" xfId="44528"/>
    <cellStyle name="Total 2 2 3 42 7" xfId="50728"/>
    <cellStyle name="Total 2 2 3 43" xfId="5185"/>
    <cellStyle name="Total 2 2 3 43 2" xfId="12902"/>
    <cellStyle name="Total 2 2 3 43 3" xfId="21895"/>
    <cellStyle name="Total 2 2 3 43 4" xfId="30082"/>
    <cellStyle name="Total 2 2 3 43 5" xfId="39421"/>
    <cellStyle name="Total 2 2 3 43 6" xfId="43747"/>
    <cellStyle name="Total 2 2 3 43 7" xfId="50839"/>
    <cellStyle name="Total 2 2 3 44" xfId="6222"/>
    <cellStyle name="Total 2 2 3 44 2" xfId="13939"/>
    <cellStyle name="Total 2 2 3 44 3" xfId="22932"/>
    <cellStyle name="Total 2 2 3 44 4" xfId="31119"/>
    <cellStyle name="Total 2 2 3 44 5" xfId="40420"/>
    <cellStyle name="Total 2 2 3 44 6" xfId="44784"/>
    <cellStyle name="Total 2 2 3 44 7" xfId="48061"/>
    <cellStyle name="Total 2 2 3 45" xfId="6339"/>
    <cellStyle name="Total 2 2 3 45 2" xfId="14056"/>
    <cellStyle name="Total 2 2 3 45 3" xfId="23049"/>
    <cellStyle name="Total 2 2 3 45 4" xfId="31236"/>
    <cellStyle name="Total 2 2 3 45 5" xfId="40534"/>
    <cellStyle name="Total 2 2 3 45 6" xfId="44901"/>
    <cellStyle name="Total 2 2 3 45 7" xfId="49946"/>
    <cellStyle name="Total 2 2 3 46" xfId="6449"/>
    <cellStyle name="Total 2 2 3 46 2" xfId="14166"/>
    <cellStyle name="Total 2 2 3 46 3" xfId="23159"/>
    <cellStyle name="Total 2 2 3 46 4" xfId="31346"/>
    <cellStyle name="Total 2 2 3 46 5" xfId="40640"/>
    <cellStyle name="Total 2 2 3 46 6" xfId="45011"/>
    <cellStyle name="Total 2 2 3 46 7" xfId="51073"/>
    <cellStyle name="Total 2 2 3 47" xfId="5583"/>
    <cellStyle name="Total 2 2 3 47 2" xfId="13300"/>
    <cellStyle name="Total 2 2 3 47 3" xfId="22293"/>
    <cellStyle name="Total 2 2 3 47 4" xfId="30480"/>
    <cellStyle name="Total 2 2 3 47 5" xfId="39802"/>
    <cellStyle name="Total 2 2 3 47 6" xfId="44145"/>
    <cellStyle name="Total 2 2 3 47 7" xfId="47154"/>
    <cellStyle name="Total 2 2 3 48" xfId="6596"/>
    <cellStyle name="Total 2 2 3 48 2" xfId="14313"/>
    <cellStyle name="Total 2 2 3 48 3" xfId="23306"/>
    <cellStyle name="Total 2 2 3 48 4" xfId="31493"/>
    <cellStyle name="Total 2 2 3 48 5" xfId="40780"/>
    <cellStyle name="Total 2 2 3 48 6" xfId="45158"/>
    <cellStyle name="Total 2 2 3 48 7" xfId="51327"/>
    <cellStyle name="Total 2 2 3 49" xfId="6707"/>
    <cellStyle name="Total 2 2 3 49 2" xfId="14424"/>
    <cellStyle name="Total 2 2 3 49 3" xfId="23417"/>
    <cellStyle name="Total 2 2 3 49 4" xfId="31604"/>
    <cellStyle name="Total 2 2 3 49 5" xfId="40886"/>
    <cellStyle name="Total 2 2 3 49 6" xfId="45269"/>
    <cellStyle name="Total 2 2 3 49 7" xfId="54437"/>
    <cellStyle name="Total 2 2 3 5" xfId="1338"/>
    <cellStyle name="Total 2 2 3 5 2" xfId="9161"/>
    <cellStyle name="Total 2 2 3 5 3" xfId="16589"/>
    <cellStyle name="Total 2 2 3 5 4" xfId="20093"/>
    <cellStyle name="Total 2 2 3 5 5" xfId="28231"/>
    <cellStyle name="Total 2 2 3 5 6" xfId="41367"/>
    <cellStyle name="Total 2 2 3 5 7" xfId="50213"/>
    <cellStyle name="Total 2 2 3 50" xfId="6822"/>
    <cellStyle name="Total 2 2 3 50 2" xfId="14539"/>
    <cellStyle name="Total 2 2 3 50 3" xfId="23532"/>
    <cellStyle name="Total 2 2 3 50 4" xfId="31719"/>
    <cellStyle name="Total 2 2 3 50 5" xfId="40994"/>
    <cellStyle name="Total 2 2 3 50 6" xfId="45384"/>
    <cellStyle name="Total 2 2 3 50 7" xfId="47416"/>
    <cellStyle name="Total 2 2 3 51" xfId="6935"/>
    <cellStyle name="Total 2 2 3 51 2" xfId="14652"/>
    <cellStyle name="Total 2 2 3 51 3" xfId="23645"/>
    <cellStyle name="Total 2 2 3 51 4" xfId="31832"/>
    <cellStyle name="Total 2 2 3 51 5" xfId="41102"/>
    <cellStyle name="Total 2 2 3 51 6" xfId="45497"/>
    <cellStyle name="Total 2 2 3 51 7" xfId="47041"/>
    <cellStyle name="Total 2 2 3 52" xfId="7047"/>
    <cellStyle name="Total 2 2 3 52 2" xfId="14764"/>
    <cellStyle name="Total 2 2 3 52 3" xfId="23757"/>
    <cellStyle name="Total 2 2 3 52 4" xfId="31944"/>
    <cellStyle name="Total 2 2 3 52 5" xfId="41208"/>
    <cellStyle name="Total 2 2 3 52 6" xfId="45609"/>
    <cellStyle name="Total 2 2 3 52 7" xfId="48415"/>
    <cellStyle name="Total 2 2 3 53" xfId="7318"/>
    <cellStyle name="Total 2 2 3 53 2" xfId="15035"/>
    <cellStyle name="Total 2 2 3 53 3" xfId="24028"/>
    <cellStyle name="Total 2 2 3 53 4" xfId="32215"/>
    <cellStyle name="Total 2 2 3 53 5" xfId="41471"/>
    <cellStyle name="Total 2 2 3 53 6" xfId="45880"/>
    <cellStyle name="Total 2 2 3 53 7" xfId="48459"/>
    <cellStyle name="Total 2 2 3 54" xfId="7387"/>
    <cellStyle name="Total 2 2 3 54 2" xfId="15104"/>
    <cellStyle name="Total 2 2 3 54 3" xfId="24097"/>
    <cellStyle name="Total 2 2 3 54 4" xfId="32284"/>
    <cellStyle name="Total 2 2 3 54 5" xfId="41540"/>
    <cellStyle name="Total 2 2 3 54 6" xfId="45949"/>
    <cellStyle name="Total 2 2 3 54 7" xfId="48539"/>
    <cellStyle name="Total 2 2 3 55" xfId="7444"/>
    <cellStyle name="Total 2 2 3 55 2" xfId="15161"/>
    <cellStyle name="Total 2 2 3 55 3" xfId="24154"/>
    <cellStyle name="Total 2 2 3 55 4" xfId="32341"/>
    <cellStyle name="Total 2 2 3 55 5" xfId="41591"/>
    <cellStyle name="Total 2 2 3 55 6" xfId="46006"/>
    <cellStyle name="Total 2 2 3 55 7" xfId="48761"/>
    <cellStyle name="Total 2 2 3 56" xfId="7565"/>
    <cellStyle name="Total 2 2 3 56 2" xfId="15282"/>
    <cellStyle name="Total 2 2 3 56 3" xfId="24275"/>
    <cellStyle name="Total 2 2 3 56 4" xfId="32462"/>
    <cellStyle name="Total 2 2 3 56 5" xfId="41706"/>
    <cellStyle name="Total 2 2 3 56 6" xfId="46127"/>
    <cellStyle name="Total 2 2 3 56 7" xfId="50570"/>
    <cellStyle name="Total 2 2 3 57" xfId="7841"/>
    <cellStyle name="Total 2 2 3 57 2" xfId="15558"/>
    <cellStyle name="Total 2 2 3 57 3" xfId="24545"/>
    <cellStyle name="Total 2 2 3 57 4" xfId="32738"/>
    <cellStyle name="Total 2 2 3 57 5" xfId="41971"/>
    <cellStyle name="Total 2 2 3 57 6" xfId="46403"/>
    <cellStyle name="Total 2 2 3 57 7" xfId="52146"/>
    <cellStyle name="Total 2 2 3 58" xfId="7943"/>
    <cellStyle name="Total 2 2 3 58 2" xfId="15660"/>
    <cellStyle name="Total 2 2 3 58 3" xfId="24646"/>
    <cellStyle name="Total 2 2 3 58 4" xfId="32840"/>
    <cellStyle name="Total 2 2 3 58 5" xfId="42069"/>
    <cellStyle name="Total 2 2 3 58 6" xfId="46505"/>
    <cellStyle name="Total 2 2 3 58 7" xfId="47293"/>
    <cellStyle name="Total 2 2 3 59" xfId="7688"/>
    <cellStyle name="Total 2 2 3 59 2" xfId="15405"/>
    <cellStyle name="Total 2 2 3 59 3" xfId="24396"/>
    <cellStyle name="Total 2 2 3 59 4" xfId="32585"/>
    <cellStyle name="Total 2 2 3 59 5" xfId="41823"/>
    <cellStyle name="Total 2 2 3 59 6" xfId="46250"/>
    <cellStyle name="Total 2 2 3 59 7" xfId="48100"/>
    <cellStyle name="Total 2 2 3 6" xfId="1461"/>
    <cellStyle name="Total 2 2 3 6 2" xfId="9284"/>
    <cellStyle name="Total 2 2 3 6 3" xfId="16712"/>
    <cellStyle name="Total 2 2 3 6 4" xfId="24832"/>
    <cellStyle name="Total 2 2 3 6 5" xfId="28804"/>
    <cellStyle name="Total 2 2 3 6 6" xfId="37995"/>
    <cellStyle name="Total 2 2 3 6 7" xfId="49565"/>
    <cellStyle name="Total 2 2 3 60" xfId="8117"/>
    <cellStyle name="Total 2 2 3 60 2" xfId="15834"/>
    <cellStyle name="Total 2 2 3 60 3" xfId="33014"/>
    <cellStyle name="Total 2 2 3 60 4" xfId="42235"/>
    <cellStyle name="Total 2 2 3 60 5" xfId="46679"/>
    <cellStyle name="Total 2 2 3 60 6" xfId="52438"/>
    <cellStyle name="Total 2 2 3 61" xfId="25537"/>
    <cellStyle name="Total 2 2 3 62" xfId="34026"/>
    <cellStyle name="Total 2 2 3 63" xfId="38248"/>
    <cellStyle name="Total 2 2 3 64" xfId="51958"/>
    <cellStyle name="Total 2 2 3 7" xfId="1169"/>
    <cellStyle name="Total 2 2 3 7 2" xfId="8992"/>
    <cellStyle name="Total 2 2 3 7 3" xfId="16420"/>
    <cellStyle name="Total 2 2 3 7 4" xfId="19621"/>
    <cellStyle name="Total 2 2 3 7 5" xfId="27264"/>
    <cellStyle name="Total 2 2 3 7 6" xfId="38112"/>
    <cellStyle name="Total 2 2 3 7 7" xfId="47790"/>
    <cellStyle name="Total 2 2 3 8" xfId="1698"/>
    <cellStyle name="Total 2 2 3 8 2" xfId="9521"/>
    <cellStyle name="Total 2 2 3 8 3" xfId="16949"/>
    <cellStyle name="Total 2 2 3 8 4" xfId="19605"/>
    <cellStyle name="Total 2 2 3 8 5" xfId="27627"/>
    <cellStyle name="Total 2 2 3 8 6" xfId="36924"/>
    <cellStyle name="Total 2 2 3 8 7" xfId="47681"/>
    <cellStyle name="Total 2 2 3 9" xfId="1832"/>
    <cellStyle name="Total 2 2 3 9 2" xfId="9655"/>
    <cellStyle name="Total 2 2 3 9 3" xfId="17083"/>
    <cellStyle name="Total 2 2 3 9 4" xfId="20451"/>
    <cellStyle name="Total 2 2 3 9 5" xfId="27910"/>
    <cellStyle name="Total 2 2 3 9 6" xfId="37956"/>
    <cellStyle name="Total 2 2 3 9 7" xfId="48013"/>
    <cellStyle name="Total 2 2 30" xfId="3679"/>
    <cellStyle name="Total 2 2 30 2" xfId="11464"/>
    <cellStyle name="Total 2 2 30 3" xfId="18737"/>
    <cellStyle name="Total 2 2 30 4" xfId="25293"/>
    <cellStyle name="Total 2 2 30 5" xfId="33707"/>
    <cellStyle name="Total 2 2 30 6" xfId="37634"/>
    <cellStyle name="Total 2 2 30 7" xfId="51414"/>
    <cellStyle name="Total 2 2 31" xfId="3168"/>
    <cellStyle name="Total 2 2 31 2" xfId="10970"/>
    <cellStyle name="Total 2 2 31 3" xfId="18337"/>
    <cellStyle name="Total 2 2 31 4" xfId="25861"/>
    <cellStyle name="Total 2 2 31 5" xfId="34449"/>
    <cellStyle name="Total 2 2 31 6" xfId="38224"/>
    <cellStyle name="Total 2 2 31 7" xfId="52697"/>
    <cellStyle name="Total 2 2 32" xfId="3755"/>
    <cellStyle name="Total 2 2 32 2" xfId="11540"/>
    <cellStyle name="Total 2 2 32 3" xfId="20605"/>
    <cellStyle name="Total 2 2 32 4" xfId="28755"/>
    <cellStyle name="Total 2 2 32 5" xfId="38143"/>
    <cellStyle name="Total 2 2 32 6" xfId="42531"/>
    <cellStyle name="Total 2 2 32 7" xfId="52750"/>
    <cellStyle name="Total 2 2 33" xfId="3479"/>
    <cellStyle name="Total 2 2 33 2" xfId="11270"/>
    <cellStyle name="Total 2 2 33 3" xfId="20466"/>
    <cellStyle name="Total 2 2 33 4" xfId="28588"/>
    <cellStyle name="Total 2 2 33 5" xfId="37967"/>
    <cellStyle name="Total 2 2 33 6" xfId="42477"/>
    <cellStyle name="Total 2 2 33 7" xfId="49473"/>
    <cellStyle name="Total 2 2 34" xfId="4221"/>
    <cellStyle name="Total 2 2 34 2" xfId="20931"/>
    <cellStyle name="Total 2 2 34 3" xfId="29118"/>
    <cellStyle name="Total 2 2 34 4" xfId="38493"/>
    <cellStyle name="Total 2 2 34 5" xfId="42783"/>
    <cellStyle name="Total 2 2 34 6" xfId="47439"/>
    <cellStyle name="Total 2 2 35" xfId="3485"/>
    <cellStyle name="Total 2 2 35 2" xfId="11276"/>
    <cellStyle name="Total 2 2 35 3" xfId="20472"/>
    <cellStyle name="Total 2 2 35 4" xfId="28593"/>
    <cellStyle name="Total 2 2 35 5" xfId="37971"/>
    <cellStyle name="Total 2 2 35 6" xfId="42482"/>
    <cellStyle name="Total 2 2 35 7" xfId="47818"/>
    <cellStyle name="Total 2 2 36" xfId="4276"/>
    <cellStyle name="Total 2 2 36 2" xfId="11993"/>
    <cellStyle name="Total 2 2 36 3" xfId="20986"/>
    <cellStyle name="Total 2 2 36 4" xfId="29173"/>
    <cellStyle name="Total 2 2 36 5" xfId="38546"/>
    <cellStyle name="Total 2 2 36 6" xfId="42838"/>
    <cellStyle name="Total 2 2 36 7" xfId="51425"/>
    <cellStyle name="Total 2 2 37" xfId="4400"/>
    <cellStyle name="Total 2 2 37 2" xfId="12117"/>
    <cellStyle name="Total 2 2 37 3" xfId="21110"/>
    <cellStyle name="Total 2 2 37 4" xfId="29297"/>
    <cellStyle name="Total 2 2 37 5" xfId="38667"/>
    <cellStyle name="Total 2 2 37 6" xfId="42962"/>
    <cellStyle name="Total 2 2 37 7" xfId="47692"/>
    <cellStyle name="Total 2 2 38" xfId="4590"/>
    <cellStyle name="Total 2 2 38 2" xfId="12307"/>
    <cellStyle name="Total 2 2 38 3" xfId="21300"/>
    <cellStyle name="Total 2 2 38 4" xfId="29487"/>
    <cellStyle name="Total 2 2 38 5" xfId="38847"/>
    <cellStyle name="Total 2 2 38 6" xfId="43152"/>
    <cellStyle name="Total 2 2 38 7" xfId="47483"/>
    <cellStyle name="Total 2 2 39" xfId="4628"/>
    <cellStyle name="Total 2 2 39 2" xfId="12345"/>
    <cellStyle name="Total 2 2 39 3" xfId="21338"/>
    <cellStyle name="Total 2 2 39 4" xfId="29525"/>
    <cellStyle name="Total 2 2 39 5" xfId="38884"/>
    <cellStyle name="Total 2 2 39 6" xfId="43190"/>
    <cellStyle name="Total 2 2 39 7" xfId="53999"/>
    <cellStyle name="Total 2 2 4" xfId="492"/>
    <cellStyle name="Total 2 2 4 10" xfId="1939"/>
    <cellStyle name="Total 2 2 4 10 2" xfId="9762"/>
    <cellStyle name="Total 2 2 4 10 3" xfId="17190"/>
    <cellStyle name="Total 2 2 4 10 4" xfId="25989"/>
    <cellStyle name="Total 2 2 4 10 5" xfId="34611"/>
    <cellStyle name="Total 2 2 4 10 6" xfId="41585"/>
    <cellStyle name="Total 2 2 4 10 7" xfId="52974"/>
    <cellStyle name="Total 2 2 4 11" xfId="2057"/>
    <cellStyle name="Total 2 2 4 11 2" xfId="9880"/>
    <cellStyle name="Total 2 2 4 11 3" xfId="17308"/>
    <cellStyle name="Total 2 2 4 11 4" xfId="26082"/>
    <cellStyle name="Total 2 2 4 11 5" xfId="34729"/>
    <cellStyle name="Total 2 2 4 11 6" xfId="37475"/>
    <cellStyle name="Total 2 2 4 11 7" xfId="53170"/>
    <cellStyle name="Total 2 2 4 12" xfId="2170"/>
    <cellStyle name="Total 2 2 4 12 2" xfId="9993"/>
    <cellStyle name="Total 2 2 4 12 3" xfId="17421"/>
    <cellStyle name="Total 2 2 4 12 4" xfId="25451"/>
    <cellStyle name="Total 2 2 4 12 5" xfId="33913"/>
    <cellStyle name="Total 2 2 4 12 6" xfId="40425"/>
    <cellStyle name="Total 2 2 4 12 7" xfId="51758"/>
    <cellStyle name="Total 2 2 4 13" xfId="1434"/>
    <cellStyle name="Total 2 2 4 13 2" xfId="9257"/>
    <cellStyle name="Total 2 2 4 13 3" xfId="16685"/>
    <cellStyle name="Total 2 2 4 13 4" xfId="25921"/>
    <cellStyle name="Total 2 2 4 13 5" xfId="34522"/>
    <cellStyle name="Total 2 2 4 13 6" xfId="40638"/>
    <cellStyle name="Total 2 2 4 13 7" xfId="52822"/>
    <cellStyle name="Total 2 2 4 14" xfId="2362"/>
    <cellStyle name="Total 2 2 4 14 2" xfId="10185"/>
    <cellStyle name="Total 2 2 4 14 3" xfId="17613"/>
    <cellStyle name="Total 2 2 4 14 4" xfId="24928"/>
    <cellStyle name="Total 2 2 4 14 5" xfId="33259"/>
    <cellStyle name="Total 2 2 4 14 6" xfId="36713"/>
    <cellStyle name="Total 2 2 4 14 7" xfId="50631"/>
    <cellStyle name="Total 2 2 4 15" xfId="2468"/>
    <cellStyle name="Total 2 2 4 15 2" xfId="10291"/>
    <cellStyle name="Total 2 2 4 15 3" xfId="17719"/>
    <cellStyle name="Total 2 2 4 15 4" xfId="26657"/>
    <cellStyle name="Total 2 2 4 15 5" xfId="35501"/>
    <cellStyle name="Total 2 2 4 15 6" xfId="39958"/>
    <cellStyle name="Total 2 2 4 15 7" xfId="54407"/>
    <cellStyle name="Total 2 2 4 16" xfId="2581"/>
    <cellStyle name="Total 2 2 4 16 2" xfId="10404"/>
    <cellStyle name="Total 2 2 4 16 3" xfId="17832"/>
    <cellStyle name="Total 2 2 4 16 4" xfId="25351"/>
    <cellStyle name="Total 2 2 4 16 5" xfId="33786"/>
    <cellStyle name="Total 2 2 4 16 6" xfId="37467"/>
    <cellStyle name="Total 2 2 4 16 7" xfId="51535"/>
    <cellStyle name="Total 2 2 4 17" xfId="2683"/>
    <cellStyle name="Total 2 2 4 17 2" xfId="10506"/>
    <cellStyle name="Total 2 2 4 17 3" xfId="17934"/>
    <cellStyle name="Total 2 2 4 17 4" xfId="19730"/>
    <cellStyle name="Total 2 2 4 17 5" xfId="27917"/>
    <cellStyle name="Total 2 2 4 17 6" xfId="41505"/>
    <cellStyle name="Total 2 2 4 17 7" xfId="48250"/>
    <cellStyle name="Total 2 2 4 18" xfId="2720"/>
    <cellStyle name="Total 2 2 4 18 2" xfId="10543"/>
    <cellStyle name="Total 2 2 4 18 3" xfId="17971"/>
    <cellStyle name="Total 2 2 4 18 4" xfId="24930"/>
    <cellStyle name="Total 2 2 4 18 5" xfId="33261"/>
    <cellStyle name="Total 2 2 4 18 6" xfId="37909"/>
    <cellStyle name="Total 2 2 4 18 7" xfId="50634"/>
    <cellStyle name="Total 2 2 4 19" xfId="2775"/>
    <cellStyle name="Total 2 2 4 19 2" xfId="10598"/>
    <cellStyle name="Total 2 2 4 19 3" xfId="18026"/>
    <cellStyle name="Total 2 2 4 19 4" xfId="26422"/>
    <cellStyle name="Total 2 2 4 19 5" xfId="35186"/>
    <cellStyle name="Total 2 2 4 19 6" xfId="39755"/>
    <cellStyle name="Total 2 2 4 19 7" xfId="53902"/>
    <cellStyle name="Total 2 2 4 2" xfId="643"/>
    <cellStyle name="Total 2 2 4 2 2" xfId="8467"/>
    <cellStyle name="Total 2 2 4 2 3" xfId="8291"/>
    <cellStyle name="Total 2 2 4 2 4" xfId="26154"/>
    <cellStyle name="Total 2 2 4 2 5" xfId="34823"/>
    <cellStyle name="Total 2 2 4 2 6" xfId="38065"/>
    <cellStyle name="Total 2 2 4 2 7" xfId="53330"/>
    <cellStyle name="Total 2 2 4 20" xfId="2882"/>
    <cellStyle name="Total 2 2 4 20 2" xfId="10705"/>
    <cellStyle name="Total 2 2 4 20 3" xfId="18133"/>
    <cellStyle name="Total 2 2 4 20 4" xfId="19060"/>
    <cellStyle name="Total 2 2 4 20 5" xfId="33167"/>
    <cellStyle name="Total 2 2 4 20 6" xfId="37067"/>
    <cellStyle name="Total 2 2 4 20 7" xfId="50470"/>
    <cellStyle name="Total 2 2 4 21" xfId="3258"/>
    <cellStyle name="Total 2 2 4 21 2" xfId="11051"/>
    <cellStyle name="Total 2 2 4 21 3" xfId="18380"/>
    <cellStyle name="Total 2 2 4 21 4" xfId="24853"/>
    <cellStyle name="Total 2 2 4 21 5" xfId="28529"/>
    <cellStyle name="Total 2 2 4 21 6" xfId="37136"/>
    <cellStyle name="Total 2 2 4 21 7" xfId="49931"/>
    <cellStyle name="Total 2 2 4 22" xfId="3378"/>
    <cellStyle name="Total 2 2 4 22 2" xfId="11169"/>
    <cellStyle name="Total 2 2 4 22 3" xfId="18491"/>
    <cellStyle name="Total 2 2 4 22 4" xfId="25783"/>
    <cellStyle name="Total 2 2 4 22 5" xfId="34346"/>
    <cellStyle name="Total 2 2 4 22 6" xfId="39066"/>
    <cellStyle name="Total 2 2 4 22 7" xfId="52514"/>
    <cellStyle name="Total 2 2 4 23" xfId="3520"/>
    <cellStyle name="Total 2 2 4 23 2" xfId="11311"/>
    <cellStyle name="Total 2 2 4 23 3" xfId="18608"/>
    <cellStyle name="Total 2 2 4 23 4" xfId="25975"/>
    <cellStyle name="Total 2 2 4 23 5" xfId="34588"/>
    <cellStyle name="Total 2 2 4 23 6" xfId="41064"/>
    <cellStyle name="Total 2 2 4 23 7" xfId="52939"/>
    <cellStyle name="Total 2 2 4 24" xfId="3648"/>
    <cellStyle name="Total 2 2 4 24 2" xfId="11433"/>
    <cellStyle name="Total 2 2 4 24 3" xfId="18706"/>
    <cellStyle name="Total 2 2 4 24 4" xfId="20424"/>
    <cellStyle name="Total 2 2 4 24 5" xfId="27838"/>
    <cellStyle name="Total 2 2 4 24 6" xfId="41484"/>
    <cellStyle name="Total 2 2 4 24 7" xfId="47985"/>
    <cellStyle name="Total 2 2 4 25" xfId="3779"/>
    <cellStyle name="Total 2 2 4 25 2" xfId="11561"/>
    <cellStyle name="Total 2 2 4 25 3" xfId="18818"/>
    <cellStyle name="Total 2 2 4 25 4" xfId="19726"/>
    <cellStyle name="Total 2 2 4 25 5" xfId="27726"/>
    <cellStyle name="Total 2 2 4 25 6" xfId="37309"/>
    <cellStyle name="Total 2 2 4 25 7" xfId="50221"/>
    <cellStyle name="Total 2 2 4 26" xfId="3896"/>
    <cellStyle name="Total 2 2 4 26 2" xfId="11676"/>
    <cellStyle name="Total 2 2 4 26 3" xfId="18927"/>
    <cellStyle name="Total 2 2 4 26 4" xfId="25550"/>
    <cellStyle name="Total 2 2 4 26 5" xfId="34043"/>
    <cellStyle name="Total 2 2 4 26 6" xfId="39813"/>
    <cellStyle name="Total 2 2 4 26 7" xfId="51977"/>
    <cellStyle name="Total 2 2 4 27" xfId="3537"/>
    <cellStyle name="Total 2 2 4 27 2" xfId="11327"/>
    <cellStyle name="Total 2 2 4 27 3" xfId="20506"/>
    <cellStyle name="Total 2 2 4 27 4" xfId="28632"/>
    <cellStyle name="Total 2 2 4 27 5" xfId="38009"/>
    <cellStyle name="Total 2 2 4 27 6" xfId="42502"/>
    <cellStyle name="Total 2 2 4 27 7" xfId="51032"/>
    <cellStyle name="Total 2 2 4 28" xfId="4093"/>
    <cellStyle name="Total 2 2 4 28 2" xfId="11853"/>
    <cellStyle name="Total 2 2 4 28 3" xfId="20803"/>
    <cellStyle name="Total 2 2 4 28 4" xfId="28990"/>
    <cellStyle name="Total 2 2 4 28 5" xfId="38369"/>
    <cellStyle name="Total 2 2 4 28 6" xfId="42655"/>
    <cellStyle name="Total 2 2 4 28 7" xfId="51830"/>
    <cellStyle name="Total 2 2 4 29" xfId="4078"/>
    <cellStyle name="Total 2 2 4 29 2" xfId="20788"/>
    <cellStyle name="Total 2 2 4 29 3" xfId="28975"/>
    <cellStyle name="Total 2 2 4 29 4" xfId="38354"/>
    <cellStyle name="Total 2 2 4 29 5" xfId="42640"/>
    <cellStyle name="Total 2 2 4 29 6" xfId="48279"/>
    <cellStyle name="Total 2 2 4 3" xfId="750"/>
    <cellStyle name="Total 2 2 4 3 2" xfId="8574"/>
    <cellStyle name="Total 2 2 4 3 3" xfId="16002"/>
    <cellStyle name="Total 2 2 4 3 4" xfId="19712"/>
    <cellStyle name="Total 2 2 4 3 5" xfId="27060"/>
    <cellStyle name="Total 2 2 4 3 6" xfId="38057"/>
    <cellStyle name="Total 2 2 4 3 7" xfId="48560"/>
    <cellStyle name="Total 2 2 4 30" xfId="4290"/>
    <cellStyle name="Total 2 2 4 30 2" xfId="12007"/>
    <cellStyle name="Total 2 2 4 30 3" xfId="21000"/>
    <cellStyle name="Total 2 2 4 30 4" xfId="29187"/>
    <cellStyle name="Total 2 2 4 30 5" xfId="38560"/>
    <cellStyle name="Total 2 2 4 30 6" xfId="42852"/>
    <cellStyle name="Total 2 2 4 30 7" xfId="50137"/>
    <cellStyle name="Total 2 2 4 31" xfId="4413"/>
    <cellStyle name="Total 2 2 4 31 2" xfId="12130"/>
    <cellStyle name="Total 2 2 4 31 3" xfId="21123"/>
    <cellStyle name="Total 2 2 4 31 4" xfId="29310"/>
    <cellStyle name="Total 2 2 4 31 5" xfId="38680"/>
    <cellStyle name="Total 2 2 4 31 6" xfId="42975"/>
    <cellStyle name="Total 2 2 4 31 7" xfId="54235"/>
    <cellStyle name="Total 2 2 4 32" xfId="4527"/>
    <cellStyle name="Total 2 2 4 32 2" xfId="12244"/>
    <cellStyle name="Total 2 2 4 32 3" xfId="21237"/>
    <cellStyle name="Total 2 2 4 32 4" xfId="29424"/>
    <cellStyle name="Total 2 2 4 32 5" xfId="38788"/>
    <cellStyle name="Total 2 2 4 32 6" xfId="43089"/>
    <cellStyle name="Total 2 2 4 32 7" xfId="48840"/>
    <cellStyle name="Total 2 2 4 33" xfId="4640"/>
    <cellStyle name="Total 2 2 4 33 2" xfId="12357"/>
    <cellStyle name="Total 2 2 4 33 3" xfId="21350"/>
    <cellStyle name="Total 2 2 4 33 4" xfId="29537"/>
    <cellStyle name="Total 2 2 4 33 5" xfId="38896"/>
    <cellStyle name="Total 2 2 4 33 6" xfId="43202"/>
    <cellStyle name="Total 2 2 4 33 7" xfId="52997"/>
    <cellStyle name="Total 2 2 4 34" xfId="4752"/>
    <cellStyle name="Total 2 2 4 34 2" xfId="12469"/>
    <cellStyle name="Total 2 2 4 34 3" xfId="21462"/>
    <cellStyle name="Total 2 2 4 34 4" xfId="29649"/>
    <cellStyle name="Total 2 2 4 34 5" xfId="39004"/>
    <cellStyle name="Total 2 2 4 34 6" xfId="43314"/>
    <cellStyle name="Total 2 2 4 34 7" xfId="49164"/>
    <cellStyle name="Total 2 2 4 35" xfId="4860"/>
    <cellStyle name="Total 2 2 4 35 2" xfId="12577"/>
    <cellStyle name="Total 2 2 4 35 3" xfId="21570"/>
    <cellStyle name="Total 2 2 4 35 4" xfId="29757"/>
    <cellStyle name="Total 2 2 4 35 5" xfId="39108"/>
    <cellStyle name="Total 2 2 4 35 6" xfId="43422"/>
    <cellStyle name="Total 2 2 4 35 7" xfId="48064"/>
    <cellStyle name="Total 2 2 4 36" xfId="4972"/>
    <cellStyle name="Total 2 2 4 36 2" xfId="12689"/>
    <cellStyle name="Total 2 2 4 36 3" xfId="21682"/>
    <cellStyle name="Total 2 2 4 36 4" xfId="29869"/>
    <cellStyle name="Total 2 2 4 36 5" xfId="39216"/>
    <cellStyle name="Total 2 2 4 36 6" xfId="43534"/>
    <cellStyle name="Total 2 2 4 36 7" xfId="50333"/>
    <cellStyle name="Total 2 2 4 37" xfId="5141"/>
    <cellStyle name="Total 2 2 4 37 2" xfId="12858"/>
    <cellStyle name="Total 2 2 4 37 3" xfId="21851"/>
    <cellStyle name="Total 2 2 4 37 4" xfId="30038"/>
    <cellStyle name="Total 2 2 4 37 5" xfId="39378"/>
    <cellStyle name="Total 2 2 4 37 6" xfId="43703"/>
    <cellStyle name="Total 2 2 4 37 7" xfId="54135"/>
    <cellStyle name="Total 2 2 4 38" xfId="5470"/>
    <cellStyle name="Total 2 2 4 38 2" xfId="13187"/>
    <cellStyle name="Total 2 2 4 38 3" xfId="22180"/>
    <cellStyle name="Total 2 2 4 38 4" xfId="30367"/>
    <cellStyle name="Total 2 2 4 38 5" xfId="39695"/>
    <cellStyle name="Total 2 2 4 38 6" xfId="44032"/>
    <cellStyle name="Total 2 2 4 38 7" xfId="51879"/>
    <cellStyle name="Total 2 2 4 39" xfId="5595"/>
    <cellStyle name="Total 2 2 4 39 2" xfId="13312"/>
    <cellStyle name="Total 2 2 4 39 3" xfId="22305"/>
    <cellStyle name="Total 2 2 4 39 4" xfId="30492"/>
    <cellStyle name="Total 2 2 4 39 5" xfId="39814"/>
    <cellStyle name="Total 2 2 4 39 6" xfId="44157"/>
    <cellStyle name="Total 2 2 4 39 7" xfId="47144"/>
    <cellStyle name="Total 2 2 4 4" xfId="862"/>
    <cellStyle name="Total 2 2 4 4 2" xfId="8686"/>
    <cellStyle name="Total 2 2 4 4 3" xfId="16114"/>
    <cellStyle name="Total 2 2 4 4 4" xfId="20013"/>
    <cellStyle name="Total 2 2 4 4 5" xfId="28476"/>
    <cellStyle name="Total 2 2 4 4 6" xfId="37820"/>
    <cellStyle name="Total 2 2 4 4 7" xfId="49420"/>
    <cellStyle name="Total 2 2 4 40" xfId="5710"/>
    <cellStyle name="Total 2 2 4 40 2" xfId="13427"/>
    <cellStyle name="Total 2 2 4 40 3" xfId="22420"/>
    <cellStyle name="Total 2 2 4 40 4" xfId="30607"/>
    <cellStyle name="Total 2 2 4 40 5" xfId="39925"/>
    <cellStyle name="Total 2 2 4 40 6" xfId="44272"/>
    <cellStyle name="Total 2 2 4 40 7" xfId="46925"/>
    <cellStyle name="Total 2 2 4 41" xfId="5827"/>
    <cellStyle name="Total 2 2 4 41 2" xfId="13544"/>
    <cellStyle name="Total 2 2 4 41 3" xfId="22537"/>
    <cellStyle name="Total 2 2 4 41 4" xfId="30724"/>
    <cellStyle name="Total 2 2 4 41 5" xfId="40039"/>
    <cellStyle name="Total 2 2 4 41 6" xfId="44389"/>
    <cellStyle name="Total 2 2 4 41 7" xfId="50538"/>
    <cellStyle name="Total 2 2 4 42" xfId="5955"/>
    <cellStyle name="Total 2 2 4 42 2" xfId="13672"/>
    <cellStyle name="Total 2 2 4 42 3" xfId="22665"/>
    <cellStyle name="Total 2 2 4 42 4" xfId="30852"/>
    <cellStyle name="Total 2 2 4 42 5" xfId="40163"/>
    <cellStyle name="Total 2 2 4 42 6" xfId="44517"/>
    <cellStyle name="Total 2 2 4 42 7" xfId="52026"/>
    <cellStyle name="Total 2 2 4 43" xfId="6058"/>
    <cellStyle name="Total 2 2 4 43 2" xfId="13775"/>
    <cellStyle name="Total 2 2 4 43 3" xfId="22768"/>
    <cellStyle name="Total 2 2 4 43 4" xfId="30955"/>
    <cellStyle name="Total 2 2 4 43 5" xfId="40262"/>
    <cellStyle name="Total 2 2 4 43 6" xfId="44620"/>
    <cellStyle name="Total 2 2 4 43 7" xfId="51795"/>
    <cellStyle name="Total 2 2 4 44" xfId="6211"/>
    <cellStyle name="Total 2 2 4 44 2" xfId="13928"/>
    <cellStyle name="Total 2 2 4 44 3" xfId="22921"/>
    <cellStyle name="Total 2 2 4 44 4" xfId="31108"/>
    <cellStyle name="Total 2 2 4 44 5" xfId="40409"/>
    <cellStyle name="Total 2 2 4 44 6" xfId="44773"/>
    <cellStyle name="Total 2 2 4 44 7" xfId="48176"/>
    <cellStyle name="Total 2 2 4 45" xfId="6328"/>
    <cellStyle name="Total 2 2 4 45 2" xfId="14045"/>
    <cellStyle name="Total 2 2 4 45 3" xfId="23038"/>
    <cellStyle name="Total 2 2 4 45 4" xfId="31225"/>
    <cellStyle name="Total 2 2 4 45 5" xfId="40524"/>
    <cellStyle name="Total 2 2 4 45 6" xfId="44890"/>
    <cellStyle name="Total 2 2 4 45 7" xfId="51035"/>
    <cellStyle name="Total 2 2 4 46" xfId="6438"/>
    <cellStyle name="Total 2 2 4 46 2" xfId="14155"/>
    <cellStyle name="Total 2 2 4 46 3" xfId="23148"/>
    <cellStyle name="Total 2 2 4 46 4" xfId="31335"/>
    <cellStyle name="Total 2 2 4 46 5" xfId="40630"/>
    <cellStyle name="Total 2 2 4 46 6" xfId="45000"/>
    <cellStyle name="Total 2 2 4 46 7" xfId="52419"/>
    <cellStyle name="Total 2 2 4 47" xfId="6133"/>
    <cellStyle name="Total 2 2 4 47 2" xfId="13850"/>
    <cellStyle name="Total 2 2 4 47 3" xfId="22843"/>
    <cellStyle name="Total 2 2 4 47 4" xfId="31030"/>
    <cellStyle name="Total 2 2 4 47 5" xfId="40331"/>
    <cellStyle name="Total 2 2 4 47 6" xfId="44695"/>
    <cellStyle name="Total 2 2 4 47 7" xfId="50084"/>
    <cellStyle name="Total 2 2 4 48" xfId="6585"/>
    <cellStyle name="Total 2 2 4 48 2" xfId="14302"/>
    <cellStyle name="Total 2 2 4 48 3" xfId="23295"/>
    <cellStyle name="Total 2 2 4 48 4" xfId="31482"/>
    <cellStyle name="Total 2 2 4 48 5" xfId="40770"/>
    <cellStyle name="Total 2 2 4 48 6" xfId="45147"/>
    <cellStyle name="Total 2 2 4 48 7" xfId="52701"/>
    <cellStyle name="Total 2 2 4 49" xfId="6696"/>
    <cellStyle name="Total 2 2 4 49 2" xfId="14413"/>
    <cellStyle name="Total 2 2 4 49 3" xfId="23406"/>
    <cellStyle name="Total 2 2 4 49 4" xfId="31593"/>
    <cellStyle name="Total 2 2 4 49 5" xfId="40876"/>
    <cellStyle name="Total 2 2 4 49 6" xfId="45258"/>
    <cellStyle name="Total 2 2 4 49 7" xfId="50777"/>
    <cellStyle name="Total 2 2 4 5" xfId="1327"/>
    <cellStyle name="Total 2 2 4 5 2" xfId="9150"/>
    <cellStyle name="Total 2 2 4 5 3" xfId="16578"/>
    <cellStyle name="Total 2 2 4 5 4" xfId="25218"/>
    <cellStyle name="Total 2 2 4 5 5" xfId="33617"/>
    <cellStyle name="Total 2 2 4 5 6" xfId="37670"/>
    <cellStyle name="Total 2 2 4 5 7" xfId="51257"/>
    <cellStyle name="Total 2 2 4 50" xfId="6811"/>
    <cellStyle name="Total 2 2 4 50 2" xfId="14528"/>
    <cellStyle name="Total 2 2 4 50 3" xfId="23521"/>
    <cellStyle name="Total 2 2 4 50 4" xfId="31708"/>
    <cellStyle name="Total 2 2 4 50 5" xfId="40984"/>
    <cellStyle name="Total 2 2 4 50 6" xfId="45373"/>
    <cellStyle name="Total 2 2 4 50 7" xfId="47519"/>
    <cellStyle name="Total 2 2 4 51" xfId="6924"/>
    <cellStyle name="Total 2 2 4 51 2" xfId="14641"/>
    <cellStyle name="Total 2 2 4 51 3" xfId="23634"/>
    <cellStyle name="Total 2 2 4 51 4" xfId="31821"/>
    <cellStyle name="Total 2 2 4 51 5" xfId="41092"/>
    <cellStyle name="Total 2 2 4 51 6" xfId="45486"/>
    <cellStyle name="Total 2 2 4 51 7" xfId="54524"/>
    <cellStyle name="Total 2 2 4 52" xfId="7036"/>
    <cellStyle name="Total 2 2 4 52 2" xfId="14753"/>
    <cellStyle name="Total 2 2 4 52 3" xfId="23746"/>
    <cellStyle name="Total 2 2 4 52 4" xfId="31933"/>
    <cellStyle name="Total 2 2 4 52 5" xfId="41198"/>
    <cellStyle name="Total 2 2 4 52 6" xfId="45598"/>
    <cellStyle name="Total 2 2 4 52 7" xfId="47217"/>
    <cellStyle name="Total 2 2 4 53" xfId="7322"/>
    <cellStyle name="Total 2 2 4 53 2" xfId="15039"/>
    <cellStyle name="Total 2 2 4 53 3" xfId="24032"/>
    <cellStyle name="Total 2 2 4 53 4" xfId="32219"/>
    <cellStyle name="Total 2 2 4 53 5" xfId="41475"/>
    <cellStyle name="Total 2 2 4 53 6" xfId="45884"/>
    <cellStyle name="Total 2 2 4 53 7" xfId="54015"/>
    <cellStyle name="Total 2 2 4 54" xfId="7149"/>
    <cellStyle name="Total 2 2 4 54 2" xfId="14866"/>
    <cellStyle name="Total 2 2 4 54 3" xfId="23859"/>
    <cellStyle name="Total 2 2 4 54 4" xfId="32046"/>
    <cellStyle name="Total 2 2 4 54 5" xfId="41308"/>
    <cellStyle name="Total 2 2 4 54 6" xfId="45711"/>
    <cellStyle name="Total 2 2 4 54 7" xfId="50304"/>
    <cellStyle name="Total 2 2 4 55" xfId="7433"/>
    <cellStyle name="Total 2 2 4 55 2" xfId="15150"/>
    <cellStyle name="Total 2 2 4 55 3" xfId="24143"/>
    <cellStyle name="Total 2 2 4 55 4" xfId="32330"/>
    <cellStyle name="Total 2 2 4 55 5" xfId="41581"/>
    <cellStyle name="Total 2 2 4 55 6" xfId="45995"/>
    <cellStyle name="Total 2 2 4 55 7" xfId="49906"/>
    <cellStyle name="Total 2 2 4 56" xfId="7554"/>
    <cellStyle name="Total 2 2 4 56 2" xfId="15271"/>
    <cellStyle name="Total 2 2 4 56 3" xfId="24264"/>
    <cellStyle name="Total 2 2 4 56 4" xfId="32451"/>
    <cellStyle name="Total 2 2 4 56 5" xfId="41696"/>
    <cellStyle name="Total 2 2 4 56 6" xfId="46116"/>
    <cellStyle name="Total 2 2 4 56 7" xfId="52097"/>
    <cellStyle name="Total 2 2 4 57" xfId="7830"/>
    <cellStyle name="Total 2 2 4 57 2" xfId="15547"/>
    <cellStyle name="Total 2 2 4 57 3" xfId="24534"/>
    <cellStyle name="Total 2 2 4 57 4" xfId="32727"/>
    <cellStyle name="Total 2 2 4 57 5" xfId="41962"/>
    <cellStyle name="Total 2 2 4 57 6" xfId="46392"/>
    <cellStyle name="Total 2 2 4 57 7" xfId="53184"/>
    <cellStyle name="Total 2 2 4 58" xfId="7967"/>
    <cellStyle name="Total 2 2 4 58 2" xfId="15684"/>
    <cellStyle name="Total 2 2 4 58 3" xfId="24670"/>
    <cellStyle name="Total 2 2 4 58 4" xfId="32864"/>
    <cellStyle name="Total 2 2 4 58 5" xfId="42091"/>
    <cellStyle name="Total 2 2 4 58 6" xfId="46529"/>
    <cellStyle name="Total 2 2 4 58 7" xfId="53342"/>
    <cellStyle name="Total 2 2 4 59" xfId="7660"/>
    <cellStyle name="Total 2 2 4 59 2" xfId="15377"/>
    <cellStyle name="Total 2 2 4 59 3" xfId="24369"/>
    <cellStyle name="Total 2 2 4 59 4" xfId="32557"/>
    <cellStyle name="Total 2 2 4 59 5" xfId="41798"/>
    <cellStyle name="Total 2 2 4 59 6" xfId="46222"/>
    <cellStyle name="Total 2 2 4 59 7" xfId="49530"/>
    <cellStyle name="Total 2 2 4 6" xfId="1450"/>
    <cellStyle name="Total 2 2 4 6 2" xfId="9273"/>
    <cellStyle name="Total 2 2 4 6 3" xfId="16701"/>
    <cellStyle name="Total 2 2 4 6 4" xfId="25053"/>
    <cellStyle name="Total 2 2 4 6 5" xfId="33413"/>
    <cellStyle name="Total 2 2 4 6 6" xfId="38795"/>
    <cellStyle name="Total 2 2 4 6 7" xfId="50905"/>
    <cellStyle name="Total 2 2 4 60" xfId="8106"/>
    <cellStyle name="Total 2 2 4 60 2" xfId="15823"/>
    <cellStyle name="Total 2 2 4 60 3" xfId="33003"/>
    <cellStyle name="Total 2 2 4 60 4" xfId="42225"/>
    <cellStyle name="Total 2 2 4 60 5" xfId="46668"/>
    <cellStyle name="Total 2 2 4 60 6" xfId="53451"/>
    <cellStyle name="Total 2 2 4 61" xfId="26007"/>
    <cellStyle name="Total 2 2 4 62" xfId="34632"/>
    <cellStyle name="Total 2 2 4 63" xfId="37025"/>
    <cellStyle name="Total 2 2 4 64" xfId="53010"/>
    <cellStyle name="Total 2 2 4 7" xfId="1562"/>
    <cellStyle name="Total 2 2 4 7 2" xfId="9385"/>
    <cellStyle name="Total 2 2 4 7 3" xfId="16813"/>
    <cellStyle name="Total 2 2 4 7 4" xfId="26493"/>
    <cellStyle name="Total 2 2 4 7 5" xfId="35285"/>
    <cellStyle name="Total 2 2 4 7 6" xfId="36873"/>
    <cellStyle name="Total 2 2 4 7 7" xfId="54061"/>
    <cellStyle name="Total 2 2 4 8" xfId="1687"/>
    <cellStyle name="Total 2 2 4 8 2" xfId="9510"/>
    <cellStyle name="Total 2 2 4 8 3" xfId="16938"/>
    <cellStyle name="Total 2 2 4 8 4" xfId="25479"/>
    <cellStyle name="Total 2 2 4 8 5" xfId="33952"/>
    <cellStyle name="Total 2 2 4 8 6" xfId="37499"/>
    <cellStyle name="Total 2 2 4 8 7" xfId="51828"/>
    <cellStyle name="Total 2 2 4 9" xfId="1821"/>
    <cellStyle name="Total 2 2 4 9 2" xfId="9644"/>
    <cellStyle name="Total 2 2 4 9 3" xfId="17072"/>
    <cellStyle name="Total 2 2 4 9 4" xfId="19698"/>
    <cellStyle name="Total 2 2 4 9 5" xfId="28648"/>
    <cellStyle name="Total 2 2 4 9 6" xfId="38748"/>
    <cellStyle name="Total 2 2 4 9 7" xfId="47974"/>
    <cellStyle name="Total 2 2 40" xfId="4007"/>
    <cellStyle name="Total 2 2 40 2" xfId="11786"/>
    <cellStyle name="Total 2 2 40 3" xfId="20717"/>
    <cellStyle name="Total 2 2 40 4" xfId="28904"/>
    <cellStyle name="Total 2 2 40 5" xfId="38287"/>
    <cellStyle name="Total 2 2 40 6" xfId="42569"/>
    <cellStyle name="Total 2 2 40 7" xfId="49171"/>
    <cellStyle name="Total 2 2 41" xfId="4848"/>
    <cellStyle name="Total 2 2 41 2" xfId="12565"/>
    <cellStyle name="Total 2 2 41 3" xfId="21558"/>
    <cellStyle name="Total 2 2 41 4" xfId="29745"/>
    <cellStyle name="Total 2 2 41 5" xfId="39096"/>
    <cellStyle name="Total 2 2 41 6" xfId="43410"/>
    <cellStyle name="Total 2 2 41 7" xfId="54320"/>
    <cellStyle name="Total 2 2 42" xfId="5189"/>
    <cellStyle name="Total 2 2 42 2" xfId="12906"/>
    <cellStyle name="Total 2 2 42 3" xfId="21899"/>
    <cellStyle name="Total 2 2 42 4" xfId="30086"/>
    <cellStyle name="Total 2 2 42 5" xfId="39425"/>
    <cellStyle name="Total 2 2 42 6" xfId="43751"/>
    <cellStyle name="Total 2 2 42 7" xfId="50563"/>
    <cellStyle name="Total 2 2 43" xfId="5152"/>
    <cellStyle name="Total 2 2 43 2" xfId="12869"/>
    <cellStyle name="Total 2 2 43 3" xfId="21862"/>
    <cellStyle name="Total 2 2 43 4" xfId="30049"/>
    <cellStyle name="Total 2 2 43 5" xfId="39388"/>
    <cellStyle name="Total 2 2 43 6" xfId="43714"/>
    <cellStyle name="Total 2 2 43 7" xfId="54041"/>
    <cellStyle name="Total 2 2 44" xfId="5533"/>
    <cellStyle name="Total 2 2 44 2" xfId="13250"/>
    <cellStyle name="Total 2 2 44 3" xfId="22243"/>
    <cellStyle name="Total 2 2 44 4" xfId="30430"/>
    <cellStyle name="Total 2 2 44 5" xfId="39754"/>
    <cellStyle name="Total 2 2 44 6" xfId="44095"/>
    <cellStyle name="Total 2 2 44 7" xfId="47946"/>
    <cellStyle name="Total 2 2 45" xfId="5098"/>
    <cellStyle name="Total 2 2 45 2" xfId="12815"/>
    <cellStyle name="Total 2 2 45 3" xfId="21808"/>
    <cellStyle name="Total 2 2 45 4" xfId="29995"/>
    <cellStyle name="Total 2 2 45 5" xfId="39337"/>
    <cellStyle name="Total 2 2 45 6" xfId="43660"/>
    <cellStyle name="Total 2 2 45 7" xfId="51083"/>
    <cellStyle name="Total 2 2 46" xfId="5212"/>
    <cellStyle name="Total 2 2 46 2" xfId="12929"/>
    <cellStyle name="Total 2 2 46 3" xfId="21922"/>
    <cellStyle name="Total 2 2 46 4" xfId="30109"/>
    <cellStyle name="Total 2 2 46 5" xfId="39444"/>
    <cellStyle name="Total 2 2 46 6" xfId="43774"/>
    <cellStyle name="Total 2 2 46 7" xfId="53130"/>
    <cellStyle name="Total 2 2 47" xfId="5172"/>
    <cellStyle name="Total 2 2 47 2" xfId="12889"/>
    <cellStyle name="Total 2 2 47 3" xfId="21882"/>
    <cellStyle name="Total 2 2 47 4" xfId="30069"/>
    <cellStyle name="Total 2 2 47 5" xfId="39408"/>
    <cellStyle name="Total 2 2 47 6" xfId="43734"/>
    <cellStyle name="Total 2 2 47 7" xfId="52407"/>
    <cellStyle name="Total 2 2 48" xfId="5198"/>
    <cellStyle name="Total 2 2 48 2" xfId="12915"/>
    <cellStyle name="Total 2 2 48 3" xfId="21908"/>
    <cellStyle name="Total 2 2 48 4" xfId="30095"/>
    <cellStyle name="Total 2 2 48 5" xfId="39432"/>
    <cellStyle name="Total 2 2 48 6" xfId="43760"/>
    <cellStyle name="Total 2 2 48 7" xfId="47385"/>
    <cellStyle name="Total 2 2 49" xfId="5804"/>
    <cellStyle name="Total 2 2 49 2" xfId="13521"/>
    <cellStyle name="Total 2 2 49 3" xfId="22514"/>
    <cellStyle name="Total 2 2 49 4" xfId="30701"/>
    <cellStyle name="Total 2 2 49 5" xfId="40016"/>
    <cellStyle name="Total 2 2 49 6" xfId="44366"/>
    <cellStyle name="Total 2 2 49 7" xfId="52257"/>
    <cellStyle name="Total 2 2 5" xfId="495"/>
    <cellStyle name="Total 2 2 5 10" xfId="1942"/>
    <cellStyle name="Total 2 2 5 10 2" xfId="9765"/>
    <cellStyle name="Total 2 2 5 10 3" xfId="17193"/>
    <cellStyle name="Total 2 2 5 10 4" xfId="25854"/>
    <cellStyle name="Total 2 2 5 10 5" xfId="34441"/>
    <cellStyle name="Total 2 2 5 10 6" xfId="41202"/>
    <cellStyle name="Total 2 2 5 10 7" xfId="52676"/>
    <cellStyle name="Total 2 2 5 11" xfId="2060"/>
    <cellStyle name="Total 2 2 5 11 2" xfId="9883"/>
    <cellStyle name="Total 2 2 5 11 3" xfId="17311"/>
    <cellStyle name="Total 2 2 5 11 4" xfId="25970"/>
    <cellStyle name="Total 2 2 5 11 5" xfId="34580"/>
    <cellStyle name="Total 2 2 5 11 6" xfId="36647"/>
    <cellStyle name="Total 2 2 5 11 7" xfId="52926"/>
    <cellStyle name="Total 2 2 5 12" xfId="2173"/>
    <cellStyle name="Total 2 2 5 12 2" xfId="9996"/>
    <cellStyle name="Total 2 2 5 12 3" xfId="17424"/>
    <cellStyle name="Total 2 2 5 12 4" xfId="24910"/>
    <cellStyle name="Total 2 2 5 12 5" xfId="33233"/>
    <cellStyle name="Total 2 2 5 12 6" xfId="40178"/>
    <cellStyle name="Total 2 2 5 12 7" xfId="50590"/>
    <cellStyle name="Total 2 2 5 13" xfId="1600"/>
    <cellStyle name="Total 2 2 5 13 2" xfId="9423"/>
    <cellStyle name="Total 2 2 5 13 3" xfId="16851"/>
    <cellStyle name="Total 2 2 5 13 4" xfId="19337"/>
    <cellStyle name="Total 2 2 5 13 5" xfId="28857"/>
    <cellStyle name="Total 2 2 5 13 6" xfId="36459"/>
    <cellStyle name="Total 2 2 5 13 7" xfId="49651"/>
    <cellStyle name="Total 2 2 5 14" xfId="2355"/>
    <cellStyle name="Total 2 2 5 14 2" xfId="10178"/>
    <cellStyle name="Total 2 2 5 14 3" xfId="17606"/>
    <cellStyle name="Total 2 2 5 14 4" xfId="25219"/>
    <cellStyle name="Total 2 2 5 14 5" xfId="33618"/>
    <cellStyle name="Total 2 2 5 14 6" xfId="37785"/>
    <cellStyle name="Total 2 2 5 14 7" xfId="51259"/>
    <cellStyle name="Total 2 2 5 15" xfId="2471"/>
    <cellStyle name="Total 2 2 5 15 2" xfId="10294"/>
    <cellStyle name="Total 2 2 5 15 3" xfId="17722"/>
    <cellStyle name="Total 2 2 5 15 4" xfId="26441"/>
    <cellStyle name="Total 2 2 5 15 5" xfId="35214"/>
    <cellStyle name="Total 2 2 5 15 6" xfId="39726"/>
    <cellStyle name="Total 2 2 5 15 7" xfId="53942"/>
    <cellStyle name="Total 2 2 5 16" xfId="2584"/>
    <cellStyle name="Total 2 2 5 16 2" xfId="10407"/>
    <cellStyle name="Total 2 2 5 16 3" xfId="17835"/>
    <cellStyle name="Total 2 2 5 16 4" xfId="25202"/>
    <cellStyle name="Total 2 2 5 16 5" xfId="33591"/>
    <cellStyle name="Total 2 2 5 16 6" xfId="37069"/>
    <cellStyle name="Total 2 2 5 16 7" xfId="51220"/>
    <cellStyle name="Total 2 2 5 17" xfId="2374"/>
    <cellStyle name="Total 2 2 5 17 2" xfId="10197"/>
    <cellStyle name="Total 2 2 5 17 3" xfId="17625"/>
    <cellStyle name="Total 2 2 5 17 4" xfId="24799"/>
    <cellStyle name="Total 2 2 5 17 5" xfId="28530"/>
    <cellStyle name="Total 2 2 5 17 6" xfId="36674"/>
    <cellStyle name="Total 2 2 5 17 7" xfId="47949"/>
    <cellStyle name="Total 2 2 5 18" xfId="2726"/>
    <cellStyle name="Total 2 2 5 18 2" xfId="10549"/>
    <cellStyle name="Total 2 2 5 18 3" xfId="17977"/>
    <cellStyle name="Total 2 2 5 18 4" xfId="19317"/>
    <cellStyle name="Total 2 2 5 18 5" xfId="27456"/>
    <cellStyle name="Total 2 2 5 18 6" xfId="36930"/>
    <cellStyle name="Total 2 2 5 18 7" xfId="50254"/>
    <cellStyle name="Total 2 2 5 19" xfId="2778"/>
    <cellStyle name="Total 2 2 5 19 2" xfId="10601"/>
    <cellStyle name="Total 2 2 5 19 3" xfId="18029"/>
    <cellStyle name="Total 2 2 5 19 4" xfId="26319"/>
    <cellStyle name="Total 2 2 5 19 5" xfId="35042"/>
    <cellStyle name="Total 2 2 5 19 6" xfId="39169"/>
    <cellStyle name="Total 2 2 5 19 7" xfId="53683"/>
    <cellStyle name="Total 2 2 5 2" xfId="646"/>
    <cellStyle name="Total 2 2 5 2 2" xfId="8470"/>
    <cellStyle name="Total 2 2 5 2 3" xfId="8290"/>
    <cellStyle name="Total 2 2 5 2 4" xfId="26056"/>
    <cellStyle name="Total 2 2 5 2 5" xfId="34700"/>
    <cellStyle name="Total 2 2 5 2 6" xfId="37624"/>
    <cellStyle name="Total 2 2 5 2 7" xfId="53119"/>
    <cellStyle name="Total 2 2 5 20" xfId="2885"/>
    <cellStyle name="Total 2 2 5 20 2" xfId="10708"/>
    <cellStyle name="Total 2 2 5 20 3" xfId="18136"/>
    <cellStyle name="Total 2 2 5 20 4" xfId="19139"/>
    <cellStyle name="Total 2 2 5 20 5" xfId="26975"/>
    <cellStyle name="Total 2 2 5 20 6" xfId="37000"/>
    <cellStyle name="Total 2 2 5 20 7" xfId="49823"/>
    <cellStyle name="Total 2 2 5 21" xfId="3261"/>
    <cellStyle name="Total 2 2 5 21 2" xfId="11054"/>
    <cellStyle name="Total 2 2 5 21 3" xfId="18383"/>
    <cellStyle name="Total 2 2 5 21 4" xfId="20558"/>
    <cellStyle name="Total 2 2 5 21 5" xfId="28685"/>
    <cellStyle name="Total 2 2 5 21 6" xfId="39418"/>
    <cellStyle name="Total 2 2 5 21 7" xfId="49466"/>
    <cellStyle name="Total 2 2 5 22" xfId="3381"/>
    <cellStyle name="Total 2 2 5 22 2" xfId="11172"/>
    <cellStyle name="Total 2 2 5 22 3" xfId="18494"/>
    <cellStyle name="Total 2 2 5 22 4" xfId="25636"/>
    <cellStyle name="Total 2 2 5 22 5" xfId="34155"/>
    <cellStyle name="Total 2 2 5 22 6" xfId="38741"/>
    <cellStyle name="Total 2 2 5 22 7" xfId="52175"/>
    <cellStyle name="Total 2 2 5 23" xfId="3538"/>
    <cellStyle name="Total 2 2 5 23 2" xfId="11328"/>
    <cellStyle name="Total 2 2 5 23 3" xfId="18618"/>
    <cellStyle name="Total 2 2 5 23 4" xfId="25058"/>
    <cellStyle name="Total 2 2 5 23 5" xfId="33418"/>
    <cellStyle name="Total 2 2 5 23 6" xfId="39188"/>
    <cellStyle name="Total 2 2 5 23 7" xfId="50918"/>
    <cellStyle name="Total 2 2 5 24" xfId="3651"/>
    <cellStyle name="Total 2 2 5 24 2" xfId="11436"/>
    <cellStyle name="Total 2 2 5 24 3" xfId="18709"/>
    <cellStyle name="Total 2 2 5 24 4" xfId="26611"/>
    <cellStyle name="Total 2 2 5 24 5" xfId="35439"/>
    <cellStyle name="Total 2 2 5 24 6" xfId="41118"/>
    <cellStyle name="Total 2 2 5 24 7" xfId="54304"/>
    <cellStyle name="Total 2 2 5 25" xfId="3782"/>
    <cellStyle name="Total 2 2 5 25 2" xfId="11564"/>
    <cellStyle name="Total 2 2 5 25 3" xfId="18821"/>
    <cellStyle name="Total 2 2 5 25 4" xfId="20249"/>
    <cellStyle name="Total 2 2 5 25 5" xfId="27049"/>
    <cellStyle name="Total 2 2 5 25 6" xfId="37139"/>
    <cellStyle name="Total 2 2 5 25 7" xfId="49969"/>
    <cellStyle name="Total 2 2 5 26" xfId="3899"/>
    <cellStyle name="Total 2 2 5 26 2" xfId="11679"/>
    <cellStyle name="Total 2 2 5 26 3" xfId="18930"/>
    <cellStyle name="Total 2 2 5 26 4" xfId="25292"/>
    <cellStyle name="Total 2 2 5 26 5" xfId="33705"/>
    <cellStyle name="Total 2 2 5 26 6" xfId="39377"/>
    <cellStyle name="Total 2 2 5 26 7" xfId="51407"/>
    <cellStyle name="Total 2 2 5 27" xfId="3017"/>
    <cellStyle name="Total 2 2 5 27 2" xfId="10833"/>
    <cellStyle name="Total 2 2 5 27 3" xfId="20191"/>
    <cellStyle name="Total 2 2 5 27 4" xfId="28281"/>
    <cellStyle name="Total 2 2 5 27 5" xfId="37662"/>
    <cellStyle name="Total 2 2 5 27 6" xfId="42356"/>
    <cellStyle name="Total 2 2 5 27 7" xfId="51489"/>
    <cellStyle name="Total 2 2 5 28" xfId="4096"/>
    <cellStyle name="Total 2 2 5 28 2" xfId="11856"/>
    <cellStyle name="Total 2 2 5 28 3" xfId="20806"/>
    <cellStyle name="Total 2 2 5 28 4" xfId="28993"/>
    <cellStyle name="Total 2 2 5 28 5" xfId="38372"/>
    <cellStyle name="Total 2 2 5 28 6" xfId="42658"/>
    <cellStyle name="Total 2 2 5 28 7" xfId="50601"/>
    <cellStyle name="Total 2 2 5 29" xfId="3883"/>
    <cellStyle name="Total 2 2 5 29 2" xfId="20653"/>
    <cellStyle name="Total 2 2 5 29 3" xfId="28824"/>
    <cellStyle name="Total 2 2 5 29 4" xfId="38216"/>
    <cellStyle name="Total 2 2 5 29 5" xfId="42551"/>
    <cellStyle name="Total 2 2 5 29 6" xfId="53028"/>
    <cellStyle name="Total 2 2 5 3" xfId="753"/>
    <cellStyle name="Total 2 2 5 3 2" xfId="8577"/>
    <cellStyle name="Total 2 2 5 3 3" xfId="16005"/>
    <cellStyle name="Total 2 2 5 3 4" xfId="26698"/>
    <cellStyle name="Total 2 2 5 3 5" xfId="35550"/>
    <cellStyle name="Total 2 2 5 3 6" xfId="37617"/>
    <cellStyle name="Total 2 2 5 3 7" xfId="54489"/>
    <cellStyle name="Total 2 2 5 30" xfId="4293"/>
    <cellStyle name="Total 2 2 5 30 2" xfId="12010"/>
    <cellStyle name="Total 2 2 5 30 3" xfId="21003"/>
    <cellStyle name="Total 2 2 5 30 4" xfId="29190"/>
    <cellStyle name="Total 2 2 5 30 5" xfId="38563"/>
    <cellStyle name="Total 2 2 5 30 6" xfId="42855"/>
    <cellStyle name="Total 2 2 5 30 7" xfId="49546"/>
    <cellStyle name="Total 2 2 5 31" xfId="4416"/>
    <cellStyle name="Total 2 2 5 31 2" xfId="12133"/>
    <cellStyle name="Total 2 2 5 31 3" xfId="21126"/>
    <cellStyle name="Total 2 2 5 31 4" xfId="29313"/>
    <cellStyle name="Total 2 2 5 31 5" xfId="38682"/>
    <cellStyle name="Total 2 2 5 31 6" xfId="42978"/>
    <cellStyle name="Total 2 2 5 31 7" xfId="53727"/>
    <cellStyle name="Total 2 2 5 32" xfId="4530"/>
    <cellStyle name="Total 2 2 5 32 2" xfId="12247"/>
    <cellStyle name="Total 2 2 5 32 3" xfId="21240"/>
    <cellStyle name="Total 2 2 5 32 4" xfId="29427"/>
    <cellStyle name="Total 2 2 5 32 5" xfId="38790"/>
    <cellStyle name="Total 2 2 5 32 6" xfId="43092"/>
    <cellStyle name="Total 2 2 5 32 7" xfId="47255"/>
    <cellStyle name="Total 2 2 5 33" xfId="4643"/>
    <cellStyle name="Total 2 2 5 33 2" xfId="12360"/>
    <cellStyle name="Total 2 2 5 33 3" xfId="21353"/>
    <cellStyle name="Total 2 2 5 33 4" xfId="29540"/>
    <cellStyle name="Total 2 2 5 33 5" xfId="38898"/>
    <cellStyle name="Total 2 2 5 33 6" xfId="43205"/>
    <cellStyle name="Total 2 2 5 33 7" xfId="52857"/>
    <cellStyle name="Total 2 2 5 34" xfId="4755"/>
    <cellStyle name="Total 2 2 5 34 2" xfId="12472"/>
    <cellStyle name="Total 2 2 5 34 3" xfId="21465"/>
    <cellStyle name="Total 2 2 5 34 4" xfId="29652"/>
    <cellStyle name="Total 2 2 5 34 5" xfId="39007"/>
    <cellStyle name="Total 2 2 5 34 6" xfId="43317"/>
    <cellStyle name="Total 2 2 5 34 7" xfId="48879"/>
    <cellStyle name="Total 2 2 5 35" xfId="4863"/>
    <cellStyle name="Total 2 2 5 35 2" xfId="12580"/>
    <cellStyle name="Total 2 2 5 35 3" xfId="21573"/>
    <cellStyle name="Total 2 2 5 35 4" xfId="29760"/>
    <cellStyle name="Total 2 2 5 35 5" xfId="39110"/>
    <cellStyle name="Total 2 2 5 35 6" xfId="43425"/>
    <cellStyle name="Total 2 2 5 35 7" xfId="52793"/>
    <cellStyle name="Total 2 2 5 36" xfId="4975"/>
    <cellStyle name="Total 2 2 5 36 2" xfId="12692"/>
    <cellStyle name="Total 2 2 5 36 3" xfId="21685"/>
    <cellStyle name="Total 2 2 5 36 4" xfId="29872"/>
    <cellStyle name="Total 2 2 5 36 5" xfId="39218"/>
    <cellStyle name="Total 2 2 5 36 6" xfId="43537"/>
    <cellStyle name="Total 2 2 5 36 7" xfId="50309"/>
    <cellStyle name="Total 2 2 5 37" xfId="5136"/>
    <cellStyle name="Total 2 2 5 37 2" xfId="12853"/>
    <cellStyle name="Total 2 2 5 37 3" xfId="21846"/>
    <cellStyle name="Total 2 2 5 37 4" xfId="30033"/>
    <cellStyle name="Total 2 2 5 37 5" xfId="39374"/>
    <cellStyle name="Total 2 2 5 37 6" xfId="43698"/>
    <cellStyle name="Total 2 2 5 37 7" xfId="47352"/>
    <cellStyle name="Total 2 2 5 38" xfId="5473"/>
    <cellStyle name="Total 2 2 5 38 2" xfId="13190"/>
    <cellStyle name="Total 2 2 5 38 3" xfId="22183"/>
    <cellStyle name="Total 2 2 5 38 4" xfId="30370"/>
    <cellStyle name="Total 2 2 5 38 5" xfId="39697"/>
    <cellStyle name="Total 2 2 5 38 6" xfId="44035"/>
    <cellStyle name="Total 2 2 5 38 7" xfId="51316"/>
    <cellStyle name="Total 2 2 5 39" xfId="5598"/>
    <cellStyle name="Total 2 2 5 39 2" xfId="13315"/>
    <cellStyle name="Total 2 2 5 39 3" xfId="22308"/>
    <cellStyle name="Total 2 2 5 39 4" xfId="30495"/>
    <cellStyle name="Total 2 2 5 39 5" xfId="39817"/>
    <cellStyle name="Total 2 2 5 39 6" xfId="44160"/>
    <cellStyle name="Total 2 2 5 39 7" xfId="46841"/>
    <cellStyle name="Total 2 2 5 4" xfId="865"/>
    <cellStyle name="Total 2 2 5 4 2" xfId="8689"/>
    <cellStyle name="Total 2 2 5 4 3" xfId="16117"/>
    <cellStyle name="Total 2 2 5 4 4" xfId="19045"/>
    <cellStyle name="Total 2 2 5 4 5" xfId="28165"/>
    <cellStyle name="Total 2 2 5 4 6" xfId="37601"/>
    <cellStyle name="Total 2 2 5 4 7" xfId="49234"/>
    <cellStyle name="Total 2 2 5 40" xfId="5713"/>
    <cellStyle name="Total 2 2 5 40 2" xfId="13430"/>
    <cellStyle name="Total 2 2 5 40 3" xfId="22423"/>
    <cellStyle name="Total 2 2 5 40 4" xfId="30610"/>
    <cellStyle name="Total 2 2 5 40 5" xfId="39928"/>
    <cellStyle name="Total 2 2 5 40 6" xfId="44275"/>
    <cellStyle name="Total 2 2 5 40 7" xfId="46854"/>
    <cellStyle name="Total 2 2 5 41" xfId="5830"/>
    <cellStyle name="Total 2 2 5 41 2" xfId="13547"/>
    <cellStyle name="Total 2 2 5 41 3" xfId="22540"/>
    <cellStyle name="Total 2 2 5 41 4" xfId="30727"/>
    <cellStyle name="Total 2 2 5 41 5" xfId="40042"/>
    <cellStyle name="Total 2 2 5 41 6" xfId="44392"/>
    <cellStyle name="Total 2 2 5 41 7" xfId="50196"/>
    <cellStyle name="Total 2 2 5 42" xfId="5958"/>
    <cellStyle name="Total 2 2 5 42 2" xfId="13675"/>
    <cellStyle name="Total 2 2 5 42 3" xfId="22668"/>
    <cellStyle name="Total 2 2 5 42 4" xfId="30855"/>
    <cellStyle name="Total 2 2 5 42 5" xfId="40165"/>
    <cellStyle name="Total 2 2 5 42 6" xfId="44520"/>
    <cellStyle name="Total 2 2 5 42 7" xfId="51456"/>
    <cellStyle name="Total 2 2 5 43" xfId="5227"/>
    <cellStyle name="Total 2 2 5 43 2" xfId="12944"/>
    <cellStyle name="Total 2 2 5 43 3" xfId="21937"/>
    <cellStyle name="Total 2 2 5 43 4" xfId="30124"/>
    <cellStyle name="Total 2 2 5 43 5" xfId="39459"/>
    <cellStyle name="Total 2 2 5 43 6" xfId="43789"/>
    <cellStyle name="Total 2 2 5 43 7" xfId="48134"/>
    <cellStyle name="Total 2 2 5 44" xfId="6214"/>
    <cellStyle name="Total 2 2 5 44 2" xfId="13931"/>
    <cellStyle name="Total 2 2 5 44 3" xfId="22924"/>
    <cellStyle name="Total 2 2 5 44 4" xfId="31111"/>
    <cellStyle name="Total 2 2 5 44 5" xfId="40412"/>
    <cellStyle name="Total 2 2 5 44 6" xfId="44776"/>
    <cellStyle name="Total 2 2 5 44 7" xfId="54201"/>
    <cellStyle name="Total 2 2 5 45" xfId="6331"/>
    <cellStyle name="Total 2 2 5 45 2" xfId="14048"/>
    <cellStyle name="Total 2 2 5 45 3" xfId="23041"/>
    <cellStyle name="Total 2 2 5 45 4" xfId="31228"/>
    <cellStyle name="Total 2 2 5 45 5" xfId="40526"/>
    <cellStyle name="Total 2 2 5 45 6" xfId="44893"/>
    <cellStyle name="Total 2 2 5 45 7" xfId="50800"/>
    <cellStyle name="Total 2 2 5 46" xfId="6441"/>
    <cellStyle name="Total 2 2 5 46 2" xfId="14158"/>
    <cellStyle name="Total 2 2 5 46 3" xfId="23151"/>
    <cellStyle name="Total 2 2 5 46 4" xfId="31338"/>
    <cellStyle name="Total 2 2 5 46 5" xfId="40633"/>
    <cellStyle name="Total 2 2 5 46 6" xfId="45003"/>
    <cellStyle name="Total 2 2 5 46 7" xfId="47603"/>
    <cellStyle name="Total 2 2 5 47" xfId="6163"/>
    <cellStyle name="Total 2 2 5 47 2" xfId="13880"/>
    <cellStyle name="Total 2 2 5 47 3" xfId="22873"/>
    <cellStyle name="Total 2 2 5 47 4" xfId="31060"/>
    <cellStyle name="Total 2 2 5 47 5" xfId="40361"/>
    <cellStyle name="Total 2 2 5 47 6" xfId="44725"/>
    <cellStyle name="Total 2 2 5 47 7" xfId="47577"/>
    <cellStyle name="Total 2 2 5 48" xfId="6588"/>
    <cellStyle name="Total 2 2 5 48 2" xfId="14305"/>
    <cellStyle name="Total 2 2 5 48 3" xfId="23298"/>
    <cellStyle name="Total 2 2 5 48 4" xfId="31485"/>
    <cellStyle name="Total 2 2 5 48 5" xfId="40773"/>
    <cellStyle name="Total 2 2 5 48 6" xfId="45150"/>
    <cellStyle name="Total 2 2 5 48 7" xfId="52336"/>
    <cellStyle name="Total 2 2 5 49" xfId="6699"/>
    <cellStyle name="Total 2 2 5 49 2" xfId="14416"/>
    <cellStyle name="Total 2 2 5 49 3" xfId="23409"/>
    <cellStyle name="Total 2 2 5 49 4" xfId="31596"/>
    <cellStyle name="Total 2 2 5 49 5" xfId="40879"/>
    <cellStyle name="Total 2 2 5 49 6" xfId="45261"/>
    <cellStyle name="Total 2 2 5 49 7" xfId="50806"/>
    <cellStyle name="Total 2 2 5 5" xfId="1330"/>
    <cellStyle name="Total 2 2 5 5 2" xfId="9153"/>
    <cellStyle name="Total 2 2 5 5 3" xfId="16581"/>
    <cellStyle name="Total 2 2 5 5 4" xfId="25061"/>
    <cellStyle name="Total 2 2 5 5 5" xfId="33421"/>
    <cellStyle name="Total 2 2 5 5 6" xfId="36384"/>
    <cellStyle name="Total 2 2 5 5 7" xfId="50929"/>
    <cellStyle name="Total 2 2 5 50" xfId="6814"/>
    <cellStyle name="Total 2 2 5 50 2" xfId="14531"/>
    <cellStyle name="Total 2 2 5 50 3" xfId="23524"/>
    <cellStyle name="Total 2 2 5 50 4" xfId="31711"/>
    <cellStyle name="Total 2 2 5 50 5" xfId="40987"/>
    <cellStyle name="Total 2 2 5 50 6" xfId="45376"/>
    <cellStyle name="Total 2 2 5 50 7" xfId="50579"/>
    <cellStyle name="Total 2 2 5 51" xfId="6927"/>
    <cellStyle name="Total 2 2 5 51 2" xfId="14644"/>
    <cellStyle name="Total 2 2 5 51 3" xfId="23637"/>
    <cellStyle name="Total 2 2 5 51 4" xfId="31824"/>
    <cellStyle name="Total 2 2 5 51 5" xfId="41094"/>
    <cellStyle name="Total 2 2 5 51 6" xfId="45489"/>
    <cellStyle name="Total 2 2 5 51 7" xfId="47046"/>
    <cellStyle name="Total 2 2 5 52" xfId="7039"/>
    <cellStyle name="Total 2 2 5 52 2" xfId="14756"/>
    <cellStyle name="Total 2 2 5 52 3" xfId="23749"/>
    <cellStyle name="Total 2 2 5 52 4" xfId="31936"/>
    <cellStyle name="Total 2 2 5 52 5" xfId="41201"/>
    <cellStyle name="Total 2 2 5 52 6" xfId="45601"/>
    <cellStyle name="Total 2 2 5 52 7" xfId="47018"/>
    <cellStyle name="Total 2 2 5 53" xfId="7246"/>
    <cellStyle name="Total 2 2 5 53 2" xfId="14963"/>
    <cellStyle name="Total 2 2 5 53 3" xfId="23956"/>
    <cellStyle name="Total 2 2 5 53 4" xfId="32143"/>
    <cellStyle name="Total 2 2 5 53 5" xfId="41399"/>
    <cellStyle name="Total 2 2 5 53 6" xfId="45808"/>
    <cellStyle name="Total 2 2 5 53 7" xfId="53524"/>
    <cellStyle name="Total 2 2 5 54" xfId="7298"/>
    <cellStyle name="Total 2 2 5 54 2" xfId="15015"/>
    <cellStyle name="Total 2 2 5 54 3" xfId="24008"/>
    <cellStyle name="Total 2 2 5 54 4" xfId="32195"/>
    <cellStyle name="Total 2 2 5 54 5" xfId="41451"/>
    <cellStyle name="Total 2 2 5 54 6" xfId="45860"/>
    <cellStyle name="Total 2 2 5 54 7" xfId="49089"/>
    <cellStyle name="Total 2 2 5 55" xfId="7436"/>
    <cellStyle name="Total 2 2 5 55 2" xfId="15153"/>
    <cellStyle name="Total 2 2 5 55 3" xfId="24146"/>
    <cellStyle name="Total 2 2 5 55 4" xfId="32333"/>
    <cellStyle name="Total 2 2 5 55 5" xfId="41583"/>
    <cellStyle name="Total 2 2 5 55 6" xfId="45998"/>
    <cellStyle name="Total 2 2 5 55 7" xfId="49442"/>
    <cellStyle name="Total 2 2 5 56" xfId="7557"/>
    <cellStyle name="Total 2 2 5 56 2" xfId="15274"/>
    <cellStyle name="Total 2 2 5 56 3" xfId="24267"/>
    <cellStyle name="Total 2 2 5 56 4" xfId="32454"/>
    <cellStyle name="Total 2 2 5 56 5" xfId="41698"/>
    <cellStyle name="Total 2 2 5 56 6" xfId="46119"/>
    <cellStyle name="Total 2 2 5 56 7" xfId="51515"/>
    <cellStyle name="Total 2 2 5 57" xfId="7833"/>
    <cellStyle name="Total 2 2 5 57 2" xfId="15550"/>
    <cellStyle name="Total 2 2 5 57 3" xfId="24537"/>
    <cellStyle name="Total 2 2 5 57 4" xfId="32730"/>
    <cellStyle name="Total 2 2 5 57 5" xfId="41964"/>
    <cellStyle name="Total 2 2 5 57 6" xfId="46395"/>
    <cellStyle name="Total 2 2 5 57 7" xfId="52940"/>
    <cellStyle name="Total 2 2 5 58" xfId="7768"/>
    <cellStyle name="Total 2 2 5 58 2" xfId="15485"/>
    <cellStyle name="Total 2 2 5 58 3" xfId="24474"/>
    <cellStyle name="Total 2 2 5 58 4" xfId="32665"/>
    <cellStyle name="Total 2 2 5 58 5" xfId="41901"/>
    <cellStyle name="Total 2 2 5 58 6" xfId="46330"/>
    <cellStyle name="Total 2 2 5 58 7" xfId="51171"/>
    <cellStyle name="Total 2 2 5 59" xfId="7793"/>
    <cellStyle name="Total 2 2 5 59 2" xfId="15510"/>
    <cellStyle name="Total 2 2 5 59 3" xfId="24498"/>
    <cellStyle name="Total 2 2 5 59 4" xfId="32690"/>
    <cellStyle name="Total 2 2 5 59 5" xfId="41925"/>
    <cellStyle name="Total 2 2 5 59 6" xfId="46355"/>
    <cellStyle name="Total 2 2 5 59 7" xfId="48609"/>
    <cellStyle name="Total 2 2 5 6" xfId="1453"/>
    <cellStyle name="Total 2 2 5 6 2" xfId="9276"/>
    <cellStyle name="Total 2 2 5 6 3" xfId="16704"/>
    <cellStyle name="Total 2 2 5 6 4" xfId="24970"/>
    <cellStyle name="Total 2 2 5 6 5" xfId="33310"/>
    <cellStyle name="Total 2 2 5 6 6" xfId="38154"/>
    <cellStyle name="Total 2 2 5 6 7" xfId="50717"/>
    <cellStyle name="Total 2 2 5 60" xfId="8109"/>
    <cellStyle name="Total 2 2 5 60 2" xfId="15826"/>
    <cellStyle name="Total 2 2 5 60 3" xfId="33006"/>
    <cellStyle name="Total 2 2 5 60 4" xfId="42227"/>
    <cellStyle name="Total 2 2 5 60 5" xfId="46671"/>
    <cellStyle name="Total 2 2 5 60 6" xfId="48060"/>
    <cellStyle name="Total 2 2 5 61" xfId="25892"/>
    <cellStyle name="Total 2 2 5 62" xfId="34487"/>
    <cellStyle name="Total 2 2 5 63" xfId="36584"/>
    <cellStyle name="Total 2 2 5 64" xfId="52767"/>
    <cellStyle name="Total 2 2 5 7" xfId="1554"/>
    <cellStyle name="Total 2 2 5 7 2" xfId="9377"/>
    <cellStyle name="Total 2 2 5 7 3" xfId="16805"/>
    <cellStyle name="Total 2 2 5 7 4" xfId="26412"/>
    <cellStyle name="Total 2 2 5 7 5" xfId="35172"/>
    <cellStyle name="Total 2 2 5 7 6" xfId="38494"/>
    <cellStyle name="Total 2 2 5 7 7" xfId="53883"/>
    <cellStyle name="Total 2 2 5 8" xfId="1690"/>
    <cellStyle name="Total 2 2 5 8 2" xfId="9513"/>
    <cellStyle name="Total 2 2 5 8 3" xfId="16941"/>
    <cellStyle name="Total 2 2 5 8 4" xfId="25493"/>
    <cellStyle name="Total 2 2 5 8 5" xfId="33968"/>
    <cellStyle name="Total 2 2 5 8 6" xfId="37327"/>
    <cellStyle name="Total 2 2 5 8 7" xfId="51855"/>
    <cellStyle name="Total 2 2 5 9" xfId="1824"/>
    <cellStyle name="Total 2 2 5 9 2" xfId="9647"/>
    <cellStyle name="Total 2 2 5 9 3" xfId="17075"/>
    <cellStyle name="Total 2 2 5 9 4" xfId="19713"/>
    <cellStyle name="Total 2 2 5 9 5" xfId="27132"/>
    <cellStyle name="Total 2 2 5 9 6" xfId="36497"/>
    <cellStyle name="Total 2 2 5 9 7" xfId="48614"/>
    <cellStyle name="Total 2 2 50" xfId="5930"/>
    <cellStyle name="Total 2 2 50 2" xfId="13647"/>
    <cellStyle name="Total 2 2 50 3" xfId="22640"/>
    <cellStyle name="Total 2 2 50 4" xfId="30827"/>
    <cellStyle name="Total 2 2 50 5" xfId="40139"/>
    <cellStyle name="Total 2 2 50 6" xfId="44492"/>
    <cellStyle name="Total 2 2 50 7" xfId="54502"/>
    <cellStyle name="Total 2 2 51" xfId="6122"/>
    <cellStyle name="Total 2 2 51 2" xfId="13839"/>
    <cellStyle name="Total 2 2 51 3" xfId="22832"/>
    <cellStyle name="Total 2 2 51 4" xfId="31019"/>
    <cellStyle name="Total 2 2 51 5" xfId="40321"/>
    <cellStyle name="Total 2 2 51 6" xfId="44684"/>
    <cellStyle name="Total 2 2 51 7" xfId="48954"/>
    <cellStyle name="Total 2 2 52" xfId="5917"/>
    <cellStyle name="Total 2 2 52 2" xfId="13634"/>
    <cellStyle name="Total 2 2 52 3" xfId="22627"/>
    <cellStyle name="Total 2 2 52 4" xfId="30814"/>
    <cellStyle name="Total 2 2 52 5" xfId="40126"/>
    <cellStyle name="Total 2 2 52 6" xfId="44479"/>
    <cellStyle name="Total 2 2 52 7" xfId="49807"/>
    <cellStyle name="Total 2 2 53" xfId="5942"/>
    <cellStyle name="Total 2 2 53 2" xfId="13659"/>
    <cellStyle name="Total 2 2 53 3" xfId="22652"/>
    <cellStyle name="Total 2 2 53 4" xfId="30839"/>
    <cellStyle name="Total 2 2 53 5" xfId="40150"/>
    <cellStyle name="Total 2 2 53 6" xfId="44504"/>
    <cellStyle name="Total 2 2 53 7" xfId="48106"/>
    <cellStyle name="Total 2 2 54" xfId="5362"/>
    <cellStyle name="Total 2 2 54 2" xfId="13079"/>
    <cellStyle name="Total 2 2 54 3" xfId="22072"/>
    <cellStyle name="Total 2 2 54 4" xfId="30259"/>
    <cellStyle name="Total 2 2 54 5" xfId="39591"/>
    <cellStyle name="Total 2 2 54 6" xfId="43924"/>
    <cellStyle name="Total 2 2 54 7" xfId="49768"/>
    <cellStyle name="Total 2 2 55" xfId="6683"/>
    <cellStyle name="Total 2 2 55 2" xfId="14400"/>
    <cellStyle name="Total 2 2 55 3" xfId="23393"/>
    <cellStyle name="Total 2 2 55 4" xfId="31580"/>
    <cellStyle name="Total 2 2 55 5" xfId="40864"/>
    <cellStyle name="Total 2 2 55 6" xfId="45245"/>
    <cellStyle name="Total 2 2 55 7" xfId="49478"/>
    <cellStyle name="Total 2 2 56" xfId="6798"/>
    <cellStyle name="Total 2 2 56 2" xfId="14515"/>
    <cellStyle name="Total 2 2 56 3" xfId="23508"/>
    <cellStyle name="Total 2 2 56 4" xfId="31695"/>
    <cellStyle name="Total 2 2 56 5" xfId="40974"/>
    <cellStyle name="Total 2 2 56 6" xfId="45360"/>
    <cellStyle name="Total 2 2 56 7" xfId="52318"/>
    <cellStyle name="Total 2 2 57" xfId="6912"/>
    <cellStyle name="Total 2 2 57 2" xfId="14629"/>
    <cellStyle name="Total 2 2 57 3" xfId="23622"/>
    <cellStyle name="Total 2 2 57 4" xfId="31809"/>
    <cellStyle name="Total 2 2 57 5" xfId="41081"/>
    <cellStyle name="Total 2 2 57 6" xfId="45474"/>
    <cellStyle name="Total 2 2 57 7" xfId="47051"/>
    <cellStyle name="Total 2 2 58" xfId="7305"/>
    <cellStyle name="Total 2 2 58 2" xfId="15022"/>
    <cellStyle name="Total 2 2 58 3" xfId="24015"/>
    <cellStyle name="Total 2 2 58 4" xfId="32202"/>
    <cellStyle name="Total 2 2 58 5" xfId="41458"/>
    <cellStyle name="Total 2 2 58 6" xfId="45867"/>
    <cellStyle name="Total 2 2 58 7" xfId="48699"/>
    <cellStyle name="Total 2 2 59" xfId="7350"/>
    <cellStyle name="Total 2 2 59 2" xfId="15067"/>
    <cellStyle name="Total 2 2 59 3" xfId="24060"/>
    <cellStyle name="Total 2 2 59 4" xfId="32247"/>
    <cellStyle name="Total 2 2 59 5" xfId="41503"/>
    <cellStyle name="Total 2 2 59 6" xfId="45912"/>
    <cellStyle name="Total 2 2 59 7" xfId="51254"/>
    <cellStyle name="Total 2 2 6" xfId="575"/>
    <cellStyle name="Total 2 2 6 10" xfId="2022"/>
    <cellStyle name="Total 2 2 6 10 2" xfId="9845"/>
    <cellStyle name="Total 2 2 6 10 3" xfId="17273"/>
    <cellStyle name="Total 2 2 6 10 4" xfId="24879"/>
    <cellStyle name="Total 2 2 6 10 5" xfId="33193"/>
    <cellStyle name="Total 2 2 6 10 6" xfId="40709"/>
    <cellStyle name="Total 2 2 6 10 7" xfId="50517"/>
    <cellStyle name="Total 2 2 6 11" xfId="2138"/>
    <cellStyle name="Total 2 2 6 11 2" xfId="9961"/>
    <cellStyle name="Total 2 2 6 11 3" xfId="17389"/>
    <cellStyle name="Total 2 2 6 11 4" xfId="25132"/>
    <cellStyle name="Total 2 2 6 11 5" xfId="33505"/>
    <cellStyle name="Total 2 2 6 11 6" xfId="38661"/>
    <cellStyle name="Total 2 2 6 11 7" xfId="51078"/>
    <cellStyle name="Total 2 2 6 12" xfId="2252"/>
    <cellStyle name="Total 2 2 6 12 2" xfId="10075"/>
    <cellStyle name="Total 2 2 6 12 3" xfId="17503"/>
    <cellStyle name="Total 2 2 6 12 4" xfId="25491"/>
    <cellStyle name="Total 2 2 6 12 5" xfId="33966"/>
    <cellStyle name="Total 2 2 6 12 6" xfId="39619"/>
    <cellStyle name="Total 2 2 6 12 7" xfId="51852"/>
    <cellStyle name="Total 2 2 6 13" xfId="1250"/>
    <cellStyle name="Total 2 2 6 13 2" xfId="9073"/>
    <cellStyle name="Total 2 2 6 13 3" xfId="16501"/>
    <cellStyle name="Total 2 2 6 13 4" xfId="20254"/>
    <cellStyle name="Total 2 2 6 13 5" xfId="28234"/>
    <cellStyle name="Total 2 2 6 13 6" xfId="41897"/>
    <cellStyle name="Total 2 2 6 13 7" xfId="47768"/>
    <cellStyle name="Total 2 2 6 14" xfId="1036"/>
    <cellStyle name="Total 2 2 6 14 2" xfId="8860"/>
    <cellStyle name="Total 2 2 6 14 3" xfId="16288"/>
    <cellStyle name="Total 2 2 6 14 4" xfId="19724"/>
    <cellStyle name="Total 2 2 6 14 5" xfId="28154"/>
    <cellStyle name="Total 2 2 6 14 6" xfId="36309"/>
    <cellStyle name="Total 2 2 6 14 7" xfId="48139"/>
    <cellStyle name="Total 2 2 6 15" xfId="2550"/>
    <cellStyle name="Total 2 2 6 15 2" xfId="10373"/>
    <cellStyle name="Total 2 2 6 15 3" xfId="17801"/>
    <cellStyle name="Total 2 2 6 15 4" xfId="20340"/>
    <cellStyle name="Total 2 2 6 15 5" xfId="27169"/>
    <cellStyle name="Total 2 2 6 15 6" xfId="40316"/>
    <cellStyle name="Total 2 2 6 15 7" xfId="48421"/>
    <cellStyle name="Total 2 2 6 16" xfId="2664"/>
    <cellStyle name="Total 2 2 6 16 2" xfId="10487"/>
    <cellStyle name="Total 2 2 6 16 3" xfId="17915"/>
    <cellStyle name="Total 2 2 6 16 4" xfId="19537"/>
    <cellStyle name="Total 2 2 6 16 5" xfId="27219"/>
    <cellStyle name="Total 2 2 6 16 6" xfId="39504"/>
    <cellStyle name="Total 2 2 6 16 7" xfId="49461"/>
    <cellStyle name="Total 2 2 6 17" xfId="2314"/>
    <cellStyle name="Total 2 2 6 17 2" xfId="10137"/>
    <cellStyle name="Total 2 2 6 17 3" xfId="17565"/>
    <cellStyle name="Total 2 2 6 17 4" xfId="25463"/>
    <cellStyle name="Total 2 2 6 17 5" xfId="33928"/>
    <cellStyle name="Total 2 2 6 17 6" xfId="41923"/>
    <cellStyle name="Total 2 2 6 17 7" xfId="51786"/>
    <cellStyle name="Total 2 2 6 18" xfId="2388"/>
    <cellStyle name="Total 2 2 6 18 2" xfId="10211"/>
    <cellStyle name="Total 2 2 6 18 3" xfId="17639"/>
    <cellStyle name="Total 2 2 6 18 4" xfId="24990"/>
    <cellStyle name="Total 2 2 6 18 5" xfId="33336"/>
    <cellStyle name="Total 2 2 6 18 6" xfId="40904"/>
    <cellStyle name="Total 2 2 6 18 7" xfId="50772"/>
    <cellStyle name="Total 2 2 6 19" xfId="2854"/>
    <cellStyle name="Total 2 2 6 19 2" xfId="10677"/>
    <cellStyle name="Total 2 2 6 19 3" xfId="18105"/>
    <cellStyle name="Total 2 2 6 19 4" xfId="26102"/>
    <cellStyle name="Total 2 2 6 19 5" xfId="34756"/>
    <cellStyle name="Total 2 2 6 19 6" xfId="38836"/>
    <cellStyle name="Total 2 2 6 19 7" xfId="53216"/>
    <cellStyle name="Total 2 2 6 2" xfId="722"/>
    <cellStyle name="Total 2 2 6 2 2" xfId="8546"/>
    <cellStyle name="Total 2 2 6 2 3" xfId="15974"/>
    <cellStyle name="Total 2 2 6 2 4" xfId="25220"/>
    <cellStyle name="Total 2 2 6 2 5" xfId="33620"/>
    <cellStyle name="Total 2 2 6 2 6" xfId="38173"/>
    <cellStyle name="Total 2 2 6 2 7" xfId="51264"/>
    <cellStyle name="Total 2 2 6 20" xfId="2961"/>
    <cellStyle name="Total 2 2 6 20 2" xfId="10784"/>
    <cellStyle name="Total 2 2 6 20 3" xfId="18212"/>
    <cellStyle name="Total 2 2 6 20 4" xfId="19122"/>
    <cellStyle name="Total 2 2 6 20 5" xfId="27791"/>
    <cellStyle name="Total 2 2 6 20 6" xfId="38187"/>
    <cellStyle name="Total 2 2 6 20 7" xfId="49917"/>
    <cellStyle name="Total 2 2 6 21" xfId="3339"/>
    <cellStyle name="Total 2 2 6 21 2" xfId="11132"/>
    <cellStyle name="Total 2 2 6 21 3" xfId="18459"/>
    <cellStyle name="Total 2 2 6 21 4" xfId="26245"/>
    <cellStyle name="Total 2 2 6 21 5" xfId="34937"/>
    <cellStyle name="Total 2 2 6 21 6" xfId="37793"/>
    <cellStyle name="Total 2 2 6 21 7" xfId="53525"/>
    <cellStyle name="Total 2 2 6 22" xfId="3458"/>
    <cellStyle name="Total 2 2 6 22 2" xfId="11249"/>
    <cellStyle name="Total 2 2 6 22 3" xfId="18570"/>
    <cellStyle name="Total 2 2 6 22 4" xfId="25521"/>
    <cellStyle name="Total 2 2 6 22 5" xfId="34002"/>
    <cellStyle name="Total 2 2 6 22 6" xfId="38409"/>
    <cellStyle name="Total 2 2 6 22 7" xfId="51913"/>
    <cellStyle name="Total 2 2 6 23" xfId="3617"/>
    <cellStyle name="Total 2 2 6 23 2" xfId="11403"/>
    <cellStyle name="Total 2 2 6 23 3" xfId="18677"/>
    <cellStyle name="Total 2 2 6 23 4" xfId="20495"/>
    <cellStyle name="Total 2 2 6 23 5" xfId="26777"/>
    <cellStyle name="Total 2 2 6 23 6" xfId="37846"/>
    <cellStyle name="Total 2 2 6 23 7" xfId="50366"/>
    <cellStyle name="Total 2 2 6 24" xfId="3731"/>
    <cellStyle name="Total 2 2 6 24 2" xfId="11516"/>
    <cellStyle name="Total 2 2 6 24 3" xfId="18787"/>
    <cellStyle name="Total 2 2 6 24 4" xfId="20692"/>
    <cellStyle name="Total 2 2 6 24 5" xfId="28214"/>
    <cellStyle name="Total 2 2 6 24 6" xfId="41701"/>
    <cellStyle name="Total 2 2 6 24 7" xfId="47898"/>
    <cellStyle name="Total 2 2 6 25" xfId="3860"/>
    <cellStyle name="Total 2 2 6 25 2" xfId="11642"/>
    <cellStyle name="Total 2 2 6 25 3" xfId="18897"/>
    <cellStyle name="Total 2 2 6 25 4" xfId="26474"/>
    <cellStyle name="Total 2 2 6 25 5" xfId="35254"/>
    <cellStyle name="Total 2 2 6 25 6" xfId="39442"/>
    <cellStyle name="Total 2 2 6 25 7" xfId="54014"/>
    <cellStyle name="Total 2 2 6 26" xfId="3978"/>
    <cellStyle name="Total 2 2 6 26 2" xfId="11757"/>
    <cellStyle name="Total 2 2 6 26 3" xfId="19006"/>
    <cellStyle name="Total 2 2 6 26 4" xfId="25667"/>
    <cellStyle name="Total 2 2 6 26 5" xfId="34199"/>
    <cellStyle name="Total 2 2 6 26 6" xfId="38689"/>
    <cellStyle name="Total 2 2 6 26 7" xfId="52237"/>
    <cellStyle name="Total 2 2 6 27" xfId="3750"/>
    <cellStyle name="Total 2 2 6 27 2" xfId="11535"/>
    <cellStyle name="Total 2 2 6 27 3" xfId="20601"/>
    <cellStyle name="Total 2 2 6 27 4" xfId="28750"/>
    <cellStyle name="Total 2 2 6 27 5" xfId="38139"/>
    <cellStyle name="Total 2 2 6 27 6" xfId="42528"/>
    <cellStyle name="Total 2 2 6 27 7" xfId="53097"/>
    <cellStyle name="Total 2 2 6 28" xfId="4174"/>
    <cellStyle name="Total 2 2 6 28 2" xfId="11933"/>
    <cellStyle name="Total 2 2 6 28 3" xfId="20884"/>
    <cellStyle name="Total 2 2 6 28 4" xfId="29071"/>
    <cellStyle name="Total 2 2 6 28 5" xfId="38447"/>
    <cellStyle name="Total 2 2 6 28 6" xfId="42736"/>
    <cellStyle name="Total 2 2 6 28 7" xfId="54060"/>
    <cellStyle name="Total 2 2 6 29" xfId="3531"/>
    <cellStyle name="Total 2 2 6 29 2" xfId="20502"/>
    <cellStyle name="Total 2 2 6 29 3" xfId="28627"/>
    <cellStyle name="Total 2 2 6 29 4" xfId="38003"/>
    <cellStyle name="Total 2 2 6 29 5" xfId="42499"/>
    <cellStyle name="Total 2 2 6 29 6" xfId="51916"/>
    <cellStyle name="Total 2 2 6 3" xfId="831"/>
    <cellStyle name="Total 2 2 6 3 2" xfId="8655"/>
    <cellStyle name="Total 2 2 6 3 3" xfId="16083"/>
    <cellStyle name="Total 2 2 6 3 4" xfId="25494"/>
    <cellStyle name="Total 2 2 6 3 5" xfId="33969"/>
    <cellStyle name="Total 2 2 6 3 6" xfId="36699"/>
    <cellStyle name="Total 2 2 6 3 7" xfId="51858"/>
    <cellStyle name="Total 2 2 6 30" xfId="4373"/>
    <cellStyle name="Total 2 2 6 30 2" xfId="12090"/>
    <cellStyle name="Total 2 2 6 30 3" xfId="21083"/>
    <cellStyle name="Total 2 2 6 30 4" xfId="29270"/>
    <cellStyle name="Total 2 2 6 30 5" xfId="38640"/>
    <cellStyle name="Total 2 2 6 30 6" xfId="42935"/>
    <cellStyle name="Total 2 2 6 30 7" xfId="51885"/>
    <cellStyle name="Total 2 2 6 31" xfId="4494"/>
    <cellStyle name="Total 2 2 6 31 2" xfId="12211"/>
    <cellStyle name="Total 2 2 6 31 3" xfId="21204"/>
    <cellStyle name="Total 2 2 6 31 4" xfId="29391"/>
    <cellStyle name="Total 2 2 6 31 5" xfId="38755"/>
    <cellStyle name="Total 2 2 6 31 6" xfId="43056"/>
    <cellStyle name="Total 2 2 6 31 7" xfId="52301"/>
    <cellStyle name="Total 2 2 6 32" xfId="4608"/>
    <cellStyle name="Total 2 2 6 32 2" xfId="12325"/>
    <cellStyle name="Total 2 2 6 32 3" xfId="21318"/>
    <cellStyle name="Total 2 2 6 32 4" xfId="29505"/>
    <cellStyle name="Total 2 2 6 32 5" xfId="38864"/>
    <cellStyle name="Total 2 2 6 32 6" xfId="43170"/>
    <cellStyle name="Total 2 2 6 32 7" xfId="48123"/>
    <cellStyle name="Total 2 2 6 33" xfId="4721"/>
    <cellStyle name="Total 2 2 6 33 2" xfId="12438"/>
    <cellStyle name="Total 2 2 6 33 3" xfId="21431"/>
    <cellStyle name="Total 2 2 6 33 4" xfId="29618"/>
    <cellStyle name="Total 2 2 6 33 5" xfId="38973"/>
    <cellStyle name="Total 2 2 6 33 6" xfId="43283"/>
    <cellStyle name="Total 2 2 6 33 7" xfId="52461"/>
    <cellStyle name="Total 2 2 6 34" xfId="4831"/>
    <cellStyle name="Total 2 2 6 34 2" xfId="12548"/>
    <cellStyle name="Total 2 2 6 34 3" xfId="21541"/>
    <cellStyle name="Total 2 2 6 34 4" xfId="29728"/>
    <cellStyle name="Total 2 2 6 34 5" xfId="39080"/>
    <cellStyle name="Total 2 2 6 34 6" xfId="43393"/>
    <cellStyle name="Total 2 2 6 34 7" xfId="47301"/>
    <cellStyle name="Total 2 2 6 35" xfId="4941"/>
    <cellStyle name="Total 2 2 6 35 2" xfId="12658"/>
    <cellStyle name="Total 2 2 6 35 3" xfId="21651"/>
    <cellStyle name="Total 2 2 6 35 4" xfId="29838"/>
    <cellStyle name="Total 2 2 6 35 5" xfId="39185"/>
    <cellStyle name="Total 2 2 6 35 6" xfId="43503"/>
    <cellStyle name="Total 2 2 6 35 7" xfId="53509"/>
    <cellStyle name="Total 2 2 6 36" xfId="5051"/>
    <cellStyle name="Total 2 2 6 36 2" xfId="12768"/>
    <cellStyle name="Total 2 2 6 36 3" xfId="21761"/>
    <cellStyle name="Total 2 2 6 36 4" xfId="29948"/>
    <cellStyle name="Total 2 2 6 36 5" xfId="39292"/>
    <cellStyle name="Total 2 2 6 36 6" xfId="43613"/>
    <cellStyle name="Total 2 2 6 36 7" xfId="48318"/>
    <cellStyle name="Total 2 2 6 37" xfId="5431"/>
    <cellStyle name="Total 2 2 6 37 2" xfId="13148"/>
    <cellStyle name="Total 2 2 6 37 3" xfId="22141"/>
    <cellStyle name="Total 2 2 6 37 4" xfId="30328"/>
    <cellStyle name="Total 2 2 6 37 5" xfId="39657"/>
    <cellStyle name="Total 2 2 6 37 6" xfId="43993"/>
    <cellStyle name="Total 2 2 6 37 7" xfId="49674"/>
    <cellStyle name="Total 2 2 6 38" xfId="5551"/>
    <cellStyle name="Total 2 2 6 38 2" xfId="13268"/>
    <cellStyle name="Total 2 2 6 38 3" xfId="22261"/>
    <cellStyle name="Total 2 2 6 38 4" xfId="30448"/>
    <cellStyle name="Total 2 2 6 38 5" xfId="39771"/>
    <cellStyle name="Total 2 2 6 38 6" xfId="44113"/>
    <cellStyle name="Total 2 2 6 38 7" xfId="47177"/>
    <cellStyle name="Total 2 2 6 39" xfId="5676"/>
    <cellStyle name="Total 2 2 6 39 2" xfId="13393"/>
    <cellStyle name="Total 2 2 6 39 3" xfId="22386"/>
    <cellStyle name="Total 2 2 6 39 4" xfId="30573"/>
    <cellStyle name="Total 2 2 6 39 5" xfId="39892"/>
    <cellStyle name="Total 2 2 6 39 6" xfId="44238"/>
    <cellStyle name="Total 2 2 6 39 7" xfId="47097"/>
    <cellStyle name="Total 2 2 6 4" xfId="941"/>
    <cellStyle name="Total 2 2 6 4 2" xfId="8765"/>
    <cellStyle name="Total 2 2 6 4 3" xfId="16193"/>
    <cellStyle name="Total 2 2 6 4 4" xfId="19933"/>
    <cellStyle name="Total 2 2 6 4 5" xfId="27319"/>
    <cellStyle name="Total 2 2 6 4 6" xfId="37926"/>
    <cellStyle name="Total 2 2 6 4 7" xfId="49472"/>
    <cellStyle name="Total 2 2 6 40" xfId="5791"/>
    <cellStyle name="Total 2 2 6 40 2" xfId="13508"/>
    <cellStyle name="Total 2 2 6 40 3" xfId="22501"/>
    <cellStyle name="Total 2 2 6 40 4" xfId="30688"/>
    <cellStyle name="Total 2 2 6 40 5" xfId="40004"/>
    <cellStyle name="Total 2 2 6 40 6" xfId="44353"/>
    <cellStyle name="Total 2 2 6 40 7" xfId="54022"/>
    <cellStyle name="Total 2 2 6 41" xfId="5909"/>
    <cellStyle name="Total 2 2 6 41 2" xfId="13626"/>
    <cellStyle name="Total 2 2 6 41 3" xfId="22619"/>
    <cellStyle name="Total 2 2 6 41 4" xfId="30806"/>
    <cellStyle name="Total 2 2 6 41 5" xfId="40119"/>
    <cellStyle name="Total 2 2 6 41 6" xfId="44471"/>
    <cellStyle name="Total 2 2 6 41 7" xfId="53662"/>
    <cellStyle name="Total 2 2 6 42" xfId="6036"/>
    <cellStyle name="Total 2 2 6 42 2" xfId="13753"/>
    <cellStyle name="Total 2 2 6 42 3" xfId="22746"/>
    <cellStyle name="Total 2 2 6 42 4" xfId="30933"/>
    <cellStyle name="Total 2 2 6 42 5" xfId="40241"/>
    <cellStyle name="Total 2 2 6 42 6" xfId="44598"/>
    <cellStyle name="Total 2 2 6 42 7" xfId="50735"/>
    <cellStyle name="Total 2 2 6 43" xfId="6164"/>
    <cellStyle name="Total 2 2 6 43 2" xfId="13881"/>
    <cellStyle name="Total 2 2 6 43 3" xfId="22874"/>
    <cellStyle name="Total 2 2 6 43 4" xfId="31061"/>
    <cellStyle name="Total 2 2 6 43 5" xfId="40362"/>
    <cellStyle name="Total 2 2 6 43 6" xfId="44726"/>
    <cellStyle name="Total 2 2 6 43 7" xfId="52053"/>
    <cellStyle name="Total 2 2 6 44" xfId="6292"/>
    <cellStyle name="Total 2 2 6 44 2" xfId="14009"/>
    <cellStyle name="Total 2 2 6 44 3" xfId="23002"/>
    <cellStyle name="Total 2 2 6 44 4" xfId="31189"/>
    <cellStyle name="Total 2 2 6 44 5" xfId="40489"/>
    <cellStyle name="Total 2 2 6 44 6" xfId="44854"/>
    <cellStyle name="Total 2 2 6 44 7" xfId="46991"/>
    <cellStyle name="Total 2 2 6 45" xfId="6407"/>
    <cellStyle name="Total 2 2 6 45 2" xfId="14124"/>
    <cellStyle name="Total 2 2 6 45 3" xfId="23117"/>
    <cellStyle name="Total 2 2 6 45 4" xfId="31304"/>
    <cellStyle name="Total 2 2 6 45 5" xfId="40600"/>
    <cellStyle name="Total 2 2 6 45 6" xfId="44969"/>
    <cellStyle name="Total 2 2 6 45 7" xfId="47721"/>
    <cellStyle name="Total 2 2 6 46" xfId="6519"/>
    <cellStyle name="Total 2 2 6 46 2" xfId="14236"/>
    <cellStyle name="Total 2 2 6 46 3" xfId="23229"/>
    <cellStyle name="Total 2 2 6 46 4" xfId="31416"/>
    <cellStyle name="Total 2 2 6 46 5" xfId="40708"/>
    <cellStyle name="Total 2 2 6 46 6" xfId="45081"/>
    <cellStyle name="Total 2 2 6 46 7" xfId="51654"/>
    <cellStyle name="Total 2 2 6 47" xfId="5296"/>
    <cellStyle name="Total 2 2 6 47 2" xfId="13013"/>
    <cellStyle name="Total 2 2 6 47 3" xfId="22006"/>
    <cellStyle name="Total 2 2 6 47 4" xfId="30193"/>
    <cellStyle name="Total 2 2 6 47 5" xfId="39527"/>
    <cellStyle name="Total 2 2 6 47 6" xfId="43858"/>
    <cellStyle name="Total 2 2 6 47 7" xfId="54422"/>
    <cellStyle name="Total 2 2 6 48" xfId="6666"/>
    <cellStyle name="Total 2 2 6 48 2" xfId="14383"/>
    <cellStyle name="Total 2 2 6 48 3" xfId="23376"/>
    <cellStyle name="Total 2 2 6 48 4" xfId="31563"/>
    <cellStyle name="Total 2 2 6 48 5" xfId="40847"/>
    <cellStyle name="Total 2 2 6 48 6" xfId="45228"/>
    <cellStyle name="Total 2 2 6 48 7" xfId="51354"/>
    <cellStyle name="Total 2 2 6 49" xfId="6777"/>
    <cellStyle name="Total 2 2 6 49 2" xfId="14494"/>
    <cellStyle name="Total 2 2 6 49 3" xfId="23487"/>
    <cellStyle name="Total 2 2 6 49 4" xfId="31674"/>
    <cellStyle name="Total 2 2 6 49 5" xfId="40953"/>
    <cellStyle name="Total 2 2 6 49 6" xfId="45339"/>
    <cellStyle name="Total 2 2 6 49 7" xfId="54460"/>
    <cellStyle name="Total 2 2 6 5" xfId="1409"/>
    <cellStyle name="Total 2 2 6 5 2" xfId="9232"/>
    <cellStyle name="Total 2 2 6 5 3" xfId="16660"/>
    <cellStyle name="Total 2 2 6 5 4" xfId="19896"/>
    <cellStyle name="Total 2 2 6 5 5" xfId="27649"/>
    <cellStyle name="Total 2 2 6 5 6" xfId="39449"/>
    <cellStyle name="Total 2 2 6 5 7" xfId="48665"/>
    <cellStyle name="Total 2 2 6 50" xfId="6892"/>
    <cellStyle name="Total 2 2 6 50 2" xfId="14609"/>
    <cellStyle name="Total 2 2 6 50 3" xfId="23602"/>
    <cellStyle name="Total 2 2 6 50 4" xfId="31789"/>
    <cellStyle name="Total 2 2 6 50 5" xfId="41061"/>
    <cellStyle name="Total 2 2 6 50 6" xfId="45454"/>
    <cellStyle name="Total 2 2 6 50 7" xfId="47058"/>
    <cellStyle name="Total 2 2 6 51" xfId="7005"/>
    <cellStyle name="Total 2 2 6 51 2" xfId="14722"/>
    <cellStyle name="Total 2 2 6 51 3" xfId="23715"/>
    <cellStyle name="Total 2 2 6 51 4" xfId="31902"/>
    <cellStyle name="Total 2 2 6 51 5" xfId="41169"/>
    <cellStyle name="Total 2 2 6 51 6" xfId="45567"/>
    <cellStyle name="Total 2 2 6 51 7" xfId="46988"/>
    <cellStyle name="Total 2 2 6 52" xfId="7115"/>
    <cellStyle name="Total 2 2 6 52 2" xfId="14832"/>
    <cellStyle name="Total 2 2 6 52 3" xfId="23825"/>
    <cellStyle name="Total 2 2 6 52 4" xfId="32012"/>
    <cellStyle name="Total 2 2 6 52 5" xfId="41274"/>
    <cellStyle name="Total 2 2 6 52 6" xfId="45677"/>
    <cellStyle name="Total 2 2 6 52 7" xfId="53861"/>
    <cellStyle name="Total 2 2 6 53" xfId="7161"/>
    <cellStyle name="Total 2 2 6 53 2" xfId="14878"/>
    <cellStyle name="Total 2 2 6 53 3" xfId="23871"/>
    <cellStyle name="Total 2 2 6 53 4" xfId="32058"/>
    <cellStyle name="Total 2 2 6 53 5" xfId="41320"/>
    <cellStyle name="Total 2 2 6 53 6" xfId="45723"/>
    <cellStyle name="Total 2 2 6 53 7" xfId="47796"/>
    <cellStyle name="Total 2 2 6 54" xfId="7359"/>
    <cellStyle name="Total 2 2 6 54 2" xfId="15076"/>
    <cellStyle name="Total 2 2 6 54 3" xfId="24069"/>
    <cellStyle name="Total 2 2 6 54 4" xfId="32256"/>
    <cellStyle name="Total 2 2 6 54 5" xfId="41512"/>
    <cellStyle name="Total 2 2 6 54 6" xfId="45921"/>
    <cellStyle name="Total 2 2 6 54 7" xfId="50442"/>
    <cellStyle name="Total 2 2 6 55" xfId="7512"/>
    <cellStyle name="Total 2 2 6 55 2" xfId="15229"/>
    <cellStyle name="Total 2 2 6 55 3" xfId="24222"/>
    <cellStyle name="Total 2 2 6 55 4" xfId="32409"/>
    <cellStyle name="Total 2 2 6 55 5" xfId="41656"/>
    <cellStyle name="Total 2 2 6 55 6" xfId="46074"/>
    <cellStyle name="Total 2 2 6 55 7" xfId="48348"/>
    <cellStyle name="Total 2 2 6 56" xfId="7633"/>
    <cellStyle name="Total 2 2 6 56 2" xfId="15350"/>
    <cellStyle name="Total 2 2 6 56 3" xfId="24343"/>
    <cellStyle name="Total 2 2 6 56 4" xfId="32530"/>
    <cellStyle name="Total 2 2 6 56 5" xfId="41772"/>
    <cellStyle name="Total 2 2 6 56 6" xfId="46195"/>
    <cellStyle name="Total 2 2 6 56 7" xfId="52787"/>
    <cellStyle name="Total 2 2 6 57" xfId="7910"/>
    <cellStyle name="Total 2 2 6 57 2" xfId="15627"/>
    <cellStyle name="Total 2 2 6 57 3" xfId="24614"/>
    <cellStyle name="Total 2 2 6 57 4" xfId="32807"/>
    <cellStyle name="Total 2 2 6 57 5" xfId="42038"/>
    <cellStyle name="Total 2 2 6 57 6" xfId="46472"/>
    <cellStyle name="Total 2 2 6 57 7" xfId="47643"/>
    <cellStyle name="Total 2 2 6 58" xfId="8038"/>
    <cellStyle name="Total 2 2 6 58 2" xfId="15755"/>
    <cellStyle name="Total 2 2 6 58 3" xfId="24740"/>
    <cellStyle name="Total 2 2 6 58 4" xfId="32935"/>
    <cellStyle name="Total 2 2 6 58 5" xfId="42160"/>
    <cellStyle name="Total 2 2 6 58 6" xfId="46600"/>
    <cellStyle name="Total 2 2 6 58 7" xfId="53200"/>
    <cellStyle name="Total 2 2 6 59" xfId="7802"/>
    <cellStyle name="Total 2 2 6 59 2" xfId="15519"/>
    <cellStyle name="Total 2 2 6 59 3" xfId="24506"/>
    <cellStyle name="Total 2 2 6 59 4" xfId="32699"/>
    <cellStyle name="Total 2 2 6 59 5" xfId="41934"/>
    <cellStyle name="Total 2 2 6 59 6" xfId="46364"/>
    <cellStyle name="Total 2 2 6 59 7" xfId="51772"/>
    <cellStyle name="Total 2 2 6 6" xfId="1532"/>
    <cellStyle name="Total 2 2 6 6 2" xfId="9355"/>
    <cellStyle name="Total 2 2 6 6 3" xfId="16783"/>
    <cellStyle name="Total 2 2 6 6 4" xfId="19581"/>
    <cellStyle name="Total 2 2 6 6 5" xfId="28753"/>
    <cellStyle name="Total 2 2 6 6 6" xfId="38113"/>
    <cellStyle name="Total 2 2 6 6 7" xfId="47737"/>
    <cellStyle name="Total 2 2 6 60" xfId="8185"/>
    <cellStyle name="Total 2 2 6 60 2" xfId="15902"/>
    <cellStyle name="Total 2 2 6 60 3" xfId="33082"/>
    <cellStyle name="Total 2 2 6 60 4" xfId="42301"/>
    <cellStyle name="Total 2 2 6 60 5" xfId="46747"/>
    <cellStyle name="Total 2 2 6 60 6" xfId="46871"/>
    <cellStyle name="Total 2 2 6 61" xfId="25346"/>
    <cellStyle name="Total 2 2 6 62" xfId="33780"/>
    <cellStyle name="Total 2 2 6 63" xfId="36297"/>
    <cellStyle name="Total 2 2 6 64" xfId="51523"/>
    <cellStyle name="Total 2 2 6 7" xfId="1013"/>
    <cellStyle name="Total 2 2 6 7 2" xfId="8837"/>
    <cellStyle name="Total 2 2 6 7 3" xfId="16265"/>
    <cellStyle name="Total 2 2 6 7 4" xfId="19445"/>
    <cellStyle name="Total 2 2 6 7 5" xfId="27525"/>
    <cellStyle name="Total 2 2 6 7 6" xfId="36688"/>
    <cellStyle name="Total 2 2 6 7 7" xfId="49017"/>
    <cellStyle name="Total 2 2 6 8" xfId="1770"/>
    <cellStyle name="Total 2 2 6 8 2" xfId="9593"/>
    <cellStyle name="Total 2 2 6 8 3" xfId="17021"/>
    <cellStyle name="Total 2 2 6 8 4" xfId="20394"/>
    <cellStyle name="Total 2 2 6 8 5" xfId="27051"/>
    <cellStyle name="Total 2 2 6 8 6" xfId="37875"/>
    <cellStyle name="Total 2 2 6 8 7" xfId="48152"/>
    <cellStyle name="Total 2 2 6 9" xfId="1903"/>
    <cellStyle name="Total 2 2 6 9 2" xfId="9726"/>
    <cellStyle name="Total 2 2 6 9 3" xfId="17154"/>
    <cellStyle name="Total 2 2 6 9 4" xfId="24794"/>
    <cellStyle name="Total 2 2 6 9 5" xfId="27208"/>
    <cellStyle name="Total 2 2 6 9 6" xfId="37373"/>
    <cellStyle name="Total 2 2 6 9 7" xfId="47760"/>
    <cellStyle name="Total 2 2 60" xfId="7139"/>
    <cellStyle name="Total 2 2 60 2" xfId="14856"/>
    <cellStyle name="Total 2 2 60 3" xfId="23849"/>
    <cellStyle name="Total 2 2 60 4" xfId="32036"/>
    <cellStyle name="Total 2 2 60 5" xfId="41298"/>
    <cellStyle name="Total 2 2 60 6" xfId="45701"/>
    <cellStyle name="Total 2 2 60 7" xfId="51241"/>
    <cellStyle name="Total 2 2 61" xfId="7537"/>
    <cellStyle name="Total 2 2 61 2" xfId="15254"/>
    <cellStyle name="Total 2 2 61 3" xfId="24247"/>
    <cellStyle name="Total 2 2 61 4" xfId="32434"/>
    <cellStyle name="Total 2 2 61 5" xfId="41680"/>
    <cellStyle name="Total 2 2 61 6" xfId="46099"/>
    <cellStyle name="Total 2 2 61 7" xfId="53747"/>
    <cellStyle name="Total 2 2 62" xfId="7738"/>
    <cellStyle name="Total 2 2 62 2" xfId="15455"/>
    <cellStyle name="Total 2 2 62 3" xfId="24446"/>
    <cellStyle name="Total 2 2 62 4" xfId="32635"/>
    <cellStyle name="Total 2 2 62 5" xfId="41871"/>
    <cellStyle name="Total 2 2 62 6" xfId="46300"/>
    <cellStyle name="Total 2 2 62 7" xfId="54431"/>
    <cellStyle name="Total 2 2 63" xfId="7676"/>
    <cellStyle name="Total 2 2 63 2" xfId="15393"/>
    <cellStyle name="Total 2 2 63 3" xfId="24384"/>
    <cellStyle name="Total 2 2 63 4" xfId="32573"/>
    <cellStyle name="Total 2 2 63 5" xfId="41812"/>
    <cellStyle name="Total 2 2 63 6" xfId="46238"/>
    <cellStyle name="Total 2 2 63 7" xfId="54496"/>
    <cellStyle name="Total 2 2 64" xfId="7803"/>
    <cellStyle name="Total 2 2 64 2" xfId="15520"/>
    <cellStyle name="Total 2 2 64 3" xfId="24507"/>
    <cellStyle name="Total 2 2 64 4" xfId="32700"/>
    <cellStyle name="Total 2 2 64 5" xfId="41935"/>
    <cellStyle name="Total 2 2 64 6" xfId="46365"/>
    <cellStyle name="Total 2 2 64 7" xfId="50089"/>
    <cellStyle name="Total 2 2 65" xfId="7790"/>
    <cellStyle name="Total 2 2 65 2" xfId="15507"/>
    <cellStyle name="Total 2 2 65 3" xfId="32687"/>
    <cellStyle name="Total 2 2 65 4" xfId="41922"/>
    <cellStyle name="Total 2 2 65 5" xfId="46352"/>
    <cellStyle name="Total 2 2 65 6" xfId="47924"/>
    <cellStyle name="Total 2 2 66" xfId="26352"/>
    <cellStyle name="Total 2 2 67" xfId="35081"/>
    <cellStyle name="Total 2 2 68" xfId="37337"/>
    <cellStyle name="Total 2 2 69" xfId="53740"/>
    <cellStyle name="Total 2 2 7" xfId="605"/>
    <cellStyle name="Total 2 2 7 2" xfId="8429"/>
    <cellStyle name="Total 2 2 7 3" xfId="8409"/>
    <cellStyle name="Total 2 2 7 4" xfId="19297"/>
    <cellStyle name="Total 2 2 7 5" xfId="27469"/>
    <cellStyle name="Total 2 2 7 6" xfId="37128"/>
    <cellStyle name="Total 2 2 7 7" xfId="48128"/>
    <cellStyle name="Total 2 2 8" xfId="614"/>
    <cellStyle name="Total 2 2 8 2" xfId="8438"/>
    <cellStyle name="Total 2 2 8 3" xfId="8410"/>
    <cellStyle name="Total 2 2 8 4" xfId="19887"/>
    <cellStyle name="Total 2 2 8 5" xfId="27148"/>
    <cellStyle name="Total 2 2 8 6" xfId="38253"/>
    <cellStyle name="Total 2 2 8 7" xfId="47844"/>
    <cellStyle name="Total 2 2 9" xfId="781"/>
    <cellStyle name="Total 2 2 9 2" xfId="8605"/>
    <cellStyle name="Total 2 2 9 3" xfId="16033"/>
    <cellStyle name="Total 2 2 9 4" xfId="25309"/>
    <cellStyle name="Total 2 2 9 5" xfId="33725"/>
    <cellStyle name="Total 2 2 9 6" xfId="37591"/>
    <cellStyle name="Total 2 2 9 7" xfId="51443"/>
    <cellStyle name="Total 2 20" xfId="3029"/>
    <cellStyle name="Total 2 20 2" xfId="10844"/>
    <cellStyle name="Total 2 20 3" xfId="20200"/>
    <cellStyle name="Total 2 20 4" xfId="28291"/>
    <cellStyle name="Total 2 20 5" xfId="37671"/>
    <cellStyle name="Total 2 20 6" xfId="42363"/>
    <cellStyle name="Total 2 20 7" xfId="50360"/>
    <cellStyle name="Total 2 21" xfId="4263"/>
    <cellStyle name="Total 2 21 2" xfId="11984"/>
    <cellStyle name="Total 2 21 3" xfId="20973"/>
    <cellStyle name="Total 2 21 4" xfId="29160"/>
    <cellStyle name="Total 2 21 5" xfId="38533"/>
    <cellStyle name="Total 2 21 6" xfId="42825"/>
    <cellStyle name="Total 2 21 7" xfId="52907"/>
    <cellStyle name="Total 2 22" xfId="4206"/>
    <cellStyle name="Total 2 22 2" xfId="11956"/>
    <cellStyle name="Total 2 22 3" xfId="20916"/>
    <cellStyle name="Total 2 22 4" xfId="29103"/>
    <cellStyle name="Total 2 22 5" xfId="38479"/>
    <cellStyle name="Total 2 22 6" xfId="42768"/>
    <cellStyle name="Total 2 22 7" xfId="51119"/>
    <cellStyle name="Total 2 23" xfId="5068"/>
    <cellStyle name="Total 2 23 2" xfId="12785"/>
    <cellStyle name="Total 2 23 3" xfId="21778"/>
    <cellStyle name="Total 2 23 4" xfId="29965"/>
    <cellStyle name="Total 2 23 5" xfId="39308"/>
    <cellStyle name="Total 2 23 6" xfId="43630"/>
    <cellStyle name="Total 2 23 7" xfId="54091"/>
    <cellStyle name="Total 2 24" xfId="5225"/>
    <cellStyle name="Total 2 24 2" xfId="12942"/>
    <cellStyle name="Total 2 24 3" xfId="21935"/>
    <cellStyle name="Total 2 24 4" xfId="30122"/>
    <cellStyle name="Total 2 24 5" xfId="39457"/>
    <cellStyle name="Total 2 24 6" xfId="43787"/>
    <cellStyle name="Total 2 24 7" xfId="54012"/>
    <cellStyle name="Total 2 25" xfId="5200"/>
    <cellStyle name="Total 2 25 2" xfId="12917"/>
    <cellStyle name="Total 2 25 3" xfId="21910"/>
    <cellStyle name="Total 2 25 4" xfId="30097"/>
    <cellStyle name="Total 2 25 5" xfId="39434"/>
    <cellStyle name="Total 2 25 6" xfId="43762"/>
    <cellStyle name="Total 2 25 7" xfId="49363"/>
    <cellStyle name="Total 2 26" xfId="5684"/>
    <cellStyle name="Total 2 26 2" xfId="13401"/>
    <cellStyle name="Total 2 26 3" xfId="22394"/>
    <cellStyle name="Total 2 26 4" xfId="30581"/>
    <cellStyle name="Total 2 26 5" xfId="39899"/>
    <cellStyle name="Total 2 26 6" xfId="44246"/>
    <cellStyle name="Total 2 26 7" xfId="47092"/>
    <cellStyle name="Total 2 27" xfId="6145"/>
    <cellStyle name="Total 2 27 2" xfId="13862"/>
    <cellStyle name="Total 2 27 3" xfId="22855"/>
    <cellStyle name="Total 2 27 4" xfId="31042"/>
    <cellStyle name="Total 2 27 5" xfId="40343"/>
    <cellStyle name="Total 2 27 6" xfId="44707"/>
    <cellStyle name="Total 2 27 7" xfId="53892"/>
    <cellStyle name="Total 2 28" xfId="5195"/>
    <cellStyle name="Total 2 28 2" xfId="12912"/>
    <cellStyle name="Total 2 28 3" xfId="21905"/>
    <cellStyle name="Total 2 28 4" xfId="30092"/>
    <cellStyle name="Total 2 28 5" xfId="39429"/>
    <cellStyle name="Total 2 28 6" xfId="43757"/>
    <cellStyle name="Total 2 28 7" xfId="49978"/>
    <cellStyle name="Total 2 29" xfId="7294"/>
    <cellStyle name="Total 2 29 2" xfId="15011"/>
    <cellStyle name="Total 2 29 3" xfId="24004"/>
    <cellStyle name="Total 2 29 4" xfId="32191"/>
    <cellStyle name="Total 2 29 5" xfId="41447"/>
    <cellStyle name="Total 2 29 6" xfId="45856"/>
    <cellStyle name="Total 2 29 7" xfId="49586"/>
    <cellStyle name="Total 2 3" xfId="518"/>
    <cellStyle name="Total 2 3 10" xfId="1965"/>
    <cellStyle name="Total 2 3 10 2" xfId="9788"/>
    <cellStyle name="Total 2 3 10 3" xfId="17216"/>
    <cellStyle name="Total 2 3 10 4" xfId="19032"/>
    <cellStyle name="Total 2 3 10 5" xfId="33119"/>
    <cellStyle name="Total 2 3 10 6" xfId="38792"/>
    <cellStyle name="Total 2 3 10 7" xfId="49821"/>
    <cellStyle name="Total 2 3 11" xfId="2083"/>
    <cellStyle name="Total 2 3 11 2" xfId="9906"/>
    <cellStyle name="Total 2 3 11 3" xfId="17334"/>
    <cellStyle name="Total 2 3 11 4" xfId="19433"/>
    <cellStyle name="Total 2 3 11 5" xfId="33146"/>
    <cellStyle name="Total 2 3 11 6" xfId="42043"/>
    <cellStyle name="Total 2 3 11 7" xfId="50420"/>
    <cellStyle name="Total 2 3 12" xfId="2196"/>
    <cellStyle name="Total 2 3 12 2" xfId="10019"/>
    <cellStyle name="Total 2 3 12 3" xfId="17447"/>
    <cellStyle name="Total 2 3 12 4" xfId="26188"/>
    <cellStyle name="Total 2 3 12 5" xfId="34865"/>
    <cellStyle name="Total 2 3 12 6" xfId="37922"/>
    <cellStyle name="Total 2 3 12 7" xfId="53399"/>
    <cellStyle name="Total 2 3 13" xfId="1160"/>
    <cellStyle name="Total 2 3 13 2" xfId="8983"/>
    <cellStyle name="Total 2 3 13 3" xfId="16411"/>
    <cellStyle name="Total 2 3 13 4" xfId="19272"/>
    <cellStyle name="Total 2 3 13 5" xfId="27413"/>
    <cellStyle name="Total 2 3 13 6" xfId="38841"/>
    <cellStyle name="Total 2 3 13 7" xfId="48612"/>
    <cellStyle name="Total 2 3 14" xfId="2323"/>
    <cellStyle name="Total 2 3 14 2" xfId="10146"/>
    <cellStyle name="Total 2 3 14 3" xfId="17574"/>
    <cellStyle name="Total 2 3 14 4" xfId="20706"/>
    <cellStyle name="Total 2 3 14 5" xfId="27152"/>
    <cellStyle name="Total 2 3 14 6" xfId="41089"/>
    <cellStyle name="Total 2 3 14 7" xfId="48474"/>
    <cellStyle name="Total 2 3 15" xfId="2494"/>
    <cellStyle name="Total 2 3 15 2" xfId="10317"/>
    <cellStyle name="Total 2 3 15 3" xfId="17745"/>
    <cellStyle name="Total 2 3 15 4" xfId="25295"/>
    <cellStyle name="Total 2 3 15 5" xfId="33709"/>
    <cellStyle name="Total 2 3 15 6" xfId="37517"/>
    <cellStyle name="Total 2 3 15 7" xfId="51417"/>
    <cellStyle name="Total 2 3 16" xfId="2607"/>
    <cellStyle name="Total 2 3 16 2" xfId="10430"/>
    <cellStyle name="Total 2 3 16 3" xfId="17858"/>
    <cellStyle name="Total 2 3 16 4" xfId="20039"/>
    <cellStyle name="Total 2 3 16 5" xfId="27732"/>
    <cellStyle name="Total 2 3 16 6" xfId="42053"/>
    <cellStyle name="Total 2 3 16 7" xfId="47882"/>
    <cellStyle name="Total 2 3 17" xfId="1025"/>
    <cellStyle name="Total 2 3 17 2" xfId="8849"/>
    <cellStyle name="Total 2 3 17 3" xfId="16277"/>
    <cellStyle name="Total 2 3 17 4" xfId="25430"/>
    <cellStyle name="Total 2 3 17 5" xfId="33889"/>
    <cellStyle name="Total 2 3 17 6" xfId="36394"/>
    <cellStyle name="Total 2 3 17 7" xfId="51707"/>
    <cellStyle name="Total 2 3 18" xfId="2730"/>
    <cellStyle name="Total 2 3 18 2" xfId="10553"/>
    <cellStyle name="Total 2 3 18 3" xfId="17981"/>
    <cellStyle name="Total 2 3 18 4" xfId="19034"/>
    <cellStyle name="Total 2 3 18 5" xfId="27991"/>
    <cellStyle name="Total 2 3 18 6" xfId="36642"/>
    <cellStyle name="Total 2 3 18 7" xfId="49888"/>
    <cellStyle name="Total 2 3 19" xfId="2801"/>
    <cellStyle name="Total 2 3 19 2" xfId="10624"/>
    <cellStyle name="Total 2 3 19 3" xfId="18052"/>
    <cellStyle name="Total 2 3 19 4" xfId="25174"/>
    <cellStyle name="Total 2 3 19 5" xfId="33555"/>
    <cellStyle name="Total 2 3 19 6" xfId="37400"/>
    <cellStyle name="Total 2 3 19 7" xfId="51165"/>
    <cellStyle name="Total 2 3 2" xfId="669"/>
    <cellStyle name="Total 2 3 2 2" xfId="8493"/>
    <cellStyle name="Total 2 3 2 3" xfId="8265"/>
    <cellStyle name="Total 2 3 2 4" xfId="24943"/>
    <cellStyle name="Total 2 3 2 5" xfId="33279"/>
    <cellStyle name="Total 2 3 2 6" xfId="37750"/>
    <cellStyle name="Total 2 3 2 7" xfId="50664"/>
    <cellStyle name="Total 2 3 20" xfId="2908"/>
    <cellStyle name="Total 2 3 20 2" xfId="10731"/>
    <cellStyle name="Total 2 3 20 3" xfId="18159"/>
    <cellStyle name="Total 2 3 20 4" xfId="25442"/>
    <cellStyle name="Total 2 3 20 5" xfId="33902"/>
    <cellStyle name="Total 2 3 20 6" xfId="37334"/>
    <cellStyle name="Total 2 3 20 7" xfId="51733"/>
    <cellStyle name="Total 2 3 21" xfId="3284"/>
    <cellStyle name="Total 2 3 21 2" xfId="11077"/>
    <cellStyle name="Total 2 3 21 3" xfId="18406"/>
    <cellStyle name="Total 2 3 21 4" xfId="26284"/>
    <cellStyle name="Total 2 3 21 5" xfId="34991"/>
    <cellStyle name="Total 2 3 21 6" xfId="41255"/>
    <cellStyle name="Total 2 3 21 7" xfId="53612"/>
    <cellStyle name="Total 2 3 22" xfId="3404"/>
    <cellStyle name="Total 2 3 22 2" xfId="11195"/>
    <cellStyle name="Total 2 3 22 3" xfId="18517"/>
    <cellStyle name="Total 2 3 22 4" xfId="20380"/>
    <cellStyle name="Total 2 3 22 5" xfId="27737"/>
    <cellStyle name="Total 2 3 22 6" xfId="37176"/>
    <cellStyle name="Total 2 3 22 7" xfId="49500"/>
    <cellStyle name="Total 2 3 23" xfId="3037"/>
    <cellStyle name="Total 2 3 23 2" xfId="10851"/>
    <cellStyle name="Total 2 3 23 3" xfId="18262"/>
    <cellStyle name="Total 2 3 23 4" xfId="19634"/>
    <cellStyle name="Total 2 3 23 5" xfId="27279"/>
    <cellStyle name="Total 2 3 23 6" xfId="36591"/>
    <cellStyle name="Total 2 3 23 7" xfId="49404"/>
    <cellStyle name="Total 2 3 24" xfId="3674"/>
    <cellStyle name="Total 2 3 24 2" xfId="11459"/>
    <cellStyle name="Total 2 3 24 3" xfId="18732"/>
    <cellStyle name="Total 2 3 24 4" xfId="25604"/>
    <cellStyle name="Total 2 3 24 5" xfId="34115"/>
    <cellStyle name="Total 2 3 24 6" xfId="38704"/>
    <cellStyle name="Total 2 3 24 7" xfId="52101"/>
    <cellStyle name="Total 2 3 25" xfId="3805"/>
    <cellStyle name="Total 2 3 25 2" xfId="11587"/>
    <cellStyle name="Total 2 3 25 3" xfId="18844"/>
    <cellStyle name="Total 2 3 25 4" xfId="26561"/>
    <cellStyle name="Total 2 3 25 5" xfId="35370"/>
    <cellStyle name="Total 2 3 25 6" xfId="41576"/>
    <cellStyle name="Total 2 3 25 7" xfId="54193"/>
    <cellStyle name="Total 2 3 26" xfId="3922"/>
    <cellStyle name="Total 2 3 26 2" xfId="11702"/>
    <cellStyle name="Total 2 3 26 3" xfId="18953"/>
    <cellStyle name="Total 2 3 26 4" xfId="19209"/>
    <cellStyle name="Total 2 3 26 5" xfId="26727"/>
    <cellStyle name="Total 2 3 26 6" xfId="37314"/>
    <cellStyle name="Total 2 3 26 7" xfId="49137"/>
    <cellStyle name="Total 2 3 27" xfId="3053"/>
    <cellStyle name="Total 2 3 27 2" xfId="10865"/>
    <cellStyle name="Total 2 3 27 3" xfId="20219"/>
    <cellStyle name="Total 2 3 27 4" xfId="28311"/>
    <cellStyle name="Total 2 3 27 5" xfId="37691"/>
    <cellStyle name="Total 2 3 27 6" xfId="42376"/>
    <cellStyle name="Total 2 3 27 7" xfId="47694"/>
    <cellStyle name="Total 2 3 28" xfId="4119"/>
    <cellStyle name="Total 2 3 28 2" xfId="11879"/>
    <cellStyle name="Total 2 3 28 3" xfId="20829"/>
    <cellStyle name="Total 2 3 28 4" xfId="29016"/>
    <cellStyle name="Total 2 3 28 5" xfId="38393"/>
    <cellStyle name="Total 2 3 28 6" xfId="42681"/>
    <cellStyle name="Total 2 3 28 7" xfId="52637"/>
    <cellStyle name="Total 2 3 29" xfId="3626"/>
    <cellStyle name="Total 2 3 29 2" xfId="20553"/>
    <cellStyle name="Total 2 3 29 3" xfId="28686"/>
    <cellStyle name="Total 2 3 29 4" xfId="38073"/>
    <cellStyle name="Total 2 3 29 5" xfId="42523"/>
    <cellStyle name="Total 2 3 29 6" xfId="49341"/>
    <cellStyle name="Total 2 3 3" xfId="776"/>
    <cellStyle name="Total 2 3 3 2" xfId="8600"/>
    <cellStyle name="Total 2 3 3 3" xfId="16028"/>
    <cellStyle name="Total 2 3 3 4" xfId="19774"/>
    <cellStyle name="Total 2 3 3 5" xfId="27030"/>
    <cellStyle name="Total 2 3 3 6" xfId="38167"/>
    <cellStyle name="Total 2 3 3 7" xfId="47653"/>
    <cellStyle name="Total 2 3 30" xfId="4316"/>
    <cellStyle name="Total 2 3 30 2" xfId="12033"/>
    <cellStyle name="Total 2 3 30 3" xfId="21026"/>
    <cellStyle name="Total 2 3 30 4" xfId="29213"/>
    <cellStyle name="Total 2 3 30 5" xfId="38584"/>
    <cellStyle name="Total 2 3 30 6" xfId="42878"/>
    <cellStyle name="Total 2 3 30 7" xfId="47021"/>
    <cellStyle name="Total 2 3 31" xfId="4439"/>
    <cellStyle name="Total 2 3 31 2" xfId="12156"/>
    <cellStyle name="Total 2 3 31 3" xfId="21149"/>
    <cellStyle name="Total 2 3 31 4" xfId="29336"/>
    <cellStyle name="Total 2 3 31 5" xfId="38702"/>
    <cellStyle name="Total 2 3 31 6" xfId="43001"/>
    <cellStyle name="Total 2 3 31 7" xfId="51341"/>
    <cellStyle name="Total 2 3 32" xfId="4553"/>
    <cellStyle name="Total 2 3 32 2" xfId="12270"/>
    <cellStyle name="Total 2 3 32 3" xfId="21263"/>
    <cellStyle name="Total 2 3 32 4" xfId="29450"/>
    <cellStyle name="Total 2 3 32 5" xfId="38811"/>
    <cellStyle name="Total 2 3 32 6" xfId="43115"/>
    <cellStyle name="Total 2 3 32 7" xfId="54427"/>
    <cellStyle name="Total 2 3 33" xfId="4666"/>
    <cellStyle name="Total 2 3 33 2" xfId="12383"/>
    <cellStyle name="Total 2 3 33 3" xfId="21376"/>
    <cellStyle name="Total 2 3 33 4" xfId="29563"/>
    <cellStyle name="Total 2 3 33 5" xfId="38920"/>
    <cellStyle name="Total 2 3 33 6" xfId="43228"/>
    <cellStyle name="Total 2 3 33 7" xfId="50462"/>
    <cellStyle name="Total 2 3 34" xfId="4778"/>
    <cellStyle name="Total 2 3 34 2" xfId="12495"/>
    <cellStyle name="Total 2 3 34 3" xfId="21488"/>
    <cellStyle name="Total 2 3 34 4" xfId="29675"/>
    <cellStyle name="Total 2 3 34 5" xfId="39029"/>
    <cellStyle name="Total 2 3 34 6" xfId="43340"/>
    <cellStyle name="Total 2 3 34 7" xfId="53963"/>
    <cellStyle name="Total 2 3 35" xfId="4886"/>
    <cellStyle name="Total 2 3 35 2" xfId="12603"/>
    <cellStyle name="Total 2 3 35 3" xfId="21596"/>
    <cellStyle name="Total 2 3 35 4" xfId="29783"/>
    <cellStyle name="Total 2 3 35 5" xfId="39132"/>
    <cellStyle name="Total 2 3 35 6" xfId="43448"/>
    <cellStyle name="Total 2 3 35 7" xfId="50391"/>
    <cellStyle name="Total 2 3 36" xfId="4998"/>
    <cellStyle name="Total 2 3 36 2" xfId="12715"/>
    <cellStyle name="Total 2 3 36 3" xfId="21708"/>
    <cellStyle name="Total 2 3 36 4" xfId="29895"/>
    <cellStyle name="Total 2 3 36 5" xfId="39241"/>
    <cellStyle name="Total 2 3 36 6" xfId="43560"/>
    <cellStyle name="Total 2 3 36 7" xfId="54114"/>
    <cellStyle name="Total 2 3 37" xfId="5115"/>
    <cellStyle name="Total 2 3 37 2" xfId="12832"/>
    <cellStyle name="Total 2 3 37 3" xfId="21825"/>
    <cellStyle name="Total 2 3 37 4" xfId="30012"/>
    <cellStyle name="Total 2 3 37 5" xfId="39353"/>
    <cellStyle name="Total 2 3 37 6" xfId="43677"/>
    <cellStyle name="Total 2 3 37 7" xfId="49048"/>
    <cellStyle name="Total 2 3 38" xfId="5496"/>
    <cellStyle name="Total 2 3 38 2" xfId="13213"/>
    <cellStyle name="Total 2 3 38 3" xfId="22206"/>
    <cellStyle name="Total 2 3 38 4" xfId="30393"/>
    <cellStyle name="Total 2 3 38 5" xfId="39718"/>
    <cellStyle name="Total 2 3 38 6" xfId="44058"/>
    <cellStyle name="Total 2 3 38 7" xfId="49056"/>
    <cellStyle name="Total 2 3 39" xfId="5621"/>
    <cellStyle name="Total 2 3 39 2" xfId="13338"/>
    <cellStyle name="Total 2 3 39 3" xfId="22331"/>
    <cellStyle name="Total 2 3 39 4" xfId="30518"/>
    <cellStyle name="Total 2 3 39 5" xfId="39839"/>
    <cellStyle name="Total 2 3 39 6" xfId="44183"/>
    <cellStyle name="Total 2 3 39 7" xfId="46905"/>
    <cellStyle name="Total 2 3 4" xfId="888"/>
    <cellStyle name="Total 2 3 4 2" xfId="8712"/>
    <cellStyle name="Total 2 3 4 3" xfId="16140"/>
    <cellStyle name="Total 2 3 4 4" xfId="26475"/>
    <cellStyle name="Total 2 3 4 5" xfId="35256"/>
    <cellStyle name="Total 2 3 4 6" xfId="37728"/>
    <cellStyle name="Total 2 3 4 7" xfId="54018"/>
    <cellStyle name="Total 2 3 40" xfId="5736"/>
    <cellStyle name="Total 2 3 40 2" xfId="13453"/>
    <cellStyle name="Total 2 3 40 3" xfId="22446"/>
    <cellStyle name="Total 2 3 40 4" xfId="30633"/>
    <cellStyle name="Total 2 3 40 5" xfId="39950"/>
    <cellStyle name="Total 2 3 40 6" xfId="44298"/>
    <cellStyle name="Total 2 3 40 7" xfId="53636"/>
    <cellStyle name="Total 2 3 41" xfId="5853"/>
    <cellStyle name="Total 2 3 41 2" xfId="13570"/>
    <cellStyle name="Total 2 3 41 3" xfId="22563"/>
    <cellStyle name="Total 2 3 41 4" xfId="30750"/>
    <cellStyle name="Total 2 3 41 5" xfId="40064"/>
    <cellStyle name="Total 2 3 41 6" xfId="44415"/>
    <cellStyle name="Total 2 3 41 7" xfId="54108"/>
    <cellStyle name="Total 2 3 42" xfId="5981"/>
    <cellStyle name="Total 2 3 42 2" xfId="13698"/>
    <cellStyle name="Total 2 3 42 3" xfId="22691"/>
    <cellStyle name="Total 2 3 42 4" xfId="30878"/>
    <cellStyle name="Total 2 3 42 5" xfId="40187"/>
    <cellStyle name="Total 2 3 42 6" xfId="44543"/>
    <cellStyle name="Total 2 3 42 7" xfId="48259"/>
    <cellStyle name="Total 2 3 43" xfId="5226"/>
    <cellStyle name="Total 2 3 43 2" xfId="12943"/>
    <cellStyle name="Total 2 3 43 3" xfId="21936"/>
    <cellStyle name="Total 2 3 43 4" xfId="30123"/>
    <cellStyle name="Total 2 3 43 5" xfId="39458"/>
    <cellStyle name="Total 2 3 43 6" xfId="43788"/>
    <cellStyle name="Total 2 3 43 7" xfId="54225"/>
    <cellStyle name="Total 2 3 44" xfId="6237"/>
    <cellStyle name="Total 2 3 44 2" xfId="13954"/>
    <cellStyle name="Total 2 3 44 3" xfId="22947"/>
    <cellStyle name="Total 2 3 44 4" xfId="31134"/>
    <cellStyle name="Total 2 3 44 5" xfId="40435"/>
    <cellStyle name="Total 2 3 44 6" xfId="44799"/>
    <cellStyle name="Total 2 3 44 7" xfId="51517"/>
    <cellStyle name="Total 2 3 45" xfId="6354"/>
    <cellStyle name="Total 2 3 45 2" xfId="14071"/>
    <cellStyle name="Total 2 3 45 3" xfId="23064"/>
    <cellStyle name="Total 2 3 45 4" xfId="31251"/>
    <cellStyle name="Total 2 3 45 5" xfId="40549"/>
    <cellStyle name="Total 2 3 45 6" xfId="44916"/>
    <cellStyle name="Total 2 3 45 7" xfId="48440"/>
    <cellStyle name="Total 2 3 46" xfId="6464"/>
    <cellStyle name="Total 2 3 46 2" xfId="14181"/>
    <cellStyle name="Total 2 3 46 3" xfId="23174"/>
    <cellStyle name="Total 2 3 46 4" xfId="31361"/>
    <cellStyle name="Total 2 3 46 5" xfId="40655"/>
    <cellStyle name="Total 2 3 46 6" xfId="45026"/>
    <cellStyle name="Total 2 3 46 7" xfId="49412"/>
    <cellStyle name="Total 2 3 47" xfId="5375"/>
    <cellStyle name="Total 2 3 47 2" xfId="13092"/>
    <cellStyle name="Total 2 3 47 3" xfId="22085"/>
    <cellStyle name="Total 2 3 47 4" xfId="30272"/>
    <cellStyle name="Total 2 3 47 5" xfId="39603"/>
    <cellStyle name="Total 2 3 47 6" xfId="43937"/>
    <cellStyle name="Total 2 3 47 7" xfId="53912"/>
    <cellStyle name="Total 2 3 48" xfId="6611"/>
    <cellStyle name="Total 2 3 48 2" xfId="14328"/>
    <cellStyle name="Total 2 3 48 3" xfId="23321"/>
    <cellStyle name="Total 2 3 48 4" xfId="31508"/>
    <cellStyle name="Total 2 3 48 5" xfId="40795"/>
    <cellStyle name="Total 2 3 48 6" xfId="45173"/>
    <cellStyle name="Total 2 3 48 7" xfId="49552"/>
    <cellStyle name="Total 2 3 49" xfId="6722"/>
    <cellStyle name="Total 2 3 49 2" xfId="14439"/>
    <cellStyle name="Total 2 3 49 3" xfId="23432"/>
    <cellStyle name="Total 2 3 49 4" xfId="31619"/>
    <cellStyle name="Total 2 3 49 5" xfId="40900"/>
    <cellStyle name="Total 2 3 49 6" xfId="45284"/>
    <cellStyle name="Total 2 3 49 7" xfId="51661"/>
    <cellStyle name="Total 2 3 5" xfId="1353"/>
    <cellStyle name="Total 2 3 5 2" xfId="9176"/>
    <cellStyle name="Total 2 3 5 3" xfId="16604"/>
    <cellStyle name="Total 2 3 5 4" xfId="19502"/>
    <cellStyle name="Total 2 3 5 5" xfId="28585"/>
    <cellStyle name="Total 2 3 5 6" xfId="41477"/>
    <cellStyle name="Total 2 3 5 7" xfId="47332"/>
    <cellStyle name="Total 2 3 50" xfId="6837"/>
    <cellStyle name="Total 2 3 50 2" xfId="14554"/>
    <cellStyle name="Total 2 3 50 3" xfId="23547"/>
    <cellStyle name="Total 2 3 50 4" xfId="31734"/>
    <cellStyle name="Total 2 3 50 5" xfId="41008"/>
    <cellStyle name="Total 2 3 50 6" xfId="45399"/>
    <cellStyle name="Total 2 3 50 7" xfId="48472"/>
    <cellStyle name="Total 2 3 51" xfId="6950"/>
    <cellStyle name="Total 2 3 51 2" xfId="14667"/>
    <cellStyle name="Total 2 3 51 3" xfId="23660"/>
    <cellStyle name="Total 2 3 51 4" xfId="31847"/>
    <cellStyle name="Total 2 3 51 5" xfId="41116"/>
    <cellStyle name="Total 2 3 51 6" xfId="45512"/>
    <cellStyle name="Total 2 3 51 7" xfId="47037"/>
    <cellStyle name="Total 2 3 52" xfId="7062"/>
    <cellStyle name="Total 2 3 52 2" xfId="14779"/>
    <cellStyle name="Total 2 3 52 3" xfId="23772"/>
    <cellStyle name="Total 2 3 52 4" xfId="31959"/>
    <cellStyle name="Total 2 3 52 5" xfId="41222"/>
    <cellStyle name="Total 2 3 52 6" xfId="45624"/>
    <cellStyle name="Total 2 3 52 7" xfId="53150"/>
    <cellStyle name="Total 2 3 53" xfId="7372"/>
    <cellStyle name="Total 2 3 53 2" xfId="15089"/>
    <cellStyle name="Total 2 3 53 3" xfId="24082"/>
    <cellStyle name="Total 2 3 53 4" xfId="32269"/>
    <cellStyle name="Total 2 3 53 5" xfId="41525"/>
    <cellStyle name="Total 2 3 53 6" xfId="45934"/>
    <cellStyle name="Total 2 3 53 7" xfId="48696"/>
    <cellStyle name="Total 2 3 54" xfId="7250"/>
    <cellStyle name="Total 2 3 54 2" xfId="14967"/>
    <cellStyle name="Total 2 3 54 3" xfId="23960"/>
    <cellStyle name="Total 2 3 54 4" xfId="32147"/>
    <cellStyle name="Total 2 3 54 5" xfId="41403"/>
    <cellStyle name="Total 2 3 54 6" xfId="45812"/>
    <cellStyle name="Total 2 3 54 7" xfId="54512"/>
    <cellStyle name="Total 2 3 55" xfId="7459"/>
    <cellStyle name="Total 2 3 55 2" xfId="15176"/>
    <cellStyle name="Total 2 3 55 3" xfId="24169"/>
    <cellStyle name="Total 2 3 55 4" xfId="32356"/>
    <cellStyle name="Total 2 3 55 5" xfId="41605"/>
    <cellStyle name="Total 2 3 55 6" xfId="46021"/>
    <cellStyle name="Total 2 3 55 7" xfId="47832"/>
    <cellStyle name="Total 2 3 56" xfId="7580"/>
    <cellStyle name="Total 2 3 56 2" xfId="15297"/>
    <cellStyle name="Total 2 3 56 3" xfId="24290"/>
    <cellStyle name="Total 2 3 56 4" xfId="32477"/>
    <cellStyle name="Total 2 3 56 5" xfId="41720"/>
    <cellStyle name="Total 2 3 56 6" xfId="46142"/>
    <cellStyle name="Total 2 3 56 7" xfId="49140"/>
    <cellStyle name="Total 2 3 57" xfId="7856"/>
    <cellStyle name="Total 2 3 57 2" xfId="15573"/>
    <cellStyle name="Total 2 3 57 3" xfId="24560"/>
    <cellStyle name="Total 2 3 57 4" xfId="32753"/>
    <cellStyle name="Total 2 3 57 5" xfId="41985"/>
    <cellStyle name="Total 2 3 57 6" xfId="46418"/>
    <cellStyle name="Total 2 3 57 7" xfId="50435"/>
    <cellStyle name="Total 2 3 58" xfId="7918"/>
    <cellStyle name="Total 2 3 58 2" xfId="15635"/>
    <cellStyle name="Total 2 3 58 3" xfId="24622"/>
    <cellStyle name="Total 2 3 58 4" xfId="32815"/>
    <cellStyle name="Total 2 3 58 5" xfId="42046"/>
    <cellStyle name="Total 2 3 58 6" xfId="46480"/>
    <cellStyle name="Total 2 3 58 7" xfId="51114"/>
    <cellStyle name="Total 2 3 59" xfId="7718"/>
    <cellStyle name="Total 2 3 59 2" xfId="15435"/>
    <cellStyle name="Total 2 3 59 3" xfId="24426"/>
    <cellStyle name="Total 2 3 59 4" xfId="32615"/>
    <cellStyle name="Total 2 3 59 5" xfId="41852"/>
    <cellStyle name="Total 2 3 59 6" xfId="46280"/>
    <cellStyle name="Total 2 3 59 7" xfId="50047"/>
    <cellStyle name="Total 2 3 6" xfId="1476"/>
    <cellStyle name="Total 2 3 6 2" xfId="9299"/>
    <cellStyle name="Total 2 3 6 3" xfId="16727"/>
    <cellStyle name="Total 2 3 6 4" xfId="26346"/>
    <cellStyle name="Total 2 3 6 5" xfId="35072"/>
    <cellStyle name="Total 2 3 6 6" xfId="36320"/>
    <cellStyle name="Total 2 3 6 7" xfId="53726"/>
    <cellStyle name="Total 2 3 60" xfId="8132"/>
    <cellStyle name="Total 2 3 60 2" xfId="15849"/>
    <cellStyle name="Total 2 3 60 3" xfId="33029"/>
    <cellStyle name="Total 2 3 60 4" xfId="42249"/>
    <cellStyle name="Total 2 3 60 5" xfId="46694"/>
    <cellStyle name="Total 2 3 60 6" xfId="49745"/>
    <cellStyle name="Total 2 3 61" xfId="20046"/>
    <cellStyle name="Total 2 3 62" xfId="27514"/>
    <cellStyle name="Total 2 3 63" xfId="37222"/>
    <cellStyle name="Total 2 3 64" xfId="50239"/>
    <cellStyle name="Total 2 3 7" xfId="1258"/>
    <cellStyle name="Total 2 3 7 2" xfId="9081"/>
    <cellStyle name="Total 2 3 7 3" xfId="16509"/>
    <cellStyle name="Total 2 3 7 4" xfId="19541"/>
    <cellStyle name="Total 2 3 7 5" xfId="28092"/>
    <cellStyle name="Total 2 3 7 6" xfId="36874"/>
    <cellStyle name="Total 2 3 7 7" xfId="47197"/>
    <cellStyle name="Total 2 3 8" xfId="1713"/>
    <cellStyle name="Total 2 3 8 2" xfId="9536"/>
    <cellStyle name="Total 2 3 8 3" xfId="16964"/>
    <cellStyle name="Total 2 3 8 4" xfId="26030"/>
    <cellStyle name="Total 2 3 8 5" xfId="34661"/>
    <cellStyle name="Total 2 3 8 6" xfId="36600"/>
    <cellStyle name="Total 2 3 8 7" xfId="53056"/>
    <cellStyle name="Total 2 3 9" xfId="1847"/>
    <cellStyle name="Total 2 3 9 2" xfId="9670"/>
    <cellStyle name="Total 2 3 9 3" xfId="17098"/>
    <cellStyle name="Total 2 3 9 4" xfId="26265"/>
    <cellStyle name="Total 2 3 9 5" xfId="34963"/>
    <cellStyle name="Total 2 3 9 6" xfId="37017"/>
    <cellStyle name="Total 2 3 9 7" xfId="53570"/>
    <cellStyle name="Total 2 30" xfId="7268"/>
    <cellStyle name="Total 2 30 2" xfId="14985"/>
    <cellStyle name="Total 2 30 3" xfId="23978"/>
    <cellStyle name="Total 2 30 4" xfId="32165"/>
    <cellStyle name="Total 2 30 5" xfId="41421"/>
    <cellStyle name="Total 2 30 6" xfId="45830"/>
    <cellStyle name="Total 2 30 7" xfId="52738"/>
    <cellStyle name="Total 2 31" xfId="7272"/>
    <cellStyle name="Total 2 31 2" xfId="14989"/>
    <cellStyle name="Total 2 31 3" xfId="23982"/>
    <cellStyle name="Total 2 31 4" xfId="32169"/>
    <cellStyle name="Total 2 31 5" xfId="41425"/>
    <cellStyle name="Total 2 31 6" xfId="45834"/>
    <cellStyle name="Total 2 31 7" xfId="52264"/>
    <cellStyle name="Total 2 32" xfId="7705"/>
    <cellStyle name="Total 2 32 2" xfId="15422"/>
    <cellStyle name="Total 2 32 3" xfId="24413"/>
    <cellStyle name="Total 2 32 4" xfId="32602"/>
    <cellStyle name="Total 2 32 5" xfId="41839"/>
    <cellStyle name="Total 2 32 6" xfId="46267"/>
    <cellStyle name="Total 2 32 7" xfId="51345"/>
    <cellStyle name="Total 2 33" xfId="19711"/>
    <cellStyle name="Total 2 34" xfId="28192"/>
    <cellStyle name="Total 2 35" xfId="37060"/>
    <cellStyle name="Total 2 36" xfId="49961"/>
    <cellStyle name="Total 2 4" xfId="563"/>
    <cellStyle name="Total 2 4 10" xfId="2010"/>
    <cellStyle name="Total 2 4 10 2" xfId="9833"/>
    <cellStyle name="Total 2 4 10 3" xfId="17261"/>
    <cellStyle name="Total 2 4 10 4" xfId="25507"/>
    <cellStyle name="Total 2 4 10 5" xfId="33985"/>
    <cellStyle name="Total 2 4 10 6" xfId="42039"/>
    <cellStyle name="Total 2 4 10 7" xfId="51888"/>
    <cellStyle name="Total 2 4 11" xfId="2127"/>
    <cellStyle name="Total 2 4 11 2" xfId="9950"/>
    <cellStyle name="Total 2 4 11 3" xfId="17378"/>
    <cellStyle name="Total 2 4 11 4" xfId="25746"/>
    <cellStyle name="Total 2 4 11 5" xfId="34297"/>
    <cellStyle name="Total 2 4 11 6" xfId="37574"/>
    <cellStyle name="Total 2 4 11 7" xfId="52424"/>
    <cellStyle name="Total 2 4 12" xfId="2241"/>
    <cellStyle name="Total 2 4 12 2" xfId="10064"/>
    <cellStyle name="Total 2 4 12 3" xfId="17492"/>
    <cellStyle name="Total 2 4 12 4" xfId="19220"/>
    <cellStyle name="Total 2 4 12 5" xfId="27432"/>
    <cellStyle name="Total 2 4 12 6" xfId="40670"/>
    <cellStyle name="Total 2 4 12 7" xfId="48693"/>
    <cellStyle name="Total 2 4 13" xfId="1577"/>
    <cellStyle name="Total 2 4 13 2" xfId="9400"/>
    <cellStyle name="Total 2 4 13 3" xfId="16828"/>
    <cellStyle name="Total 2 4 13 4" xfId="25849"/>
    <cellStyle name="Total 2 4 13 5" xfId="34436"/>
    <cellStyle name="Total 2 4 13 6" xfId="40779"/>
    <cellStyle name="Total 2 4 13 7" xfId="52668"/>
    <cellStyle name="Total 2 4 14" xfId="1926"/>
    <cellStyle name="Total 2 4 14 2" xfId="9749"/>
    <cellStyle name="Total 2 4 14 3" xfId="17177"/>
    <cellStyle name="Total 2 4 14 4" xfId="26650"/>
    <cellStyle name="Total 2 4 14 5" xfId="35494"/>
    <cellStyle name="Total 2 4 14 6" xfId="41374"/>
    <cellStyle name="Total 2 4 14 7" xfId="54393"/>
    <cellStyle name="Total 2 4 15" xfId="2538"/>
    <cellStyle name="Total 2 4 15 2" xfId="10361"/>
    <cellStyle name="Total 2 4 15 3" xfId="17789"/>
    <cellStyle name="Total 2 4 15 4" xfId="20086"/>
    <cellStyle name="Total 2 4 15 5" xfId="26736"/>
    <cellStyle name="Total 2 4 15 6" xfId="41332"/>
    <cellStyle name="Total 2 4 15 7" xfId="49752"/>
    <cellStyle name="Total 2 4 16" xfId="2652"/>
    <cellStyle name="Total 2 4 16 2" xfId="10475"/>
    <cellStyle name="Total 2 4 16 3" xfId="17903"/>
    <cellStyle name="Total 2 4 16 4" xfId="20293"/>
    <cellStyle name="Total 2 4 16 5" xfId="27091"/>
    <cellStyle name="Total 2 4 16 6" xfId="37261"/>
    <cellStyle name="Total 2 4 16 7" xfId="47548"/>
    <cellStyle name="Total 2 4 17" xfId="1793"/>
    <cellStyle name="Total 2 4 17 2" xfId="9616"/>
    <cellStyle name="Total 2 4 17 3" xfId="17044"/>
    <cellStyle name="Total 2 4 17 4" xfId="25589"/>
    <cellStyle name="Total 2 4 17 5" xfId="34098"/>
    <cellStyle name="Total 2 4 17 6" xfId="41765"/>
    <cellStyle name="Total 2 4 17 7" xfId="52074"/>
    <cellStyle name="Total 2 4 18" xfId="2713"/>
    <cellStyle name="Total 2 4 18 2" xfId="10536"/>
    <cellStyle name="Total 2 4 18 3" xfId="17964"/>
    <cellStyle name="Total 2 4 18 4" xfId="25339"/>
    <cellStyle name="Total 2 4 18 5" xfId="33771"/>
    <cellStyle name="Total 2 4 18 6" xfId="38360"/>
    <cellStyle name="Total 2 4 18 7" xfId="51508"/>
    <cellStyle name="Total 2 4 19" xfId="2843"/>
    <cellStyle name="Total 2 4 19 2" xfId="10666"/>
    <cellStyle name="Total 2 4 19 3" xfId="18094"/>
    <cellStyle name="Total 2 4 19 4" xfId="26642"/>
    <cellStyle name="Total 2 4 19 5" xfId="35480"/>
    <cellStyle name="Total 2 4 19 6" xfId="40212"/>
    <cellStyle name="Total 2 4 19 7" xfId="54373"/>
    <cellStyle name="Total 2 4 2" xfId="711"/>
    <cellStyle name="Total 2 4 2 2" xfId="8535"/>
    <cellStyle name="Total 2 4 2 3" xfId="15963"/>
    <cellStyle name="Total 2 4 2 4" xfId="25833"/>
    <cellStyle name="Total 2 4 2 5" xfId="34417"/>
    <cellStyle name="Total 2 4 2 6" xfId="37149"/>
    <cellStyle name="Total 2 4 2 7" xfId="52638"/>
    <cellStyle name="Total 2 4 20" xfId="2950"/>
    <cellStyle name="Total 2 4 20 2" xfId="10773"/>
    <cellStyle name="Total 2 4 20 3" xfId="18201"/>
    <cellStyle name="Total 2 4 20 4" xfId="25044"/>
    <cellStyle name="Total 2 4 20 5" xfId="33403"/>
    <cellStyle name="Total 2 4 20 6" xfId="39158"/>
    <cellStyle name="Total 2 4 20 7" xfId="50892"/>
    <cellStyle name="Total 2 4 21" xfId="3327"/>
    <cellStyle name="Total 2 4 21 2" xfId="11120"/>
    <cellStyle name="Total 2 4 21 3" xfId="18448"/>
    <cellStyle name="Total 2 4 21 4" xfId="19165"/>
    <cellStyle name="Total 2 4 21 5" xfId="28714"/>
    <cellStyle name="Total 2 4 21 6" xfId="37398"/>
    <cellStyle name="Total 2 4 21 7" xfId="49229"/>
    <cellStyle name="Total 2 4 22" xfId="3446"/>
    <cellStyle name="Total 2 4 22 2" xfId="11237"/>
    <cellStyle name="Total 2 4 22 3" xfId="18559"/>
    <cellStyle name="Total 2 4 22 4" xfId="25480"/>
    <cellStyle name="Total 2 4 22 5" xfId="33953"/>
    <cellStyle name="Total 2 4 22 6" xfId="36533"/>
    <cellStyle name="Total 2 4 22 7" xfId="51832"/>
    <cellStyle name="Total 2 4 23" xfId="3606"/>
    <cellStyle name="Total 2 4 23 2" xfId="11392"/>
    <cellStyle name="Total 2 4 23 3" xfId="18666"/>
    <cellStyle name="Total 2 4 23 4" xfId="25280"/>
    <cellStyle name="Total 2 4 23 5" xfId="33692"/>
    <cellStyle name="Total 2 4 23 6" xfId="38557"/>
    <cellStyle name="Total 2 4 23 7" xfId="51389"/>
    <cellStyle name="Total 2 4 24" xfId="3719"/>
    <cellStyle name="Total 2 4 24 2" xfId="11504"/>
    <cellStyle name="Total 2 4 24 3" xfId="18776"/>
    <cellStyle name="Total 2 4 24 4" xfId="19651"/>
    <cellStyle name="Total 2 4 24 5" xfId="27268"/>
    <cellStyle name="Total 2 4 24 6" xfId="41445"/>
    <cellStyle name="Total 2 4 24 7" xfId="47006"/>
    <cellStyle name="Total 2 4 25" xfId="3848"/>
    <cellStyle name="Total 2 4 25 2" xfId="11630"/>
    <cellStyle name="Total 2 4 25 3" xfId="18886"/>
    <cellStyle name="Total 2 4 25 4" xfId="19895"/>
    <cellStyle name="Total 2 4 25 5" xfId="28210"/>
    <cellStyle name="Total 2 4 25 6" xfId="36884"/>
    <cellStyle name="Total 2 4 25 7" xfId="47407"/>
    <cellStyle name="Total 2 4 26" xfId="3967"/>
    <cellStyle name="Total 2 4 26 2" xfId="11746"/>
    <cellStyle name="Total 2 4 26 3" xfId="18995"/>
    <cellStyle name="Total 2 4 26 4" xfId="26079"/>
    <cellStyle name="Total 2 4 26 5" xfId="34726"/>
    <cellStyle name="Total 2 4 26 6" xfId="40050"/>
    <cellStyle name="Total 2 4 26 7" xfId="53167"/>
    <cellStyle name="Total 2 4 27" xfId="3765"/>
    <cellStyle name="Total 2 4 27 2" xfId="11549"/>
    <cellStyle name="Total 2 4 27 3" xfId="20615"/>
    <cellStyle name="Total 2 4 27 4" xfId="28765"/>
    <cellStyle name="Total 2 4 27 5" xfId="38153"/>
    <cellStyle name="Total 2 4 27 6" xfId="42541"/>
    <cellStyle name="Total 2 4 27 7" xfId="51644"/>
    <cellStyle name="Total 2 4 28" xfId="4163"/>
    <cellStyle name="Total 2 4 28 2" xfId="11922"/>
    <cellStyle name="Total 2 4 28 3" xfId="20873"/>
    <cellStyle name="Total 2 4 28 4" xfId="29060"/>
    <cellStyle name="Total 2 4 28 5" xfId="38436"/>
    <cellStyle name="Total 2 4 28 6" xfId="42725"/>
    <cellStyle name="Total 2 4 28 7" xfId="49622"/>
    <cellStyle name="Total 2 4 29" xfId="4242"/>
    <cellStyle name="Total 2 4 29 2" xfId="20952"/>
    <cellStyle name="Total 2 4 29 3" xfId="29139"/>
    <cellStyle name="Total 2 4 29 4" xfId="38513"/>
    <cellStyle name="Total 2 4 29 5" xfId="42804"/>
    <cellStyle name="Total 2 4 29 6" xfId="47982"/>
    <cellStyle name="Total 2 4 3" xfId="820"/>
    <cellStyle name="Total 2 4 3 2" xfId="8644"/>
    <cellStyle name="Total 2 4 3 3" xfId="16072"/>
    <cellStyle name="Total 2 4 3 4" xfId="26558"/>
    <cellStyle name="Total 2 4 3 5" xfId="35367"/>
    <cellStyle name="Total 2 4 3 6" xfId="37514"/>
    <cellStyle name="Total 2 4 3 7" xfId="54189"/>
    <cellStyle name="Total 2 4 30" xfId="4361"/>
    <cellStyle name="Total 2 4 30 2" xfId="12078"/>
    <cellStyle name="Total 2 4 30 3" xfId="21071"/>
    <cellStyle name="Total 2 4 30 4" xfId="29258"/>
    <cellStyle name="Total 2 4 30 5" xfId="38628"/>
    <cellStyle name="Total 2 4 30 6" xfId="42923"/>
    <cellStyle name="Total 2 4 30 7" xfId="52524"/>
    <cellStyle name="Total 2 4 31" xfId="4483"/>
    <cellStyle name="Total 2 4 31 2" xfId="12200"/>
    <cellStyle name="Total 2 4 31 3" xfId="21193"/>
    <cellStyle name="Total 2 4 31 4" xfId="29380"/>
    <cellStyle name="Total 2 4 31 5" xfId="38745"/>
    <cellStyle name="Total 2 4 31 6" xfId="43045"/>
    <cellStyle name="Total 2 4 31 7" xfId="53227"/>
    <cellStyle name="Total 2 4 32" xfId="4597"/>
    <cellStyle name="Total 2 4 32 2" xfId="12314"/>
    <cellStyle name="Total 2 4 32 3" xfId="21307"/>
    <cellStyle name="Total 2 4 32 4" xfId="29494"/>
    <cellStyle name="Total 2 4 32 5" xfId="38854"/>
    <cellStyle name="Total 2 4 32 6" xfId="43159"/>
    <cellStyle name="Total 2 4 32 7" xfId="50105"/>
    <cellStyle name="Total 2 4 33" xfId="4710"/>
    <cellStyle name="Total 2 4 33 2" xfId="12427"/>
    <cellStyle name="Total 2 4 33 3" xfId="21420"/>
    <cellStyle name="Total 2 4 33 4" xfId="29607"/>
    <cellStyle name="Total 2 4 33 5" xfId="38963"/>
    <cellStyle name="Total 2 4 33 6" xfId="43272"/>
    <cellStyle name="Total 2 4 33 7" xfId="53371"/>
    <cellStyle name="Total 2 4 34" xfId="4820"/>
    <cellStyle name="Total 2 4 34 2" xfId="12537"/>
    <cellStyle name="Total 2 4 34 3" xfId="21530"/>
    <cellStyle name="Total 2 4 34 4" xfId="29717"/>
    <cellStyle name="Total 2 4 34 5" xfId="39070"/>
    <cellStyle name="Total 2 4 34 6" xfId="43382"/>
    <cellStyle name="Total 2 4 34 7" xfId="47441"/>
    <cellStyle name="Total 2 4 35" xfId="4930"/>
    <cellStyle name="Total 2 4 35 2" xfId="12647"/>
    <cellStyle name="Total 2 4 35 3" xfId="21640"/>
    <cellStyle name="Total 2 4 35 4" xfId="29827"/>
    <cellStyle name="Total 2 4 35 5" xfId="39175"/>
    <cellStyle name="Total 2 4 35 6" xfId="43492"/>
    <cellStyle name="Total 2 4 35 7" xfId="48573"/>
    <cellStyle name="Total 2 4 36" xfId="5040"/>
    <cellStyle name="Total 2 4 36 2" xfId="12757"/>
    <cellStyle name="Total 2 4 36 3" xfId="21750"/>
    <cellStyle name="Total 2 4 36 4" xfId="29937"/>
    <cellStyle name="Total 2 4 36 5" xfId="39282"/>
    <cellStyle name="Total 2 4 36 6" xfId="43602"/>
    <cellStyle name="Total 2 4 36 7" xfId="50098"/>
    <cellStyle name="Total 2 4 37" xfId="5420"/>
    <cellStyle name="Total 2 4 37 2" xfId="13137"/>
    <cellStyle name="Total 2 4 37 3" xfId="22130"/>
    <cellStyle name="Total 2 4 37 4" xfId="30317"/>
    <cellStyle name="Total 2 4 37 5" xfId="39647"/>
    <cellStyle name="Total 2 4 37 6" xfId="43982"/>
    <cellStyle name="Total 2 4 37 7" xfId="49310"/>
    <cellStyle name="Total 2 4 38" xfId="5540"/>
    <cellStyle name="Total 2 4 38 2" xfId="13257"/>
    <cellStyle name="Total 2 4 38 3" xfId="22250"/>
    <cellStyle name="Total 2 4 38 4" xfId="30437"/>
    <cellStyle name="Total 2 4 38 5" xfId="39761"/>
    <cellStyle name="Total 2 4 38 6" xfId="44102"/>
    <cellStyle name="Total 2 4 38 7" xfId="47184"/>
    <cellStyle name="Total 2 4 39" xfId="5664"/>
    <cellStyle name="Total 2 4 39 2" xfId="13381"/>
    <cellStyle name="Total 2 4 39 3" xfId="22374"/>
    <cellStyle name="Total 2 4 39 4" xfId="30561"/>
    <cellStyle name="Total 2 4 39 5" xfId="39881"/>
    <cellStyle name="Total 2 4 39 6" xfId="44226"/>
    <cellStyle name="Total 2 4 39 7" xfId="46827"/>
    <cellStyle name="Total 2 4 4" xfId="930"/>
    <cellStyle name="Total 2 4 4 2" xfId="8754"/>
    <cellStyle name="Total 2 4 4 3" xfId="16182"/>
    <cellStyle name="Total 2 4 4 4" xfId="19773"/>
    <cellStyle name="Total 2 4 4 5" xfId="28051"/>
    <cellStyle name="Total 2 4 4 6" xfId="37019"/>
    <cellStyle name="Total 2 4 4 7" xfId="50119"/>
    <cellStyle name="Total 2 4 40" xfId="5780"/>
    <cellStyle name="Total 2 4 40 2" xfId="13497"/>
    <cellStyle name="Total 2 4 40 3" xfId="22490"/>
    <cellStyle name="Total 2 4 40 4" xfId="30677"/>
    <cellStyle name="Total 2 4 40 5" xfId="39993"/>
    <cellStyle name="Total 2 4 40 6" xfId="44342"/>
    <cellStyle name="Total 2 4 40 7" xfId="49024"/>
    <cellStyle name="Total 2 4 41" xfId="5897"/>
    <cellStyle name="Total 2 4 41 2" xfId="13614"/>
    <cellStyle name="Total 2 4 41 3" xfId="22607"/>
    <cellStyle name="Total 2 4 41 4" xfId="30794"/>
    <cellStyle name="Total 2 4 41 5" xfId="40107"/>
    <cellStyle name="Total 2 4 41 6" xfId="44459"/>
    <cellStyle name="Total 2 4 41 7" xfId="49411"/>
    <cellStyle name="Total 2 4 42" xfId="6025"/>
    <cellStyle name="Total 2 4 42 2" xfId="13742"/>
    <cellStyle name="Total 2 4 42 3" xfId="22735"/>
    <cellStyle name="Total 2 4 42 4" xfId="30922"/>
    <cellStyle name="Total 2 4 42 5" xfId="40230"/>
    <cellStyle name="Total 2 4 42 6" xfId="44587"/>
    <cellStyle name="Total 2 4 42 7" xfId="52032"/>
    <cellStyle name="Total 2 4 43" xfId="6152"/>
    <cellStyle name="Total 2 4 43 2" xfId="13869"/>
    <cellStyle name="Total 2 4 43 3" xfId="22862"/>
    <cellStyle name="Total 2 4 43 4" xfId="31049"/>
    <cellStyle name="Total 2 4 43 5" xfId="40350"/>
    <cellStyle name="Total 2 4 43 6" xfId="44714"/>
    <cellStyle name="Total 2 4 43 7" xfId="48015"/>
    <cellStyle name="Total 2 4 44" xfId="6281"/>
    <cellStyle name="Total 2 4 44 2" xfId="13998"/>
    <cellStyle name="Total 2 4 44 3" xfId="22991"/>
    <cellStyle name="Total 2 4 44 4" xfId="31178"/>
    <cellStyle name="Total 2 4 44 5" xfId="40478"/>
    <cellStyle name="Total 2 4 44 6" xfId="44843"/>
    <cellStyle name="Total 2 4 44 7" xfId="49776"/>
    <cellStyle name="Total 2 4 45" xfId="6396"/>
    <cellStyle name="Total 2 4 45 2" xfId="14113"/>
    <cellStyle name="Total 2 4 45 3" xfId="23106"/>
    <cellStyle name="Total 2 4 45 4" xfId="31293"/>
    <cellStyle name="Total 2 4 45 5" xfId="40589"/>
    <cellStyle name="Total 2 4 45 6" xfId="44958"/>
    <cellStyle name="Total 2 4 45 7" xfId="50301"/>
    <cellStyle name="Total 2 4 46" xfId="6508"/>
    <cellStyle name="Total 2 4 46 2" xfId="14225"/>
    <cellStyle name="Total 2 4 46 3" xfId="23218"/>
    <cellStyle name="Total 2 4 46 4" xfId="31405"/>
    <cellStyle name="Total 2 4 46 5" xfId="40697"/>
    <cellStyle name="Total 2 4 46 6" xfId="45070"/>
    <cellStyle name="Total 2 4 46 7" xfId="53196"/>
    <cellStyle name="Total 2 4 47" xfId="6055"/>
    <cellStyle name="Total 2 4 47 2" xfId="13772"/>
    <cellStyle name="Total 2 4 47 3" xfId="22765"/>
    <cellStyle name="Total 2 4 47 4" xfId="30952"/>
    <cellStyle name="Total 2 4 47 5" xfId="40259"/>
    <cellStyle name="Total 2 4 47 6" xfId="44617"/>
    <cellStyle name="Total 2 4 47 7" xfId="48692"/>
    <cellStyle name="Total 2 4 48" xfId="6655"/>
    <cellStyle name="Total 2 4 48 2" xfId="14372"/>
    <cellStyle name="Total 2 4 48 3" xfId="23365"/>
    <cellStyle name="Total 2 4 48 4" xfId="31552"/>
    <cellStyle name="Total 2 4 48 5" xfId="40837"/>
    <cellStyle name="Total 2 4 48 6" xfId="45217"/>
    <cellStyle name="Total 2 4 48 7" xfId="52729"/>
    <cellStyle name="Total 2 4 49" xfId="6766"/>
    <cellStyle name="Total 2 4 49 2" xfId="14483"/>
    <cellStyle name="Total 2 4 49 3" xfId="23476"/>
    <cellStyle name="Total 2 4 49 4" xfId="31663"/>
    <cellStyle name="Total 2 4 49 5" xfId="40942"/>
    <cellStyle name="Total 2 4 49 6" xfId="45328"/>
    <cellStyle name="Total 2 4 49 7" xfId="49763"/>
    <cellStyle name="Total 2 4 5" xfId="1398"/>
    <cellStyle name="Total 2 4 5 2" xfId="9221"/>
    <cellStyle name="Total 2 4 5 3" xfId="16649"/>
    <cellStyle name="Total 2 4 5 4" xfId="19553"/>
    <cellStyle name="Total 2 4 5 5" xfId="28579"/>
    <cellStyle name="Total 2 4 5 6" xfId="37068"/>
    <cellStyle name="Total 2 4 5 7" xfId="49591"/>
    <cellStyle name="Total 2 4 50" xfId="6881"/>
    <cellStyle name="Total 2 4 50 2" xfId="14598"/>
    <cellStyle name="Total 2 4 50 3" xfId="23591"/>
    <cellStyle name="Total 2 4 50 4" xfId="31778"/>
    <cellStyle name="Total 2 4 50 5" xfId="41051"/>
    <cellStyle name="Total 2 4 50 6" xfId="45443"/>
    <cellStyle name="Total 2 4 50 7" xfId="47064"/>
    <cellStyle name="Total 2 4 51" xfId="6994"/>
    <cellStyle name="Total 2 4 51 2" xfId="14711"/>
    <cellStyle name="Total 2 4 51 3" xfId="23704"/>
    <cellStyle name="Total 2 4 51 4" xfId="31891"/>
    <cellStyle name="Total 2 4 51 5" xfId="41159"/>
    <cellStyle name="Total 2 4 51 6" xfId="45556"/>
    <cellStyle name="Total 2 4 51 7" xfId="54552"/>
    <cellStyle name="Total 2 4 52" xfId="7104"/>
    <cellStyle name="Total 2 4 52 2" xfId="14821"/>
    <cellStyle name="Total 2 4 52 3" xfId="23814"/>
    <cellStyle name="Total 2 4 52 4" xfId="32001"/>
    <cellStyle name="Total 2 4 52 5" xfId="41263"/>
    <cellStyle name="Total 2 4 52 6" xfId="45666"/>
    <cellStyle name="Total 2 4 52 7" xfId="48652"/>
    <cellStyle name="Total 2 4 53" xfId="7172"/>
    <cellStyle name="Total 2 4 53 2" xfId="14889"/>
    <cellStyle name="Total 2 4 53 3" xfId="23882"/>
    <cellStyle name="Total 2 4 53 4" xfId="32069"/>
    <cellStyle name="Total 2 4 53 5" xfId="41330"/>
    <cellStyle name="Total 2 4 53 6" xfId="45734"/>
    <cellStyle name="Total 2 4 53 7" xfId="48146"/>
    <cellStyle name="Total 2 4 54" xfId="7137"/>
    <cellStyle name="Total 2 4 54 2" xfId="14854"/>
    <cellStyle name="Total 2 4 54 3" xfId="23847"/>
    <cellStyle name="Total 2 4 54 4" xfId="32034"/>
    <cellStyle name="Total 2 4 54 5" xfId="41296"/>
    <cellStyle name="Total 2 4 54 6" xfId="45699"/>
    <cellStyle name="Total 2 4 54 7" xfId="51451"/>
    <cellStyle name="Total 2 4 55" xfId="7501"/>
    <cellStyle name="Total 2 4 55 2" xfId="15218"/>
    <cellStyle name="Total 2 4 55 3" xfId="24211"/>
    <cellStyle name="Total 2 4 55 4" xfId="32398"/>
    <cellStyle name="Total 2 4 55 5" xfId="41646"/>
    <cellStyle name="Total 2 4 55 6" xfId="46063"/>
    <cellStyle name="Total 2 4 55 7" xfId="50187"/>
    <cellStyle name="Total 2 4 56" xfId="7622"/>
    <cellStyle name="Total 2 4 56 2" xfId="15339"/>
    <cellStyle name="Total 2 4 56 3" xfId="24332"/>
    <cellStyle name="Total 2 4 56 4" xfId="32519"/>
    <cellStyle name="Total 2 4 56 5" xfId="41761"/>
    <cellStyle name="Total 2 4 56 6" xfId="46184"/>
    <cellStyle name="Total 2 4 56 7" xfId="53820"/>
    <cellStyle name="Total 2 4 57" xfId="7899"/>
    <cellStyle name="Total 2 4 57 2" xfId="15616"/>
    <cellStyle name="Total 2 4 57 3" xfId="24603"/>
    <cellStyle name="Total 2 4 57 4" xfId="32796"/>
    <cellStyle name="Total 2 4 57 5" xfId="42027"/>
    <cellStyle name="Total 2 4 57 6" xfId="46461"/>
    <cellStyle name="Total 2 4 57 7" xfId="48081"/>
    <cellStyle name="Total 2 4 58" xfId="8027"/>
    <cellStyle name="Total 2 4 58 2" xfId="15744"/>
    <cellStyle name="Total 2 4 58 3" xfId="24729"/>
    <cellStyle name="Total 2 4 58 4" xfId="32924"/>
    <cellStyle name="Total 2 4 58 5" xfId="42149"/>
    <cellStyle name="Total 2 4 58 6" xfId="46589"/>
    <cellStyle name="Total 2 4 58 7" xfId="54415"/>
    <cellStyle name="Total 2 4 59" xfId="7686"/>
    <cellStyle name="Total 2 4 59 2" xfId="15403"/>
    <cellStyle name="Total 2 4 59 3" xfId="24394"/>
    <cellStyle name="Total 2 4 59 4" xfId="32583"/>
    <cellStyle name="Total 2 4 59 5" xfId="41821"/>
    <cellStyle name="Total 2 4 59 6" xfId="46248"/>
    <cellStyle name="Total 2 4 59 7" xfId="53387"/>
    <cellStyle name="Total 2 4 6" xfId="1521"/>
    <cellStyle name="Total 2 4 6 2" xfId="9344"/>
    <cellStyle name="Total 2 4 6 3" xfId="16772"/>
    <cellStyle name="Total 2 4 6 4" xfId="19610"/>
    <cellStyle name="Total 2 4 6 5" xfId="26749"/>
    <cellStyle name="Total 2 4 6 6" xfId="39061"/>
    <cellStyle name="Total 2 4 6 7" xfId="49739"/>
    <cellStyle name="Total 2 4 60" xfId="8174"/>
    <cellStyle name="Total 2 4 60 2" xfId="15891"/>
    <cellStyle name="Total 2 4 60 3" xfId="33071"/>
    <cellStyle name="Total 2 4 60 4" xfId="42290"/>
    <cellStyle name="Total 2 4 60 5" xfId="46736"/>
    <cellStyle name="Total 2 4 60 6" xfId="48331"/>
    <cellStyle name="Total 2 4 61" xfId="25983"/>
    <cellStyle name="Total 2 4 62" xfId="34602"/>
    <cellStyle name="Total 2 4 63" xfId="36301"/>
    <cellStyle name="Total 2 4 64" xfId="52960"/>
    <cellStyle name="Total 2 4 7" xfId="1305"/>
    <cellStyle name="Total 2 4 7 2" xfId="9128"/>
    <cellStyle name="Total 2 4 7 3" xfId="16556"/>
    <cellStyle name="Total 2 4 7 4" xfId="26351"/>
    <cellStyle name="Total 2 4 7 5" xfId="35080"/>
    <cellStyle name="Total 2 4 7 6" xfId="37864"/>
    <cellStyle name="Total 2 4 7 7" xfId="53736"/>
    <cellStyle name="Total 2 4 8" xfId="1758"/>
    <cellStyle name="Total 2 4 8 2" xfId="9581"/>
    <cellStyle name="Total 2 4 8 3" xfId="17009"/>
    <cellStyle name="Total 2 4 8 4" xfId="19102"/>
    <cellStyle name="Total 2 4 8 5" xfId="28513"/>
    <cellStyle name="Total 2 4 8 6" xfId="38729"/>
    <cellStyle name="Total 2 4 8 7" xfId="49958"/>
    <cellStyle name="Total 2 4 9" xfId="1891"/>
    <cellStyle name="Total 2 4 9 2" xfId="9714"/>
    <cellStyle name="Total 2 4 9 3" xfId="17142"/>
    <cellStyle name="Total 2 4 9 4" xfId="20366"/>
    <cellStyle name="Total 2 4 9 5" xfId="27516"/>
    <cellStyle name="Total 2 4 9 6" xfId="38169"/>
    <cellStyle name="Total 2 4 9 7" xfId="48952"/>
    <cellStyle name="Total 2 5" xfId="484"/>
    <cellStyle name="Total 2 5 10" xfId="1931"/>
    <cellStyle name="Total 2 5 10 2" xfId="9754"/>
    <cellStyle name="Total 2 5 10 3" xfId="17182"/>
    <cellStyle name="Total 2 5 10 4" xfId="26341"/>
    <cellStyle name="Total 2 5 10 5" xfId="35067"/>
    <cellStyle name="Total 2 5 10 6" xfId="36685"/>
    <cellStyle name="Total 2 5 10 7" xfId="53720"/>
    <cellStyle name="Total 2 5 11" xfId="2049"/>
    <cellStyle name="Total 2 5 11 2" xfId="9872"/>
    <cellStyle name="Total 2 5 11 3" xfId="17300"/>
    <cellStyle name="Total 2 5 11 4" xfId="26454"/>
    <cellStyle name="Total 2 5 11 5" xfId="35230"/>
    <cellStyle name="Total 2 5 11 6" xfId="38044"/>
    <cellStyle name="Total 2 5 11 7" xfId="53968"/>
    <cellStyle name="Total 2 5 12" xfId="2162"/>
    <cellStyle name="Total 2 5 12 2" xfId="9985"/>
    <cellStyle name="Total 2 5 12 3" xfId="17413"/>
    <cellStyle name="Total 2 5 12 4" xfId="20347"/>
    <cellStyle name="Total 2 5 12 5" xfId="28155"/>
    <cellStyle name="Total 2 5 12 6" xfId="41107"/>
    <cellStyle name="Total 2 5 12 7" xfId="48624"/>
    <cellStyle name="Total 2 5 13" xfId="2266"/>
    <cellStyle name="Total 2 5 13 2" xfId="10089"/>
    <cellStyle name="Total 2 5 13 3" xfId="17517"/>
    <cellStyle name="Total 2 5 13 4" xfId="26183"/>
    <cellStyle name="Total 2 5 13 5" xfId="34857"/>
    <cellStyle name="Total 2 5 13 6" xfId="38101"/>
    <cellStyle name="Total 2 5 13 7" xfId="53389"/>
    <cellStyle name="Total 2 5 14" xfId="1262"/>
    <cellStyle name="Total 2 5 14 2" xfId="9085"/>
    <cellStyle name="Total 2 5 14 3" xfId="16513"/>
    <cellStyle name="Total 2 5 14 4" xfId="19642"/>
    <cellStyle name="Total 2 5 14 5" xfId="27074"/>
    <cellStyle name="Total 2 5 14 6" xfId="41847"/>
    <cellStyle name="Total 2 5 14 7" xfId="47194"/>
    <cellStyle name="Total 2 5 15" xfId="2460"/>
    <cellStyle name="Total 2 5 15 2" xfId="10283"/>
    <cellStyle name="Total 2 5 15 3" xfId="17711"/>
    <cellStyle name="Total 2 5 15 4" xfId="20625"/>
    <cellStyle name="Total 2 5 15 5" xfId="28596"/>
    <cellStyle name="Total 2 5 15 6" xfId="40752"/>
    <cellStyle name="Total 2 5 15 7" xfId="49033"/>
    <cellStyle name="Total 2 5 16" xfId="2573"/>
    <cellStyle name="Total 2 5 16 2" xfId="10396"/>
    <cellStyle name="Total 2 5 16 3" xfId="17824"/>
    <cellStyle name="Total 2 5 16 4" xfId="25793"/>
    <cellStyle name="Total 2 5 16 5" xfId="34363"/>
    <cellStyle name="Total 2 5 16 6" xfId="38033"/>
    <cellStyle name="Total 2 5 16 7" xfId="52548"/>
    <cellStyle name="Total 2 5 17" xfId="1076"/>
    <cellStyle name="Total 2 5 17 2" xfId="8900"/>
    <cellStyle name="Total 2 5 17 3" xfId="16328"/>
    <cellStyle name="Total 2 5 17 4" xfId="20060"/>
    <cellStyle name="Total 2 5 17 5" xfId="28855"/>
    <cellStyle name="Total 2 5 17 6" xfId="36962"/>
    <cellStyle name="Total 2 5 17 7" xfId="50109"/>
    <cellStyle name="Total 2 5 18" xfId="2276"/>
    <cellStyle name="Total 2 5 18 2" xfId="10099"/>
    <cellStyle name="Total 2 5 18 3" xfId="17527"/>
    <cellStyle name="Total 2 5 18 4" xfId="25771"/>
    <cellStyle name="Total 2 5 18 5" xfId="34329"/>
    <cellStyle name="Total 2 5 18 6" xfId="37446"/>
    <cellStyle name="Total 2 5 18 7" xfId="52479"/>
    <cellStyle name="Total 2 5 19" xfId="2767"/>
    <cellStyle name="Total 2 5 19 2" xfId="10590"/>
    <cellStyle name="Total 2 5 19 3" xfId="18018"/>
    <cellStyle name="Total 2 5 19 4" xfId="20489"/>
    <cellStyle name="Total 2 5 19 5" xfId="28789"/>
    <cellStyle name="Total 2 5 19 6" xfId="40472"/>
    <cellStyle name="Total 2 5 19 7" xfId="48368"/>
    <cellStyle name="Total 2 5 2" xfId="635"/>
    <cellStyle name="Total 2 5 2 2" xfId="8459"/>
    <cellStyle name="Total 2 5 2 3" xfId="8299"/>
    <cellStyle name="Total 2 5 2 4" xfId="26647"/>
    <cellStyle name="Total 2 5 2 5" xfId="35489"/>
    <cellStyle name="Total 2 5 2 6" xfId="36662"/>
    <cellStyle name="Total 2 5 2 7" xfId="54385"/>
    <cellStyle name="Total 2 5 20" xfId="2874"/>
    <cellStyle name="Total 2 5 20 2" xfId="10697"/>
    <cellStyle name="Total 2 5 20 3" xfId="18125"/>
    <cellStyle name="Total 2 5 20 4" xfId="25177"/>
    <cellStyle name="Total 2 5 20 5" xfId="33558"/>
    <cellStyle name="Total 2 5 20 6" xfId="37391"/>
    <cellStyle name="Total 2 5 20 7" xfId="51172"/>
    <cellStyle name="Total 2 5 21" xfId="3250"/>
    <cellStyle name="Total 2 5 21 2" xfId="11043"/>
    <cellStyle name="Total 2 5 21 3" xfId="18372"/>
    <cellStyle name="Total 2 5 21 4" xfId="24971"/>
    <cellStyle name="Total 2 5 21 5" xfId="33311"/>
    <cellStyle name="Total 2 5 21 6" xfId="37526"/>
    <cellStyle name="Total 2 5 21 7" xfId="50719"/>
    <cellStyle name="Total 2 5 22" xfId="3370"/>
    <cellStyle name="Total 2 5 22 2" xfId="11161"/>
    <cellStyle name="Total 2 5 22 3" xfId="18483"/>
    <cellStyle name="Total 2 5 22 4" xfId="26050"/>
    <cellStyle name="Total 2 5 22 5" xfId="34690"/>
    <cellStyle name="Total 2 5 22 6" xfId="40103"/>
    <cellStyle name="Total 2 5 22 7" xfId="53105"/>
    <cellStyle name="Total 2 5 23" xfId="3590"/>
    <cellStyle name="Total 2 5 23 2" xfId="11376"/>
    <cellStyle name="Total 2 5 23 3" xfId="18651"/>
    <cellStyle name="Total 2 5 23 4" xfId="26008"/>
    <cellStyle name="Total 2 5 23 5" xfId="34633"/>
    <cellStyle name="Total 2 5 23 6" xfId="40406"/>
    <cellStyle name="Total 2 5 23 7" xfId="53012"/>
    <cellStyle name="Total 2 5 24" xfId="3640"/>
    <cellStyle name="Total 2 5 24 2" xfId="11425"/>
    <cellStyle name="Total 2 5 24 3" xfId="18698"/>
    <cellStyle name="Total 2 5 24 4" xfId="24811"/>
    <cellStyle name="Total 2 5 24 5" xfId="27693"/>
    <cellStyle name="Total 2 5 24 6" xfId="42251"/>
    <cellStyle name="Total 2 5 24 7" xfId="47680"/>
    <cellStyle name="Total 2 5 25" xfId="3771"/>
    <cellStyle name="Total 2 5 25 2" xfId="11553"/>
    <cellStyle name="Total 2 5 25 3" xfId="18810"/>
    <cellStyle name="Total 2 5 25 4" xfId="25068"/>
    <cellStyle name="Total 2 5 25 5" xfId="33428"/>
    <cellStyle name="Total 2 5 25 6" xfId="37852"/>
    <cellStyle name="Total 2 5 25 7" xfId="50945"/>
    <cellStyle name="Total 2 5 26" xfId="3888"/>
    <cellStyle name="Total 2 5 26 2" xfId="11668"/>
    <cellStyle name="Total 2 5 26 3" xfId="18919"/>
    <cellStyle name="Total 2 5 26 4" xfId="25855"/>
    <cellStyle name="Total 2 5 26 5" xfId="34442"/>
    <cellStyle name="Total 2 5 26 6" xfId="40629"/>
    <cellStyle name="Total 2 5 26 7" xfId="52677"/>
    <cellStyle name="Total 2 5 27" xfId="3986"/>
    <cellStyle name="Total 2 5 27 2" xfId="11765"/>
    <cellStyle name="Total 2 5 27 3" xfId="20699"/>
    <cellStyle name="Total 2 5 27 4" xfId="28887"/>
    <cellStyle name="Total 2 5 27 5" xfId="38272"/>
    <cellStyle name="Total 2 5 27 6" xfId="42556"/>
    <cellStyle name="Total 2 5 27 7" xfId="51231"/>
    <cellStyle name="Total 2 5 28" xfId="4085"/>
    <cellStyle name="Total 2 5 28 2" xfId="11845"/>
    <cellStyle name="Total 2 5 28 3" xfId="20795"/>
    <cellStyle name="Total 2 5 28 4" xfId="28982"/>
    <cellStyle name="Total 2 5 28 5" xfId="38361"/>
    <cellStyle name="Total 2 5 28 6" xfId="42647"/>
    <cellStyle name="Total 2 5 28 7" xfId="48697"/>
    <cellStyle name="Total 2 5 29" xfId="3143"/>
    <cellStyle name="Total 2 5 29 2" xfId="20281"/>
    <cellStyle name="Total 2 5 29 3" xfId="28375"/>
    <cellStyle name="Total 2 5 29 4" xfId="37759"/>
    <cellStyle name="Total 2 5 29 5" xfId="42410"/>
    <cellStyle name="Total 2 5 29 6" xfId="47822"/>
    <cellStyle name="Total 2 5 3" xfId="742"/>
    <cellStyle name="Total 2 5 3 2" xfId="8566"/>
    <cellStyle name="Total 2 5 3 3" xfId="15994"/>
    <cellStyle name="Total 2 5 3 4" xfId="19049"/>
    <cellStyle name="Total 2 5 3 5" xfId="26902"/>
    <cellStyle name="Total 2 5 3 6" xfId="36567"/>
    <cellStyle name="Total 2 5 3 7" xfId="49204"/>
    <cellStyle name="Total 2 5 30" xfId="4282"/>
    <cellStyle name="Total 2 5 30 2" xfId="11999"/>
    <cellStyle name="Total 2 5 30 3" xfId="20992"/>
    <cellStyle name="Total 2 5 30 4" xfId="29179"/>
    <cellStyle name="Total 2 5 30 5" xfId="38552"/>
    <cellStyle name="Total 2 5 30 6" xfId="42844"/>
    <cellStyle name="Total 2 5 30 7" xfId="50171"/>
    <cellStyle name="Total 2 5 31" xfId="4405"/>
    <cellStyle name="Total 2 5 31 2" xfId="12122"/>
    <cellStyle name="Total 2 5 31 3" xfId="21115"/>
    <cellStyle name="Total 2 5 31 4" xfId="29302"/>
    <cellStyle name="Total 2 5 31 5" xfId="38672"/>
    <cellStyle name="Total 2 5 31 6" xfId="42967"/>
    <cellStyle name="Total 2 5 31 7" xfId="48563"/>
    <cellStyle name="Total 2 5 32" xfId="4519"/>
    <cellStyle name="Total 2 5 32 2" xfId="12236"/>
    <cellStyle name="Total 2 5 32 3" xfId="21229"/>
    <cellStyle name="Total 2 5 32 4" xfId="29416"/>
    <cellStyle name="Total 2 5 32 5" xfId="38780"/>
    <cellStyle name="Total 2 5 32 6" xfId="43081"/>
    <cellStyle name="Total 2 5 32 7" xfId="47399"/>
    <cellStyle name="Total 2 5 33" xfId="4632"/>
    <cellStyle name="Total 2 5 33 2" xfId="12349"/>
    <cellStyle name="Total 2 5 33 3" xfId="21342"/>
    <cellStyle name="Total 2 5 33 4" xfId="29529"/>
    <cellStyle name="Total 2 5 33 5" xfId="38888"/>
    <cellStyle name="Total 2 5 33 6" xfId="43194"/>
    <cellStyle name="Total 2 5 33 7" xfId="53901"/>
    <cellStyle name="Total 2 5 34" xfId="4744"/>
    <cellStyle name="Total 2 5 34 2" xfId="12461"/>
    <cellStyle name="Total 2 5 34 3" xfId="21454"/>
    <cellStyle name="Total 2 5 34 4" xfId="29641"/>
    <cellStyle name="Total 2 5 34 5" xfId="38996"/>
    <cellStyle name="Total 2 5 34 6" xfId="43306"/>
    <cellStyle name="Total 2 5 34 7" xfId="50032"/>
    <cellStyle name="Total 2 5 35" xfId="4852"/>
    <cellStyle name="Total 2 5 35 2" xfId="12569"/>
    <cellStyle name="Total 2 5 35 3" xfId="21562"/>
    <cellStyle name="Total 2 5 35 4" xfId="29749"/>
    <cellStyle name="Total 2 5 35 5" xfId="39100"/>
    <cellStyle name="Total 2 5 35 6" xfId="43414"/>
    <cellStyle name="Total 2 5 35 7" xfId="53826"/>
    <cellStyle name="Total 2 5 36" xfId="4964"/>
    <cellStyle name="Total 2 5 36 2" xfId="12681"/>
    <cellStyle name="Total 2 5 36 3" xfId="21674"/>
    <cellStyle name="Total 2 5 36 4" xfId="29861"/>
    <cellStyle name="Total 2 5 36 5" xfId="39208"/>
    <cellStyle name="Total 2 5 36 6" xfId="43526"/>
    <cellStyle name="Total 2 5 36 7" xfId="51350"/>
    <cellStyle name="Total 2 5 37" xfId="5149"/>
    <cellStyle name="Total 2 5 37 2" xfId="12866"/>
    <cellStyle name="Total 2 5 37 3" xfId="21859"/>
    <cellStyle name="Total 2 5 37 4" xfId="30046"/>
    <cellStyle name="Total 2 5 37 5" xfId="39385"/>
    <cellStyle name="Total 2 5 37 6" xfId="43711"/>
    <cellStyle name="Total 2 5 37 7" xfId="48253"/>
    <cellStyle name="Total 2 5 38" xfId="5462"/>
    <cellStyle name="Total 2 5 38 2" xfId="13179"/>
    <cellStyle name="Total 2 5 38 3" xfId="22172"/>
    <cellStyle name="Total 2 5 38 4" xfId="30359"/>
    <cellStyle name="Total 2 5 38 5" xfId="39687"/>
    <cellStyle name="Total 2 5 38 6" xfId="44024"/>
    <cellStyle name="Total 2 5 38 7" xfId="52045"/>
    <cellStyle name="Total 2 5 39" xfId="5587"/>
    <cellStyle name="Total 2 5 39 2" xfId="13304"/>
    <cellStyle name="Total 2 5 39 3" xfId="22297"/>
    <cellStyle name="Total 2 5 39 4" xfId="30484"/>
    <cellStyle name="Total 2 5 39 5" xfId="39806"/>
    <cellStyle name="Total 2 5 39 6" xfId="44149"/>
    <cellStyle name="Total 2 5 39 7" xfId="47151"/>
    <cellStyle name="Total 2 5 4" xfId="854"/>
    <cellStyle name="Total 2 5 4 2" xfId="8678"/>
    <cellStyle name="Total 2 5 4 3" xfId="16106"/>
    <cellStyle name="Total 2 5 4 4" xfId="24865"/>
    <cellStyle name="Total 2 5 4 5" xfId="33178"/>
    <cellStyle name="Total 2 5 4 6" xfId="36901"/>
    <cellStyle name="Total 2 5 4 7" xfId="50487"/>
    <cellStyle name="Total 2 5 40" xfId="5702"/>
    <cellStyle name="Total 2 5 40 2" xfId="13419"/>
    <cellStyle name="Total 2 5 40 3" xfId="22412"/>
    <cellStyle name="Total 2 5 40 4" xfId="30599"/>
    <cellStyle name="Total 2 5 40 5" xfId="39917"/>
    <cellStyle name="Total 2 5 40 6" xfId="44264"/>
    <cellStyle name="Total 2 5 40 7" xfId="47078"/>
    <cellStyle name="Total 2 5 41" xfId="5819"/>
    <cellStyle name="Total 2 5 41 2" xfId="13536"/>
    <cellStyle name="Total 2 5 41 3" xfId="22529"/>
    <cellStyle name="Total 2 5 41 4" xfId="30716"/>
    <cellStyle name="Total 2 5 41 5" xfId="40031"/>
    <cellStyle name="Total 2 5 41 6" xfId="44381"/>
    <cellStyle name="Total 2 5 41 7" xfId="51239"/>
    <cellStyle name="Total 2 5 42" xfId="5947"/>
    <cellStyle name="Total 2 5 42 2" xfId="13664"/>
    <cellStyle name="Total 2 5 42 3" xfId="22657"/>
    <cellStyle name="Total 2 5 42 4" xfId="30844"/>
    <cellStyle name="Total 2 5 42 5" xfId="40155"/>
    <cellStyle name="Total 2 5 42 6" xfId="44509"/>
    <cellStyle name="Total 2 5 42 7" xfId="52833"/>
    <cellStyle name="Total 2 5 43" xfId="5094"/>
    <cellStyle name="Total 2 5 43 2" xfId="12811"/>
    <cellStyle name="Total 2 5 43 3" xfId="21804"/>
    <cellStyle name="Total 2 5 43 4" xfId="29991"/>
    <cellStyle name="Total 2 5 43 5" xfId="39333"/>
    <cellStyle name="Total 2 5 43 6" xfId="43656"/>
    <cellStyle name="Total 2 5 43 7" xfId="51507"/>
    <cellStyle name="Total 2 5 44" xfId="6203"/>
    <cellStyle name="Total 2 5 44 2" xfId="13920"/>
    <cellStyle name="Total 2 5 44 3" xfId="22913"/>
    <cellStyle name="Total 2 5 44 4" xfId="31100"/>
    <cellStyle name="Total 2 5 44 5" xfId="40401"/>
    <cellStyle name="Total 2 5 44 6" xfId="44765"/>
    <cellStyle name="Total 2 5 44 7" xfId="47795"/>
    <cellStyle name="Total 2 5 45" xfId="6320"/>
    <cellStyle name="Total 2 5 45 2" xfId="14037"/>
    <cellStyle name="Total 2 5 45 3" xfId="23030"/>
    <cellStyle name="Total 2 5 45 4" xfId="31217"/>
    <cellStyle name="Total 2 5 45 5" xfId="40517"/>
    <cellStyle name="Total 2 5 45 6" xfId="44882"/>
    <cellStyle name="Total 2 5 45 7" xfId="52149"/>
    <cellStyle name="Total 2 5 46" xfId="6430"/>
    <cellStyle name="Total 2 5 46 2" xfId="14147"/>
    <cellStyle name="Total 2 5 46 3" xfId="23140"/>
    <cellStyle name="Total 2 5 46 4" xfId="31327"/>
    <cellStyle name="Total 2 5 46 5" xfId="40622"/>
    <cellStyle name="Total 2 5 46 6" xfId="44992"/>
    <cellStyle name="Total 2 5 46 7" xfId="48041"/>
    <cellStyle name="Total 2 5 47" xfId="6532"/>
    <cellStyle name="Total 2 5 47 2" xfId="14249"/>
    <cellStyle name="Total 2 5 47 3" xfId="23242"/>
    <cellStyle name="Total 2 5 47 4" xfId="31429"/>
    <cellStyle name="Total 2 5 47 5" xfId="40720"/>
    <cellStyle name="Total 2 5 47 6" xfId="45094"/>
    <cellStyle name="Total 2 5 47 7" xfId="50588"/>
    <cellStyle name="Total 2 5 48" xfId="6577"/>
    <cellStyle name="Total 2 5 48 2" xfId="14294"/>
    <cellStyle name="Total 2 5 48 3" xfId="23287"/>
    <cellStyle name="Total 2 5 48 4" xfId="31474"/>
    <cellStyle name="Total 2 5 48 5" xfId="40762"/>
    <cellStyle name="Total 2 5 48 6" xfId="45139"/>
    <cellStyle name="Total 2 5 48 7" xfId="53368"/>
    <cellStyle name="Total 2 5 49" xfId="6688"/>
    <cellStyle name="Total 2 5 49 2" xfId="14405"/>
    <cellStyle name="Total 2 5 49 3" xfId="23398"/>
    <cellStyle name="Total 2 5 49 4" xfId="31585"/>
    <cellStyle name="Total 2 5 49 5" xfId="40869"/>
    <cellStyle name="Total 2 5 49 6" xfId="45250"/>
    <cellStyle name="Total 2 5 49 7" xfId="47939"/>
    <cellStyle name="Total 2 5 5" xfId="1319"/>
    <cellStyle name="Total 2 5 5 2" xfId="9142"/>
    <cellStyle name="Total 2 5 5 3" xfId="16570"/>
    <cellStyle name="Total 2 5 5 4" xfId="25679"/>
    <cellStyle name="Total 2 5 5 5" xfId="34212"/>
    <cellStyle name="Total 2 5 5 6" xfId="40138"/>
    <cellStyle name="Total 2 5 5 7" xfId="52263"/>
    <cellStyle name="Total 2 5 50" xfId="6803"/>
    <cellStyle name="Total 2 5 50 2" xfId="14520"/>
    <cellStyle name="Total 2 5 50 3" xfId="23513"/>
    <cellStyle name="Total 2 5 50 4" xfId="31700"/>
    <cellStyle name="Total 2 5 50 5" xfId="40978"/>
    <cellStyle name="Total 2 5 50 6" xfId="45365"/>
    <cellStyle name="Total 2 5 50 7" xfId="51873"/>
    <cellStyle name="Total 2 5 51" xfId="6916"/>
    <cellStyle name="Total 2 5 51 2" xfId="14633"/>
    <cellStyle name="Total 2 5 51 3" xfId="23626"/>
    <cellStyle name="Total 2 5 51 4" xfId="31813"/>
    <cellStyle name="Total 2 5 51 5" xfId="41085"/>
    <cellStyle name="Total 2 5 51 6" xfId="45478"/>
    <cellStyle name="Total 2 5 51 7" xfId="47049"/>
    <cellStyle name="Total 2 5 52" xfId="7028"/>
    <cellStyle name="Total 2 5 52 2" xfId="14745"/>
    <cellStyle name="Total 2 5 52 3" xfId="23738"/>
    <cellStyle name="Total 2 5 52 4" xfId="31925"/>
    <cellStyle name="Total 2 5 52 5" xfId="41192"/>
    <cellStyle name="Total 2 5 52 6" xfId="45590"/>
    <cellStyle name="Total 2 5 52 7" xfId="47221"/>
    <cellStyle name="Total 2 5 53" xfId="7231"/>
    <cellStyle name="Total 2 5 53 2" xfId="14948"/>
    <cellStyle name="Total 2 5 53 3" xfId="23941"/>
    <cellStyle name="Total 2 5 53 4" xfId="32128"/>
    <cellStyle name="Total 2 5 53 5" xfId="41386"/>
    <cellStyle name="Total 2 5 53 6" xfId="45793"/>
    <cellStyle name="Total 2 5 53 7" xfId="51729"/>
    <cellStyle name="Total 2 5 54" xfId="7140"/>
    <cellStyle name="Total 2 5 54 2" xfId="14857"/>
    <cellStyle name="Total 2 5 54 3" xfId="23850"/>
    <cellStyle name="Total 2 5 54 4" xfId="32037"/>
    <cellStyle name="Total 2 5 54 5" xfId="41299"/>
    <cellStyle name="Total 2 5 54 6" xfId="45702"/>
    <cellStyle name="Total 2 5 54 7" xfId="51133"/>
    <cellStyle name="Total 2 5 55" xfId="7425"/>
    <cellStyle name="Total 2 5 55 2" xfId="15142"/>
    <cellStyle name="Total 2 5 55 3" xfId="24135"/>
    <cellStyle name="Total 2 5 55 4" xfId="32322"/>
    <cellStyle name="Total 2 5 55 5" xfId="41574"/>
    <cellStyle name="Total 2 5 55 6" xfId="45987"/>
    <cellStyle name="Total 2 5 55 7" xfId="50131"/>
    <cellStyle name="Total 2 5 56" xfId="7546"/>
    <cellStyle name="Total 2 5 56 2" xfId="15263"/>
    <cellStyle name="Total 2 5 56 3" xfId="24256"/>
    <cellStyle name="Total 2 5 56 4" xfId="32443"/>
    <cellStyle name="Total 2 5 56 5" xfId="41689"/>
    <cellStyle name="Total 2 5 56 6" xfId="46108"/>
    <cellStyle name="Total 2 5 56 7" xfId="52892"/>
    <cellStyle name="Total 2 5 57" xfId="7822"/>
    <cellStyle name="Total 2 5 57 2" xfId="15539"/>
    <cellStyle name="Total 2 5 57 3" xfId="24526"/>
    <cellStyle name="Total 2 5 57 4" xfId="32719"/>
    <cellStyle name="Total 2 5 57 5" xfId="41954"/>
    <cellStyle name="Total 2 5 57 6" xfId="46384"/>
    <cellStyle name="Total 2 5 57 7" xfId="53982"/>
    <cellStyle name="Total 2 5 58" xfId="7662"/>
    <cellStyle name="Total 2 5 58 2" xfId="15379"/>
    <cellStyle name="Total 2 5 58 3" xfId="24371"/>
    <cellStyle name="Total 2 5 58 4" xfId="32559"/>
    <cellStyle name="Total 2 5 58 5" xfId="41800"/>
    <cellStyle name="Total 2 5 58 6" xfId="46224"/>
    <cellStyle name="Total 2 5 58 7" xfId="49429"/>
    <cellStyle name="Total 2 5 59" xfId="8001"/>
    <cellStyle name="Total 2 5 59 2" xfId="15718"/>
    <cellStyle name="Total 2 5 59 3" xfId="24703"/>
    <cellStyle name="Total 2 5 59 4" xfId="32898"/>
    <cellStyle name="Total 2 5 59 5" xfId="42124"/>
    <cellStyle name="Total 2 5 59 6" xfId="46563"/>
    <cellStyle name="Total 2 5 59 7" xfId="49526"/>
    <cellStyle name="Total 2 5 6" xfId="1442"/>
    <cellStyle name="Total 2 5 6 2" xfId="9265"/>
    <cellStyle name="Total 2 5 6 3" xfId="16693"/>
    <cellStyle name="Total 2 5 6 4" xfId="25569"/>
    <cellStyle name="Total 2 5 6 5" xfId="34067"/>
    <cellStyle name="Total 2 5 6 6" xfId="39822"/>
    <cellStyle name="Total 2 5 6 7" xfId="52015"/>
    <cellStyle name="Total 2 5 60" xfId="8098"/>
    <cellStyle name="Total 2 5 60 2" xfId="15815"/>
    <cellStyle name="Total 2 5 60 3" xfId="32995"/>
    <cellStyle name="Total 2 5 60 4" xfId="42217"/>
    <cellStyle name="Total 2 5 60 5" xfId="46660"/>
    <cellStyle name="Total 2 5 60 6" xfId="48175"/>
    <cellStyle name="Total 2 5 61" xfId="26376"/>
    <cellStyle name="Total 2 5 62" xfId="35119"/>
    <cellStyle name="Total 2 5 63" xfId="37081"/>
    <cellStyle name="Total 2 5 64" xfId="53800"/>
    <cellStyle name="Total 2 5 7" xfId="1230"/>
    <cellStyle name="Total 2 5 7 2" xfId="9053"/>
    <cellStyle name="Total 2 5 7 3" xfId="16481"/>
    <cellStyle name="Total 2 5 7 4" xfId="19388"/>
    <cellStyle name="Total 2 5 7 5" xfId="28699"/>
    <cellStyle name="Total 2 5 7 6" xfId="38265"/>
    <cellStyle name="Total 2 5 7 7" xfId="48647"/>
    <cellStyle name="Total 2 5 8" xfId="1679"/>
    <cellStyle name="Total 2 5 8 2" xfId="9502"/>
    <cellStyle name="Total 2 5 8 3" xfId="16930"/>
    <cellStyle name="Total 2 5 8 4" xfId="19195"/>
    <cellStyle name="Total 2 5 8 5" xfId="26757"/>
    <cellStyle name="Total 2 5 8 6" xfId="37744"/>
    <cellStyle name="Total 2 5 8 7" xfId="49130"/>
    <cellStyle name="Total 2 5 9" xfId="1813"/>
    <cellStyle name="Total 2 5 9 2" xfId="9636"/>
    <cellStyle name="Total 2 5 9 3" xfId="17064"/>
    <cellStyle name="Total 2 5 9 4" xfId="19952"/>
    <cellStyle name="Total 2 5 9 5" xfId="27131"/>
    <cellStyle name="Total 2 5 9 6" xfId="36555"/>
    <cellStyle name="Total 2 5 9 7" xfId="49508"/>
    <cellStyle name="Total 2 6" xfId="511"/>
    <cellStyle name="Total 2 6 10" xfId="1958"/>
    <cellStyle name="Total 2 6 10 2" xfId="9781"/>
    <cellStyle name="Total 2 6 10 3" xfId="17209"/>
    <cellStyle name="Total 2 6 10 4" xfId="19916"/>
    <cellStyle name="Total 2 6 10 5" xfId="27081"/>
    <cellStyle name="Total 2 6 10 6" xfId="36515"/>
    <cellStyle name="Total 2 6 10 7" xfId="47512"/>
    <cellStyle name="Total 2 6 11" xfId="2076"/>
    <cellStyle name="Total 2 6 11 2" xfId="9899"/>
    <cellStyle name="Total 2 6 11 3" xfId="17327"/>
    <cellStyle name="Total 2 6 11 4" xfId="25105"/>
    <cellStyle name="Total 2 6 11 5" xfId="33470"/>
    <cellStyle name="Total 2 6 11 6" xfId="36988"/>
    <cellStyle name="Total 2 6 11 7" xfId="51019"/>
    <cellStyle name="Total 2 6 12" xfId="2189"/>
    <cellStyle name="Total 2 6 12 2" xfId="10012"/>
    <cellStyle name="Total 2 6 12 3" xfId="17440"/>
    <cellStyle name="Total 2 6 12 4" xfId="26641"/>
    <cellStyle name="Total 2 6 12 5" xfId="35479"/>
    <cellStyle name="Total 2 6 12 6" xfId="38384"/>
    <cellStyle name="Total 2 6 12 7" xfId="54372"/>
    <cellStyle name="Total 2 6 13" xfId="1603"/>
    <cellStyle name="Total 2 6 13 2" xfId="9426"/>
    <cellStyle name="Total 2 6 13 3" xfId="16854"/>
    <cellStyle name="Total 2 6 13 4" xfId="19458"/>
    <cellStyle name="Total 2 6 13 5" xfId="27880"/>
    <cellStyle name="Total 2 6 13 6" xfId="38227"/>
    <cellStyle name="Total 2 6 13 7" xfId="49519"/>
    <cellStyle name="Total 2 6 14" xfId="1617"/>
    <cellStyle name="Total 2 6 14 2" xfId="9440"/>
    <cellStyle name="Total 2 6 14 3" xfId="16868"/>
    <cellStyle name="Total 2 6 14 4" xfId="26322"/>
    <cellStyle name="Total 2 6 14 5" xfId="35045"/>
    <cellStyle name="Total 2 6 14 6" xfId="37306"/>
    <cellStyle name="Total 2 6 14 7" xfId="53686"/>
    <cellStyle name="Total 2 6 15" xfId="2487"/>
    <cellStyle name="Total 2 6 15 2" xfId="10310"/>
    <cellStyle name="Total 2 6 15 3" xfId="17738"/>
    <cellStyle name="Total 2 6 15 4" xfId="25705"/>
    <cellStyle name="Total 2 6 15 5" xfId="34245"/>
    <cellStyle name="Total 2 6 15 6" xfId="37819"/>
    <cellStyle name="Total 2 6 15 7" xfId="52322"/>
    <cellStyle name="Total 2 6 16" xfId="2600"/>
    <cellStyle name="Total 2 6 16 2" xfId="10423"/>
    <cellStyle name="Total 2 6 16 3" xfId="17851"/>
    <cellStyle name="Total 2 6 16 4" xfId="19421"/>
    <cellStyle name="Total 2 6 16 5" xfId="28299"/>
    <cellStyle name="Total 2 6 16 6" xfId="36992"/>
    <cellStyle name="Total 2 6 16 7" xfId="47433"/>
    <cellStyle name="Total 2 6 17" xfId="1252"/>
    <cellStyle name="Total 2 6 17 2" xfId="9075"/>
    <cellStyle name="Total 2 6 17 3" xfId="16503"/>
    <cellStyle name="Total 2 6 17 4" xfId="19222"/>
    <cellStyle name="Total 2 6 17 5" xfId="27406"/>
    <cellStyle name="Total 2 6 17 6" xfId="41827"/>
    <cellStyle name="Total 2 6 17 7" xfId="47944"/>
    <cellStyle name="Total 2 6 18" xfId="1102"/>
    <cellStyle name="Total 2 6 18 2" xfId="8926"/>
    <cellStyle name="Total 2 6 18 3" xfId="16354"/>
    <cellStyle name="Total 2 6 18 4" xfId="20543"/>
    <cellStyle name="Total 2 6 18 5" xfId="27676"/>
    <cellStyle name="Total 2 6 18 6" xfId="36690"/>
    <cellStyle name="Total 2 6 18 7" xfId="48503"/>
    <cellStyle name="Total 2 6 19" xfId="2794"/>
    <cellStyle name="Total 2 6 19 2" xfId="10617"/>
    <cellStyle name="Total 2 6 19 3" xfId="18045"/>
    <cellStyle name="Total 2 6 19 4" xfId="25584"/>
    <cellStyle name="Total 2 6 19 5" xfId="34090"/>
    <cellStyle name="Total 2 6 19 6" xfId="37882"/>
    <cellStyle name="Total 2 6 19 7" xfId="52063"/>
    <cellStyle name="Total 2 6 2" xfId="662"/>
    <cellStyle name="Total 2 6 2 2" xfId="8486"/>
    <cellStyle name="Total 2 6 2 3" xfId="8274"/>
    <cellStyle name="Total 2 6 2 4" xfId="25232"/>
    <cellStyle name="Total 2 6 2 5" xfId="33635"/>
    <cellStyle name="Total 2 6 2 6" xfId="36823"/>
    <cellStyle name="Total 2 6 2 7" xfId="51289"/>
    <cellStyle name="Total 2 6 20" xfId="2901"/>
    <cellStyle name="Total 2 6 20 2" xfId="10724"/>
    <cellStyle name="Total 2 6 20 3" xfId="18152"/>
    <cellStyle name="Total 2 6 20 4" xfId="20226"/>
    <cellStyle name="Total 2 6 20 5" xfId="27425"/>
    <cellStyle name="Total 2 6 20 6" xfId="36804"/>
    <cellStyle name="Total 2 6 20 7" xfId="47243"/>
    <cellStyle name="Total 2 6 21" xfId="3277"/>
    <cellStyle name="Total 2 6 21 2" xfId="11070"/>
    <cellStyle name="Total 2 6 21 3" xfId="18399"/>
    <cellStyle name="Total 2 6 21 4" xfId="26598"/>
    <cellStyle name="Total 2 6 21 5" xfId="35424"/>
    <cellStyle name="Total 2 6 21 6" xfId="41911"/>
    <cellStyle name="Total 2 6 21 7" xfId="54276"/>
    <cellStyle name="Total 2 6 22" xfId="3397"/>
    <cellStyle name="Total 2 6 22 2" xfId="11188"/>
    <cellStyle name="Total 2 6 22 3" xfId="18510"/>
    <cellStyle name="Total 2 6 22 4" xfId="19061"/>
    <cellStyle name="Total 2 6 22 5" xfId="33166"/>
    <cellStyle name="Total 2 6 22 6" xfId="37492"/>
    <cellStyle name="Total 2 6 22 7" xfId="50466"/>
    <cellStyle name="Total 2 6 23" xfId="3180"/>
    <cellStyle name="Total 2 6 23 2" xfId="10981"/>
    <cellStyle name="Total 2 6 23 3" xfId="18342"/>
    <cellStyle name="Total 2 6 23 4" xfId="25249"/>
    <cellStyle name="Total 2 6 23 5" xfId="33654"/>
    <cellStyle name="Total 2 6 23 6" xfId="37426"/>
    <cellStyle name="Total 2 6 23 7" xfId="51323"/>
    <cellStyle name="Total 2 6 24" xfId="3667"/>
    <cellStyle name="Total 2 6 24 2" xfId="11452"/>
    <cellStyle name="Total 2 6 24 3" xfId="18725"/>
    <cellStyle name="Total 2 6 24 4" xfId="25905"/>
    <cellStyle name="Total 2 6 24 5" xfId="34501"/>
    <cellStyle name="Total 2 6 24 6" xfId="39720"/>
    <cellStyle name="Total 2 6 24 7" xfId="52792"/>
    <cellStyle name="Total 2 6 25" xfId="3798"/>
    <cellStyle name="Total 2 6 25 2" xfId="11580"/>
    <cellStyle name="Total 2 6 25 3" xfId="18837"/>
    <cellStyle name="Total 2 6 25 4" xfId="20505"/>
    <cellStyle name="Total 2 6 25 5" xfId="27155"/>
    <cellStyle name="Total 2 6 25 6" xfId="42219"/>
    <cellStyle name="Total 2 6 25 7" xfId="48394"/>
    <cellStyle name="Total 2 6 26" xfId="3915"/>
    <cellStyle name="Total 2 6 26 2" xfId="11695"/>
    <cellStyle name="Total 2 6 26 3" xfId="18946"/>
    <cellStyle name="Total 2 6 26 4" xfId="24841"/>
    <cellStyle name="Total 2 6 26 5" xfId="27776"/>
    <cellStyle name="Total 2 6 26 6" xfId="37988"/>
    <cellStyle name="Total 2 6 26 7" xfId="49892"/>
    <cellStyle name="Total 2 6 27" xfId="3478"/>
    <cellStyle name="Total 2 6 27 2" xfId="11269"/>
    <cellStyle name="Total 2 6 27 3" xfId="20465"/>
    <cellStyle name="Total 2 6 27 4" xfId="28587"/>
    <cellStyle name="Total 2 6 27 5" xfId="37966"/>
    <cellStyle name="Total 2 6 27 6" xfId="42476"/>
    <cellStyle name="Total 2 6 27 7" xfId="47456"/>
    <cellStyle name="Total 2 6 28" xfId="4112"/>
    <cellStyle name="Total 2 6 28 2" xfId="11872"/>
    <cellStyle name="Total 2 6 28 3" xfId="20822"/>
    <cellStyle name="Total 2 6 28 4" xfId="29009"/>
    <cellStyle name="Total 2 6 28 5" xfId="38387"/>
    <cellStyle name="Total 2 6 28 6" xfId="42674"/>
    <cellStyle name="Total 2 6 28 7" xfId="53201"/>
    <cellStyle name="Total 2 6 29" xfId="3959"/>
    <cellStyle name="Total 2 6 29 2" xfId="20690"/>
    <cellStyle name="Total 2 6 29 3" xfId="28871"/>
    <cellStyle name="Total 2 6 29 4" xfId="38259"/>
    <cellStyle name="Total 2 6 29 5" xfId="42554"/>
    <cellStyle name="Total 2 6 29 6" xfId="54230"/>
    <cellStyle name="Total 2 6 3" xfId="769"/>
    <cellStyle name="Total 2 6 3 2" xfId="8593"/>
    <cellStyle name="Total 2 6 3 3" xfId="16021"/>
    <cellStyle name="Total 2 6 3 4" xfId="25969"/>
    <cellStyle name="Total 2 6 3 5" xfId="34579"/>
    <cellStyle name="Total 2 6 3 6" xfId="36944"/>
    <cellStyle name="Total 2 6 3 7" xfId="52925"/>
    <cellStyle name="Total 2 6 30" xfId="4309"/>
    <cellStyle name="Total 2 6 30 2" xfId="12026"/>
    <cellStyle name="Total 2 6 30 3" xfId="21019"/>
    <cellStyle name="Total 2 6 30 4" xfId="29206"/>
    <cellStyle name="Total 2 6 30 5" xfId="38578"/>
    <cellStyle name="Total 2 6 30 6" xfId="42871"/>
    <cellStyle name="Total 2 6 30 7" xfId="48691"/>
    <cellStyle name="Total 2 6 31" xfId="4432"/>
    <cellStyle name="Total 2 6 31 2" xfId="12149"/>
    <cellStyle name="Total 2 6 31 3" xfId="21142"/>
    <cellStyle name="Total 2 6 31 4" xfId="29329"/>
    <cellStyle name="Total 2 6 31 5" xfId="38696"/>
    <cellStyle name="Total 2 6 31 6" xfId="42994"/>
    <cellStyle name="Total 2 6 31 7" xfId="52242"/>
    <cellStyle name="Total 2 6 32" xfId="4546"/>
    <cellStyle name="Total 2 6 32 2" xfId="12263"/>
    <cellStyle name="Total 2 6 32 3" xfId="21256"/>
    <cellStyle name="Total 2 6 32 4" xfId="29443"/>
    <cellStyle name="Total 2 6 32 5" xfId="38805"/>
    <cellStyle name="Total 2 6 32 6" xfId="43108"/>
    <cellStyle name="Total 2 6 32 7" xfId="53882"/>
    <cellStyle name="Total 2 6 33" xfId="4659"/>
    <cellStyle name="Total 2 6 33 2" xfId="12376"/>
    <cellStyle name="Total 2 6 33 3" xfId="21369"/>
    <cellStyle name="Total 2 6 33 4" xfId="29556"/>
    <cellStyle name="Total 2 6 33 5" xfId="38913"/>
    <cellStyle name="Total 2 6 33 6" xfId="43221"/>
    <cellStyle name="Total 2 6 33 7" xfId="51056"/>
    <cellStyle name="Total 2 6 34" xfId="4771"/>
    <cellStyle name="Total 2 6 34 2" xfId="12488"/>
    <cellStyle name="Total 2 6 34 3" xfId="21481"/>
    <cellStyle name="Total 2 6 34 4" xfId="29668"/>
    <cellStyle name="Total 2 6 34 5" xfId="39022"/>
    <cellStyle name="Total 2 6 34 6" xfId="43333"/>
    <cellStyle name="Total 2 6 34 7" xfId="47829"/>
    <cellStyle name="Total 2 6 35" xfId="4879"/>
    <cellStyle name="Total 2 6 35 2" xfId="12596"/>
    <cellStyle name="Total 2 6 35 3" xfId="21589"/>
    <cellStyle name="Total 2 6 35 4" xfId="29776"/>
    <cellStyle name="Total 2 6 35 5" xfId="39125"/>
    <cellStyle name="Total 2 6 35 6" xfId="43441"/>
    <cellStyle name="Total 2 6 35 7" xfId="50990"/>
    <cellStyle name="Total 2 6 36" xfId="4991"/>
    <cellStyle name="Total 2 6 36 2" xfId="12708"/>
    <cellStyle name="Total 2 6 36 3" xfId="21701"/>
    <cellStyle name="Total 2 6 36 4" xfId="29888"/>
    <cellStyle name="Total 2 6 36 5" xfId="39234"/>
    <cellStyle name="Total 2 6 36 6" xfId="43553"/>
    <cellStyle name="Total 2 6 36 7" xfId="48685"/>
    <cellStyle name="Total 2 6 37" xfId="5120"/>
    <cellStyle name="Total 2 6 37 2" xfId="12837"/>
    <cellStyle name="Total 2 6 37 3" xfId="21830"/>
    <cellStyle name="Total 2 6 37 4" xfId="30017"/>
    <cellStyle name="Total 2 6 37 5" xfId="39358"/>
    <cellStyle name="Total 2 6 37 6" xfId="43682"/>
    <cellStyle name="Total 2 6 37 7" xfId="47884"/>
    <cellStyle name="Total 2 6 38" xfId="5489"/>
    <cellStyle name="Total 2 6 38 2" xfId="13206"/>
    <cellStyle name="Total 2 6 38 3" xfId="22199"/>
    <cellStyle name="Total 2 6 38 4" xfId="30386"/>
    <cellStyle name="Total 2 6 38 5" xfId="39712"/>
    <cellStyle name="Total 2 6 38 6" xfId="44051"/>
    <cellStyle name="Total 2 6 38 7" xfId="49541"/>
    <cellStyle name="Total 2 6 39" xfId="5614"/>
    <cellStyle name="Total 2 6 39 2" xfId="13331"/>
    <cellStyle name="Total 2 6 39 3" xfId="22324"/>
    <cellStyle name="Total 2 6 39 4" xfId="30511"/>
    <cellStyle name="Total 2 6 39 5" xfId="39832"/>
    <cellStyle name="Total 2 6 39 6" xfId="44176"/>
    <cellStyle name="Total 2 6 39 7" xfId="46801"/>
    <cellStyle name="Total 2 6 4" xfId="881"/>
    <cellStyle name="Total 2 6 4 2" xfId="8705"/>
    <cellStyle name="Total 2 6 4 3" xfId="16133"/>
    <cellStyle name="Total 2 6 4 4" xfId="25005"/>
    <cellStyle name="Total 2 6 4 5" xfId="33357"/>
    <cellStyle name="Total 2 6 4 6" xfId="36843"/>
    <cellStyle name="Total 2 6 4 7" xfId="50809"/>
    <cellStyle name="Total 2 6 40" xfId="5729"/>
    <cellStyle name="Total 2 6 40 2" xfId="13446"/>
    <cellStyle name="Total 2 6 40 3" xfId="22439"/>
    <cellStyle name="Total 2 6 40 4" xfId="30626"/>
    <cellStyle name="Total 2 6 40 5" xfId="39943"/>
    <cellStyle name="Total 2 6 40 6" xfId="44291"/>
    <cellStyle name="Total 2 6 40 7" xfId="54455"/>
    <cellStyle name="Total 2 6 41" xfId="5846"/>
    <cellStyle name="Total 2 6 41 2" xfId="13563"/>
    <cellStyle name="Total 2 6 41 3" xfId="22556"/>
    <cellStyle name="Total 2 6 41 4" xfId="30743"/>
    <cellStyle name="Total 2 6 41 5" xfId="40057"/>
    <cellStyle name="Total 2 6 41 6" xfId="44408"/>
    <cellStyle name="Total 2 6 41 7" xfId="54090"/>
    <cellStyle name="Total 2 6 42" xfId="5974"/>
    <cellStyle name="Total 2 6 42 2" xfId="13691"/>
    <cellStyle name="Total 2 6 42 3" xfId="22684"/>
    <cellStyle name="Total 2 6 42 4" xfId="30871"/>
    <cellStyle name="Total 2 6 42 5" xfId="40181"/>
    <cellStyle name="Total 2 6 42 6" xfId="44536"/>
    <cellStyle name="Total 2 6 42 7" xfId="49576"/>
    <cellStyle name="Total 2 6 43" xfId="5260"/>
    <cellStyle name="Total 2 6 43 2" xfId="12977"/>
    <cellStyle name="Total 2 6 43 3" xfId="21970"/>
    <cellStyle name="Total 2 6 43 4" xfId="30157"/>
    <cellStyle name="Total 2 6 43 5" xfId="39492"/>
    <cellStyle name="Total 2 6 43 6" xfId="43822"/>
    <cellStyle name="Total 2 6 43 7" xfId="47474"/>
    <cellStyle name="Total 2 6 44" xfId="6230"/>
    <cellStyle name="Total 2 6 44 2" xfId="13947"/>
    <cellStyle name="Total 2 6 44 3" xfId="22940"/>
    <cellStyle name="Total 2 6 44 4" xfId="31127"/>
    <cellStyle name="Total 2 6 44 5" xfId="40428"/>
    <cellStyle name="Total 2 6 44 6" xfId="44792"/>
    <cellStyle name="Total 2 6 44 7" xfId="52439"/>
    <cellStyle name="Total 2 6 45" xfId="6347"/>
    <cellStyle name="Total 2 6 45 2" xfId="14064"/>
    <cellStyle name="Total 2 6 45 3" xfId="23057"/>
    <cellStyle name="Total 2 6 45 4" xfId="31244"/>
    <cellStyle name="Total 2 6 45 5" xfId="40542"/>
    <cellStyle name="Total 2 6 45 6" xfId="44909"/>
    <cellStyle name="Total 2 6 45 7" xfId="47725"/>
    <cellStyle name="Total 2 6 46" xfId="6457"/>
    <cellStyle name="Total 2 6 46 2" xfId="14174"/>
    <cellStyle name="Total 2 6 46 3" xfId="23167"/>
    <cellStyle name="Total 2 6 46 4" xfId="31354"/>
    <cellStyle name="Total 2 6 46 5" xfId="40648"/>
    <cellStyle name="Total 2 6 46 6" xfId="45019"/>
    <cellStyle name="Total 2 6 46 7" xfId="50368"/>
    <cellStyle name="Total 2 6 47" xfId="5194"/>
    <cellStyle name="Total 2 6 47 2" xfId="12911"/>
    <cellStyle name="Total 2 6 47 3" xfId="21904"/>
    <cellStyle name="Total 2 6 47 4" xfId="30091"/>
    <cellStyle name="Total 2 6 47 5" xfId="39428"/>
    <cellStyle name="Total 2 6 47 6" xfId="43756"/>
    <cellStyle name="Total 2 6 47 7" xfId="50107"/>
    <cellStyle name="Total 2 6 48" xfId="6604"/>
    <cellStyle name="Total 2 6 48 2" xfId="14321"/>
    <cellStyle name="Total 2 6 48 3" xfId="23314"/>
    <cellStyle name="Total 2 6 48 4" xfId="31501"/>
    <cellStyle name="Total 2 6 48 5" xfId="40788"/>
    <cellStyle name="Total 2 6 48 6" xfId="45166"/>
    <cellStyle name="Total 2 6 48 7" xfId="49653"/>
    <cellStyle name="Total 2 6 49" xfId="6715"/>
    <cellStyle name="Total 2 6 49 2" xfId="14432"/>
    <cellStyle name="Total 2 6 49 3" xfId="23425"/>
    <cellStyle name="Total 2 6 49 4" xfId="31612"/>
    <cellStyle name="Total 2 6 49 5" xfId="40894"/>
    <cellStyle name="Total 2 6 49 6" xfId="45277"/>
    <cellStyle name="Total 2 6 49 7" xfId="53591"/>
    <cellStyle name="Total 2 6 5" xfId="1346"/>
    <cellStyle name="Total 2 6 5 2" xfId="9169"/>
    <cellStyle name="Total 2 6 5 3" xfId="16597"/>
    <cellStyle name="Total 2 6 5 4" xfId="20271"/>
    <cellStyle name="Total 2 6 5 5" xfId="28884"/>
    <cellStyle name="Total 2 6 5 6" xfId="41792"/>
    <cellStyle name="Total 2 6 5 7" xfId="49302"/>
    <cellStyle name="Total 2 6 50" xfId="6830"/>
    <cellStyle name="Total 2 6 50 2" xfId="14547"/>
    <cellStyle name="Total 2 6 50 3" xfId="23540"/>
    <cellStyle name="Total 2 6 50 4" xfId="31727"/>
    <cellStyle name="Total 2 6 50 5" xfId="41002"/>
    <cellStyle name="Total 2 6 50 6" xfId="45392"/>
    <cellStyle name="Total 2 6 50 7" xfId="48858"/>
    <cellStyle name="Total 2 6 51" xfId="6943"/>
    <cellStyle name="Total 2 6 51 2" xfId="14660"/>
    <cellStyle name="Total 2 6 51 3" xfId="23653"/>
    <cellStyle name="Total 2 6 51 4" xfId="31840"/>
    <cellStyle name="Total 2 6 51 5" xfId="41110"/>
    <cellStyle name="Total 2 6 51 6" xfId="45505"/>
    <cellStyle name="Total 2 6 51 7" xfId="47040"/>
    <cellStyle name="Total 2 6 52" xfId="7055"/>
    <cellStyle name="Total 2 6 52 2" xfId="14772"/>
    <cellStyle name="Total 2 6 52 3" xfId="23765"/>
    <cellStyle name="Total 2 6 52 4" xfId="31952"/>
    <cellStyle name="Total 2 6 52 5" xfId="41216"/>
    <cellStyle name="Total 2 6 52 6" xfId="45617"/>
    <cellStyle name="Total 2 6 52 7" xfId="53835"/>
    <cellStyle name="Total 2 6 53" xfId="7323"/>
    <cellStyle name="Total 2 6 53 2" xfId="15040"/>
    <cellStyle name="Total 2 6 53 3" xfId="24033"/>
    <cellStyle name="Total 2 6 53 4" xfId="32220"/>
    <cellStyle name="Total 2 6 53 5" xfId="41476"/>
    <cellStyle name="Total 2 6 53 6" xfId="45885"/>
    <cellStyle name="Total 2 6 53 7" xfId="54374"/>
    <cellStyle name="Total 2 6 54" xfId="7356"/>
    <cellStyle name="Total 2 6 54 2" xfId="15073"/>
    <cellStyle name="Total 2 6 54 3" xfId="24066"/>
    <cellStyle name="Total 2 6 54 4" xfId="32253"/>
    <cellStyle name="Total 2 6 54 5" xfId="41509"/>
    <cellStyle name="Total 2 6 54 6" xfId="45918"/>
    <cellStyle name="Total 2 6 54 7" xfId="50737"/>
    <cellStyle name="Total 2 6 55" xfId="7452"/>
    <cellStyle name="Total 2 6 55 2" xfId="15169"/>
    <cellStyle name="Total 2 6 55 3" xfId="24162"/>
    <cellStyle name="Total 2 6 55 4" xfId="32349"/>
    <cellStyle name="Total 2 6 55 5" xfId="41599"/>
    <cellStyle name="Total 2 6 55 6" xfId="46014"/>
    <cellStyle name="Total 2 6 55 7" xfId="50794"/>
    <cellStyle name="Total 2 6 56" xfId="7573"/>
    <cellStyle name="Total 2 6 56 2" xfId="15290"/>
    <cellStyle name="Total 2 6 56 3" xfId="24283"/>
    <cellStyle name="Total 2 6 56 4" xfId="32470"/>
    <cellStyle name="Total 2 6 56 5" xfId="41714"/>
    <cellStyle name="Total 2 6 56 6" xfId="46135"/>
    <cellStyle name="Total 2 6 56 7" xfId="49895"/>
    <cellStyle name="Total 2 6 57" xfId="7849"/>
    <cellStyle name="Total 2 6 57 2" xfId="15566"/>
    <cellStyle name="Total 2 6 57 3" xfId="24553"/>
    <cellStyle name="Total 2 6 57 4" xfId="32746"/>
    <cellStyle name="Total 2 6 57 5" xfId="41979"/>
    <cellStyle name="Total 2 6 57 6" xfId="46411"/>
    <cellStyle name="Total 2 6 57 7" xfId="51033"/>
    <cellStyle name="Total 2 6 58" xfId="7957"/>
    <cellStyle name="Total 2 6 58 2" xfId="15674"/>
    <cellStyle name="Total 2 6 58 3" xfId="24660"/>
    <cellStyle name="Total 2 6 58 4" xfId="32854"/>
    <cellStyle name="Total 2 6 58 5" xfId="42082"/>
    <cellStyle name="Total 2 6 58 6" xfId="46519"/>
    <cellStyle name="Total 2 6 58 7" xfId="54452"/>
    <cellStyle name="Total 2 6 59" xfId="8064"/>
    <cellStyle name="Total 2 6 59 2" xfId="15781"/>
    <cellStyle name="Total 2 6 59 3" xfId="24766"/>
    <cellStyle name="Total 2 6 59 4" xfId="32961"/>
    <cellStyle name="Total 2 6 59 5" xfId="42185"/>
    <cellStyle name="Total 2 6 59 6" xfId="46626"/>
    <cellStyle name="Total 2 6 59 7" xfId="49665"/>
    <cellStyle name="Total 2 6 6" xfId="1469"/>
    <cellStyle name="Total 2 6 6 2" xfId="9292"/>
    <cellStyle name="Total 2 6 6 3" xfId="16720"/>
    <cellStyle name="Total 2 6 6 4" xfId="20356"/>
    <cellStyle name="Total 2 6 6 5" xfId="28181"/>
    <cellStyle name="Total 2 6 6 6" xfId="37429"/>
    <cellStyle name="Total 2 6 6 7" xfId="47770"/>
    <cellStyle name="Total 2 6 60" xfId="8125"/>
    <cellStyle name="Total 2 6 60 2" xfId="15842"/>
    <cellStyle name="Total 2 6 60 3" xfId="33022"/>
    <cellStyle name="Total 2 6 60 4" xfId="42243"/>
    <cellStyle name="Total 2 6 60 5" xfId="46687"/>
    <cellStyle name="Total 2 6 60 6" xfId="51411"/>
    <cellStyle name="Total 2 6 61" xfId="25022"/>
    <cellStyle name="Total 2 6 62" xfId="33377"/>
    <cellStyle name="Total 2 6 63" xfId="37551"/>
    <cellStyle name="Total 2 6 64" xfId="50847"/>
    <cellStyle name="Total 2 6 7" xfId="969"/>
    <cellStyle name="Total 2 6 7 2" xfId="8793"/>
    <cellStyle name="Total 2 6 7 3" xfId="16221"/>
    <cellStyle name="Total 2 6 7 4" xfId="26547"/>
    <cellStyle name="Total 2 6 7 5" xfId="35351"/>
    <cellStyle name="Total 2 6 7 6" xfId="38074"/>
    <cellStyle name="Total 2 6 7 7" xfId="54167"/>
    <cellStyle name="Total 2 6 8" xfId="1706"/>
    <cellStyle name="Total 2 6 8 2" xfId="9529"/>
    <cellStyle name="Total 2 6 8 3" xfId="16957"/>
    <cellStyle name="Total 2 6 8 4" xfId="26293"/>
    <cellStyle name="Total 2 6 8 5" xfId="35005"/>
    <cellStyle name="Total 2 6 8 6" xfId="36292"/>
    <cellStyle name="Total 2 6 8 7" xfId="53627"/>
    <cellStyle name="Total 2 6 9" xfId="1840"/>
    <cellStyle name="Total 2 6 9 2" xfId="9663"/>
    <cellStyle name="Total 2 6 9 3" xfId="17091"/>
    <cellStyle name="Total 2 6 9 4" xfId="19286"/>
    <cellStyle name="Total 2 6 9 5" xfId="27288"/>
    <cellStyle name="Total 2 6 9 6" xfId="37407"/>
    <cellStyle name="Total 2 6 9 7" xfId="48180"/>
    <cellStyle name="Total 2 7" xfId="620"/>
    <cellStyle name="Total 2 7 2" xfId="8444"/>
    <cellStyle name="Total 2 7 3" xfId="8406"/>
    <cellStyle name="Total 2 7 4" xfId="20143"/>
    <cellStyle name="Total 2 7 5" xfId="26893"/>
    <cellStyle name="Total 2 7 6" xfId="37612"/>
    <cellStyle name="Total 2 7 7" xfId="49714"/>
    <cellStyle name="Total 2 8" xfId="225"/>
    <cellStyle name="Total 2 8 2" xfId="8329"/>
    <cellStyle name="Total 2 8 3" xfId="8373"/>
    <cellStyle name="Total 2 8 4" xfId="24948"/>
    <cellStyle name="Total 2 8 5" xfId="33284"/>
    <cellStyle name="Total 2 8 6" xfId="37032"/>
    <cellStyle name="Total 2 8 7" xfId="50670"/>
    <cellStyle name="Total 2 9" xfId="1216"/>
    <cellStyle name="Total 2 9 2" xfId="9039"/>
    <cellStyle name="Total 2 9 3" xfId="16467"/>
    <cellStyle name="Total 2 9 4" xfId="19479"/>
    <cellStyle name="Total 2 9 5" xfId="26739"/>
    <cellStyle name="Total 2 9 6" xfId="36552"/>
    <cellStyle name="Total 2 9 7" xfId="49734"/>
    <cellStyle name="Total 3" xfId="164"/>
    <cellStyle name="Total 3 10" xfId="1239"/>
    <cellStyle name="Total 3 10 2" xfId="9062"/>
    <cellStyle name="Total 3 10 3" xfId="16490"/>
    <cellStyle name="Total 3 10 4" xfId="19422"/>
    <cellStyle name="Total 3 10 5" xfId="27153"/>
    <cellStyle name="Total 3 10 6" xfId="37566"/>
    <cellStyle name="Total 3 10 7" xfId="47761"/>
    <cellStyle name="Total 3 11" xfId="1054"/>
    <cellStyle name="Total 3 11 2" xfId="8878"/>
    <cellStyle name="Total 3 11 3" xfId="16306"/>
    <cellStyle name="Total 3 11 4" xfId="25777"/>
    <cellStyle name="Total 3 11 5" xfId="34336"/>
    <cellStyle name="Total 3 11 6" xfId="37563"/>
    <cellStyle name="Total 3 11 7" xfId="52499"/>
    <cellStyle name="Total 3 12" xfId="1902"/>
    <cellStyle name="Total 3 12 2" xfId="9725"/>
    <cellStyle name="Total 3 12 3" xfId="17153"/>
    <cellStyle name="Total 3 12 4" xfId="19274"/>
    <cellStyle name="Total 3 12 5" xfId="27550"/>
    <cellStyle name="Total 3 12 6" xfId="37434"/>
    <cellStyle name="Total 3 12 7" xfId="47772"/>
    <cellStyle name="Total 3 13" xfId="2331"/>
    <cellStyle name="Total 3 13 2" xfId="10154"/>
    <cellStyle name="Total 3 13 3" xfId="17582"/>
    <cellStyle name="Total 3 13 4" xfId="26418"/>
    <cellStyle name="Total 3 13 5" xfId="35178"/>
    <cellStyle name="Total 3 13 6" xfId="40405"/>
    <cellStyle name="Total 3 13 7" xfId="53890"/>
    <cellStyle name="Total 3 14" xfId="2424"/>
    <cellStyle name="Total 3 14 2" xfId="10247"/>
    <cellStyle name="Total 3 14 3" xfId="17675"/>
    <cellStyle name="Total 3 14 4" xfId="25306"/>
    <cellStyle name="Total 3 14 5" xfId="33722"/>
    <cellStyle name="Total 3 14 6" xfId="37544"/>
    <cellStyle name="Total 3 14 7" xfId="51438"/>
    <cellStyle name="Total 3 15" xfId="3104"/>
    <cellStyle name="Total 3 15 2" xfId="10909"/>
    <cellStyle name="Total 3 15 3" xfId="18290"/>
    <cellStyle name="Total 3 15 4" xfId="19560"/>
    <cellStyle name="Total 3 15 5" xfId="26751"/>
    <cellStyle name="Total 3 15 6" xfId="37086"/>
    <cellStyle name="Total 3 15 7" xfId="49733"/>
    <cellStyle name="Total 3 16" xfId="3044"/>
    <cellStyle name="Total 3 16 2" xfId="10857"/>
    <cellStyle name="Total 3 16 3" xfId="20210"/>
    <cellStyle name="Total 3 16 4" xfId="19292"/>
    <cellStyle name="Total 3 16 5" xfId="28194"/>
    <cellStyle name="Total 3 16 6" xfId="36948"/>
    <cellStyle name="Total 3 16 7" xfId="48829"/>
    <cellStyle name="Total 3 17" xfId="4045"/>
    <cellStyle name="Total 3 17 2" xfId="20755"/>
    <cellStyle name="Total 3 17 3" xfId="28942"/>
    <cellStyle name="Total 3 17 4" xfId="38321"/>
    <cellStyle name="Total 3 17 5" xfId="42607"/>
    <cellStyle name="Total 3 17 6" xfId="52842"/>
    <cellStyle name="Total 3 18" xfId="3230"/>
    <cellStyle name="Total 3 18 2" xfId="11026"/>
    <cellStyle name="Total 3 18 3" xfId="20350"/>
    <cellStyle name="Total 3 18 4" xfId="28440"/>
    <cellStyle name="Total 3 18 5" xfId="37831"/>
    <cellStyle name="Total 3 18 6" xfId="42455"/>
    <cellStyle name="Total 3 18 7" xfId="52824"/>
    <cellStyle name="Total 3 19" xfId="3752"/>
    <cellStyle name="Total 3 19 2" xfId="11537"/>
    <cellStyle name="Total 3 19 3" xfId="20603"/>
    <cellStyle name="Total 3 19 4" xfId="28752"/>
    <cellStyle name="Total 3 19 5" xfId="38141"/>
    <cellStyle name="Total 3 19 6" xfId="42530"/>
    <cellStyle name="Total 3 19 7" xfId="48020"/>
    <cellStyle name="Total 3 2" xfId="263"/>
    <cellStyle name="Total 3 2 10" xfId="1131"/>
    <cellStyle name="Total 3 2 10 2" xfId="8954"/>
    <cellStyle name="Total 3 2 10 3" xfId="16382"/>
    <cellStyle name="Total 3 2 10 4" xfId="25395"/>
    <cellStyle name="Total 3 2 10 5" xfId="33843"/>
    <cellStyle name="Total 3 2 10 6" xfId="36844"/>
    <cellStyle name="Total 3 2 10 7" xfId="51629"/>
    <cellStyle name="Total 3 2 11" xfId="1065"/>
    <cellStyle name="Total 3 2 11 2" xfId="8889"/>
    <cellStyle name="Total 3 2 11 3" xfId="16317"/>
    <cellStyle name="Total 3 2 11 4" xfId="25173"/>
    <cellStyle name="Total 3 2 11 5" xfId="33554"/>
    <cellStyle name="Total 3 2 11 6" xfId="37702"/>
    <cellStyle name="Total 3 2 11 7" xfId="51163"/>
    <cellStyle name="Total 3 2 12" xfId="1061"/>
    <cellStyle name="Total 3 2 12 2" xfId="8885"/>
    <cellStyle name="Total 3 2 12 3" xfId="16313"/>
    <cellStyle name="Total 3 2 12 4" xfId="25400"/>
    <cellStyle name="Total 3 2 12 5" xfId="33852"/>
    <cellStyle name="Total 3 2 12 6" xfId="37236"/>
    <cellStyle name="Total 3 2 12 7" xfId="51642"/>
    <cellStyle name="Total 3 2 13" xfId="1311"/>
    <cellStyle name="Total 3 2 13 2" xfId="9134"/>
    <cellStyle name="Total 3 2 13 3" xfId="16562"/>
    <cellStyle name="Total 3 2 13 4" xfId="26044"/>
    <cellStyle name="Total 3 2 13 5" xfId="34680"/>
    <cellStyle name="Total 3 2 13 6" xfId="37441"/>
    <cellStyle name="Total 3 2 13 7" xfId="53088"/>
    <cellStyle name="Total 3 2 14" xfId="1032"/>
    <cellStyle name="Total 3 2 14 2" xfId="8856"/>
    <cellStyle name="Total 3 2 14 3" xfId="16284"/>
    <cellStyle name="Total 3 2 14 4" xfId="19747"/>
    <cellStyle name="Total 3 2 14 5" xfId="27027"/>
    <cellStyle name="Total 3 2 14 6" xfId="36570"/>
    <cellStyle name="Total 3 2 14 7" xfId="48492"/>
    <cellStyle name="Total 3 2 15" xfId="995"/>
    <cellStyle name="Total 3 2 15 2" xfId="8819"/>
    <cellStyle name="Total 3 2 15 3" xfId="16247"/>
    <cellStyle name="Total 3 2 15 4" xfId="25175"/>
    <cellStyle name="Total 3 2 15 5" xfId="33556"/>
    <cellStyle name="Total 3 2 15 6" xfId="38068"/>
    <cellStyle name="Total 3 2 15 7" xfId="51166"/>
    <cellStyle name="Total 3 2 16" xfId="1165"/>
    <cellStyle name="Total 3 2 16 2" xfId="8988"/>
    <cellStyle name="Total 3 2 16 3" xfId="16416"/>
    <cellStyle name="Total 3 2 16 4" xfId="19836"/>
    <cellStyle name="Total 3 2 16 5" xfId="26890"/>
    <cellStyle name="Total 3 2 16 6" xfId="38423"/>
    <cellStyle name="Total 3 2 16 7" xfId="49724"/>
    <cellStyle name="Total 3 2 17" xfId="971"/>
    <cellStyle name="Total 3 2 17 2" xfId="8795"/>
    <cellStyle name="Total 3 2 17 3" xfId="16223"/>
    <cellStyle name="Total 3 2 17 4" xfId="26372"/>
    <cellStyle name="Total 3 2 17 5" xfId="35110"/>
    <cellStyle name="Total 3 2 17 6" xfId="37897"/>
    <cellStyle name="Total 3 2 17 7" xfId="53789"/>
    <cellStyle name="Total 3 2 18" xfId="1584"/>
    <cellStyle name="Total 3 2 18 2" xfId="9407"/>
    <cellStyle name="Total 3 2 18 3" xfId="16835"/>
    <cellStyle name="Total 3 2 18 4" xfId="25543"/>
    <cellStyle name="Total 3 2 18 5" xfId="34034"/>
    <cellStyle name="Total 3 2 18 6" xfId="40278"/>
    <cellStyle name="Total 3 2 18 7" xfId="51968"/>
    <cellStyle name="Total 3 2 19" xfId="1437"/>
    <cellStyle name="Total 3 2 19 2" xfId="9260"/>
    <cellStyle name="Total 3 2 19 3" xfId="16688"/>
    <cellStyle name="Total 3 2 19 4" xfId="25770"/>
    <cellStyle name="Total 3 2 19 5" xfId="34327"/>
    <cellStyle name="Total 3 2 19 6" xfId="39417"/>
    <cellStyle name="Total 3 2 19 7" xfId="52472"/>
    <cellStyle name="Total 3 2 2" xfId="537"/>
    <cellStyle name="Total 3 2 2 10" xfId="1984"/>
    <cellStyle name="Total 3 2 2 10 2" xfId="9807"/>
    <cellStyle name="Total 3 2 2 10 3" xfId="17235"/>
    <cellStyle name="Total 3 2 2 10 4" xfId="26691"/>
    <cellStyle name="Total 3 2 2 10 5" xfId="35543"/>
    <cellStyle name="Total 3 2 2 10 6" xfId="37427"/>
    <cellStyle name="Total 3 2 2 10 7" xfId="54476"/>
    <cellStyle name="Total 3 2 2 11" xfId="2102"/>
    <cellStyle name="Total 3 2 2 11 2" xfId="9925"/>
    <cellStyle name="Total 3 2 2 11 3" xfId="17353"/>
    <cellStyle name="Total 3 2 2 11 4" xfId="26364"/>
    <cellStyle name="Total 3 2 2 11 5" xfId="35099"/>
    <cellStyle name="Total 3 2 2 11 6" xfId="40008"/>
    <cellStyle name="Total 3 2 2 11 7" xfId="53773"/>
    <cellStyle name="Total 3 2 2 12" xfId="2215"/>
    <cellStyle name="Total 3 2 2 12 2" xfId="10038"/>
    <cellStyle name="Total 3 2 2 12 3" xfId="17466"/>
    <cellStyle name="Total 3 2 2 12 4" xfId="25266"/>
    <cellStyle name="Total 3 2 2 12 5" xfId="33674"/>
    <cellStyle name="Total 3 2 2 12 6" xfId="36566"/>
    <cellStyle name="Total 3 2 2 12 7" xfId="51358"/>
    <cellStyle name="Total 3 2 2 13" xfId="2292"/>
    <cellStyle name="Total 3 2 2 13 2" xfId="10115"/>
    <cellStyle name="Total 3 2 2 13 3" xfId="17543"/>
    <cellStyle name="Total 3 2 2 13 4" xfId="24972"/>
    <cellStyle name="Total 3 2 2 13 5" xfId="33312"/>
    <cellStyle name="Total 3 2 2 13 6" xfId="36684"/>
    <cellStyle name="Total 3 2 2 13 7" xfId="50724"/>
    <cellStyle name="Total 3 2 2 14" xfId="2383"/>
    <cellStyle name="Total 3 2 2 14 2" xfId="10206"/>
    <cellStyle name="Total 3 2 2 14 3" xfId="17634"/>
    <cellStyle name="Total 3 2 2 14 4" xfId="25217"/>
    <cellStyle name="Total 3 2 2 14 5" xfId="33616"/>
    <cellStyle name="Total 3 2 2 14 6" xfId="41493"/>
    <cellStyle name="Total 3 2 2 14 7" xfId="51255"/>
    <cellStyle name="Total 3 2 2 15" xfId="2513"/>
    <cellStyle name="Total 3 2 2 15 2" xfId="10336"/>
    <cellStyle name="Total 3 2 2 15 3" xfId="17764"/>
    <cellStyle name="Total 3 2 2 15 4" xfId="19779"/>
    <cellStyle name="Total 3 2 2 15 5" xfId="27575"/>
    <cellStyle name="Total 3 2 2 15 6" xfId="37792"/>
    <cellStyle name="Total 3 2 2 15 7" xfId="49376"/>
    <cellStyle name="Total 3 2 2 16" xfId="2626"/>
    <cellStyle name="Total 3 2 2 16 2" xfId="10449"/>
    <cellStyle name="Total 3 2 2 16 3" xfId="17877"/>
    <cellStyle name="Total 3 2 2 16 4" xfId="26179"/>
    <cellStyle name="Total 3 2 2 16 5" xfId="34852"/>
    <cellStyle name="Total 3 2 2 16 6" xfId="40018"/>
    <cellStyle name="Total 3 2 2 16 7" xfId="53379"/>
    <cellStyle name="Total 3 2 2 17" xfId="2698"/>
    <cellStyle name="Total 3 2 2 17 2" xfId="10521"/>
    <cellStyle name="Total 3 2 2 17 3" xfId="17949"/>
    <cellStyle name="Total 3 2 2 17 4" xfId="26016"/>
    <cellStyle name="Total 3 2 2 17 5" xfId="34643"/>
    <cellStyle name="Total 3 2 2 17 6" xfId="40030"/>
    <cellStyle name="Total 3 2 2 17 7" xfId="53024"/>
    <cellStyle name="Total 3 2 2 18" xfId="2744"/>
    <cellStyle name="Total 3 2 2 18 2" xfId="10567"/>
    <cellStyle name="Total 3 2 2 18 3" xfId="17995"/>
    <cellStyle name="Total 3 2 2 18 4" xfId="25726"/>
    <cellStyle name="Total 3 2 2 18 5" xfId="34272"/>
    <cellStyle name="Total 3 2 2 18 6" xfId="37669"/>
    <cellStyle name="Total 3 2 2 18 7" xfId="52378"/>
    <cellStyle name="Total 3 2 2 19" xfId="2819"/>
    <cellStyle name="Total 3 2 2 19 2" xfId="10642"/>
    <cellStyle name="Total 3 2 2 19 3" xfId="18070"/>
    <cellStyle name="Total 3 2 2 19 4" xfId="20560"/>
    <cellStyle name="Total 3 2 2 19 5" xfId="26999"/>
    <cellStyle name="Total 3 2 2 19 6" xfId="36966"/>
    <cellStyle name="Total 3 2 2 19 7" xfId="48976"/>
    <cellStyle name="Total 3 2 2 2" xfId="687"/>
    <cellStyle name="Total 3 2 2 2 2" xfId="8511"/>
    <cellStyle name="Total 3 2 2 2 3" xfId="15939"/>
    <cellStyle name="Total 3 2 2 2 4" xfId="20620"/>
    <cellStyle name="Total 3 2 2 2 5" xfId="28182"/>
    <cellStyle name="Total 3 2 2 2 6" xfId="36377"/>
    <cellStyle name="Total 3 2 2 2 7" xfId="48731"/>
    <cellStyle name="Total 3 2 2 20" xfId="2926"/>
    <cellStyle name="Total 3 2 2 20 2" xfId="10749"/>
    <cellStyle name="Total 3 2 2 20 3" xfId="18177"/>
    <cellStyle name="Total 3 2 2 20 4" xfId="26174"/>
    <cellStyle name="Total 3 2 2 20 5" xfId="34846"/>
    <cellStyle name="Total 3 2 2 20 6" xfId="41745"/>
    <cellStyle name="Total 3 2 2 20 7" xfId="53370"/>
    <cellStyle name="Total 3 2 2 21" xfId="3302"/>
    <cellStyle name="Total 3 2 2 21 2" xfId="11095"/>
    <cellStyle name="Total 3 2 2 21 3" xfId="18424"/>
    <cellStyle name="Total 3 2 2 21 4" xfId="25540"/>
    <cellStyle name="Total 3 2 2 21 5" xfId="34031"/>
    <cellStyle name="Total 3 2 2 21 6" xfId="39638"/>
    <cellStyle name="Total 3 2 2 21 7" xfId="51964"/>
    <cellStyle name="Total 3 2 2 22" xfId="3422"/>
    <cellStyle name="Total 3 2 2 22 2" xfId="11213"/>
    <cellStyle name="Total 3 2 2 22 3" xfId="18535"/>
    <cellStyle name="Total 3 2 2 22 4" xfId="25780"/>
    <cellStyle name="Total 3 2 2 22 5" xfId="34342"/>
    <cellStyle name="Total 3 2 2 22 6" xfId="42114"/>
    <cellStyle name="Total 3 2 2 22 7" xfId="52509"/>
    <cellStyle name="Total 3 2 2 23" xfId="3129"/>
    <cellStyle name="Total 3 2 2 23 2" xfId="10934"/>
    <cellStyle name="Total 3 2 2 23 3" xfId="18312"/>
    <cellStyle name="Total 3 2 2 23 4" xfId="19267"/>
    <cellStyle name="Total 3 2 2 23 5" xfId="28570"/>
    <cellStyle name="Total 3 2 2 23 6" xfId="42192"/>
    <cellStyle name="Total 3 2 2 23 7" xfId="48112"/>
    <cellStyle name="Total 3 2 2 24" xfId="3693"/>
    <cellStyle name="Total 3 2 2 24 2" xfId="11478"/>
    <cellStyle name="Total 3 2 2 24 3" xfId="18751"/>
    <cellStyle name="Total 3 2 2 24 4" xfId="19302"/>
    <cellStyle name="Total 3 2 2 24 5" xfId="28880"/>
    <cellStyle name="Total 3 2 2 24 6" xfId="37378"/>
    <cellStyle name="Total 3 2 2 24 7" xfId="50132"/>
    <cellStyle name="Total 3 2 2 25" xfId="3823"/>
    <cellStyle name="Total 3 2 2 25 2" xfId="11605"/>
    <cellStyle name="Total 3 2 2 25 3" xfId="18862"/>
    <cellStyle name="Total 3 2 2 25 4" xfId="25700"/>
    <cellStyle name="Total 3 2 2 25 5" xfId="34240"/>
    <cellStyle name="Total 3 2 2 25 6" xfId="39808"/>
    <cellStyle name="Total 3 2 2 25 7" xfId="52309"/>
    <cellStyle name="Total 3 2 2 26" xfId="3941"/>
    <cellStyle name="Total 3 2 2 26 2" xfId="11721"/>
    <cellStyle name="Total 3 2 2 26 3" xfId="18971"/>
    <cellStyle name="Total 3 2 2 26 4" xfId="20463"/>
    <cellStyle name="Total 3 2 2 26 5" xfId="27678"/>
    <cellStyle name="Total 3 2 2 26 6" xfId="37014"/>
    <cellStyle name="Total 3 2 2 26 7" xfId="47347"/>
    <cellStyle name="Total 3 2 2 27" xfId="4009"/>
    <cellStyle name="Total 3 2 2 27 2" xfId="11788"/>
    <cellStyle name="Total 3 2 2 27 3" xfId="20719"/>
    <cellStyle name="Total 3 2 2 27 4" xfId="28906"/>
    <cellStyle name="Total 3 2 2 27 5" xfId="38289"/>
    <cellStyle name="Total 3 2 2 27 6" xfId="42571"/>
    <cellStyle name="Total 3 2 2 27 7" xfId="48592"/>
    <cellStyle name="Total 3 2 2 28" xfId="4138"/>
    <cellStyle name="Total 3 2 2 28 2" xfId="11897"/>
    <cellStyle name="Total 3 2 2 28 3" xfId="20848"/>
    <cellStyle name="Total 3 2 2 28 4" xfId="29035"/>
    <cellStyle name="Total 3 2 2 28 5" xfId="38412"/>
    <cellStyle name="Total 3 2 2 28 6" xfId="42700"/>
    <cellStyle name="Total 3 2 2 28 7" xfId="50639"/>
    <cellStyle name="Total 3 2 2 29" xfId="3152"/>
    <cellStyle name="Total 3 2 2 29 2" xfId="20288"/>
    <cellStyle name="Total 3 2 2 29 3" xfId="28382"/>
    <cellStyle name="Total 3 2 2 29 4" xfId="37768"/>
    <cellStyle name="Total 3 2 2 29 5" xfId="42415"/>
    <cellStyle name="Total 3 2 2 29 6" xfId="54111"/>
    <cellStyle name="Total 3 2 2 3" xfId="795"/>
    <cellStyle name="Total 3 2 2 3 2" xfId="8619"/>
    <cellStyle name="Total 3 2 2 3 3" xfId="16047"/>
    <cellStyle name="Total 3 2 2 3 4" xfId="19263"/>
    <cellStyle name="Total 3 2 2 3 5" xfId="27949"/>
    <cellStyle name="Total 3 2 2 3 6" xfId="37773"/>
    <cellStyle name="Total 3 2 2 3 7" xfId="50040"/>
    <cellStyle name="Total 3 2 2 30" xfId="4335"/>
    <cellStyle name="Total 3 2 2 30 2" xfId="12052"/>
    <cellStyle name="Total 3 2 2 30 3" xfId="21045"/>
    <cellStyle name="Total 3 2 2 30 4" xfId="29232"/>
    <cellStyle name="Total 3 2 2 30 5" xfId="38603"/>
    <cellStyle name="Total 3 2 2 30 6" xfId="42897"/>
    <cellStyle name="Total 3 2 2 30 7" xfId="47861"/>
    <cellStyle name="Total 3 2 2 31" xfId="4458"/>
    <cellStyle name="Total 3 2 2 31 2" xfId="12175"/>
    <cellStyle name="Total 3 2 2 31 3" xfId="21168"/>
    <cellStyle name="Total 3 2 2 31 4" xfId="29355"/>
    <cellStyle name="Total 3 2 2 31 5" xfId="38721"/>
    <cellStyle name="Total 3 2 2 31 6" xfId="43020"/>
    <cellStyle name="Total 3 2 2 31 7" xfId="48980"/>
    <cellStyle name="Total 3 2 2 32" xfId="4572"/>
    <cellStyle name="Total 3 2 2 32 2" xfId="12289"/>
    <cellStyle name="Total 3 2 2 32 3" xfId="21282"/>
    <cellStyle name="Total 3 2 2 32 4" xfId="29469"/>
    <cellStyle name="Total 3 2 2 32 5" xfId="38830"/>
    <cellStyle name="Total 3 2 2 32 6" xfId="43134"/>
    <cellStyle name="Total 3 2 2 32 7" xfId="52648"/>
    <cellStyle name="Total 3 2 2 33" xfId="4685"/>
    <cellStyle name="Total 3 2 2 33 2" xfId="12402"/>
    <cellStyle name="Total 3 2 2 33 3" xfId="21395"/>
    <cellStyle name="Total 3 2 2 33 4" xfId="29582"/>
    <cellStyle name="Total 3 2 2 33 5" xfId="38939"/>
    <cellStyle name="Total 3 2 2 33 6" xfId="43247"/>
    <cellStyle name="Total 3 2 2 33 7" xfId="47235"/>
    <cellStyle name="Total 3 2 2 34" xfId="4796"/>
    <cellStyle name="Total 3 2 2 34 2" xfId="12513"/>
    <cellStyle name="Total 3 2 2 34 3" xfId="21506"/>
    <cellStyle name="Total 3 2 2 34 4" xfId="29693"/>
    <cellStyle name="Total 3 2 2 34 5" xfId="39047"/>
    <cellStyle name="Total 3 2 2 34 6" xfId="43358"/>
    <cellStyle name="Total 3 2 2 34 7" xfId="52235"/>
    <cellStyle name="Total 3 2 2 35" xfId="4905"/>
    <cellStyle name="Total 3 2 2 35 2" xfId="12622"/>
    <cellStyle name="Total 3 2 2 35 3" xfId="21615"/>
    <cellStyle name="Total 3 2 2 35 4" xfId="29802"/>
    <cellStyle name="Total 3 2 2 35 5" xfId="39151"/>
    <cellStyle name="Total 3 2 2 35 6" xfId="43467"/>
    <cellStyle name="Total 3 2 2 35 7" xfId="47706"/>
    <cellStyle name="Total 3 2 2 36" xfId="5016"/>
    <cellStyle name="Total 3 2 2 36 2" xfId="12733"/>
    <cellStyle name="Total 3 2 2 36 3" xfId="21726"/>
    <cellStyle name="Total 3 2 2 36 4" xfId="29913"/>
    <cellStyle name="Total 3 2 2 36 5" xfId="39259"/>
    <cellStyle name="Total 3 2 2 36 6" xfId="43578"/>
    <cellStyle name="Total 3 2 2 36 7" xfId="52568"/>
    <cellStyle name="Total 3 2 2 37" xfId="5395"/>
    <cellStyle name="Total 3 2 2 37 2" xfId="13112"/>
    <cellStyle name="Total 3 2 2 37 3" xfId="22105"/>
    <cellStyle name="Total 3 2 2 37 4" xfId="30292"/>
    <cellStyle name="Total 3 2 2 37 5" xfId="39623"/>
    <cellStyle name="Total 3 2 2 37 6" xfId="43957"/>
    <cellStyle name="Total 3 2 2 37 7" xfId="47597"/>
    <cellStyle name="Total 3 2 2 38" xfId="5515"/>
    <cellStyle name="Total 3 2 2 38 2" xfId="13232"/>
    <cellStyle name="Total 3 2 2 38 3" xfId="22225"/>
    <cellStyle name="Total 3 2 2 38 4" xfId="30412"/>
    <cellStyle name="Total 3 2 2 38 5" xfId="39737"/>
    <cellStyle name="Total 3 2 2 38 6" xfId="44077"/>
    <cellStyle name="Total 3 2 2 38 7" xfId="50447"/>
    <cellStyle name="Total 3 2 2 39" xfId="5639"/>
    <cellStyle name="Total 3 2 2 39 2" xfId="13356"/>
    <cellStyle name="Total 3 2 2 39 3" xfId="22349"/>
    <cellStyle name="Total 3 2 2 39 4" xfId="30536"/>
    <cellStyle name="Total 3 2 2 39 5" xfId="39857"/>
    <cellStyle name="Total 3 2 2 39 6" xfId="44201"/>
    <cellStyle name="Total 3 2 2 39 7" xfId="54513"/>
    <cellStyle name="Total 3 2 2 4" xfId="906"/>
    <cellStyle name="Total 3 2 2 4 2" xfId="8730"/>
    <cellStyle name="Total 3 2 2 4 3" xfId="16158"/>
    <cellStyle name="Total 3 2 2 4 4" xfId="26137"/>
    <cellStyle name="Total 3 2 2 4 5" xfId="34801"/>
    <cellStyle name="Total 3 2 2 4 6" xfId="36652"/>
    <cellStyle name="Total 3 2 2 4 7" xfId="53285"/>
    <cellStyle name="Total 3 2 2 40" xfId="5755"/>
    <cellStyle name="Total 3 2 2 40 2" xfId="13472"/>
    <cellStyle name="Total 3 2 2 40 3" xfId="22465"/>
    <cellStyle name="Total 3 2 2 40 4" xfId="30652"/>
    <cellStyle name="Total 3 2 2 40 5" xfId="39969"/>
    <cellStyle name="Total 3 2 2 40 6" xfId="44317"/>
    <cellStyle name="Total 3 2 2 40 7" xfId="51868"/>
    <cellStyle name="Total 3 2 2 41" xfId="5871"/>
    <cellStyle name="Total 3 2 2 41 2" xfId="13588"/>
    <cellStyle name="Total 3 2 2 41 3" xfId="22581"/>
    <cellStyle name="Total 3 2 2 41 4" xfId="30768"/>
    <cellStyle name="Total 3 2 2 41 5" xfId="40082"/>
    <cellStyle name="Total 3 2 2 41 6" xfId="44433"/>
    <cellStyle name="Total 3 2 2 41 7" xfId="52418"/>
    <cellStyle name="Total 3 2 2 42" xfId="6000"/>
    <cellStyle name="Total 3 2 2 42 2" xfId="13717"/>
    <cellStyle name="Total 3 2 2 42 3" xfId="22710"/>
    <cellStyle name="Total 3 2 2 42 4" xfId="30897"/>
    <cellStyle name="Total 3 2 2 42 5" xfId="40206"/>
    <cellStyle name="Total 3 2 2 42 6" xfId="44562"/>
    <cellStyle name="Total 3 2 2 42 7" xfId="54507"/>
    <cellStyle name="Total 3 2 2 43" xfId="5087"/>
    <cellStyle name="Total 3 2 2 43 2" xfId="12804"/>
    <cellStyle name="Total 3 2 2 43 3" xfId="21797"/>
    <cellStyle name="Total 3 2 2 43 4" xfId="29984"/>
    <cellStyle name="Total 3 2 2 43 5" xfId="39327"/>
    <cellStyle name="Total 3 2 2 43 6" xfId="43649"/>
    <cellStyle name="Total 3 2 2 43 7" xfId="52428"/>
    <cellStyle name="Total 3 2 2 44" xfId="6256"/>
    <cellStyle name="Total 3 2 2 44 2" xfId="13973"/>
    <cellStyle name="Total 3 2 2 44 3" xfId="22966"/>
    <cellStyle name="Total 3 2 2 44 4" xfId="31153"/>
    <cellStyle name="Total 3 2 2 44 5" xfId="40454"/>
    <cellStyle name="Total 3 2 2 44 6" xfId="44818"/>
    <cellStyle name="Total 3 2 2 44 7" xfId="49432"/>
    <cellStyle name="Total 3 2 2 45" xfId="6372"/>
    <cellStyle name="Total 3 2 2 45 2" xfId="14089"/>
    <cellStyle name="Total 3 2 2 45 3" xfId="23082"/>
    <cellStyle name="Total 3 2 2 45 4" xfId="31269"/>
    <cellStyle name="Total 3 2 2 45 5" xfId="40567"/>
    <cellStyle name="Total 3 2 2 45 6" xfId="44934"/>
    <cellStyle name="Total 3 2 2 45 7" xfId="52930"/>
    <cellStyle name="Total 3 2 2 46" xfId="6483"/>
    <cellStyle name="Total 3 2 2 46 2" xfId="14200"/>
    <cellStyle name="Total 3 2 2 46 3" xfId="23193"/>
    <cellStyle name="Total 3 2 2 46 4" xfId="31380"/>
    <cellStyle name="Total 3 2 2 46 5" xfId="40674"/>
    <cellStyle name="Total 3 2 2 46 6" xfId="45045"/>
    <cellStyle name="Total 3 2 2 46 7" xfId="50608"/>
    <cellStyle name="Total 3 2 2 47" xfId="6546"/>
    <cellStyle name="Total 3 2 2 47 2" xfId="14263"/>
    <cellStyle name="Total 3 2 2 47 3" xfId="23256"/>
    <cellStyle name="Total 3 2 2 47 4" xfId="31443"/>
    <cellStyle name="Total 3 2 2 47 5" xfId="40733"/>
    <cellStyle name="Total 3 2 2 47 6" xfId="45108"/>
    <cellStyle name="Total 3 2 2 47 7" xfId="49049"/>
    <cellStyle name="Total 3 2 2 48" xfId="6629"/>
    <cellStyle name="Total 3 2 2 48 2" xfId="14346"/>
    <cellStyle name="Total 3 2 2 48 3" xfId="23339"/>
    <cellStyle name="Total 3 2 2 48 4" xfId="31526"/>
    <cellStyle name="Total 3 2 2 48 5" xfId="40813"/>
    <cellStyle name="Total 3 2 2 48 6" xfId="45191"/>
    <cellStyle name="Total 3 2 2 48 7" xfId="51651"/>
    <cellStyle name="Total 3 2 2 49" xfId="6741"/>
    <cellStyle name="Total 3 2 2 49 2" xfId="14458"/>
    <cellStyle name="Total 3 2 2 49 3" xfId="23451"/>
    <cellStyle name="Total 3 2 2 49 4" xfId="31638"/>
    <cellStyle name="Total 3 2 2 49 5" xfId="40919"/>
    <cellStyle name="Total 3 2 2 49 6" xfId="45303"/>
    <cellStyle name="Total 3 2 2 49 7" xfId="47494"/>
    <cellStyle name="Total 3 2 2 5" xfId="1372"/>
    <cellStyle name="Total 3 2 2 5 2" xfId="9195"/>
    <cellStyle name="Total 3 2 2 5 3" xfId="16623"/>
    <cellStyle name="Total 3 2 2 5 4" xfId="25730"/>
    <cellStyle name="Total 3 2 2 5 5" xfId="34278"/>
    <cellStyle name="Total 3 2 2 5 6" xfId="39376"/>
    <cellStyle name="Total 3 2 2 5 7" xfId="52387"/>
    <cellStyle name="Total 3 2 2 50" xfId="6856"/>
    <cellStyle name="Total 3 2 2 50 2" xfId="14573"/>
    <cellStyle name="Total 3 2 2 50 3" xfId="23566"/>
    <cellStyle name="Total 3 2 2 50 4" xfId="31753"/>
    <cellStyle name="Total 3 2 2 50 5" xfId="41027"/>
    <cellStyle name="Total 3 2 2 50 6" xfId="45418"/>
    <cellStyle name="Total 3 2 2 50 7" xfId="47830"/>
    <cellStyle name="Total 3 2 2 51" xfId="6969"/>
    <cellStyle name="Total 3 2 2 51 2" xfId="14686"/>
    <cellStyle name="Total 3 2 2 51 3" xfId="23679"/>
    <cellStyle name="Total 3 2 2 51 4" xfId="31866"/>
    <cellStyle name="Total 3 2 2 51 5" xfId="41135"/>
    <cellStyle name="Total 3 2 2 51 6" xfId="45531"/>
    <cellStyle name="Total 3 2 2 51 7" xfId="47029"/>
    <cellStyle name="Total 3 2 2 52" xfId="7080"/>
    <cellStyle name="Total 3 2 2 52 2" xfId="14797"/>
    <cellStyle name="Total 3 2 2 52 3" xfId="23790"/>
    <cellStyle name="Total 3 2 2 52 4" xfId="31977"/>
    <cellStyle name="Total 3 2 2 52 5" xfId="41240"/>
    <cellStyle name="Total 3 2 2 52 6" xfId="45642"/>
    <cellStyle name="Total 3 2 2 52 7" xfId="51106"/>
    <cellStyle name="Total 3 2 2 53" xfId="7197"/>
    <cellStyle name="Total 3 2 2 53 2" xfId="14914"/>
    <cellStyle name="Total 3 2 2 53 3" xfId="23907"/>
    <cellStyle name="Total 3 2 2 53 4" xfId="32094"/>
    <cellStyle name="Total 3 2 2 53 5" xfId="41354"/>
    <cellStyle name="Total 3 2 2 53 6" xfId="45759"/>
    <cellStyle name="Total 3 2 2 53 7" xfId="51633"/>
    <cellStyle name="Total 3 2 2 54" xfId="7283"/>
    <cellStyle name="Total 3 2 2 54 2" xfId="15000"/>
    <cellStyle name="Total 3 2 2 54 3" xfId="23993"/>
    <cellStyle name="Total 3 2 2 54 4" xfId="32180"/>
    <cellStyle name="Total 3 2 2 54 5" xfId="41436"/>
    <cellStyle name="Total 3 2 2 54 6" xfId="45845"/>
    <cellStyle name="Total 3 2 2 54 7" xfId="50930"/>
    <cellStyle name="Total 3 2 2 55" xfId="7477"/>
    <cellStyle name="Total 3 2 2 55 2" xfId="15194"/>
    <cellStyle name="Total 3 2 2 55 3" xfId="24187"/>
    <cellStyle name="Total 3 2 2 55 4" xfId="32374"/>
    <cellStyle name="Total 3 2 2 55 5" xfId="41623"/>
    <cellStyle name="Total 3 2 2 55 6" xfId="46039"/>
    <cellStyle name="Total 3 2 2 55 7" xfId="52817"/>
    <cellStyle name="Total 3 2 2 56" xfId="7598"/>
    <cellStyle name="Total 3 2 2 56 2" xfId="15315"/>
    <cellStyle name="Total 3 2 2 56 3" xfId="24308"/>
    <cellStyle name="Total 3 2 2 56 4" xfId="32495"/>
    <cellStyle name="Total 3 2 2 56 5" xfId="41738"/>
    <cellStyle name="Total 3 2 2 56 6" xfId="46160"/>
    <cellStyle name="Total 3 2 2 56 7" xfId="50153"/>
    <cellStyle name="Total 3 2 2 57" xfId="7874"/>
    <cellStyle name="Total 3 2 2 57 2" xfId="15591"/>
    <cellStyle name="Total 3 2 2 57 3" xfId="24578"/>
    <cellStyle name="Total 3 2 2 57 4" xfId="32771"/>
    <cellStyle name="Total 3 2 2 57 5" xfId="42003"/>
    <cellStyle name="Total 3 2 2 57 6" xfId="46436"/>
    <cellStyle name="Total 3 2 2 57 7" xfId="53507"/>
    <cellStyle name="Total 3 2 2 58" xfId="7952"/>
    <cellStyle name="Total 3 2 2 58 2" xfId="15669"/>
    <cellStyle name="Total 3 2 2 58 3" xfId="24655"/>
    <cellStyle name="Total 3 2 2 58 4" xfId="32849"/>
    <cellStyle name="Total 3 2 2 58 5" xfId="42077"/>
    <cellStyle name="Total 3 2 2 58 6" xfId="46514"/>
    <cellStyle name="Total 3 2 2 58 7" xfId="50636"/>
    <cellStyle name="Total 3 2 2 59" xfId="8084"/>
    <cellStyle name="Total 3 2 2 59 2" xfId="15801"/>
    <cellStyle name="Total 3 2 2 59 3" xfId="24785"/>
    <cellStyle name="Total 3 2 2 59 4" xfId="32981"/>
    <cellStyle name="Total 3 2 2 59 5" xfId="42203"/>
    <cellStyle name="Total 3 2 2 59 6" xfId="46646"/>
    <cellStyle name="Total 3 2 2 59 7" xfId="49803"/>
    <cellStyle name="Total 3 2 2 6" xfId="1495"/>
    <cellStyle name="Total 3 2 2 6 2" xfId="9318"/>
    <cellStyle name="Total 3 2 2 6 3" xfId="16746"/>
    <cellStyle name="Total 3 2 2 6 4" xfId="25469"/>
    <cellStyle name="Total 3 2 2 6 5" xfId="33937"/>
    <cellStyle name="Total 3 2 2 6 6" xfId="42017"/>
    <cellStyle name="Total 3 2 2 6 7" xfId="51805"/>
    <cellStyle name="Total 3 2 2 60" xfId="8150"/>
    <cellStyle name="Total 3 2 2 60 2" xfId="15867"/>
    <cellStyle name="Total 3 2 2 60 3" xfId="33047"/>
    <cellStyle name="Total 3 2 2 60 4" xfId="42267"/>
    <cellStyle name="Total 3 2 2 60 5" xfId="46712"/>
    <cellStyle name="Total 3 2 2 60 6" xfId="48856"/>
    <cellStyle name="Total 3 2 2 61" xfId="19324"/>
    <cellStyle name="Total 3 2 2 62" xfId="28244"/>
    <cellStyle name="Total 3 2 2 63" xfId="36622"/>
    <cellStyle name="Total 3 2 2 64" xfId="49593"/>
    <cellStyle name="Total 3 2 2 7" xfId="1586"/>
    <cellStyle name="Total 3 2 2 7 2" xfId="9409"/>
    <cellStyle name="Total 3 2 2 7 3" xfId="16837"/>
    <cellStyle name="Total 3 2 2 7 4" xfId="25335"/>
    <cellStyle name="Total 3 2 2 7 5" xfId="33766"/>
    <cellStyle name="Total 3 2 2 7 6" xfId="40048"/>
    <cellStyle name="Total 3 2 2 7 7" xfId="51503"/>
    <cellStyle name="Total 3 2 2 8" xfId="1732"/>
    <cellStyle name="Total 3 2 2 8 2" xfId="9555"/>
    <cellStyle name="Total 3 2 2 8 3" xfId="16983"/>
    <cellStyle name="Total 3 2 2 8 4" xfId="25045"/>
    <cellStyle name="Total 3 2 2 8 5" xfId="33404"/>
    <cellStyle name="Total 3 2 2 8 6" xfId="41383"/>
    <cellStyle name="Total 3 2 2 8 7" xfId="50894"/>
    <cellStyle name="Total 3 2 2 9" xfId="1866"/>
    <cellStyle name="Total 3 2 2 9 2" xfId="9689"/>
    <cellStyle name="Total 3 2 2 9 3" xfId="17117"/>
    <cellStyle name="Total 3 2 2 9 4" xfId="25344"/>
    <cellStyle name="Total 3 2 2 9 5" xfId="33778"/>
    <cellStyle name="Total 3 2 2 9 6" xfId="40386"/>
    <cellStyle name="Total 3 2 2 9 7" xfId="51521"/>
    <cellStyle name="Total 3 2 20" xfId="1643"/>
    <cellStyle name="Total 3 2 20 2" xfId="9466"/>
    <cellStyle name="Total 3 2 20 3" xfId="16894"/>
    <cellStyle name="Total 3 2 20 4" xfId="26015"/>
    <cellStyle name="Total 3 2 20 5" xfId="34642"/>
    <cellStyle name="Total 3 2 20 6" xfId="41625"/>
    <cellStyle name="Total 3 2 20 7" xfId="53022"/>
    <cellStyle name="Total 3 2 21" xfId="1086"/>
    <cellStyle name="Total 3 2 21 2" xfId="8910"/>
    <cellStyle name="Total 3 2 21 3" xfId="16338"/>
    <cellStyle name="Total 3 2 21 4" xfId="20532"/>
    <cellStyle name="Total 3 2 21 5" xfId="28116"/>
    <cellStyle name="Total 3 2 21 6" xfId="37937"/>
    <cellStyle name="Total 3 2 21 7" xfId="49005"/>
    <cellStyle name="Total 3 2 22" xfId="2313"/>
    <cellStyle name="Total 3 2 22 2" xfId="10136"/>
    <cellStyle name="Total 3 2 22 3" xfId="17564"/>
    <cellStyle name="Total 3 2 22 4" xfId="25441"/>
    <cellStyle name="Total 3 2 22 5" xfId="33901"/>
    <cellStyle name="Total 3 2 22 6" xfId="41803"/>
    <cellStyle name="Total 3 2 22 7" xfId="51732"/>
    <cellStyle name="Total 3 2 23" xfId="2380"/>
    <cellStyle name="Total 3 2 23 2" xfId="10203"/>
    <cellStyle name="Total 3 2 23 3" xfId="17631"/>
    <cellStyle name="Total 3 2 23 4" xfId="20261"/>
    <cellStyle name="Total 3 2 23 5" xfId="27645"/>
    <cellStyle name="Total 3 2 23 6" xfId="41989"/>
    <cellStyle name="Total 3 2 23 7" xfId="48309"/>
    <cellStyle name="Total 3 2 24" xfId="968"/>
    <cellStyle name="Total 3 2 24 2" xfId="8792"/>
    <cellStyle name="Total 3 2 24 3" xfId="16220"/>
    <cellStyle name="Total 3 2 24 4" xfId="26517"/>
    <cellStyle name="Total 3 2 24 5" xfId="35314"/>
    <cellStyle name="Total 3 2 24 6" xfId="38135"/>
    <cellStyle name="Total 3 2 24 7" xfId="54105"/>
    <cellStyle name="Total 3 2 25" xfId="2736"/>
    <cellStyle name="Total 3 2 25 2" xfId="10559"/>
    <cellStyle name="Total 3 2 25 3" xfId="17987"/>
    <cellStyle name="Total 3 2 25 4" xfId="19163"/>
    <cellStyle name="Total 3 2 25 5" xfId="28050"/>
    <cellStyle name="Total 3 2 25 6" xfId="37810"/>
    <cellStyle name="Total 3 2 25 7" xfId="49237"/>
    <cellStyle name="Total 3 2 26" xfId="3113"/>
    <cellStyle name="Total 3 2 26 2" xfId="10918"/>
    <cellStyle name="Total 3 2 26 3" xfId="18299"/>
    <cellStyle name="Total 3 2 26 4" xfId="19155"/>
    <cellStyle name="Total 3 2 26 5" xfId="28572"/>
    <cellStyle name="Total 3 2 26 6" xfId="36283"/>
    <cellStyle name="Total 3 2 26 7" xfId="49256"/>
    <cellStyle name="Total 3 2 27" xfId="2983"/>
    <cellStyle name="Total 3 2 27 2" xfId="10805"/>
    <cellStyle name="Total 3 2 27 3" xfId="18232"/>
    <cellStyle name="Total 3 2 27 4" xfId="19077"/>
    <cellStyle name="Total 3 2 27 5" xfId="26873"/>
    <cellStyle name="Total 3 2 27 6" xfId="42293"/>
    <cellStyle name="Total 3 2 27 7" xfId="49794"/>
    <cellStyle name="Total 3 2 28" xfId="3359"/>
    <cellStyle name="Total 3 2 28 2" xfId="11152"/>
    <cellStyle name="Total 3 2 28 3" xfId="18478"/>
    <cellStyle name="Total 3 2 28 4" xfId="26609"/>
    <cellStyle name="Total 3 2 28 5" xfId="35436"/>
    <cellStyle name="Total 3 2 28 6" xfId="41047"/>
    <cellStyle name="Total 3 2 28 7" xfId="54301"/>
    <cellStyle name="Total 3 2 29" xfId="3074"/>
    <cellStyle name="Total 3 2 29 2" xfId="10882"/>
    <cellStyle name="Total 3 2 29 3" xfId="18275"/>
    <cellStyle name="Total 3 2 29 4" xfId="26071"/>
    <cellStyle name="Total 3 2 29 5" xfId="34716"/>
    <cellStyle name="Total 3 2 29 6" xfId="39356"/>
    <cellStyle name="Total 3 2 29 7" xfId="53147"/>
    <cellStyle name="Total 3 2 3" xfId="506"/>
    <cellStyle name="Total 3 2 3 10" xfId="1953"/>
    <cellStyle name="Total 3 2 3 10 2" xfId="9776"/>
    <cellStyle name="Total 3 2 3 10 3" xfId="17204"/>
    <cellStyle name="Total 3 2 3 10 4" xfId="25242"/>
    <cellStyle name="Total 3 2 3 10 5" xfId="33646"/>
    <cellStyle name="Total 3 2 3 10 6" xfId="40274"/>
    <cellStyle name="Total 3 2 3 10 7" xfId="51302"/>
    <cellStyle name="Total 3 2 3 11" xfId="2071"/>
    <cellStyle name="Total 3 2 3 11 2" xfId="9894"/>
    <cellStyle name="Total 3 2 3 11 3" xfId="17322"/>
    <cellStyle name="Total 3 2 3 11 4" xfId="25358"/>
    <cellStyle name="Total 3 2 3 11 5" xfId="33794"/>
    <cellStyle name="Total 3 2 3 11 6" xfId="39472"/>
    <cellStyle name="Total 3 2 3 11 7" xfId="51548"/>
    <cellStyle name="Total 3 2 3 12" xfId="2184"/>
    <cellStyle name="Total 3 2 3 12 2" xfId="10007"/>
    <cellStyle name="Total 3 2 3 12 3" xfId="17435"/>
    <cellStyle name="Total 3 2 3 12 4" xfId="19493"/>
    <cellStyle name="Total 3 2 3 12 5" xfId="27573"/>
    <cellStyle name="Total 3 2 3 12 6" xfId="38802"/>
    <cellStyle name="Total 3 2 3 12 7" xfId="48457"/>
    <cellStyle name="Total 3 2 3 13" xfId="1625"/>
    <cellStyle name="Total 3 2 3 13 2" xfId="9448"/>
    <cellStyle name="Total 3 2 3 13 3" xfId="16876"/>
    <cellStyle name="Total 3 2 3 13 4" xfId="25462"/>
    <cellStyle name="Total 3 2 3 13 5" xfId="33927"/>
    <cellStyle name="Total 3 2 3 13 6" xfId="37898"/>
    <cellStyle name="Total 3 2 3 13 7" xfId="51785"/>
    <cellStyle name="Total 3 2 3 14" xfId="1557"/>
    <cellStyle name="Total 3 2 3 14 2" xfId="9380"/>
    <cellStyle name="Total 3 2 3 14 3" xfId="16808"/>
    <cellStyle name="Total 3 2 3 14 4" xfId="19371"/>
    <cellStyle name="Total 3 2 3 14 5" xfId="27684"/>
    <cellStyle name="Total 3 2 3 14 6" xfId="37703"/>
    <cellStyle name="Total 3 2 3 14 7" xfId="48389"/>
    <cellStyle name="Total 3 2 3 15" xfId="2482"/>
    <cellStyle name="Total 3 2 3 15 2" xfId="10305"/>
    <cellStyle name="Total 3 2 3 15 3" xfId="17733"/>
    <cellStyle name="Total 3 2 3 15 4" xfId="25955"/>
    <cellStyle name="Total 3 2 3 15 5" xfId="34562"/>
    <cellStyle name="Total 3 2 3 15 6" xfId="38401"/>
    <cellStyle name="Total 3 2 3 15 7" xfId="52899"/>
    <cellStyle name="Total 3 2 3 16" xfId="2595"/>
    <cellStyle name="Total 3 2 3 16 2" xfId="10418"/>
    <cellStyle name="Total 3 2 3 16 3" xfId="17846"/>
    <cellStyle name="Total 3 2 3 16 4" xfId="19027"/>
    <cellStyle name="Total 3 2 3 16 5" xfId="26974"/>
    <cellStyle name="Total 3 2 3 16 6" xfId="40223"/>
    <cellStyle name="Total 3 2 3 16 7" xfId="49843"/>
    <cellStyle name="Total 3 2 3 17" xfId="1219"/>
    <cellStyle name="Total 3 2 3 17 2" xfId="9042"/>
    <cellStyle name="Total 3 2 3 17 3" xfId="16470"/>
    <cellStyle name="Total 3 2 3 17 4" xfId="19583"/>
    <cellStyle name="Total 3 2 3 17 5" xfId="28401"/>
    <cellStyle name="Total 3 2 3 17 6" xfId="39281"/>
    <cellStyle name="Total 3 2 3 17 7" xfId="49540"/>
    <cellStyle name="Total 3 2 3 18" xfId="2392"/>
    <cellStyle name="Total 3 2 3 18 2" xfId="10215"/>
    <cellStyle name="Total 3 2 3 18 3" xfId="17643"/>
    <cellStyle name="Total 3 2 3 18 4" xfId="20389"/>
    <cellStyle name="Total 3 2 3 18 5" xfId="27295"/>
    <cellStyle name="Total 3 2 3 18 6" xfId="40659"/>
    <cellStyle name="Total 3 2 3 18 7" xfId="50316"/>
    <cellStyle name="Total 3 2 3 19" xfId="2789"/>
    <cellStyle name="Total 3 2 3 19 2" xfId="10612"/>
    <cellStyle name="Total 3 2 3 19 3" xfId="18040"/>
    <cellStyle name="Total 3 2 3 19 4" xfId="25460"/>
    <cellStyle name="Total 3 2 3 19 5" xfId="33925"/>
    <cellStyle name="Total 3 2 3 19 6" xfId="38196"/>
    <cellStyle name="Total 3 2 3 19 7" xfId="51778"/>
    <cellStyle name="Total 3 2 3 2" xfId="657"/>
    <cellStyle name="Total 3 2 3 2 2" xfId="8481"/>
    <cellStyle name="Total 3 2 3 2 3" xfId="8277"/>
    <cellStyle name="Total 3 2 3 2 4" xfId="25592"/>
    <cellStyle name="Total 3 2 3 2 5" xfId="34101"/>
    <cellStyle name="Total 3 2 3 2 6" xfId="37117"/>
    <cellStyle name="Total 3 2 3 2 7" xfId="52080"/>
    <cellStyle name="Total 3 2 3 20" xfId="2896"/>
    <cellStyle name="Total 3 2 3 20 2" xfId="10719"/>
    <cellStyle name="Total 3 2 3 20 3" xfId="18147"/>
    <cellStyle name="Total 3 2 3 20 4" xfId="20525"/>
    <cellStyle name="Total 3 2 3 20 5" xfId="28327"/>
    <cellStyle name="Total 3 2 3 20 6" xfId="37774"/>
    <cellStyle name="Total 3 2 3 20 7" xfId="48977"/>
    <cellStyle name="Total 3 2 3 21" xfId="3272"/>
    <cellStyle name="Total 3 2 3 21 2" xfId="11065"/>
    <cellStyle name="Total 3 2 3 21 3" xfId="18394"/>
    <cellStyle name="Total 3 2 3 21 4" xfId="20018"/>
    <cellStyle name="Total 3 2 3 21 5" xfId="28725"/>
    <cellStyle name="Total 3 2 3 21 6" xfId="36973"/>
    <cellStyle name="Total 3 2 3 21 7" xfId="48511"/>
    <cellStyle name="Total 3 2 3 22" xfId="3392"/>
    <cellStyle name="Total 3 2 3 22 2" xfId="11183"/>
    <cellStyle name="Total 3 2 3 22 3" xfId="18505"/>
    <cellStyle name="Total 3 2 3 22 4" xfId="25018"/>
    <cellStyle name="Total 3 2 3 22 5" xfId="33373"/>
    <cellStyle name="Total 3 2 3 22 6" xfId="37951"/>
    <cellStyle name="Total 3 2 3 22 7" xfId="50838"/>
    <cellStyle name="Total 3 2 3 23" xfId="2996"/>
    <cellStyle name="Total 3 2 3 23 2" xfId="10815"/>
    <cellStyle name="Total 3 2 3 23 3" xfId="18240"/>
    <cellStyle name="Total 3 2 3 23 4" xfId="26243"/>
    <cellStyle name="Total 3 2 3 23 5" xfId="34934"/>
    <cellStyle name="Total 3 2 3 23 6" xfId="40945"/>
    <cellStyle name="Total 3 2 3 23 7" xfId="53520"/>
    <cellStyle name="Total 3 2 3 24" xfId="3662"/>
    <cellStyle name="Total 3 2 3 24 2" xfId="11447"/>
    <cellStyle name="Total 3 2 3 24 3" xfId="18720"/>
    <cellStyle name="Total 3 2 3 24 4" xfId="26066"/>
    <cellStyle name="Total 3 2 3 24 5" xfId="34711"/>
    <cellStyle name="Total 3 2 3 24 6" xfId="40189"/>
    <cellStyle name="Total 3 2 3 24 7" xfId="53140"/>
    <cellStyle name="Total 3 2 3 25" xfId="3793"/>
    <cellStyle name="Total 3 2 3 25 2" xfId="11575"/>
    <cellStyle name="Total 3 2 3 25 3" xfId="18832"/>
    <cellStyle name="Total 3 2 3 25 4" xfId="19400"/>
    <cellStyle name="Total 3 2 3 25 5" xfId="27646"/>
    <cellStyle name="Total 3 2 3 25 6" xfId="39542"/>
    <cellStyle name="Total 3 2 3 25 7" xfId="48816"/>
    <cellStyle name="Total 3 2 3 26" xfId="3910"/>
    <cellStyle name="Total 3 2 3 26 2" xfId="11690"/>
    <cellStyle name="Total 3 2 3 26 3" xfId="18941"/>
    <cellStyle name="Total 3 2 3 26 4" xfId="20408"/>
    <cellStyle name="Total 3 2 3 26 5" xfId="33127"/>
    <cellStyle name="Total 3 2 3 26 6" xfId="37808"/>
    <cellStyle name="Total 3 2 3 26 7" xfId="50383"/>
    <cellStyle name="Total 3 2 3 27" xfId="3739"/>
    <cellStyle name="Total 3 2 3 27 2" xfId="11524"/>
    <cellStyle name="Total 3 2 3 27 3" xfId="20596"/>
    <cellStyle name="Total 3 2 3 27 4" xfId="28746"/>
    <cellStyle name="Total 3 2 3 27 5" xfId="38133"/>
    <cellStyle name="Total 3 2 3 27 6" xfId="42527"/>
    <cellStyle name="Total 3 2 3 27 7" xfId="54128"/>
    <cellStyle name="Total 3 2 3 28" xfId="4107"/>
    <cellStyle name="Total 3 2 3 28 2" xfId="11867"/>
    <cellStyle name="Total 3 2 3 28 3" xfId="20817"/>
    <cellStyle name="Total 3 2 3 28 4" xfId="29004"/>
    <cellStyle name="Total 3 2 3 28 5" xfId="38382"/>
    <cellStyle name="Total 3 2 3 28 6" xfId="42669"/>
    <cellStyle name="Total 3 2 3 28 7" xfId="53779"/>
    <cellStyle name="Total 3 2 3 29" xfId="3068"/>
    <cellStyle name="Total 3 2 3 29 2" xfId="20232"/>
    <cellStyle name="Total 3 2 3 29 3" xfId="28322"/>
    <cellStyle name="Total 3 2 3 29 4" xfId="37704"/>
    <cellStyle name="Total 3 2 3 29 5" xfId="42384"/>
    <cellStyle name="Total 3 2 3 29 6" xfId="53832"/>
    <cellStyle name="Total 3 2 3 3" xfId="764"/>
    <cellStyle name="Total 3 2 3 3 2" xfId="8588"/>
    <cellStyle name="Total 3 2 3 3 3" xfId="16016"/>
    <cellStyle name="Total 3 2 3 3 4" xfId="26132"/>
    <cellStyle name="Total 3 2 3 3 5" xfId="34794"/>
    <cellStyle name="Total 3 2 3 3 6" xfId="37108"/>
    <cellStyle name="Total 3 2 3 3 7" xfId="53275"/>
    <cellStyle name="Total 3 2 3 30" xfId="4304"/>
    <cellStyle name="Total 3 2 3 30 2" xfId="12021"/>
    <cellStyle name="Total 3 2 3 30 3" xfId="21014"/>
    <cellStyle name="Total 3 2 3 30 4" xfId="29201"/>
    <cellStyle name="Total 3 2 3 30 5" xfId="38573"/>
    <cellStyle name="Total 3 2 3 30 6" xfId="42866"/>
    <cellStyle name="Total 3 2 3 30 7" xfId="48653"/>
    <cellStyle name="Total 3 2 3 31" xfId="4427"/>
    <cellStyle name="Total 3 2 3 31 2" xfId="12144"/>
    <cellStyle name="Total 3 2 3 31 3" xfId="21137"/>
    <cellStyle name="Total 3 2 3 31 4" xfId="29324"/>
    <cellStyle name="Total 3 2 3 31 5" xfId="38691"/>
    <cellStyle name="Total 3 2 3 31 6" xfId="42989"/>
    <cellStyle name="Total 3 2 3 31 7" xfId="52716"/>
    <cellStyle name="Total 3 2 3 32" xfId="4541"/>
    <cellStyle name="Total 3 2 3 32 2" xfId="12258"/>
    <cellStyle name="Total 3 2 3 32 3" xfId="21251"/>
    <cellStyle name="Total 3 2 3 32 4" xfId="29438"/>
    <cellStyle name="Total 3 2 3 32 5" xfId="38800"/>
    <cellStyle name="Total 3 2 3 32 6" xfId="43103"/>
    <cellStyle name="Total 3 2 3 32 7" xfId="54017"/>
    <cellStyle name="Total 3 2 3 33" xfId="4654"/>
    <cellStyle name="Total 3 2 3 33 2" xfId="12371"/>
    <cellStyle name="Total 3 2 3 33 3" xfId="21364"/>
    <cellStyle name="Total 3 2 3 33 4" xfId="29551"/>
    <cellStyle name="Total 3 2 3 33 5" xfId="38908"/>
    <cellStyle name="Total 3 2 3 33 6" xfId="43216"/>
    <cellStyle name="Total 3 2 3 33 7" xfId="51639"/>
    <cellStyle name="Total 3 2 3 34" xfId="4766"/>
    <cellStyle name="Total 3 2 3 34 2" xfId="12483"/>
    <cellStyle name="Total 3 2 3 34 3" xfId="21476"/>
    <cellStyle name="Total 3 2 3 34 4" xfId="29663"/>
    <cellStyle name="Total 3 2 3 34 5" xfId="39017"/>
    <cellStyle name="Total 3 2 3 34 6" xfId="43328"/>
    <cellStyle name="Total 3 2 3 34 7" xfId="50101"/>
    <cellStyle name="Total 3 2 3 35" xfId="4874"/>
    <cellStyle name="Total 3 2 3 35 2" xfId="12591"/>
    <cellStyle name="Total 3 2 3 35 3" xfId="21584"/>
    <cellStyle name="Total 3 2 3 35 4" xfId="29771"/>
    <cellStyle name="Total 3 2 3 35 5" xfId="39120"/>
    <cellStyle name="Total 3 2 3 35 6" xfId="43436"/>
    <cellStyle name="Total 3 2 3 35 7" xfId="51520"/>
    <cellStyle name="Total 3 2 3 36" xfId="4986"/>
    <cellStyle name="Total 3 2 3 36 2" xfId="12703"/>
    <cellStyle name="Total 3 2 3 36 3" xfId="21696"/>
    <cellStyle name="Total 3 2 3 36 4" xfId="29883"/>
    <cellStyle name="Total 3 2 3 36 5" xfId="39229"/>
    <cellStyle name="Total 3 2 3 36 6" xfId="43548"/>
    <cellStyle name="Total 3 2 3 36 7" xfId="49186"/>
    <cellStyle name="Total 3 2 3 37" xfId="5127"/>
    <cellStyle name="Total 3 2 3 37 2" xfId="12844"/>
    <cellStyle name="Total 3 2 3 37 3" xfId="21837"/>
    <cellStyle name="Total 3 2 3 37 4" xfId="30024"/>
    <cellStyle name="Total 3 2 3 37 5" xfId="39365"/>
    <cellStyle name="Total 3 2 3 37 6" xfId="43689"/>
    <cellStyle name="Total 3 2 3 37 7" xfId="51790"/>
    <cellStyle name="Total 3 2 3 38" xfId="5484"/>
    <cellStyle name="Total 3 2 3 38 2" xfId="13201"/>
    <cellStyle name="Total 3 2 3 38 3" xfId="22194"/>
    <cellStyle name="Total 3 2 3 38 4" xfId="30381"/>
    <cellStyle name="Total 3 2 3 38 5" xfId="39707"/>
    <cellStyle name="Total 3 2 3 38 6" xfId="44046"/>
    <cellStyle name="Total 3 2 3 38 7" xfId="50272"/>
    <cellStyle name="Total 3 2 3 39" xfId="5609"/>
    <cellStyle name="Total 3 2 3 39 2" xfId="13326"/>
    <cellStyle name="Total 3 2 3 39 3" xfId="22319"/>
    <cellStyle name="Total 3 2 3 39 4" xfId="30506"/>
    <cellStyle name="Total 3 2 3 39 5" xfId="39827"/>
    <cellStyle name="Total 3 2 3 39 6" xfId="44171"/>
    <cellStyle name="Total 3 2 3 39 7" xfId="47133"/>
    <cellStyle name="Total 3 2 3 4" xfId="876"/>
    <cellStyle name="Total 3 2 3 4 2" xfId="8700"/>
    <cellStyle name="Total 3 2 3 4 3" xfId="16128"/>
    <cellStyle name="Total 3 2 3 4 4" xfId="25628"/>
    <cellStyle name="Total 3 2 3 4 5" xfId="34143"/>
    <cellStyle name="Total 3 2 3 4 6" xfId="37094"/>
    <cellStyle name="Total 3 2 3 4 7" xfId="52148"/>
    <cellStyle name="Total 3 2 3 40" xfId="5724"/>
    <cellStyle name="Total 3 2 3 40 2" xfId="13441"/>
    <cellStyle name="Total 3 2 3 40 3" xfId="22434"/>
    <cellStyle name="Total 3 2 3 40 4" xfId="30621"/>
    <cellStyle name="Total 3 2 3 40 5" xfId="39938"/>
    <cellStyle name="Total 3 2 3 40 6" xfId="44286"/>
    <cellStyle name="Total 3 2 3 40 7" xfId="46965"/>
    <cellStyle name="Total 3 2 3 41" xfId="5841"/>
    <cellStyle name="Total 3 2 3 41 2" xfId="13558"/>
    <cellStyle name="Total 3 2 3 41 3" xfId="22551"/>
    <cellStyle name="Total 3 2 3 41 4" xfId="30738"/>
    <cellStyle name="Total 3 2 3 41 5" xfId="40052"/>
    <cellStyle name="Total 3 2 3 41 6" xfId="44403"/>
    <cellStyle name="Total 3 2 3 41 7" xfId="48270"/>
    <cellStyle name="Total 3 2 3 42" xfId="5969"/>
    <cellStyle name="Total 3 2 3 42 2" xfId="13686"/>
    <cellStyle name="Total 3 2 3 42 3" xfId="22679"/>
    <cellStyle name="Total 3 2 3 42 4" xfId="30866"/>
    <cellStyle name="Total 3 2 3 42 5" xfId="40176"/>
    <cellStyle name="Total 3 2 3 42 6" xfId="44531"/>
    <cellStyle name="Total 3 2 3 42 7" xfId="50433"/>
    <cellStyle name="Total 3 2 3 43" xfId="5741"/>
    <cellStyle name="Total 3 2 3 43 2" xfId="13458"/>
    <cellStyle name="Total 3 2 3 43 3" xfId="22451"/>
    <cellStyle name="Total 3 2 3 43 4" xfId="30638"/>
    <cellStyle name="Total 3 2 3 43 5" xfId="39955"/>
    <cellStyle name="Total 3 2 3 43 6" xfId="44303"/>
    <cellStyle name="Total 3 2 3 43 7" xfId="48057"/>
    <cellStyle name="Total 3 2 3 44" xfId="6225"/>
    <cellStyle name="Total 3 2 3 44 2" xfId="13942"/>
    <cellStyle name="Total 3 2 3 44 3" xfId="22935"/>
    <cellStyle name="Total 3 2 3 44 4" xfId="31122"/>
    <cellStyle name="Total 3 2 3 44 5" xfId="40423"/>
    <cellStyle name="Total 3 2 3 44 6" xfId="44787"/>
    <cellStyle name="Total 3 2 3 44 7" xfId="52979"/>
    <cellStyle name="Total 3 2 3 45" xfId="6342"/>
    <cellStyle name="Total 3 2 3 45 2" xfId="14059"/>
    <cellStyle name="Total 3 2 3 45 3" xfId="23052"/>
    <cellStyle name="Total 3 2 3 45 4" xfId="31239"/>
    <cellStyle name="Total 3 2 3 45 5" xfId="40537"/>
    <cellStyle name="Total 3 2 3 45 6" xfId="44904"/>
    <cellStyle name="Total 3 2 3 45 7" xfId="49479"/>
    <cellStyle name="Total 3 2 3 46" xfId="6452"/>
    <cellStyle name="Total 3 2 3 46 2" xfId="14169"/>
    <cellStyle name="Total 3 2 3 46 3" xfId="23162"/>
    <cellStyle name="Total 3 2 3 46 4" xfId="31349"/>
    <cellStyle name="Total 3 2 3 46 5" xfId="40643"/>
    <cellStyle name="Total 3 2 3 46 6" xfId="45014"/>
    <cellStyle name="Total 3 2 3 46 7" xfId="47497"/>
    <cellStyle name="Total 3 2 3 47" xfId="5081"/>
    <cellStyle name="Total 3 2 3 47 2" xfId="12798"/>
    <cellStyle name="Total 3 2 3 47 3" xfId="21791"/>
    <cellStyle name="Total 3 2 3 47 4" xfId="29978"/>
    <cellStyle name="Total 3 2 3 47 5" xfId="39321"/>
    <cellStyle name="Total 3 2 3 47 6" xfId="43643"/>
    <cellStyle name="Total 3 2 3 47 7" xfId="51743"/>
    <cellStyle name="Total 3 2 3 48" xfId="6599"/>
    <cellStyle name="Total 3 2 3 48 2" xfId="14316"/>
    <cellStyle name="Total 3 2 3 48 3" xfId="23309"/>
    <cellStyle name="Total 3 2 3 48 4" xfId="31496"/>
    <cellStyle name="Total 3 2 3 48 5" xfId="40783"/>
    <cellStyle name="Total 3 2 3 48 6" xfId="45161"/>
    <cellStyle name="Total 3 2 3 48 7" xfId="51006"/>
    <cellStyle name="Total 3 2 3 49" xfId="6710"/>
    <cellStyle name="Total 3 2 3 49 2" xfId="14427"/>
    <cellStyle name="Total 3 2 3 49 3" xfId="23420"/>
    <cellStyle name="Total 3 2 3 49 4" xfId="31607"/>
    <cellStyle name="Total 3 2 3 49 5" xfId="40889"/>
    <cellStyle name="Total 3 2 3 49 6" xfId="45272"/>
    <cellStyle name="Total 3 2 3 49 7" xfId="54310"/>
    <cellStyle name="Total 3 2 3 5" xfId="1341"/>
    <cellStyle name="Total 3 2 3 5 2" xfId="9164"/>
    <cellStyle name="Total 3 2 3 5 3" xfId="16592"/>
    <cellStyle name="Total 3 2 3 5 4" xfId="19250"/>
    <cellStyle name="Total 3 2 3 5 5" xfId="27218"/>
    <cellStyle name="Total 3 2 3 5 6" xfId="37008"/>
    <cellStyle name="Total 3 2 3 5 7" xfId="49585"/>
    <cellStyle name="Total 3 2 3 50" xfId="6825"/>
    <cellStyle name="Total 3 2 3 50 2" xfId="14542"/>
    <cellStyle name="Total 3 2 3 50 3" xfId="23535"/>
    <cellStyle name="Total 3 2 3 50 4" xfId="31722"/>
    <cellStyle name="Total 3 2 3 50 5" xfId="40997"/>
    <cellStyle name="Total 3 2 3 50 6" xfId="45387"/>
    <cellStyle name="Total 3 2 3 50 7" xfId="49332"/>
    <cellStyle name="Total 3 2 3 51" xfId="6938"/>
    <cellStyle name="Total 3 2 3 51 2" xfId="14655"/>
    <cellStyle name="Total 3 2 3 51 3" xfId="23648"/>
    <cellStyle name="Total 3 2 3 51 4" xfId="31835"/>
    <cellStyle name="Total 3 2 3 51 5" xfId="41105"/>
    <cellStyle name="Total 3 2 3 51 6" xfId="45500"/>
    <cellStyle name="Total 3 2 3 51 7" xfId="46943"/>
    <cellStyle name="Total 3 2 3 52" xfId="7050"/>
    <cellStyle name="Total 3 2 3 52 2" xfId="14767"/>
    <cellStyle name="Total 3 2 3 52 3" xfId="23760"/>
    <cellStyle name="Total 3 2 3 52 4" xfId="31947"/>
    <cellStyle name="Total 3 2 3 52 5" xfId="41211"/>
    <cellStyle name="Total 3 2 3 52 6" xfId="45612"/>
    <cellStyle name="Total 3 2 3 52 7" xfId="48188"/>
    <cellStyle name="Total 3 2 3 53" xfId="7247"/>
    <cellStyle name="Total 3 2 3 53 2" xfId="14964"/>
    <cellStyle name="Total 3 2 3 53 3" xfId="23957"/>
    <cellStyle name="Total 3 2 3 53 4" xfId="32144"/>
    <cellStyle name="Total 3 2 3 53 5" xfId="41400"/>
    <cellStyle name="Total 3 2 3 53 6" xfId="45809"/>
    <cellStyle name="Total 3 2 3 53 7" xfId="48587"/>
    <cellStyle name="Total 3 2 3 54" xfId="7394"/>
    <cellStyle name="Total 3 2 3 54 2" xfId="15111"/>
    <cellStyle name="Total 3 2 3 54 3" xfId="24104"/>
    <cellStyle name="Total 3 2 3 54 4" xfId="32291"/>
    <cellStyle name="Total 3 2 3 54 5" xfId="41545"/>
    <cellStyle name="Total 3 2 3 54 6" xfId="45956"/>
    <cellStyle name="Total 3 2 3 54 7" xfId="54211"/>
    <cellStyle name="Total 3 2 3 55" xfId="7447"/>
    <cellStyle name="Total 3 2 3 55 2" xfId="15164"/>
    <cellStyle name="Total 3 2 3 55 3" xfId="24157"/>
    <cellStyle name="Total 3 2 3 55 4" xfId="32344"/>
    <cellStyle name="Total 3 2 3 55 5" xfId="41594"/>
    <cellStyle name="Total 3 2 3 55 6" xfId="46009"/>
    <cellStyle name="Total 3 2 3 55 7" xfId="50635"/>
    <cellStyle name="Total 3 2 3 56" xfId="7568"/>
    <cellStyle name="Total 3 2 3 56 2" xfId="15285"/>
    <cellStyle name="Total 3 2 3 56 3" xfId="24278"/>
    <cellStyle name="Total 3 2 3 56 4" xfId="32465"/>
    <cellStyle name="Total 3 2 3 56 5" xfId="41709"/>
    <cellStyle name="Total 3 2 3 56 6" xfId="46130"/>
    <cellStyle name="Total 3 2 3 56 7" xfId="50498"/>
    <cellStyle name="Total 3 2 3 57" xfId="7844"/>
    <cellStyle name="Total 3 2 3 57 2" xfId="15561"/>
    <cellStyle name="Total 3 2 3 57 3" xfId="24548"/>
    <cellStyle name="Total 3 2 3 57 4" xfId="32741"/>
    <cellStyle name="Total 3 2 3 57 5" xfId="41974"/>
    <cellStyle name="Total 3 2 3 57 6" xfId="46406"/>
    <cellStyle name="Total 3 2 3 57 7" xfId="51562"/>
    <cellStyle name="Total 3 2 3 58" xfId="7997"/>
    <cellStyle name="Total 3 2 3 58 2" xfId="15714"/>
    <cellStyle name="Total 3 2 3 58 3" xfId="24699"/>
    <cellStyle name="Total 3 2 3 58 4" xfId="32894"/>
    <cellStyle name="Total 3 2 3 58 5" xfId="42120"/>
    <cellStyle name="Total 3 2 3 58 6" xfId="46559"/>
    <cellStyle name="Total 3 2 3 58 7" xfId="50257"/>
    <cellStyle name="Total 3 2 3 59" xfId="8059"/>
    <cellStyle name="Total 3 2 3 59 2" xfId="15776"/>
    <cellStyle name="Total 3 2 3 59 3" xfId="24761"/>
    <cellStyle name="Total 3 2 3 59 4" xfId="32956"/>
    <cellStyle name="Total 3 2 3 59 5" xfId="42181"/>
    <cellStyle name="Total 3 2 3 59 6" xfId="46621"/>
    <cellStyle name="Total 3 2 3 59 7" xfId="50941"/>
    <cellStyle name="Total 3 2 3 6" xfId="1464"/>
    <cellStyle name="Total 3 2 3 6 2" xfId="9287"/>
    <cellStyle name="Total 3 2 3 6 3" xfId="16715"/>
    <cellStyle name="Total 3 2 3 6 4" xfId="19579"/>
    <cellStyle name="Total 3 2 3 6 5" xfId="27289"/>
    <cellStyle name="Total 3 2 3 6 6" xfId="37588"/>
    <cellStyle name="Total 3 2 3 6 7" xfId="49323"/>
    <cellStyle name="Total 3 2 3 60" xfId="8120"/>
    <cellStyle name="Total 3 2 3 60 2" xfId="15837"/>
    <cellStyle name="Total 3 2 3 60 3" xfId="33017"/>
    <cellStyle name="Total 3 2 3 60 4" xfId="42238"/>
    <cellStyle name="Total 3 2 3 60 5" xfId="46682"/>
    <cellStyle name="Total 3 2 3 60 6" xfId="47622"/>
    <cellStyle name="Total 3 2 3 61" xfId="25279"/>
    <cellStyle name="Total 3 2 3 62" xfId="33691"/>
    <cellStyle name="Total 3 2 3 63" xfId="37745"/>
    <cellStyle name="Total 3 2 3 64" xfId="51387"/>
    <cellStyle name="Total 3 2 3 7" xfId="1163"/>
    <cellStyle name="Total 3 2 3 7 2" xfId="8986"/>
    <cellStyle name="Total 3 2 3 7 3" xfId="16414"/>
    <cellStyle name="Total 3 2 3 7 4" xfId="19717"/>
    <cellStyle name="Total 3 2 3 7 5" xfId="27598"/>
    <cellStyle name="Total 3 2 3 7 6" xfId="38476"/>
    <cellStyle name="Total 3 2 3 7 7" xfId="49645"/>
    <cellStyle name="Total 3 2 3 8" xfId="1701"/>
    <cellStyle name="Total 3 2 3 8 2" xfId="9524"/>
    <cellStyle name="Total 3 2 3 8 3" xfId="16952"/>
    <cellStyle name="Total 3 2 3 8 4" xfId="26496"/>
    <cellStyle name="Total 3 2 3 8 5" xfId="35289"/>
    <cellStyle name="Total 3 2 3 8 6" xfId="36601"/>
    <cellStyle name="Total 3 2 3 8 7" xfId="54067"/>
    <cellStyle name="Total 3 2 3 9" xfId="1835"/>
    <cellStyle name="Total 3 2 3 9 2" xfId="9658"/>
    <cellStyle name="Total 3 2 3 9 3" xfId="17086"/>
    <cellStyle name="Total 3 2 3 9 4" xfId="19565"/>
    <cellStyle name="Total 3 2 3 9 5" xfId="28523"/>
    <cellStyle name="Total 3 2 3 9 6" xfId="36443"/>
    <cellStyle name="Total 3 2 3 9 7" xfId="48321"/>
    <cellStyle name="Total 3 2 30" xfId="3636"/>
    <cellStyle name="Total 3 2 30 2" xfId="11421"/>
    <cellStyle name="Total 3 2 30 3" xfId="18694"/>
    <cellStyle name="Total 3 2 30 4" xfId="19133"/>
    <cellStyle name="Total 3 2 30 5" xfId="33114"/>
    <cellStyle name="Total 3 2 30 6" xfId="39310"/>
    <cellStyle name="Total 3 2 30 7" xfId="49847"/>
    <cellStyle name="Total 3 2 31" xfId="3496"/>
    <cellStyle name="Total 3 2 31 2" xfId="11287"/>
    <cellStyle name="Total 3 2 31 3" xfId="18592"/>
    <cellStyle name="Total 3 2 31 4" xfId="25443"/>
    <cellStyle name="Total 3 2 31 5" xfId="33903"/>
    <cellStyle name="Total 3 2 31 6" xfId="38465"/>
    <cellStyle name="Total 3 2 31 7" xfId="51735"/>
    <cellStyle name="Total 3 2 32" xfId="3549"/>
    <cellStyle name="Total 3 2 32 2" xfId="11338"/>
    <cellStyle name="Total 3 2 32 3" xfId="20513"/>
    <cellStyle name="Total 3 2 32 4" xfId="28640"/>
    <cellStyle name="Total 3 2 32 5" xfId="38018"/>
    <cellStyle name="Total 3 2 32 6" xfId="42507"/>
    <cellStyle name="Total 3 2 32 7" xfId="49942"/>
    <cellStyle name="Total 3 2 33" xfId="3530"/>
    <cellStyle name="Total 3 2 33 2" xfId="11321"/>
    <cellStyle name="Total 3 2 33 3" xfId="20501"/>
    <cellStyle name="Total 3 2 33 4" xfId="28626"/>
    <cellStyle name="Total 3 2 33 5" xfId="38002"/>
    <cellStyle name="Total 3 2 33 6" xfId="42498"/>
    <cellStyle name="Total 3 2 33 7" xfId="52027"/>
    <cellStyle name="Total 3 2 34" xfId="4069"/>
    <cellStyle name="Total 3 2 34 2" xfId="20779"/>
    <cellStyle name="Total 3 2 34 3" xfId="28966"/>
    <cellStyle name="Total 3 2 34 4" xfId="38345"/>
    <cellStyle name="Total 3 2 34 5" xfId="42631"/>
    <cellStyle name="Total 3 2 34 6" xfId="50321"/>
    <cellStyle name="Total 3 2 35" xfId="4243"/>
    <cellStyle name="Total 3 2 35 2" xfId="11973"/>
    <cellStyle name="Total 3 2 35 3" xfId="20953"/>
    <cellStyle name="Total 3 2 35 4" xfId="29140"/>
    <cellStyle name="Total 3 2 35 5" xfId="38514"/>
    <cellStyle name="Total 3 2 35 6" xfId="42805"/>
    <cellStyle name="Total 3 2 35 7" xfId="48542"/>
    <cellStyle name="Total 3 2 36" xfId="4381"/>
    <cellStyle name="Total 3 2 36 2" xfId="12098"/>
    <cellStyle name="Total 3 2 36 3" xfId="21091"/>
    <cellStyle name="Total 3 2 36 4" xfId="29278"/>
    <cellStyle name="Total 3 2 36 5" xfId="38648"/>
    <cellStyle name="Total 3 2 36 6" xfId="42943"/>
    <cellStyle name="Total 3 2 36 7" xfId="49648"/>
    <cellStyle name="Total 3 2 37" xfId="4503"/>
    <cellStyle name="Total 3 2 37 2" xfId="12220"/>
    <cellStyle name="Total 3 2 37 3" xfId="21213"/>
    <cellStyle name="Total 3 2 37 4" xfId="29400"/>
    <cellStyle name="Total 3 2 37 5" xfId="38764"/>
    <cellStyle name="Total 3 2 37 6" xfId="43065"/>
    <cellStyle name="Total 3 2 37 7" xfId="51184"/>
    <cellStyle name="Total 3 2 38" xfId="4558"/>
    <cellStyle name="Total 3 2 38 2" xfId="12275"/>
    <cellStyle name="Total 3 2 38 3" xfId="21268"/>
    <cellStyle name="Total 3 2 38 4" xfId="29455"/>
    <cellStyle name="Total 3 2 38 5" xfId="38816"/>
    <cellStyle name="Total 3 2 38 6" xfId="43120"/>
    <cellStyle name="Total 3 2 38 7" xfId="54168"/>
    <cellStyle name="Total 3 2 39" xfId="4730"/>
    <cellStyle name="Total 3 2 39 2" xfId="12447"/>
    <cellStyle name="Total 3 2 39 3" xfId="21440"/>
    <cellStyle name="Total 3 2 39 4" xfId="29627"/>
    <cellStyle name="Total 3 2 39 5" xfId="38982"/>
    <cellStyle name="Total 3 2 39 6" xfId="43292"/>
    <cellStyle name="Total 3 2 39 7" xfId="51330"/>
    <cellStyle name="Total 3 2 4" xfId="586"/>
    <cellStyle name="Total 3 2 4 10" xfId="2032"/>
    <cellStyle name="Total 3 2 4 10 2" xfId="9855"/>
    <cellStyle name="Total 3 2 4 10 3" xfId="17283"/>
    <cellStyle name="Total 3 2 4 10 4" xfId="20441"/>
    <cellStyle name="Total 3 2 4 10 5" xfId="26950"/>
    <cellStyle name="Total 3 2 4 10 6" xfId="39772"/>
    <cellStyle name="Total 3 2 4 10 7" xfId="49072"/>
    <cellStyle name="Total 3 2 4 11" xfId="2148"/>
    <cellStyle name="Total 3 2 4 11 2" xfId="9971"/>
    <cellStyle name="Total 3 2 4 11 3" xfId="17399"/>
    <cellStyle name="Total 3 2 4 11 4" xfId="19837"/>
    <cellStyle name="Total 3 2 4 11 5" xfId="27316"/>
    <cellStyle name="Total 3 2 4 11 6" xfId="37016"/>
    <cellStyle name="Total 3 2 4 11 7" xfId="49610"/>
    <cellStyle name="Total 3 2 4 12" xfId="2263"/>
    <cellStyle name="Total 3 2 4 12 2" xfId="10086"/>
    <cellStyle name="Total 3 2 4 12 3" xfId="17514"/>
    <cellStyle name="Total 3 2 4 12 4" xfId="26362"/>
    <cellStyle name="Total 3 2 4 12 5" xfId="35097"/>
    <cellStyle name="Total 3 2 4 12 6" xfId="37655"/>
    <cellStyle name="Total 3 2 4 12 7" xfId="53766"/>
    <cellStyle name="Total 3 2 4 13" xfId="1154"/>
    <cellStyle name="Total 3 2 4 13 2" xfId="8977"/>
    <cellStyle name="Total 3 2 4 13 3" xfId="16405"/>
    <cellStyle name="Total 3 2 4 13 4" xfId="19203"/>
    <cellStyle name="Total 3 2 4 13 5" xfId="27662"/>
    <cellStyle name="Total 3 2 4 13 6" xfId="39748"/>
    <cellStyle name="Total 3 2 4 13 7" xfId="49220"/>
    <cellStyle name="Total 3 2 4 14" xfId="1157"/>
    <cellStyle name="Total 3 2 4 14 2" xfId="8980"/>
    <cellStyle name="Total 3 2 4 14 3" xfId="16408"/>
    <cellStyle name="Total 3 2 4 14 4" xfId="19763"/>
    <cellStyle name="Total 3 2 4 14 5" xfId="28829"/>
    <cellStyle name="Total 3 2 4 14 6" xfId="39162"/>
    <cellStyle name="Total 3 2 4 14 7" xfId="48316"/>
    <cellStyle name="Total 3 2 4 15" xfId="2561"/>
    <cellStyle name="Total 3 2 4 15 2" xfId="10384"/>
    <cellStyle name="Total 3 2 4 15 3" xfId="17812"/>
    <cellStyle name="Total 3 2 4 15 4" xfId="26259"/>
    <cellStyle name="Total 3 2 4 15 5" xfId="34957"/>
    <cellStyle name="Total 3 2 4 15 6" xfId="38961"/>
    <cellStyle name="Total 3 2 4 15 7" xfId="53557"/>
    <cellStyle name="Total 3 2 4 16" xfId="2674"/>
    <cellStyle name="Total 3 2 4 16 2" xfId="10497"/>
    <cellStyle name="Total 3 2 4 16 3" xfId="17925"/>
    <cellStyle name="Total 3 2 4 16 4" xfId="19119"/>
    <cellStyle name="Total 3 2 4 16 5" xfId="26968"/>
    <cellStyle name="Total 3 2 4 16 6" xfId="36594"/>
    <cellStyle name="Total 3 2 4 16 7" xfId="47304"/>
    <cellStyle name="Total 3 2 4 17" xfId="2375"/>
    <cellStyle name="Total 3 2 4 17 2" xfId="10198"/>
    <cellStyle name="Total 3 2 4 17 3" xfId="17626"/>
    <cellStyle name="Total 3 2 4 17 4" xfId="19589"/>
    <cellStyle name="Total 3 2 4 17 5" xfId="27021"/>
    <cellStyle name="Total 3 2 4 17 6" xfId="42253"/>
    <cellStyle name="Total 3 2 4 17 7" xfId="48584"/>
    <cellStyle name="Total 3 2 4 18" xfId="2286"/>
    <cellStyle name="Total 3 2 4 18 2" xfId="10109"/>
    <cellStyle name="Total 3 2 4 18 3" xfId="17537"/>
    <cellStyle name="Total 3 2 4 18 4" xfId="25211"/>
    <cellStyle name="Total 3 2 4 18 5" xfId="33607"/>
    <cellStyle name="Total 3 2 4 18 6" xfId="36659"/>
    <cellStyle name="Total 3 2 4 18 7" xfId="51242"/>
    <cellStyle name="Total 3 2 4 19" xfId="2864"/>
    <cellStyle name="Total 3 2 4 19 2" xfId="10687"/>
    <cellStyle name="Total 3 2 4 19 3" xfId="18115"/>
    <cellStyle name="Total 3 2 4 19 4" xfId="25738"/>
    <cellStyle name="Total 3 2 4 19 5" xfId="34288"/>
    <cellStyle name="Total 3 2 4 19 6" xfId="37817"/>
    <cellStyle name="Total 3 2 4 19 7" xfId="52410"/>
    <cellStyle name="Total 3 2 4 2" xfId="731"/>
    <cellStyle name="Total 3 2 4 2 2" xfId="8555"/>
    <cellStyle name="Total 3 2 4 2 3" xfId="15983"/>
    <cellStyle name="Total 3 2 4 2 4" xfId="19066"/>
    <cellStyle name="Total 3 2 4 2 5" xfId="33161"/>
    <cellStyle name="Total 3 2 4 2 6" xfId="37482"/>
    <cellStyle name="Total 3 2 4 2 7" xfId="50456"/>
    <cellStyle name="Total 3 2 4 20" xfId="2970"/>
    <cellStyle name="Total 3 2 4 20 2" xfId="10793"/>
    <cellStyle name="Total 3 2 4 20 3" xfId="18221"/>
    <cellStyle name="Total 3 2 4 20 4" xfId="20402"/>
    <cellStyle name="Total 3 2 4 20 5" xfId="27225"/>
    <cellStyle name="Total 3 2 4 20 6" xfId="37495"/>
    <cellStyle name="Total 3 2 4 20 7" xfId="48263"/>
    <cellStyle name="Total 3 2 4 21" xfId="3350"/>
    <cellStyle name="Total 3 2 4 21 2" xfId="11143"/>
    <cellStyle name="Total 3 2 4 21 3" xfId="18469"/>
    <cellStyle name="Total 3 2 4 21 4" xfId="26411"/>
    <cellStyle name="Total 3 2 4 21 5" xfId="35171"/>
    <cellStyle name="Total 3 2 4 21 6" xfId="41914"/>
    <cellStyle name="Total 3 2 4 21 7" xfId="53881"/>
    <cellStyle name="Total 3 2 4 22" xfId="3469"/>
    <cellStyle name="Total 3 2 4 22 2" xfId="11260"/>
    <cellStyle name="Total 3 2 4 22 3" xfId="18579"/>
    <cellStyle name="Total 3 2 4 22 4" xfId="20704"/>
    <cellStyle name="Total 3 2 4 22 5" xfId="28052"/>
    <cellStyle name="Total 3 2 4 22 6" xfId="37548"/>
    <cellStyle name="Total 3 2 4 22 7" xfId="50073"/>
    <cellStyle name="Total 3 2 4 23" xfId="3627"/>
    <cellStyle name="Total 3 2 4 23 2" xfId="11412"/>
    <cellStyle name="Total 3 2 4 23 3" xfId="18686"/>
    <cellStyle name="Total 3 2 4 23 4" xfId="19791"/>
    <cellStyle name="Total 3 2 4 23 5" xfId="27309"/>
    <cellStyle name="Total 3 2 4 23 6" xfId="37196"/>
    <cellStyle name="Total 3 2 4 23 7" xfId="49019"/>
    <cellStyle name="Total 3 2 4 24" xfId="3742"/>
    <cellStyle name="Total 3 2 4 24 2" xfId="11527"/>
    <cellStyle name="Total 3 2 4 24 3" xfId="18797"/>
    <cellStyle name="Total 3 2 4 24 4" xfId="26544"/>
    <cellStyle name="Total 3 2 4 24 5" xfId="35347"/>
    <cellStyle name="Total 3 2 4 24 6" xfId="40635"/>
    <cellStyle name="Total 3 2 4 24 7" xfId="54161"/>
    <cellStyle name="Total 3 2 4 25" xfId="3870"/>
    <cellStyle name="Total 3 2 4 25 2" xfId="11652"/>
    <cellStyle name="Total 3 2 4 25 3" xfId="18907"/>
    <cellStyle name="Total 3 2 4 25 4" xfId="26658"/>
    <cellStyle name="Total 3 2 4 25 5" xfId="35503"/>
    <cellStyle name="Total 3 2 4 25 6" xfId="36869"/>
    <cellStyle name="Total 3 2 4 25 7" xfId="54409"/>
    <cellStyle name="Total 3 2 4 26" xfId="3989"/>
    <cellStyle name="Total 3 2 4 26 2" xfId="11768"/>
    <cellStyle name="Total 3 2 4 26 3" xfId="19015"/>
    <cellStyle name="Total 3 2 4 26 4" xfId="25049"/>
    <cellStyle name="Total 3 2 4 26 5" xfId="33409"/>
    <cellStyle name="Total 3 2 4 26 6" xfId="37920"/>
    <cellStyle name="Total 3 2 4 26 7" xfId="50901"/>
    <cellStyle name="Total 3 2 4 27" xfId="3764"/>
    <cellStyle name="Total 3 2 4 27 2" xfId="11548"/>
    <cellStyle name="Total 3 2 4 27 3" xfId="20614"/>
    <cellStyle name="Total 3 2 4 27 4" xfId="28764"/>
    <cellStyle name="Total 3 2 4 27 5" xfId="38152"/>
    <cellStyle name="Total 3 2 4 27 6" xfId="42540"/>
    <cellStyle name="Total 3 2 4 27 7" xfId="51941"/>
    <cellStyle name="Total 3 2 4 28" xfId="4185"/>
    <cellStyle name="Total 3 2 4 28 2" xfId="11944"/>
    <cellStyle name="Total 3 2 4 28 3" xfId="20895"/>
    <cellStyle name="Total 3 2 4 28 4" xfId="29082"/>
    <cellStyle name="Total 3 2 4 28 5" xfId="38458"/>
    <cellStyle name="Total 3 2 4 28 6" xfId="42747"/>
    <cellStyle name="Total 3 2 4 28 7" xfId="53269"/>
    <cellStyle name="Total 3 2 4 29" xfId="4031"/>
    <cellStyle name="Total 3 2 4 29 2" xfId="20741"/>
    <cellStyle name="Total 3 2 4 29 3" xfId="28928"/>
    <cellStyle name="Total 3 2 4 29 4" xfId="38308"/>
    <cellStyle name="Total 3 2 4 29 5" xfId="42593"/>
    <cellStyle name="Total 3 2 4 29 6" xfId="48232"/>
    <cellStyle name="Total 3 2 4 3" xfId="841"/>
    <cellStyle name="Total 3 2 4 3 2" xfId="8665"/>
    <cellStyle name="Total 3 2 4 3 3" xfId="16093"/>
    <cellStyle name="Total 3 2 4 3 4" xfId="25545"/>
    <cellStyle name="Total 3 2 4 3 5" xfId="34036"/>
    <cellStyle name="Total 3 2 4 3 6" xfId="37809"/>
    <cellStyle name="Total 3 2 4 3 7" xfId="51970"/>
    <cellStyle name="Total 3 2 4 30" xfId="4384"/>
    <cellStyle name="Total 3 2 4 30 2" xfId="12101"/>
    <cellStyle name="Total 3 2 4 30 3" xfId="21094"/>
    <cellStyle name="Total 3 2 4 30 4" xfId="29281"/>
    <cellStyle name="Total 3 2 4 30 5" xfId="38651"/>
    <cellStyle name="Total 3 2 4 30 6" xfId="42946"/>
    <cellStyle name="Total 3 2 4 30 7" xfId="49746"/>
    <cellStyle name="Total 3 2 4 31" xfId="4504"/>
    <cellStyle name="Total 3 2 4 31 2" xfId="12221"/>
    <cellStyle name="Total 3 2 4 31 3" xfId="21214"/>
    <cellStyle name="Total 3 2 4 31 4" xfId="29401"/>
    <cellStyle name="Total 3 2 4 31 5" xfId="38765"/>
    <cellStyle name="Total 3 2 4 31 6" xfId="43066"/>
    <cellStyle name="Total 3 2 4 31 7" xfId="51076"/>
    <cellStyle name="Total 3 2 4 32" xfId="4618"/>
    <cellStyle name="Total 3 2 4 32 2" xfId="12335"/>
    <cellStyle name="Total 3 2 4 32 3" xfId="21328"/>
    <cellStyle name="Total 3 2 4 32 4" xfId="29515"/>
    <cellStyle name="Total 3 2 4 32 5" xfId="38874"/>
    <cellStyle name="Total 3 2 4 32 6" xfId="43180"/>
    <cellStyle name="Total 3 2 4 32 7" xfId="51824"/>
    <cellStyle name="Total 3 2 4 33" xfId="4731"/>
    <cellStyle name="Total 3 2 4 33 2" xfId="12448"/>
    <cellStyle name="Total 3 2 4 33 3" xfId="21441"/>
    <cellStyle name="Total 3 2 4 33 4" xfId="29628"/>
    <cellStyle name="Total 3 2 4 33 5" xfId="38983"/>
    <cellStyle name="Total 3 2 4 33 6" xfId="43293"/>
    <cellStyle name="Total 3 2 4 33 7" xfId="51224"/>
    <cellStyle name="Total 3 2 4 34" xfId="4841"/>
    <cellStyle name="Total 3 2 4 34 2" xfId="12558"/>
    <cellStyle name="Total 3 2 4 34 3" xfId="21551"/>
    <cellStyle name="Total 3 2 4 34 4" xfId="29738"/>
    <cellStyle name="Total 3 2 4 34 5" xfId="39089"/>
    <cellStyle name="Total 3 2 4 34 6" xfId="43403"/>
    <cellStyle name="Total 3 2 4 34 7" xfId="48908"/>
    <cellStyle name="Total 3 2 4 35" xfId="4951"/>
    <cellStyle name="Total 3 2 4 35 2" xfId="12668"/>
    <cellStyle name="Total 3 2 4 35 3" xfId="21661"/>
    <cellStyle name="Total 3 2 4 35 4" xfId="29848"/>
    <cellStyle name="Total 3 2 4 35 5" xfId="39195"/>
    <cellStyle name="Total 3 2 4 35 6" xfId="43513"/>
    <cellStyle name="Total 3 2 4 35 7" xfId="52832"/>
    <cellStyle name="Total 3 2 4 36" xfId="5060"/>
    <cellStyle name="Total 3 2 4 36 2" xfId="12777"/>
    <cellStyle name="Total 3 2 4 36 3" xfId="21770"/>
    <cellStyle name="Total 3 2 4 36 4" xfId="29957"/>
    <cellStyle name="Total 3 2 4 36 5" xfId="39300"/>
    <cellStyle name="Total 3 2 4 36 6" xfId="43622"/>
    <cellStyle name="Total 3 2 4 36 7" xfId="53718"/>
    <cellStyle name="Total 3 2 4 37" xfId="5442"/>
    <cellStyle name="Total 3 2 4 37 2" xfId="13159"/>
    <cellStyle name="Total 3 2 4 37 3" xfId="22152"/>
    <cellStyle name="Total 3 2 4 37 4" xfId="30339"/>
    <cellStyle name="Total 3 2 4 37 5" xfId="39668"/>
    <cellStyle name="Total 3 2 4 37 6" xfId="44004"/>
    <cellStyle name="Total 3 2 4 37 7" xfId="54467"/>
    <cellStyle name="Total 3 2 4 38" xfId="5561"/>
    <cellStyle name="Total 3 2 4 38 2" xfId="13278"/>
    <cellStyle name="Total 3 2 4 38 3" xfId="22271"/>
    <cellStyle name="Total 3 2 4 38 4" xfId="30458"/>
    <cellStyle name="Total 3 2 4 38 5" xfId="39781"/>
    <cellStyle name="Total 3 2 4 38 6" xfId="44123"/>
    <cellStyle name="Total 3 2 4 38 7" xfId="47171"/>
    <cellStyle name="Total 3 2 4 39" xfId="5687"/>
    <cellStyle name="Total 3 2 4 39 2" xfId="13404"/>
    <cellStyle name="Total 3 2 4 39 3" xfId="22397"/>
    <cellStyle name="Total 3 2 4 39 4" xfId="30584"/>
    <cellStyle name="Total 3 2 4 39 5" xfId="39902"/>
    <cellStyle name="Total 3 2 4 39 6" xfId="44249"/>
    <cellStyle name="Total 3 2 4 39 7" xfId="46983"/>
    <cellStyle name="Total 3 2 4 4" xfId="950"/>
    <cellStyle name="Total 3 2 4 4 2" xfId="8774"/>
    <cellStyle name="Total 3 2 4 4 3" xfId="16202"/>
    <cellStyle name="Total 3 2 4 4 4" xfId="20145"/>
    <cellStyle name="Total 3 2 4 4 5" xfId="28031"/>
    <cellStyle name="Total 3 2 4 4 6" xfId="37308"/>
    <cellStyle name="Total 3 2 4 4 7" xfId="48683"/>
    <cellStyle name="Total 3 2 4 40" xfId="5801"/>
    <cellStyle name="Total 3 2 4 40 2" xfId="13518"/>
    <cellStyle name="Total 3 2 4 40 3" xfId="22511"/>
    <cellStyle name="Total 3 2 4 40 4" xfId="30698"/>
    <cellStyle name="Total 3 2 4 40 5" xfId="40013"/>
    <cellStyle name="Total 3 2 4 40 6" xfId="44363"/>
    <cellStyle name="Total 3 2 4 40 7" xfId="48099"/>
    <cellStyle name="Total 3 2 4 41" xfId="5920"/>
    <cellStyle name="Total 3 2 4 41 2" xfId="13637"/>
    <cellStyle name="Total 3 2 4 41 3" xfId="22630"/>
    <cellStyle name="Total 3 2 4 41 4" xfId="30817"/>
    <cellStyle name="Total 3 2 4 41 5" xfId="40129"/>
    <cellStyle name="Total 3 2 4 41 6" xfId="44482"/>
    <cellStyle name="Total 3 2 4 41 7" xfId="47337"/>
    <cellStyle name="Total 3 2 4 42" xfId="6046"/>
    <cellStyle name="Total 3 2 4 42 2" xfId="13763"/>
    <cellStyle name="Total 3 2 4 42 3" xfId="22756"/>
    <cellStyle name="Total 3 2 4 42 4" xfId="30943"/>
    <cellStyle name="Total 3 2 4 42 5" xfId="40250"/>
    <cellStyle name="Total 3 2 4 42 6" xfId="44608"/>
    <cellStyle name="Total 3 2 4 42 7" xfId="49481"/>
    <cellStyle name="Total 3 2 4 43" xfId="6173"/>
    <cellStyle name="Total 3 2 4 43 2" xfId="13890"/>
    <cellStyle name="Total 3 2 4 43 3" xfId="22883"/>
    <cellStyle name="Total 3 2 4 43 4" xfId="31070"/>
    <cellStyle name="Total 3 2 4 43 5" xfId="40371"/>
    <cellStyle name="Total 3 2 4 43 6" xfId="44735"/>
    <cellStyle name="Total 3 2 4 43 7" xfId="50825"/>
    <cellStyle name="Total 3 2 4 44" xfId="6302"/>
    <cellStyle name="Total 3 2 4 44 2" xfId="14019"/>
    <cellStyle name="Total 3 2 4 44 3" xfId="23012"/>
    <cellStyle name="Total 3 2 4 44 4" xfId="31199"/>
    <cellStyle name="Total 3 2 4 44 5" xfId="40499"/>
    <cellStyle name="Total 3 2 4 44 6" xfId="44864"/>
    <cellStyle name="Total 3 2 4 44 7" xfId="53870"/>
    <cellStyle name="Total 3 2 4 45" xfId="6417"/>
    <cellStyle name="Total 3 2 4 45 2" xfId="14134"/>
    <cellStyle name="Total 3 2 4 45 3" xfId="23127"/>
    <cellStyle name="Total 3 2 4 45 4" xfId="31314"/>
    <cellStyle name="Total 3 2 4 45 5" xfId="40609"/>
    <cellStyle name="Total 3 2 4 45 6" xfId="44979"/>
    <cellStyle name="Total 3 2 4 45 7" xfId="47874"/>
    <cellStyle name="Total 3 2 4 46" xfId="6529"/>
    <cellStyle name="Total 3 2 4 46 2" xfId="14246"/>
    <cellStyle name="Total 3 2 4 46 3" xfId="23239"/>
    <cellStyle name="Total 3 2 4 46 4" xfId="31426"/>
    <cellStyle name="Total 3 2 4 46 5" xfId="40717"/>
    <cellStyle name="Total 3 2 4 46 6" xfId="45091"/>
    <cellStyle name="Total 3 2 4 46 7" xfId="50935"/>
    <cellStyle name="Total 3 2 4 47" xfId="5290"/>
    <cellStyle name="Total 3 2 4 47 2" xfId="13007"/>
    <cellStyle name="Total 3 2 4 47 3" xfId="22000"/>
    <cellStyle name="Total 3 2 4 47 4" xfId="30187"/>
    <cellStyle name="Total 3 2 4 47 5" xfId="39521"/>
    <cellStyle name="Total 3 2 4 47 6" xfId="43852"/>
    <cellStyle name="Total 3 2 4 47 7" xfId="51404"/>
    <cellStyle name="Total 3 2 4 48" xfId="6676"/>
    <cellStyle name="Total 3 2 4 48 2" xfId="14393"/>
    <cellStyle name="Total 3 2 4 48 3" xfId="23386"/>
    <cellStyle name="Total 3 2 4 48 4" xfId="31573"/>
    <cellStyle name="Total 3 2 4 48 5" xfId="40857"/>
    <cellStyle name="Total 3 2 4 48 6" xfId="45238"/>
    <cellStyle name="Total 3 2 4 48 7" xfId="50436"/>
    <cellStyle name="Total 3 2 4 49" xfId="6788"/>
    <cellStyle name="Total 3 2 4 49 2" xfId="14505"/>
    <cellStyle name="Total 3 2 4 49 3" xfId="23498"/>
    <cellStyle name="Total 3 2 4 49 4" xfId="31685"/>
    <cellStyle name="Total 3 2 4 49 5" xfId="40964"/>
    <cellStyle name="Total 3 2 4 49 6" xfId="45350"/>
    <cellStyle name="Total 3 2 4 49 7" xfId="53245"/>
    <cellStyle name="Total 3 2 4 5" xfId="1420"/>
    <cellStyle name="Total 3 2 4 5 2" xfId="9243"/>
    <cellStyle name="Total 3 2 4 5 3" xfId="16671"/>
    <cellStyle name="Total 3 2 4 5 4" xfId="26635"/>
    <cellStyle name="Total 3 2 4 5 5" xfId="35470"/>
    <cellStyle name="Total 3 2 4 5 6" xfId="41834"/>
    <cellStyle name="Total 3 2 4 5 7" xfId="54354"/>
    <cellStyle name="Total 3 2 4 50" xfId="6902"/>
    <cellStyle name="Total 3 2 4 50 2" xfId="14619"/>
    <cellStyle name="Total 3 2 4 50 3" xfId="23612"/>
    <cellStyle name="Total 3 2 4 50 4" xfId="31799"/>
    <cellStyle name="Total 3 2 4 50 5" xfId="41071"/>
    <cellStyle name="Total 3 2 4 50 6" xfId="45464"/>
    <cellStyle name="Total 3 2 4 50 7" xfId="46822"/>
    <cellStyle name="Total 3 2 4 51" xfId="7015"/>
    <cellStyle name="Total 3 2 4 51 2" xfId="14732"/>
    <cellStyle name="Total 3 2 4 51 3" xfId="23725"/>
    <cellStyle name="Total 3 2 4 51 4" xfId="31912"/>
    <cellStyle name="Total 3 2 4 51 5" xfId="41179"/>
    <cellStyle name="Total 3 2 4 51 6" xfId="45577"/>
    <cellStyle name="Total 3 2 4 51 7" xfId="54544"/>
    <cellStyle name="Total 3 2 4 52" xfId="7124"/>
    <cellStyle name="Total 3 2 4 52 2" xfId="14841"/>
    <cellStyle name="Total 3 2 4 52 3" xfId="23834"/>
    <cellStyle name="Total 3 2 4 52 4" xfId="32021"/>
    <cellStyle name="Total 3 2 4 52 5" xfId="41283"/>
    <cellStyle name="Total 3 2 4 52 6" xfId="45686"/>
    <cellStyle name="Total 3 2 4 52 7" xfId="52743"/>
    <cellStyle name="Total 3 2 4 53" xfId="7374"/>
    <cellStyle name="Total 3 2 4 53 2" xfId="15091"/>
    <cellStyle name="Total 3 2 4 53 3" xfId="24084"/>
    <cellStyle name="Total 3 2 4 53 4" xfId="32271"/>
    <cellStyle name="Total 3 2 4 53 5" xfId="41527"/>
    <cellStyle name="Total 3 2 4 53 6" xfId="45936"/>
    <cellStyle name="Total 3 2 4 53 7" xfId="48803"/>
    <cellStyle name="Total 3 2 4 54" xfId="7398"/>
    <cellStyle name="Total 3 2 4 54 2" xfId="15115"/>
    <cellStyle name="Total 3 2 4 54 3" xfId="24108"/>
    <cellStyle name="Total 3 2 4 54 4" xfId="32295"/>
    <cellStyle name="Total 3 2 4 54 5" xfId="41548"/>
    <cellStyle name="Total 3 2 4 54 6" xfId="45960"/>
    <cellStyle name="Total 3 2 4 54 7" xfId="53565"/>
    <cellStyle name="Total 3 2 4 55" xfId="7521"/>
    <cellStyle name="Total 3 2 4 55 2" xfId="15238"/>
    <cellStyle name="Total 3 2 4 55 3" xfId="24231"/>
    <cellStyle name="Total 3 2 4 55 4" xfId="32418"/>
    <cellStyle name="Total 3 2 4 55 5" xfId="41664"/>
    <cellStyle name="Total 3 2 4 55 6" xfId="46083"/>
    <cellStyle name="Total 3 2 4 55 7" xfId="49381"/>
    <cellStyle name="Total 3 2 4 56" xfId="7642"/>
    <cellStyle name="Total 3 2 4 56 2" xfId="15359"/>
    <cellStyle name="Total 3 2 4 56 3" xfId="24352"/>
    <cellStyle name="Total 3 2 4 56 4" xfId="32539"/>
    <cellStyle name="Total 3 2 4 56 5" xfId="41781"/>
    <cellStyle name="Total 3 2 4 56 6" xfId="46204"/>
    <cellStyle name="Total 3 2 4 56 7" xfId="51869"/>
    <cellStyle name="Total 3 2 4 57" xfId="7920"/>
    <cellStyle name="Total 3 2 4 57 2" xfId="15637"/>
    <cellStyle name="Total 3 2 4 57 3" xfId="24624"/>
    <cellStyle name="Total 3 2 4 57 4" xfId="32817"/>
    <cellStyle name="Total 3 2 4 57 5" xfId="42048"/>
    <cellStyle name="Total 3 2 4 57 6" xfId="46482"/>
    <cellStyle name="Total 3 2 4 57 7" xfId="50891"/>
    <cellStyle name="Total 3 2 4 58" xfId="8048"/>
    <cellStyle name="Total 3 2 4 58 2" xfId="15765"/>
    <cellStyle name="Total 3 2 4 58 3" xfId="24750"/>
    <cellStyle name="Total 3 2 4 58 4" xfId="32945"/>
    <cellStyle name="Total 3 2 4 58 5" xfId="42170"/>
    <cellStyle name="Total 3 2 4 58 6" xfId="46610"/>
    <cellStyle name="Total 3 2 4 58 7" xfId="52273"/>
    <cellStyle name="Total 3 2 4 59" xfId="7747"/>
    <cellStyle name="Total 3 2 4 59 2" xfId="15464"/>
    <cellStyle name="Total 3 2 4 59 3" xfId="24455"/>
    <cellStyle name="Total 3 2 4 59 4" xfId="32644"/>
    <cellStyle name="Total 3 2 4 59 5" xfId="41880"/>
    <cellStyle name="Total 3 2 4 59 6" xfId="46309"/>
    <cellStyle name="Total 3 2 4 59 7" xfId="53423"/>
    <cellStyle name="Total 3 2 4 6" xfId="1543"/>
    <cellStyle name="Total 3 2 4 6 2" xfId="9366"/>
    <cellStyle name="Total 3 2 4 6 3" xfId="16794"/>
    <cellStyle name="Total 3 2 4 6 4" xfId="25378"/>
    <cellStyle name="Total 3 2 4 6 5" xfId="33825"/>
    <cellStyle name="Total 3 2 4 6 6" xfId="37397"/>
    <cellStyle name="Total 3 2 4 6 7" xfId="51603"/>
    <cellStyle name="Total 3 2 4 60" xfId="8194"/>
    <cellStyle name="Total 3 2 4 60 2" xfId="15911"/>
    <cellStyle name="Total 3 2 4 60 3" xfId="33091"/>
    <cellStyle name="Total 3 2 4 60 4" xfId="42310"/>
    <cellStyle name="Total 3 2 4 60 5" xfId="46756"/>
    <cellStyle name="Total 3 2 4 60 6" xfId="46860"/>
    <cellStyle name="Total 3 2 4 61" xfId="24874"/>
    <cellStyle name="Total 3 2 4 62" xfId="33188"/>
    <cellStyle name="Total 3 2 4 63" xfId="36563"/>
    <cellStyle name="Total 3 2 4 64" xfId="50506"/>
    <cellStyle name="Total 3 2 4 7" xfId="1118"/>
    <cellStyle name="Total 3 2 4 7 2" xfId="8941"/>
    <cellStyle name="Total 3 2 4 7 3" xfId="16369"/>
    <cellStyle name="Total 3 2 4 7 4" xfId="26053"/>
    <cellStyle name="Total 3 2 4 7 5" xfId="34694"/>
    <cellStyle name="Total 3 2 4 7 6" xfId="36621"/>
    <cellStyle name="Total 3 2 4 7 7" xfId="53111"/>
    <cellStyle name="Total 3 2 4 8" xfId="1781"/>
    <cellStyle name="Total 3 2 4 8 2" xfId="9604"/>
    <cellStyle name="Total 3 2 4 8 3" xfId="17032"/>
    <cellStyle name="Total 3 2 4 8 4" xfId="20665"/>
    <cellStyle name="Total 3 2 4 8 5" xfId="28364"/>
    <cellStyle name="Total 3 2 4 8 6" xfId="37166"/>
    <cellStyle name="Total 3 2 4 8 7" xfId="48036"/>
    <cellStyle name="Total 3 2 4 9" xfId="1913"/>
    <cellStyle name="Total 3 2 4 9 2" xfId="9736"/>
    <cellStyle name="Total 3 2 4 9 3" xfId="17164"/>
    <cellStyle name="Total 3 2 4 9 4" xfId="19840"/>
    <cellStyle name="Total 3 2 4 9 5" xfId="28612"/>
    <cellStyle name="Total 3 2 4 9 6" xfId="41418"/>
    <cellStyle name="Total 3 2 4 9 7" xfId="48931"/>
    <cellStyle name="Total 3 2 40" xfId="4077"/>
    <cellStyle name="Total 3 2 40 2" xfId="11839"/>
    <cellStyle name="Total 3 2 40 3" xfId="20787"/>
    <cellStyle name="Total 3 2 40 4" xfId="28974"/>
    <cellStyle name="Total 3 2 40 5" xfId="38353"/>
    <cellStyle name="Total 3 2 40 6" xfId="42639"/>
    <cellStyle name="Total 3 2 40 7" xfId="48930"/>
    <cellStyle name="Total 3 2 41" xfId="4950"/>
    <cellStyle name="Total 3 2 41 2" xfId="12667"/>
    <cellStyle name="Total 3 2 41 3" xfId="21660"/>
    <cellStyle name="Total 3 2 41 4" xfId="29847"/>
    <cellStyle name="Total 3 2 41 5" xfId="39194"/>
    <cellStyle name="Total 3 2 41 6" xfId="43512"/>
    <cellStyle name="Total 3 2 41 7" xfId="52937"/>
    <cellStyle name="Total 3 2 42" xfId="5175"/>
    <cellStyle name="Total 3 2 42 2" xfId="12892"/>
    <cellStyle name="Total 3 2 42 3" xfId="21885"/>
    <cellStyle name="Total 3 2 42 4" xfId="30072"/>
    <cellStyle name="Total 3 2 42 5" xfId="39411"/>
    <cellStyle name="Total 3 2 42 6" xfId="43737"/>
    <cellStyle name="Total 3 2 42 7" xfId="52067"/>
    <cellStyle name="Total 3 2 43" xfId="5441"/>
    <cellStyle name="Total 3 2 43 2" xfId="13158"/>
    <cellStyle name="Total 3 2 43 3" xfId="22151"/>
    <cellStyle name="Total 3 2 43 4" xfId="30338"/>
    <cellStyle name="Total 3 2 43 5" xfId="39667"/>
    <cellStyle name="Total 3 2 43 6" xfId="44003"/>
    <cellStyle name="Total 3 2 43 7" xfId="48306"/>
    <cellStyle name="Total 3 2 44" xfId="5501"/>
    <cellStyle name="Total 3 2 44 2" xfId="13218"/>
    <cellStyle name="Total 3 2 44 3" xfId="22211"/>
    <cellStyle name="Total 3 2 44 4" xfId="30398"/>
    <cellStyle name="Total 3 2 44 5" xfId="39723"/>
    <cellStyle name="Total 3 2 44 6" xfId="44063"/>
    <cellStyle name="Total 3 2 44 7" xfId="47281"/>
    <cellStyle name="Total 3 2 45" xfId="5090"/>
    <cellStyle name="Total 3 2 45 2" xfId="12807"/>
    <cellStyle name="Total 3 2 45 3" xfId="21800"/>
    <cellStyle name="Total 3 2 45 4" xfId="29987"/>
    <cellStyle name="Total 3 2 45 5" xfId="39330"/>
    <cellStyle name="Total 3 2 45 6" xfId="43652"/>
    <cellStyle name="Total 3 2 45 7" xfId="52089"/>
    <cellStyle name="Total 3 2 46" xfId="5373"/>
    <cellStyle name="Total 3 2 46 2" xfId="13090"/>
    <cellStyle name="Total 3 2 46 3" xfId="22083"/>
    <cellStyle name="Total 3 2 46 4" xfId="30270"/>
    <cellStyle name="Total 3 2 46 5" xfId="39601"/>
    <cellStyle name="Total 3 2 46 6" xfId="43935"/>
    <cellStyle name="Total 3 2 46 7" xfId="48151"/>
    <cellStyle name="Total 3 2 47" xfId="5101"/>
    <cellStyle name="Total 3 2 47 2" xfId="12818"/>
    <cellStyle name="Total 3 2 47 3" xfId="21811"/>
    <cellStyle name="Total 3 2 47 4" xfId="29998"/>
    <cellStyle name="Total 3 2 47 5" xfId="39339"/>
    <cellStyle name="Total 3 2 47 6" xfId="43663"/>
    <cellStyle name="Total 3 2 47 7" xfId="49634"/>
    <cellStyle name="Total 3 2 48" xfId="5315"/>
    <cellStyle name="Total 3 2 48 2" xfId="13032"/>
    <cellStyle name="Total 3 2 48 3" xfId="22025"/>
    <cellStyle name="Total 3 2 48 4" xfId="30212"/>
    <cellStyle name="Total 3 2 48 5" xfId="39546"/>
    <cellStyle name="Total 3 2 48 6" xfId="43877"/>
    <cellStyle name="Total 3 2 48 7" xfId="52643"/>
    <cellStyle name="Total 3 2 49" xfId="5321"/>
    <cellStyle name="Total 3 2 49 2" xfId="13038"/>
    <cellStyle name="Total 3 2 49 3" xfId="22031"/>
    <cellStyle name="Total 3 2 49 4" xfId="30218"/>
    <cellStyle name="Total 3 2 49 5" xfId="39552"/>
    <cellStyle name="Total 3 2 49 6" xfId="43883"/>
    <cellStyle name="Total 3 2 49 7" xfId="52060"/>
    <cellStyle name="Total 3 2 5" xfId="573"/>
    <cellStyle name="Total 3 2 5 10" xfId="2020"/>
    <cellStyle name="Total 3 2 5 10 2" xfId="9843"/>
    <cellStyle name="Total 3 2 5 10 3" xfId="17271"/>
    <cellStyle name="Total 3 2 5 10 4" xfId="24962"/>
    <cellStyle name="Total 3 2 5 10 5" xfId="33300"/>
    <cellStyle name="Total 3 2 5 10 6" xfId="36797"/>
    <cellStyle name="Total 3 2 5 10 7" xfId="50701"/>
    <cellStyle name="Total 3 2 5 11" xfId="2137"/>
    <cellStyle name="Total 3 2 5 11 2" xfId="9960"/>
    <cellStyle name="Total 3 2 5 11 3" xfId="17388"/>
    <cellStyle name="Total 3 2 5 11 4" xfId="25185"/>
    <cellStyle name="Total 3 2 5 11 5" xfId="33568"/>
    <cellStyle name="Total 3 2 5 11 6" xfId="36366"/>
    <cellStyle name="Total 3 2 5 11 7" xfId="51186"/>
    <cellStyle name="Total 3 2 5 12" xfId="2251"/>
    <cellStyle name="Total 3 2 5 12 2" xfId="10074"/>
    <cellStyle name="Total 3 2 5 12 3" xfId="17502"/>
    <cellStyle name="Total 3 2 5 12 4" xfId="25782"/>
    <cellStyle name="Total 3 2 5 12 5" xfId="34345"/>
    <cellStyle name="Total 3 2 5 12 6" xfId="39733"/>
    <cellStyle name="Total 3 2 5 12 7" xfId="52512"/>
    <cellStyle name="Total 3 2 5 13" xfId="1649"/>
    <cellStyle name="Total 3 2 5 13 2" xfId="9472"/>
    <cellStyle name="Total 3 2 5 13 3" xfId="16900"/>
    <cellStyle name="Total 3 2 5 13 4" xfId="25749"/>
    <cellStyle name="Total 3 2 5 13 5" xfId="34300"/>
    <cellStyle name="Total 3 2 5 13 6" xfId="40921"/>
    <cellStyle name="Total 3 2 5 13 7" xfId="52427"/>
    <cellStyle name="Total 3 2 5 14" xfId="1024"/>
    <cellStyle name="Total 3 2 5 14 2" xfId="8848"/>
    <cellStyle name="Total 3 2 5 14 3" xfId="16276"/>
    <cellStyle name="Total 3 2 5 14 4" xfId="25409"/>
    <cellStyle name="Total 3 2 5 14 5" xfId="33865"/>
    <cellStyle name="Total 3 2 5 14 6" xfId="36908"/>
    <cellStyle name="Total 3 2 5 14 7" xfId="51670"/>
    <cellStyle name="Total 3 2 5 15" xfId="2548"/>
    <cellStyle name="Total 3 2 5 15 2" xfId="10371"/>
    <cellStyle name="Total 3 2 5 15 3" xfId="17799"/>
    <cellStyle name="Total 3 2 5 15 4" xfId="19665"/>
    <cellStyle name="Total 3 2 5 15 5" xfId="28252"/>
    <cellStyle name="Total 3 2 5 15 6" xfId="40476"/>
    <cellStyle name="Total 3 2 5 15 7" xfId="47357"/>
    <cellStyle name="Total 3 2 5 16" xfId="2662"/>
    <cellStyle name="Total 3 2 5 16 2" xfId="10485"/>
    <cellStyle name="Total 3 2 5 16 3" xfId="17913"/>
    <cellStyle name="Total 3 2 5 16 4" xfId="19775"/>
    <cellStyle name="Total 3 2 5 16 5" xfId="27206"/>
    <cellStyle name="Total 3 2 5 16 6" xfId="40249"/>
    <cellStyle name="Total 3 2 5 16 7" xfId="49562"/>
    <cellStyle name="Total 3 2 5 17" xfId="1924"/>
    <cellStyle name="Total 3 2 5 17 2" xfId="9747"/>
    <cellStyle name="Total 3 2 5 17 3" xfId="17175"/>
    <cellStyle name="Total 3 2 5 17 4" xfId="26682"/>
    <cellStyle name="Total 3 2 5 17 5" xfId="35529"/>
    <cellStyle name="Total 3 2 5 17 6" xfId="41867"/>
    <cellStyle name="Total 3 2 5 17 7" xfId="54453"/>
    <cellStyle name="Total 3 2 5 18" xfId="1433"/>
    <cellStyle name="Total 3 2 5 18 2" xfId="9256"/>
    <cellStyle name="Total 3 2 5 18 3" xfId="16684"/>
    <cellStyle name="Total 3 2 5 18 4" xfId="25971"/>
    <cellStyle name="Total 3 2 5 18 5" xfId="34581"/>
    <cellStyle name="Total 3 2 5 18 6" xfId="40392"/>
    <cellStyle name="Total 3 2 5 18 7" xfId="52927"/>
    <cellStyle name="Total 3 2 5 19" xfId="2853"/>
    <cellStyle name="Total 3 2 5 19 2" xfId="10676"/>
    <cellStyle name="Total 3 2 5 19 3" xfId="18104"/>
    <cellStyle name="Total 3 2 5 19 4" xfId="26150"/>
    <cellStyle name="Total 3 2 5 19 5" xfId="34819"/>
    <cellStyle name="Total 3 2 5 19 6" xfId="38945"/>
    <cellStyle name="Total 3 2 5 19 7" xfId="53320"/>
    <cellStyle name="Total 3 2 5 2" xfId="721"/>
    <cellStyle name="Total 3 2 5 2 2" xfId="8545"/>
    <cellStyle name="Total 3 2 5 2 3" xfId="15973"/>
    <cellStyle name="Total 3 2 5 2 4" xfId="25269"/>
    <cellStyle name="Total 3 2 5 2 5" xfId="33677"/>
    <cellStyle name="Total 3 2 5 2 6" xfId="38236"/>
    <cellStyle name="Total 3 2 5 2 7" xfId="51367"/>
    <cellStyle name="Total 3 2 5 20" xfId="2960"/>
    <cellStyle name="Total 3 2 5 20 2" xfId="10783"/>
    <cellStyle name="Total 3 2 5 20 3" xfId="18211"/>
    <cellStyle name="Total 3 2 5 20 4" xfId="19977"/>
    <cellStyle name="Total 3 2 5 20 5" xfId="28808"/>
    <cellStyle name="Total 3 2 5 20 6" xfId="38251"/>
    <cellStyle name="Total 3 2 5 20 7" xfId="50031"/>
    <cellStyle name="Total 3 2 5 21" xfId="3337"/>
    <cellStyle name="Total 3 2 5 21 2" xfId="11130"/>
    <cellStyle name="Total 3 2 5 21 3" xfId="18458"/>
    <cellStyle name="Total 3 2 5 21 4" xfId="26480"/>
    <cellStyle name="Total 3 2 5 21 5" xfId="35264"/>
    <cellStyle name="Total 3 2 5 21 6" xfId="38302"/>
    <cellStyle name="Total 3 2 5 21 7" xfId="54031"/>
    <cellStyle name="Total 3 2 5 22" xfId="3456"/>
    <cellStyle name="Total 3 2 5 22 2" xfId="11247"/>
    <cellStyle name="Total 3 2 5 22 3" xfId="18569"/>
    <cellStyle name="Total 3 2 5 22 4" xfId="20456"/>
    <cellStyle name="Total 3 2 5 22 5" xfId="28540"/>
    <cellStyle name="Total 3 2 5 22 6" xfId="38327"/>
    <cellStyle name="Total 3 2 5 22 7" xfId="47664"/>
    <cellStyle name="Total 3 2 5 23" xfId="3616"/>
    <cellStyle name="Total 3 2 5 23 2" xfId="11402"/>
    <cellStyle name="Total 3 2 5 23 3" xfId="18676"/>
    <cellStyle name="Total 3 2 5 23 4" xfId="19056"/>
    <cellStyle name="Total 3 2 5 23 5" xfId="33171"/>
    <cellStyle name="Total 3 2 5 23 6" xfId="37912"/>
    <cellStyle name="Total 3 2 5 23 7" xfId="50477"/>
    <cellStyle name="Total 3 2 5 24" xfId="3729"/>
    <cellStyle name="Total 3 2 5 24 2" xfId="11514"/>
    <cellStyle name="Total 3 2 5 24 3" xfId="18786"/>
    <cellStyle name="Total 3 2 5 24 4" xfId="24995"/>
    <cellStyle name="Total 3 2 5 24 5" xfId="33344"/>
    <cellStyle name="Total 3 2 5 24 6" xfId="36816"/>
    <cellStyle name="Total 3 2 5 24 7" xfId="50783"/>
    <cellStyle name="Total 3 2 5 25" xfId="3858"/>
    <cellStyle name="Total 3 2 5 25 2" xfId="11640"/>
    <cellStyle name="Total 3 2 5 25 3" xfId="18896"/>
    <cellStyle name="Total 3 2 5 25 4" xfId="20066"/>
    <cellStyle name="Total 3 2 5 25 5" xfId="27818"/>
    <cellStyle name="Total 3 2 5 25 6" xfId="39495"/>
    <cellStyle name="Total 3 2 5 25 7" xfId="48631"/>
    <cellStyle name="Total 3 2 5 26" xfId="3977"/>
    <cellStyle name="Total 3 2 5 26 2" xfId="11756"/>
    <cellStyle name="Total 3 2 5 26 3" xfId="19005"/>
    <cellStyle name="Total 3 2 5 26 4" xfId="25714"/>
    <cellStyle name="Total 3 2 5 26 5" xfId="34256"/>
    <cellStyle name="Total 3 2 5 26 6" xfId="38798"/>
    <cellStyle name="Total 3 2 5 26 7" xfId="52347"/>
    <cellStyle name="Total 3 2 5 27" xfId="3171"/>
    <cellStyle name="Total 3 2 5 27 2" xfId="10972"/>
    <cellStyle name="Total 3 2 5 27 3" xfId="20304"/>
    <cellStyle name="Total 3 2 5 27 4" xfId="28394"/>
    <cellStyle name="Total 3 2 5 27 5" xfId="37782"/>
    <cellStyle name="Total 3 2 5 27 6" xfId="42421"/>
    <cellStyle name="Total 3 2 5 27 7" xfId="52454"/>
    <cellStyle name="Total 3 2 5 28" xfId="4173"/>
    <cellStyle name="Total 3 2 5 28 2" xfId="11932"/>
    <cellStyle name="Total 3 2 5 28 3" xfId="20883"/>
    <cellStyle name="Total 3 2 5 28 4" xfId="29070"/>
    <cellStyle name="Total 3 2 5 28 5" xfId="38446"/>
    <cellStyle name="Total 3 2 5 28 6" xfId="42735"/>
    <cellStyle name="Total 3 2 5 28 7" xfId="54483"/>
    <cellStyle name="Total 3 2 5 29" xfId="4227"/>
    <cellStyle name="Total 3 2 5 29 2" xfId="20937"/>
    <cellStyle name="Total 3 2 5 29 3" xfId="29124"/>
    <cellStyle name="Total 3 2 5 29 4" xfId="38499"/>
    <cellStyle name="Total 3 2 5 29 5" xfId="42789"/>
    <cellStyle name="Total 3 2 5 29 6" xfId="48971"/>
    <cellStyle name="Total 3 2 5 3" xfId="830"/>
    <cellStyle name="Total 3 2 5 3 2" xfId="8654"/>
    <cellStyle name="Total 3 2 5 3 3" xfId="16082"/>
    <cellStyle name="Total 3 2 5 3 4" xfId="26014"/>
    <cellStyle name="Total 3 2 5 3 5" xfId="34641"/>
    <cellStyle name="Total 3 2 5 3 6" xfId="37279"/>
    <cellStyle name="Total 3 2 5 3 7" xfId="53021"/>
    <cellStyle name="Total 3 2 5 30" xfId="4371"/>
    <cellStyle name="Total 3 2 5 30 2" xfId="12088"/>
    <cellStyle name="Total 3 2 5 30 3" xfId="21081"/>
    <cellStyle name="Total 3 2 5 30 4" xfId="29268"/>
    <cellStyle name="Total 3 2 5 30 5" xfId="38638"/>
    <cellStyle name="Total 3 2 5 30 6" xfId="42933"/>
    <cellStyle name="Total 3 2 5 30 7" xfId="47637"/>
    <cellStyle name="Total 3 2 5 31" xfId="4493"/>
    <cellStyle name="Total 3 2 5 31 2" xfId="12210"/>
    <cellStyle name="Total 3 2 5 31 3" xfId="21203"/>
    <cellStyle name="Total 3 2 5 31 4" xfId="29390"/>
    <cellStyle name="Total 3 2 5 31 5" xfId="38754"/>
    <cellStyle name="Total 3 2 5 31 6" xfId="43055"/>
    <cellStyle name="Total 3 2 5 31 7" xfId="52422"/>
    <cellStyle name="Total 3 2 5 32" xfId="4607"/>
    <cellStyle name="Total 3 2 5 32 2" xfId="12324"/>
    <cellStyle name="Total 3 2 5 32 3" xfId="21317"/>
    <cellStyle name="Total 3 2 5 32 4" xfId="29504"/>
    <cellStyle name="Total 3 2 5 32 5" xfId="38863"/>
    <cellStyle name="Total 3 2 5 32 6" xfId="43169"/>
    <cellStyle name="Total 3 2 5 32 7" xfId="49003"/>
    <cellStyle name="Total 3 2 5 33" xfId="4720"/>
    <cellStyle name="Total 3 2 5 33 2" xfId="12437"/>
    <cellStyle name="Total 3 2 5 33 3" xfId="21430"/>
    <cellStyle name="Total 3 2 5 33 4" xfId="29617"/>
    <cellStyle name="Total 3 2 5 33 5" xfId="38972"/>
    <cellStyle name="Total 3 2 5 33 6" xfId="43282"/>
    <cellStyle name="Total 3 2 5 33 7" xfId="52552"/>
    <cellStyle name="Total 3 2 5 34" xfId="4830"/>
    <cellStyle name="Total 3 2 5 34 2" xfId="12547"/>
    <cellStyle name="Total 3 2 5 34 3" xfId="21540"/>
    <cellStyle name="Total 3 2 5 34 4" xfId="29727"/>
    <cellStyle name="Total 3 2 5 34 5" xfId="39079"/>
    <cellStyle name="Total 3 2 5 34 6" xfId="43392"/>
    <cellStyle name="Total 3 2 5 34 7" xfId="48668"/>
    <cellStyle name="Total 3 2 5 35" xfId="4940"/>
    <cellStyle name="Total 3 2 5 35 2" xfId="12657"/>
    <cellStyle name="Total 3 2 5 35 3" xfId="21650"/>
    <cellStyle name="Total 3 2 5 35 4" xfId="29837"/>
    <cellStyle name="Total 3 2 5 35 5" xfId="39184"/>
    <cellStyle name="Total 3 2 5 35 6" xfId="43502"/>
    <cellStyle name="Total 3 2 5 35 7" xfId="53865"/>
    <cellStyle name="Total 3 2 5 36" xfId="5050"/>
    <cellStyle name="Total 3 2 5 36 2" xfId="12767"/>
    <cellStyle name="Total 3 2 5 36 3" xfId="21760"/>
    <cellStyle name="Total 3 2 5 36 4" xfId="29947"/>
    <cellStyle name="Total 3 2 5 36 5" xfId="39291"/>
    <cellStyle name="Total 3 2 5 36 6" xfId="43612"/>
    <cellStyle name="Total 3 2 5 36 7" xfId="47704"/>
    <cellStyle name="Total 3 2 5 37" xfId="5430"/>
    <cellStyle name="Total 3 2 5 37 2" xfId="13147"/>
    <cellStyle name="Total 3 2 5 37 3" xfId="22140"/>
    <cellStyle name="Total 3 2 5 37 4" xfId="30327"/>
    <cellStyle name="Total 3 2 5 37 5" xfId="39656"/>
    <cellStyle name="Total 3 2 5 37 6" xfId="43992"/>
    <cellStyle name="Total 3 2 5 37 7" xfId="49687"/>
    <cellStyle name="Total 3 2 5 38" xfId="5550"/>
    <cellStyle name="Total 3 2 5 38 2" xfId="13267"/>
    <cellStyle name="Total 3 2 5 38 3" xfId="22260"/>
    <cellStyle name="Total 3 2 5 38 4" xfId="30447"/>
    <cellStyle name="Total 3 2 5 38 5" xfId="39770"/>
    <cellStyle name="Total 3 2 5 38 6" xfId="44112"/>
    <cellStyle name="Total 3 2 5 38 7" xfId="46846"/>
    <cellStyle name="Total 3 2 5 39" xfId="5674"/>
    <cellStyle name="Total 3 2 5 39 2" xfId="13391"/>
    <cellStyle name="Total 3 2 5 39 3" xfId="22384"/>
    <cellStyle name="Total 3 2 5 39 4" xfId="30571"/>
    <cellStyle name="Total 3 2 5 39 5" xfId="39891"/>
    <cellStyle name="Total 3 2 5 39 6" xfId="44236"/>
    <cellStyle name="Total 3 2 5 39 7" xfId="47099"/>
    <cellStyle name="Total 3 2 5 4" xfId="940"/>
    <cellStyle name="Total 3 2 5 4 2" xfId="8764"/>
    <cellStyle name="Total 3 2 5 4 3" xfId="16192"/>
    <cellStyle name="Total 3 2 5 4 4" xfId="20147"/>
    <cellStyle name="Total 3 2 5 4 5" xfId="28848"/>
    <cellStyle name="Total 3 2 5 4 6" xfId="37652"/>
    <cellStyle name="Total 3 2 5 4 7" xfId="47455"/>
    <cellStyle name="Total 3 2 5 40" xfId="5790"/>
    <cellStyle name="Total 3 2 5 40 2" xfId="13507"/>
    <cellStyle name="Total 3 2 5 40 3" xfId="22500"/>
    <cellStyle name="Total 3 2 5 40 4" xfId="30687"/>
    <cellStyle name="Total 3 2 5 40 5" xfId="40003"/>
    <cellStyle name="Total 3 2 5 40 6" xfId="44352"/>
    <cellStyle name="Total 3 2 5 40 7" xfId="48214"/>
    <cellStyle name="Total 3 2 5 41" xfId="5907"/>
    <cellStyle name="Total 3 2 5 41 2" xfId="13624"/>
    <cellStyle name="Total 3 2 5 41 3" xfId="22617"/>
    <cellStyle name="Total 3 2 5 41 4" xfId="30804"/>
    <cellStyle name="Total 3 2 5 41 5" xfId="40117"/>
    <cellStyle name="Total 3 2 5 41 6" xfId="44469"/>
    <cellStyle name="Total 3 2 5 41 7" xfId="47251"/>
    <cellStyle name="Total 3 2 5 42" xfId="6035"/>
    <cellStyle name="Total 3 2 5 42 2" xfId="13752"/>
    <cellStyle name="Total 3 2 5 42 3" xfId="22745"/>
    <cellStyle name="Total 3 2 5 42 4" xfId="30932"/>
    <cellStyle name="Total 3 2 5 42 5" xfId="40240"/>
    <cellStyle name="Total 3 2 5 42 6" xfId="44597"/>
    <cellStyle name="Total 3 2 5 42 7" xfId="50760"/>
    <cellStyle name="Total 3 2 5 43" xfId="6162"/>
    <cellStyle name="Total 3 2 5 43 2" xfId="13879"/>
    <cellStyle name="Total 3 2 5 43 3" xfId="22872"/>
    <cellStyle name="Total 3 2 5 43 4" xfId="31059"/>
    <cellStyle name="Total 3 2 5 43 5" xfId="40360"/>
    <cellStyle name="Total 3 2 5 43 6" xfId="44724"/>
    <cellStyle name="Total 3 2 5 43 7" xfId="52162"/>
    <cellStyle name="Total 3 2 5 44" xfId="6291"/>
    <cellStyle name="Total 3 2 5 44 2" xfId="14008"/>
    <cellStyle name="Total 3 2 5 44 3" xfId="23001"/>
    <cellStyle name="Total 3 2 5 44 4" xfId="31188"/>
    <cellStyle name="Total 3 2 5 44 5" xfId="40488"/>
    <cellStyle name="Total 3 2 5 44 6" xfId="44853"/>
    <cellStyle name="Total 3 2 5 44 7" xfId="46969"/>
    <cellStyle name="Total 3 2 5 45" xfId="6406"/>
    <cellStyle name="Total 3 2 5 45 2" xfId="14123"/>
    <cellStyle name="Total 3 2 5 45 3" xfId="23116"/>
    <cellStyle name="Total 3 2 5 45 4" xfId="31303"/>
    <cellStyle name="Total 3 2 5 45 5" xfId="40599"/>
    <cellStyle name="Total 3 2 5 45 6" xfId="44968"/>
    <cellStyle name="Total 3 2 5 45 7" xfId="49178"/>
    <cellStyle name="Total 3 2 5 46" xfId="6518"/>
    <cellStyle name="Total 3 2 5 46 2" xfId="14235"/>
    <cellStyle name="Total 3 2 5 46 3" xfId="23228"/>
    <cellStyle name="Total 3 2 5 46 4" xfId="31415"/>
    <cellStyle name="Total 3 2 5 46 5" xfId="40707"/>
    <cellStyle name="Total 3 2 5 46 6" xfId="45080"/>
    <cellStyle name="Total 3 2 5 46 7" xfId="51580"/>
    <cellStyle name="Total 3 2 5 47" xfId="6129"/>
    <cellStyle name="Total 3 2 5 47 2" xfId="13846"/>
    <cellStyle name="Total 3 2 5 47 3" xfId="22839"/>
    <cellStyle name="Total 3 2 5 47 4" xfId="31026"/>
    <cellStyle name="Total 3 2 5 47 5" xfId="40327"/>
    <cellStyle name="Total 3 2 5 47 6" xfId="44691"/>
    <cellStyle name="Total 3 2 5 47 7" xfId="49827"/>
    <cellStyle name="Total 3 2 5 48" xfId="6665"/>
    <cellStyle name="Total 3 2 5 48 2" xfId="14382"/>
    <cellStyle name="Total 3 2 5 48 3" xfId="23375"/>
    <cellStyle name="Total 3 2 5 48 4" xfId="31562"/>
    <cellStyle name="Total 3 2 5 48 5" xfId="40846"/>
    <cellStyle name="Total 3 2 5 48 6" xfId="45227"/>
    <cellStyle name="Total 3 2 5 48 7" xfId="51459"/>
    <cellStyle name="Total 3 2 5 49" xfId="6776"/>
    <cellStyle name="Total 3 2 5 49 2" xfId="14493"/>
    <cellStyle name="Total 3 2 5 49 3" xfId="23486"/>
    <cellStyle name="Total 3 2 5 49 4" xfId="31673"/>
    <cellStyle name="Total 3 2 5 49 5" xfId="40952"/>
    <cellStyle name="Total 3 2 5 49 6" xfId="45338"/>
    <cellStyle name="Total 3 2 5 49 7" xfId="48291"/>
    <cellStyle name="Total 3 2 5 5" xfId="1408"/>
    <cellStyle name="Total 3 2 5 5 2" xfId="9231"/>
    <cellStyle name="Total 3 2 5 5 3" xfId="16659"/>
    <cellStyle name="Total 3 2 5 5 4" xfId="20297"/>
    <cellStyle name="Total 3 2 5 5 5" xfId="28255"/>
    <cellStyle name="Total 3 2 5 5 6" xfId="39578"/>
    <cellStyle name="Total 3 2 5 5 7" xfId="48949"/>
    <cellStyle name="Total 3 2 5 50" xfId="6891"/>
    <cellStyle name="Total 3 2 5 50 2" xfId="14608"/>
    <cellStyle name="Total 3 2 5 50 3" xfId="23601"/>
    <cellStyle name="Total 3 2 5 50 4" xfId="31788"/>
    <cellStyle name="Total 3 2 5 50 5" xfId="41060"/>
    <cellStyle name="Total 3 2 5 50 6" xfId="45453"/>
    <cellStyle name="Total 3 2 5 50 7" xfId="47059"/>
    <cellStyle name="Total 3 2 5 51" xfId="7004"/>
    <cellStyle name="Total 3 2 5 51 2" xfId="14721"/>
    <cellStyle name="Total 3 2 5 51 3" xfId="23714"/>
    <cellStyle name="Total 3 2 5 51 4" xfId="31901"/>
    <cellStyle name="Total 3 2 5 51 5" xfId="41168"/>
    <cellStyle name="Total 3 2 5 51 6" xfId="45566"/>
    <cellStyle name="Total 3 2 5 51 7" xfId="54538"/>
    <cellStyle name="Total 3 2 5 52" xfId="7114"/>
    <cellStyle name="Total 3 2 5 52 2" xfId="14831"/>
    <cellStyle name="Total 3 2 5 52 3" xfId="23824"/>
    <cellStyle name="Total 3 2 5 52 4" xfId="32011"/>
    <cellStyle name="Total 3 2 5 52 5" xfId="41273"/>
    <cellStyle name="Total 3 2 5 52 6" xfId="45676"/>
    <cellStyle name="Total 3 2 5 52 7" xfId="53975"/>
    <cellStyle name="Total 3 2 5 53" xfId="7163"/>
    <cellStyle name="Total 3 2 5 53 2" xfId="14880"/>
    <cellStyle name="Total 3 2 5 53 3" xfId="23873"/>
    <cellStyle name="Total 3 2 5 53 4" xfId="32060"/>
    <cellStyle name="Total 3 2 5 53 5" xfId="41322"/>
    <cellStyle name="Total 3 2 5 53 6" xfId="45725"/>
    <cellStyle name="Total 3 2 5 53 7" xfId="48790"/>
    <cellStyle name="Total 3 2 5 54" xfId="7229"/>
    <cellStyle name="Total 3 2 5 54 2" xfId="14946"/>
    <cellStyle name="Total 3 2 5 54 3" xfId="23939"/>
    <cellStyle name="Total 3 2 5 54 4" xfId="32126"/>
    <cellStyle name="Total 3 2 5 54 5" xfId="41384"/>
    <cellStyle name="Total 3 2 5 54 6" xfId="45791"/>
    <cellStyle name="Total 3 2 5 54 7" xfId="53508"/>
    <cellStyle name="Total 3 2 5 55" xfId="7511"/>
    <cellStyle name="Total 3 2 5 55 2" xfId="15228"/>
    <cellStyle name="Total 3 2 5 55 3" xfId="24221"/>
    <cellStyle name="Total 3 2 5 55 4" xfId="32408"/>
    <cellStyle name="Total 3 2 5 55 5" xfId="41655"/>
    <cellStyle name="Total 3 2 5 55 6" xfId="46073"/>
    <cellStyle name="Total 3 2 5 55 7" xfId="48464"/>
    <cellStyle name="Total 3 2 5 56" xfId="7632"/>
    <cellStyle name="Total 3 2 5 56 2" xfId="15349"/>
    <cellStyle name="Total 3 2 5 56 3" xfId="24342"/>
    <cellStyle name="Total 3 2 5 56 4" xfId="32529"/>
    <cellStyle name="Total 3 2 5 56 5" xfId="41771"/>
    <cellStyle name="Total 3 2 5 56 6" xfId="46194"/>
    <cellStyle name="Total 3 2 5 56 7" xfId="52891"/>
    <cellStyle name="Total 3 2 5 57" xfId="7909"/>
    <cellStyle name="Total 3 2 5 57 2" xfId="15626"/>
    <cellStyle name="Total 3 2 5 57 3" xfId="24613"/>
    <cellStyle name="Total 3 2 5 57 4" xfId="32806"/>
    <cellStyle name="Total 3 2 5 57 5" xfId="42037"/>
    <cellStyle name="Total 3 2 5 57 6" xfId="46471"/>
    <cellStyle name="Total 3 2 5 57 7" xfId="52228"/>
    <cellStyle name="Total 3 2 5 58" xfId="8037"/>
    <cellStyle name="Total 3 2 5 58 2" xfId="15754"/>
    <cellStyle name="Total 3 2 5 58 3" xfId="24739"/>
    <cellStyle name="Total 3 2 5 58 4" xfId="32934"/>
    <cellStyle name="Total 3 2 5 58 5" xfId="42159"/>
    <cellStyle name="Total 3 2 5 58 6" xfId="46599"/>
    <cellStyle name="Total 3 2 5 58 7" xfId="53304"/>
    <cellStyle name="Total 3 2 5 59" xfId="7707"/>
    <cellStyle name="Total 3 2 5 59 2" xfId="15424"/>
    <cellStyle name="Total 3 2 5 59 3" xfId="24415"/>
    <cellStyle name="Total 3 2 5 59 4" xfId="32604"/>
    <cellStyle name="Total 3 2 5 59 5" xfId="41841"/>
    <cellStyle name="Total 3 2 5 59 6" xfId="46269"/>
    <cellStyle name="Total 3 2 5 59 7" xfId="51132"/>
    <cellStyle name="Total 3 2 5 6" xfId="1531"/>
    <cellStyle name="Total 3 2 5 6 2" xfId="9354"/>
    <cellStyle name="Total 3 2 5 6 3" xfId="16782"/>
    <cellStyle name="Total 3 2 5 6 4" xfId="19827"/>
    <cellStyle name="Total 3 2 5 6 5" xfId="27053"/>
    <cellStyle name="Total 3 2 5 6 6" xfId="38192"/>
    <cellStyle name="Total 3 2 5 6 7" xfId="47913"/>
    <cellStyle name="Total 3 2 5 60" xfId="8184"/>
    <cellStyle name="Total 3 2 5 60 2" xfId="15901"/>
    <cellStyle name="Total 3 2 5 60 3" xfId="33081"/>
    <cellStyle name="Total 3 2 5 60 4" xfId="42300"/>
    <cellStyle name="Total 3 2 5 60 5" xfId="46746"/>
    <cellStyle name="Total 3 2 5 60 6" xfId="46870"/>
    <cellStyle name="Total 3 2 5 61" xfId="25554"/>
    <cellStyle name="Total 3 2 5 62" xfId="34049"/>
    <cellStyle name="Total 3 2 5 63" xfId="42318"/>
    <cellStyle name="Total 3 2 5 64" xfId="51988"/>
    <cellStyle name="Total 3 2 5 7" xfId="1140"/>
    <cellStyle name="Total 3 2 5 7 2" xfId="8963"/>
    <cellStyle name="Total 3 2 5 7 3" xfId="16391"/>
    <cellStyle name="Total 3 2 5 7 4" xfId="20483"/>
    <cellStyle name="Total 3 2 5 7 5" xfId="27956"/>
    <cellStyle name="Total 3 2 5 7 6" xfId="40930"/>
    <cellStyle name="Total 3 2 5 7 7" xfId="49625"/>
    <cellStyle name="Total 3 2 5 8" xfId="1768"/>
    <cellStyle name="Total 3 2 5 8 2" xfId="9591"/>
    <cellStyle name="Total 3 2 5 8 3" xfId="17019"/>
    <cellStyle name="Total 3 2 5 8 4" xfId="19700"/>
    <cellStyle name="Total 3 2 5 8 5" xfId="27050"/>
    <cellStyle name="Total 3 2 5 8 6" xfId="38022"/>
    <cellStyle name="Total 3 2 5 8 7" xfId="47678"/>
    <cellStyle name="Total 3 2 5 9" xfId="1901"/>
    <cellStyle name="Total 3 2 5 9 2" xfId="9724"/>
    <cellStyle name="Total 3 2 5 9 3" xfId="17152"/>
    <cellStyle name="Total 3 2 5 9 4" xfId="19623"/>
    <cellStyle name="Total 3 2 5 9 5" xfId="27396"/>
    <cellStyle name="Total 3 2 5 9 6" xfId="37316"/>
    <cellStyle name="Total 3 2 5 9 7" xfId="48445"/>
    <cellStyle name="Total 3 2 50" xfId="5345"/>
    <cellStyle name="Total 3 2 50 2" xfId="13062"/>
    <cellStyle name="Total 3 2 50 3" xfId="22055"/>
    <cellStyle name="Total 3 2 50 4" xfId="30242"/>
    <cellStyle name="Total 3 2 50 5" xfId="39574"/>
    <cellStyle name="Total 3 2 50 6" xfId="43907"/>
    <cellStyle name="Total 3 2 50 7" xfId="49393"/>
    <cellStyle name="Total 3 2 51" xfId="6050"/>
    <cellStyle name="Total 3 2 51 2" xfId="13767"/>
    <cellStyle name="Total 3 2 51 3" xfId="22760"/>
    <cellStyle name="Total 3 2 51 4" xfId="30947"/>
    <cellStyle name="Total 3 2 51 5" xfId="40254"/>
    <cellStyle name="Total 3 2 51 6" xfId="44612"/>
    <cellStyle name="Total 3 2 51 7" xfId="49194"/>
    <cellStyle name="Total 3 2 52" xfId="5578"/>
    <cellStyle name="Total 3 2 52 2" xfId="13295"/>
    <cellStyle name="Total 3 2 52 3" xfId="22288"/>
    <cellStyle name="Total 3 2 52 4" xfId="30475"/>
    <cellStyle name="Total 3 2 52 5" xfId="39797"/>
    <cellStyle name="Total 3 2 52 6" xfId="44140"/>
    <cellStyle name="Total 3 2 52 7" xfId="46787"/>
    <cellStyle name="Total 3 2 53" xfId="5334"/>
    <cellStyle name="Total 3 2 53 2" xfId="13051"/>
    <cellStyle name="Total 3 2 53 3" xfId="22044"/>
    <cellStyle name="Total 3 2 53 4" xfId="30231"/>
    <cellStyle name="Total 3 2 53 5" xfId="39565"/>
    <cellStyle name="Total 3 2 53 6" xfId="43896"/>
    <cellStyle name="Total 3 2 53 7" xfId="50644"/>
    <cellStyle name="Total 3 2 54" xfId="5279"/>
    <cellStyle name="Total 3 2 54 2" xfId="12996"/>
    <cellStyle name="Total 3 2 54 3" xfId="21989"/>
    <cellStyle name="Total 3 2 54 4" xfId="30176"/>
    <cellStyle name="Total 3 2 54 5" xfId="39510"/>
    <cellStyle name="Total 3 2 54 6" xfId="43841"/>
    <cellStyle name="Total 3 2 54 7" xfId="48815"/>
    <cellStyle name="Total 3 2 55" xfId="6787"/>
    <cellStyle name="Total 3 2 55 2" xfId="14504"/>
    <cellStyle name="Total 3 2 55 3" xfId="23497"/>
    <cellStyle name="Total 3 2 55 4" xfId="31684"/>
    <cellStyle name="Total 3 2 55 5" xfId="40963"/>
    <cellStyle name="Total 3 2 55 6" xfId="45349"/>
    <cellStyle name="Total 3 2 55 7" xfId="53350"/>
    <cellStyle name="Total 3 2 56" xfId="6901"/>
    <cellStyle name="Total 3 2 56 2" xfId="14618"/>
    <cellStyle name="Total 3 2 56 3" xfId="23611"/>
    <cellStyle name="Total 3 2 56 4" xfId="31798"/>
    <cellStyle name="Total 3 2 56 5" xfId="41070"/>
    <cellStyle name="Total 3 2 56 6" xfId="45463"/>
    <cellStyle name="Total 3 2 56 7" xfId="47054"/>
    <cellStyle name="Total 3 2 57" xfId="7014"/>
    <cellStyle name="Total 3 2 57 2" xfId="14731"/>
    <cellStyle name="Total 3 2 57 3" xfId="23724"/>
    <cellStyle name="Total 3 2 57 4" xfId="31911"/>
    <cellStyle name="Total 3 2 57 5" xfId="41178"/>
    <cellStyle name="Total 3 2 57 6" xfId="45576"/>
    <cellStyle name="Total 3 2 57 7" xfId="54541"/>
    <cellStyle name="Total 3 2 58" xfId="7306"/>
    <cellStyle name="Total 3 2 58 2" xfId="15023"/>
    <cellStyle name="Total 3 2 58 3" xfId="24016"/>
    <cellStyle name="Total 3 2 58 4" xfId="32203"/>
    <cellStyle name="Total 3 2 58 5" xfId="41459"/>
    <cellStyle name="Total 3 2 58 6" xfId="45868"/>
    <cellStyle name="Total 3 2 58 7" xfId="47333"/>
    <cellStyle name="Total 3 2 59" xfId="7131"/>
    <cellStyle name="Total 3 2 59 2" xfId="14848"/>
    <cellStyle name="Total 3 2 59 3" xfId="23841"/>
    <cellStyle name="Total 3 2 59 4" xfId="32028"/>
    <cellStyle name="Total 3 2 59 5" xfId="41290"/>
    <cellStyle name="Total 3 2 59 6" xfId="45693"/>
    <cellStyle name="Total 3 2 59 7" xfId="52247"/>
    <cellStyle name="Total 3 2 6" xfId="485"/>
    <cellStyle name="Total 3 2 6 10" xfId="1932"/>
    <cellStyle name="Total 3 2 6 10 2" xfId="9755"/>
    <cellStyle name="Total 3 2 6 10 3" xfId="17183"/>
    <cellStyle name="Total 3 2 6 10 4" xfId="26333"/>
    <cellStyle name="Total 3 2 6 10 5" xfId="35057"/>
    <cellStyle name="Total 3 2 6 10 6" xfId="42229"/>
    <cellStyle name="Total 3 2 6 10 7" xfId="53705"/>
    <cellStyle name="Total 3 2 6 11" xfId="2050"/>
    <cellStyle name="Total 3 2 6 11 2" xfId="9873"/>
    <cellStyle name="Total 3 2 6 11 3" xfId="17301"/>
    <cellStyle name="Total 3 2 6 11 4" xfId="26403"/>
    <cellStyle name="Total 3 2 6 11 5" xfId="35155"/>
    <cellStyle name="Total 3 2 6 11 6" xfId="37959"/>
    <cellStyle name="Total 3 2 6 11 7" xfId="53854"/>
    <cellStyle name="Total 3 2 6 12" xfId="2163"/>
    <cellStyle name="Total 3 2 6 12 2" xfId="9986"/>
    <cellStyle name="Total 3 2 6 12 3" xfId="17414"/>
    <cellStyle name="Total 3 2 6 12 4" xfId="19612"/>
    <cellStyle name="Total 3 2 6 12 5" xfId="28057"/>
    <cellStyle name="Total 3 2 6 12 6" xfId="40999"/>
    <cellStyle name="Total 3 2 6 12 7" xfId="47257"/>
    <cellStyle name="Total 3 2 6 13" xfId="1792"/>
    <cellStyle name="Total 3 2 6 13 2" xfId="9615"/>
    <cellStyle name="Total 3 2 6 13 3" xfId="17043"/>
    <cellStyle name="Total 3 2 6 13 4" xfId="19270"/>
    <cellStyle name="Total 3 2 6 13 5" xfId="27824"/>
    <cellStyle name="Total 3 2 6 13 6" xfId="42031"/>
    <cellStyle name="Total 3 2 6 13 7" xfId="47598"/>
    <cellStyle name="Total 3 2 6 14" xfId="1277"/>
    <cellStyle name="Total 3 2 6 14 2" xfId="9100"/>
    <cellStyle name="Total 3 2 6 14 3" xfId="16528"/>
    <cellStyle name="Total 3 2 6 14 4" xfId="20020"/>
    <cellStyle name="Total 3 2 6 14 5" xfId="27931"/>
    <cellStyle name="Total 3 2 6 14 6" xfId="40552"/>
    <cellStyle name="Total 3 2 6 14 7" xfId="46851"/>
    <cellStyle name="Total 3 2 6 15" xfId="2461"/>
    <cellStyle name="Total 3 2 6 15 2" xfId="10284"/>
    <cellStyle name="Total 3 2 6 15 3" xfId="17712"/>
    <cellStyle name="Total 3 2 6 15 4" xfId="19816"/>
    <cellStyle name="Total 3 2 6 15 5" xfId="27938"/>
    <cellStyle name="Total 3 2 6 15 6" xfId="40663"/>
    <cellStyle name="Total 3 2 6 15 7" xfId="47811"/>
    <cellStyle name="Total 3 2 6 16" xfId="2574"/>
    <cellStyle name="Total 3 2 6 16 2" xfId="10397"/>
    <cellStyle name="Total 3 2 6 16 3" xfId="17825"/>
    <cellStyle name="Total 3 2 6 16 4" xfId="25762"/>
    <cellStyle name="Total 3 2 6 16 5" xfId="34316"/>
    <cellStyle name="Total 3 2 6 16 6" xfId="37952"/>
    <cellStyle name="Total 3 2 6 16 7" xfId="52457"/>
    <cellStyle name="Total 3 2 6 17" xfId="2644"/>
    <cellStyle name="Total 3 2 6 17 2" xfId="10467"/>
    <cellStyle name="Total 3 2 6 17 3" xfId="17895"/>
    <cellStyle name="Total 3 2 6 17 4" xfId="25356"/>
    <cellStyle name="Total 3 2 6 17 5" xfId="33792"/>
    <cellStyle name="Total 3 2 6 17 6" xfId="38137"/>
    <cellStyle name="Total 3 2 6 17 7" xfId="51546"/>
    <cellStyle name="Total 3 2 6 18" xfId="2045"/>
    <cellStyle name="Total 3 2 6 18 2" xfId="9868"/>
    <cellStyle name="Total 3 2 6 18 3" xfId="17296"/>
    <cellStyle name="Total 3 2 6 18 4" xfId="20421"/>
    <cellStyle name="Total 3 2 6 18 5" xfId="27443"/>
    <cellStyle name="Total 3 2 6 18 6" xfId="38270"/>
    <cellStyle name="Total 3 2 6 18 7" xfId="48209"/>
    <cellStyle name="Total 3 2 6 19" xfId="2768"/>
    <cellStyle name="Total 3 2 6 19 2" xfId="10591"/>
    <cellStyle name="Total 3 2 6 19 3" xfId="18019"/>
    <cellStyle name="Total 3 2 6 19 4" xfId="20415"/>
    <cellStyle name="Total 3 2 6 19 5" xfId="27076"/>
    <cellStyle name="Total 3 2 6 19 6" xfId="40344"/>
    <cellStyle name="Total 3 2 6 19 7" xfId="47928"/>
    <cellStyle name="Total 3 2 6 2" xfId="636"/>
    <cellStyle name="Total 3 2 6 2 2" xfId="8460"/>
    <cellStyle name="Total 3 2 6 2 3" xfId="8300"/>
    <cellStyle name="Total 3 2 6 2 4" xfId="26601"/>
    <cellStyle name="Total 3 2 6 2 5" xfId="35428"/>
    <cellStyle name="Total 3 2 6 2 6" xfId="36856"/>
    <cellStyle name="Total 3 2 6 2 7" xfId="54286"/>
    <cellStyle name="Total 3 2 6 20" xfId="2875"/>
    <cellStyle name="Total 3 2 6 20 2" xfId="10698"/>
    <cellStyle name="Total 3 2 6 20 3" xfId="18126"/>
    <cellStyle name="Total 3 2 6 20 4" xfId="25123"/>
    <cellStyle name="Total 3 2 6 20 5" xfId="33496"/>
    <cellStyle name="Total 3 2 6 20 6" xfId="37298"/>
    <cellStyle name="Total 3 2 6 20 7" xfId="51064"/>
    <cellStyle name="Total 3 2 6 21" xfId="3251"/>
    <cellStyle name="Total 3 2 6 21 2" xfId="11044"/>
    <cellStyle name="Total 3 2 6 21 3" xfId="18373"/>
    <cellStyle name="Total 3 2 6 21 4" xfId="20012"/>
    <cellStyle name="Total 3 2 6 21 5" xfId="33106"/>
    <cellStyle name="Total 3 2 6 21 6" xfId="37343"/>
    <cellStyle name="Total 3 2 6 21 7" xfId="49691"/>
    <cellStyle name="Total 3 2 6 22" xfId="3371"/>
    <cellStyle name="Total 3 2 6 22 2" xfId="11162"/>
    <cellStyle name="Total 3 2 6 22 3" xfId="18484"/>
    <cellStyle name="Total 3 2 6 22 4" xfId="26002"/>
    <cellStyle name="Total 3 2 6 22 5" xfId="34626"/>
    <cellStyle name="Total 3 2 6 22 6" xfId="39989"/>
    <cellStyle name="Total 3 2 6 22 7" xfId="53001"/>
    <cellStyle name="Total 3 2 6 23" xfId="3552"/>
    <cellStyle name="Total 3 2 6 23 2" xfId="11341"/>
    <cellStyle name="Total 3 2 6 23 3" xfId="18627"/>
    <cellStyle name="Total 3 2 6 23 4" xfId="19902"/>
    <cellStyle name="Total 3 2 6 23 5" xfId="27854"/>
    <cellStyle name="Total 3 2 6 23 6" xfId="38046"/>
    <cellStyle name="Total 3 2 6 23 7" xfId="49476"/>
    <cellStyle name="Total 3 2 6 24" xfId="3641"/>
    <cellStyle name="Total 3 2 6 24 2" xfId="11426"/>
    <cellStyle name="Total 3 2 6 24 3" xfId="18699"/>
    <cellStyle name="Total 3 2 6 24 4" xfId="19462"/>
    <cellStyle name="Total 3 2 6 24 5" xfId="27455"/>
    <cellStyle name="Total 3 2 6 24 6" xfId="41849"/>
    <cellStyle name="Total 3 2 6 24 7" xfId="49378"/>
    <cellStyle name="Total 3 2 6 25" xfId="3772"/>
    <cellStyle name="Total 3 2 6 25 2" xfId="11554"/>
    <cellStyle name="Total 3 2 6 25 3" xfId="18811"/>
    <cellStyle name="Total 3 2 6 25 4" xfId="25014"/>
    <cellStyle name="Total 3 2 6 25 5" xfId="33367"/>
    <cellStyle name="Total 3 2 6 25 6" xfId="37587"/>
    <cellStyle name="Total 3 2 6 25 7" xfId="50830"/>
    <cellStyle name="Total 3 2 6 26" xfId="3889"/>
    <cellStyle name="Total 3 2 6 26 2" xfId="11669"/>
    <cellStyle name="Total 3 2 6 26 3" xfId="18920"/>
    <cellStyle name="Total 3 2 6 26 4" xfId="25474"/>
    <cellStyle name="Total 3 2 6 26 5" xfId="33944"/>
    <cellStyle name="Total 3 2 6 26 6" xfId="40523"/>
    <cellStyle name="Total 3 2 6 26 7" xfId="51814"/>
    <cellStyle name="Total 3 2 6 27" xfId="3992"/>
    <cellStyle name="Total 3 2 6 27 2" xfId="11771"/>
    <cellStyle name="Total 3 2 6 27 3" xfId="20703"/>
    <cellStyle name="Total 3 2 6 27 4" xfId="28890"/>
    <cellStyle name="Total 3 2 6 27 5" xfId="38275"/>
    <cellStyle name="Total 3 2 6 27 6" xfId="42558"/>
    <cellStyle name="Total 3 2 6 27 7" xfId="50713"/>
    <cellStyle name="Total 3 2 6 28" xfId="4086"/>
    <cellStyle name="Total 3 2 6 28 2" xfId="11846"/>
    <cellStyle name="Total 3 2 6 28 3" xfId="20796"/>
    <cellStyle name="Total 3 2 6 28 4" xfId="28983"/>
    <cellStyle name="Total 3 2 6 28 5" xfId="38362"/>
    <cellStyle name="Total 3 2 6 28 6" xfId="42648"/>
    <cellStyle name="Total 3 2 6 28 7" xfId="47331"/>
    <cellStyle name="Total 3 2 6 29" xfId="3151"/>
    <cellStyle name="Total 3 2 6 29 2" xfId="20287"/>
    <cellStyle name="Total 3 2 6 29 3" xfId="28381"/>
    <cellStyle name="Total 3 2 6 29 4" xfId="37767"/>
    <cellStyle name="Total 3 2 6 29 5" xfId="42414"/>
    <cellStyle name="Total 3 2 6 29 6" xfId="54336"/>
    <cellStyle name="Total 3 2 6 3" xfId="743"/>
    <cellStyle name="Total 3 2 6 3 2" xfId="8567"/>
    <cellStyle name="Total 3 2 6 3 3" xfId="15995"/>
    <cellStyle name="Total 3 2 6 3 4" xfId="20247"/>
    <cellStyle name="Total 3 2 6 3 5" xfId="26940"/>
    <cellStyle name="Total 3 2 6 3 6" xfId="36847"/>
    <cellStyle name="Total 3 2 6 3 7" xfId="49099"/>
    <cellStyle name="Total 3 2 6 30" xfId="4283"/>
    <cellStyle name="Total 3 2 6 30 2" xfId="12000"/>
    <cellStyle name="Total 3 2 6 30 3" xfId="20993"/>
    <cellStyle name="Total 3 2 6 30 4" xfId="29180"/>
    <cellStyle name="Total 3 2 6 30 5" xfId="38553"/>
    <cellStyle name="Total 3 2 6 30 6" xfId="42845"/>
    <cellStyle name="Total 3 2 6 30 7" xfId="47531"/>
    <cellStyle name="Total 3 2 6 31" xfId="4406"/>
    <cellStyle name="Total 3 2 6 31 2" xfId="12123"/>
    <cellStyle name="Total 3 2 6 31 3" xfId="21116"/>
    <cellStyle name="Total 3 2 6 31 4" xfId="29303"/>
    <cellStyle name="Total 3 2 6 31 5" xfId="38673"/>
    <cellStyle name="Total 3 2 6 31 6" xfId="42968"/>
    <cellStyle name="Total 3 2 6 31 7" xfId="48438"/>
    <cellStyle name="Total 3 2 6 32" xfId="4520"/>
    <cellStyle name="Total 3 2 6 32 2" xfId="12237"/>
    <cellStyle name="Total 3 2 6 32 3" xfId="21230"/>
    <cellStyle name="Total 3 2 6 32 4" xfId="29417"/>
    <cellStyle name="Total 3 2 6 32 5" xfId="38781"/>
    <cellStyle name="Total 3 2 6 32 6" xfId="43082"/>
    <cellStyle name="Total 3 2 6 32 7" xfId="49415"/>
    <cellStyle name="Total 3 2 6 33" xfId="4633"/>
    <cellStyle name="Total 3 2 6 33 2" xfId="12350"/>
    <cellStyle name="Total 3 2 6 33 3" xfId="21343"/>
    <cellStyle name="Total 3 2 6 33 4" xfId="29530"/>
    <cellStyle name="Total 3 2 6 33 5" xfId="38889"/>
    <cellStyle name="Total 3 2 6 33 6" xfId="43195"/>
    <cellStyle name="Total 3 2 6 33 7" xfId="53787"/>
    <cellStyle name="Total 3 2 6 34" xfId="4745"/>
    <cellStyle name="Total 3 2 6 34 2" xfId="12462"/>
    <cellStyle name="Total 3 2 6 34 3" xfId="21455"/>
    <cellStyle name="Total 3 2 6 34 4" xfId="29642"/>
    <cellStyle name="Total 3 2 6 34 5" xfId="38997"/>
    <cellStyle name="Total 3 2 6 34 6" xfId="43307"/>
    <cellStyle name="Total 3 2 6 34 7" xfId="49918"/>
    <cellStyle name="Total 3 2 6 35" xfId="4853"/>
    <cellStyle name="Total 3 2 6 35 2" xfId="12570"/>
    <cellStyle name="Total 3 2 6 35 3" xfId="21563"/>
    <cellStyle name="Total 3 2 6 35 4" xfId="29750"/>
    <cellStyle name="Total 3 2 6 35 5" xfId="39101"/>
    <cellStyle name="Total 3 2 6 35 6" xfId="43415"/>
    <cellStyle name="Total 3 2 6 35 7" xfId="53510"/>
    <cellStyle name="Total 3 2 6 36" xfId="4965"/>
    <cellStyle name="Total 3 2 6 36 2" xfId="12682"/>
    <cellStyle name="Total 3 2 6 36 3" xfId="21675"/>
    <cellStyle name="Total 3 2 6 36 4" xfId="29862"/>
    <cellStyle name="Total 3 2 6 36 5" xfId="39209"/>
    <cellStyle name="Total 3 2 6 36 6" xfId="43527"/>
    <cellStyle name="Total 3 2 6 36 7" xfId="51245"/>
    <cellStyle name="Total 3 2 6 37" xfId="5146"/>
    <cellStyle name="Total 3 2 6 37 2" xfId="12863"/>
    <cellStyle name="Total 3 2 6 37 3" xfId="21856"/>
    <cellStyle name="Total 3 2 6 37 4" xfId="30043"/>
    <cellStyle name="Total 3 2 6 37 5" xfId="39382"/>
    <cellStyle name="Total 3 2 6 37 6" xfId="43708"/>
    <cellStyle name="Total 3 2 6 37 7" xfId="53642"/>
    <cellStyle name="Total 3 2 6 38" xfId="5463"/>
    <cellStyle name="Total 3 2 6 38 2" xfId="13180"/>
    <cellStyle name="Total 3 2 6 38 3" xfId="22173"/>
    <cellStyle name="Total 3 2 6 38 4" xfId="30360"/>
    <cellStyle name="Total 3 2 6 38 5" xfId="39688"/>
    <cellStyle name="Total 3 2 6 38 6" xfId="44025"/>
    <cellStyle name="Total 3 2 6 38 7" xfId="52541"/>
    <cellStyle name="Total 3 2 6 39" xfId="5588"/>
    <cellStyle name="Total 3 2 6 39 2" xfId="13305"/>
    <cellStyle name="Total 3 2 6 39 3" xfId="22298"/>
    <cellStyle name="Total 3 2 6 39 4" xfId="30485"/>
    <cellStyle name="Total 3 2 6 39 5" xfId="39807"/>
    <cellStyle name="Total 3 2 6 39 6" xfId="44150"/>
    <cellStyle name="Total 3 2 6 39 7" xfId="47150"/>
    <cellStyle name="Total 3 2 6 4" xfId="855"/>
    <cellStyle name="Total 3 2 6 4 2" xfId="8679"/>
    <cellStyle name="Total 3 2 6 4 3" xfId="16107"/>
    <cellStyle name="Total 3 2 6 4 4" xfId="19402"/>
    <cellStyle name="Total 3 2 6 4 5" xfId="33123"/>
    <cellStyle name="Total 3 2 6 4 6" xfId="36830"/>
    <cellStyle name="Total 3 2 6 4 7" xfId="50376"/>
    <cellStyle name="Total 3 2 6 40" xfId="5703"/>
    <cellStyle name="Total 3 2 6 40 2" xfId="13420"/>
    <cellStyle name="Total 3 2 6 40 3" xfId="22413"/>
    <cellStyle name="Total 3 2 6 40 4" xfId="30600"/>
    <cellStyle name="Total 3 2 6 40 5" xfId="39918"/>
    <cellStyle name="Total 3 2 6 40 6" xfId="44265"/>
    <cellStyle name="Total 3 2 6 40 7" xfId="46826"/>
    <cellStyle name="Total 3 2 6 41" xfId="5820"/>
    <cellStyle name="Total 3 2 6 41 2" xfId="13537"/>
    <cellStyle name="Total 3 2 6 41 3" xfId="22530"/>
    <cellStyle name="Total 3 2 6 41 4" xfId="30717"/>
    <cellStyle name="Total 3 2 6 41 5" xfId="40032"/>
    <cellStyle name="Total 3 2 6 41 6" xfId="44382"/>
    <cellStyle name="Total 3 2 6 41 7" xfId="51131"/>
    <cellStyle name="Total 3 2 6 42" xfId="5948"/>
    <cellStyle name="Total 3 2 6 42 2" xfId="13665"/>
    <cellStyle name="Total 3 2 6 42 3" xfId="22658"/>
    <cellStyle name="Total 3 2 6 42 4" xfId="30845"/>
    <cellStyle name="Total 3 2 6 42 5" xfId="40156"/>
    <cellStyle name="Total 3 2 6 42 6" xfId="44510"/>
    <cellStyle name="Total 3 2 6 42 7" xfId="52726"/>
    <cellStyle name="Total 3 2 6 43" xfId="5244"/>
    <cellStyle name="Total 3 2 6 43 2" xfId="12961"/>
    <cellStyle name="Total 3 2 6 43 3" xfId="21954"/>
    <cellStyle name="Total 3 2 6 43 4" xfId="30141"/>
    <cellStyle name="Total 3 2 6 43 5" xfId="39476"/>
    <cellStyle name="Total 3 2 6 43 6" xfId="43806"/>
    <cellStyle name="Total 3 2 6 43 7" xfId="52503"/>
    <cellStyle name="Total 3 2 6 44" xfId="6204"/>
    <cellStyle name="Total 3 2 6 44 2" xfId="13921"/>
    <cellStyle name="Total 3 2 6 44 3" xfId="22914"/>
    <cellStyle name="Total 3 2 6 44 4" xfId="31101"/>
    <cellStyle name="Total 3 2 6 44 5" xfId="40402"/>
    <cellStyle name="Total 3 2 6 44 6" xfId="44766"/>
    <cellStyle name="Total 3 2 6 44 7" xfId="49191"/>
    <cellStyle name="Total 3 2 6 45" xfId="6321"/>
    <cellStyle name="Total 3 2 6 45 2" xfId="14038"/>
    <cellStyle name="Total 3 2 6 45 3" xfId="23031"/>
    <cellStyle name="Total 3 2 6 45 4" xfId="31218"/>
    <cellStyle name="Total 3 2 6 45 5" xfId="40518"/>
    <cellStyle name="Total 3 2 6 45 6" xfId="44883"/>
    <cellStyle name="Total 3 2 6 45 7" xfId="52030"/>
    <cellStyle name="Total 3 2 6 46" xfId="6431"/>
    <cellStyle name="Total 3 2 6 46 2" xfId="14148"/>
    <cellStyle name="Total 3 2 6 46 3" xfId="23141"/>
    <cellStyle name="Total 3 2 6 46 4" xfId="31328"/>
    <cellStyle name="Total 3 2 6 46 5" xfId="40623"/>
    <cellStyle name="Total 3 2 6 46 6" xfId="44993"/>
    <cellStyle name="Total 3 2 6 46 7" xfId="53118"/>
    <cellStyle name="Total 3 2 6 47" xfId="5274"/>
    <cellStyle name="Total 3 2 6 47 2" xfId="12991"/>
    <cellStyle name="Total 3 2 6 47 3" xfId="21984"/>
    <cellStyle name="Total 3 2 6 47 4" xfId="30171"/>
    <cellStyle name="Total 3 2 6 47 5" xfId="39506"/>
    <cellStyle name="Total 3 2 6 47 6" xfId="43836"/>
    <cellStyle name="Total 3 2 6 47 7" xfId="49295"/>
    <cellStyle name="Total 3 2 6 48" xfId="6578"/>
    <cellStyle name="Total 3 2 6 48 2" xfId="14295"/>
    <cellStyle name="Total 3 2 6 48 3" xfId="23288"/>
    <cellStyle name="Total 3 2 6 48 4" xfId="31475"/>
    <cellStyle name="Total 3 2 6 48 5" xfId="40763"/>
    <cellStyle name="Total 3 2 6 48 6" xfId="45140"/>
    <cellStyle name="Total 3 2 6 48 7" xfId="53263"/>
    <cellStyle name="Total 3 2 6 49" xfId="6689"/>
    <cellStyle name="Total 3 2 6 49 2" xfId="14406"/>
    <cellStyle name="Total 3 2 6 49 3" xfId="23399"/>
    <cellStyle name="Total 3 2 6 49 4" xfId="31586"/>
    <cellStyle name="Total 3 2 6 49 5" xfId="40870"/>
    <cellStyle name="Total 3 2 6 49 6" xfId="45251"/>
    <cellStyle name="Total 3 2 6 49 7" xfId="48702"/>
    <cellStyle name="Total 3 2 6 5" xfId="1320"/>
    <cellStyle name="Total 3 2 6 5 2" xfId="9143"/>
    <cellStyle name="Total 3 2 6 5 3" xfId="16571"/>
    <cellStyle name="Total 3 2 6 5 4" xfId="19818"/>
    <cellStyle name="Total 3 2 6 5 5" xfId="27709"/>
    <cellStyle name="Total 3 2 6 5 6" xfId="40749"/>
    <cellStyle name="Total 3 2 6 5 7" xfId="47675"/>
    <cellStyle name="Total 3 2 6 50" xfId="6804"/>
    <cellStyle name="Total 3 2 6 50 2" xfId="14521"/>
    <cellStyle name="Total 3 2 6 50 3" xfId="23514"/>
    <cellStyle name="Total 3 2 6 50 4" xfId="31701"/>
    <cellStyle name="Total 3 2 6 50 5" xfId="40979"/>
    <cellStyle name="Total 3 2 6 50 6" xfId="45366"/>
    <cellStyle name="Total 3 2 6 50 7" xfId="51518"/>
    <cellStyle name="Total 3 2 6 51" xfId="6917"/>
    <cellStyle name="Total 3 2 6 51 2" xfId="14634"/>
    <cellStyle name="Total 3 2 6 51 3" xfId="23627"/>
    <cellStyle name="Total 3 2 6 51 4" xfId="31814"/>
    <cellStyle name="Total 3 2 6 51 5" xfId="41086"/>
    <cellStyle name="Total 3 2 6 51 6" xfId="45479"/>
    <cellStyle name="Total 3 2 6 51 7" xfId="47048"/>
    <cellStyle name="Total 3 2 6 52" xfId="7029"/>
    <cellStyle name="Total 3 2 6 52 2" xfId="14746"/>
    <cellStyle name="Total 3 2 6 52 3" xfId="23739"/>
    <cellStyle name="Total 3 2 6 52 4" xfId="31926"/>
    <cellStyle name="Total 3 2 6 52 5" xfId="41193"/>
    <cellStyle name="Total 3 2 6 52 6" xfId="45591"/>
    <cellStyle name="Total 3 2 6 52 7" xfId="47020"/>
    <cellStyle name="Total 3 2 6 53" xfId="7312"/>
    <cellStyle name="Total 3 2 6 53 2" xfId="15029"/>
    <cellStyle name="Total 3 2 6 53 3" xfId="24022"/>
    <cellStyle name="Total 3 2 6 53 4" xfId="32209"/>
    <cellStyle name="Total 3 2 6 53 5" xfId="41465"/>
    <cellStyle name="Total 3 2 6 53 6" xfId="45874"/>
    <cellStyle name="Total 3 2 6 53 7" xfId="52982"/>
    <cellStyle name="Total 3 2 6 54" xfId="7285"/>
    <cellStyle name="Total 3 2 6 54 2" xfId="15002"/>
    <cellStyle name="Total 3 2 6 54 3" xfId="23995"/>
    <cellStyle name="Total 3 2 6 54 4" xfId="32182"/>
    <cellStyle name="Total 3 2 6 54 5" xfId="41438"/>
    <cellStyle name="Total 3 2 6 54 6" xfId="45847"/>
    <cellStyle name="Total 3 2 6 54 7" xfId="50815"/>
    <cellStyle name="Total 3 2 6 55" xfId="7426"/>
    <cellStyle name="Total 3 2 6 55 2" xfId="15143"/>
    <cellStyle name="Total 3 2 6 55 3" xfId="24136"/>
    <cellStyle name="Total 3 2 6 55 4" xfId="32323"/>
    <cellStyle name="Total 3 2 6 55 5" xfId="41575"/>
    <cellStyle name="Total 3 2 6 55 6" xfId="45988"/>
    <cellStyle name="Total 3 2 6 55 7" xfId="50694"/>
    <cellStyle name="Total 3 2 6 56" xfId="7547"/>
    <cellStyle name="Total 3 2 6 56 2" xfId="15264"/>
    <cellStyle name="Total 3 2 6 56 3" xfId="24257"/>
    <cellStyle name="Total 3 2 6 56 4" xfId="32444"/>
    <cellStyle name="Total 3 2 6 56 5" xfId="41690"/>
    <cellStyle name="Total 3 2 6 56 6" xfId="46109"/>
    <cellStyle name="Total 3 2 6 56 7" xfId="52788"/>
    <cellStyle name="Total 3 2 6 57" xfId="7823"/>
    <cellStyle name="Total 3 2 6 57 2" xfId="15540"/>
    <cellStyle name="Total 3 2 6 57 3" xfId="24527"/>
    <cellStyle name="Total 3 2 6 57 4" xfId="32720"/>
    <cellStyle name="Total 3 2 6 57 5" xfId="41955"/>
    <cellStyle name="Total 3 2 6 57 6" xfId="46385"/>
    <cellStyle name="Total 3 2 6 57 7" xfId="53868"/>
    <cellStyle name="Total 3 2 6 58" xfId="7974"/>
    <cellStyle name="Total 3 2 6 58 2" xfId="15691"/>
    <cellStyle name="Total 3 2 6 58 3" xfId="24676"/>
    <cellStyle name="Total 3 2 6 58 4" xfId="32871"/>
    <cellStyle name="Total 3 2 6 58 5" xfId="42098"/>
    <cellStyle name="Total 3 2 6 58 6" xfId="46536"/>
    <cellStyle name="Total 3 2 6 58 7" xfId="52783"/>
    <cellStyle name="Total 3 2 6 59" xfId="7719"/>
    <cellStyle name="Total 3 2 6 59 2" xfId="15436"/>
    <cellStyle name="Total 3 2 6 59 3" xfId="24427"/>
    <cellStyle name="Total 3 2 6 59 4" xfId="32616"/>
    <cellStyle name="Total 3 2 6 59 5" xfId="41853"/>
    <cellStyle name="Total 3 2 6 59 6" xfId="46281"/>
    <cellStyle name="Total 3 2 6 59 7" xfId="49934"/>
    <cellStyle name="Total 3 2 6 6" xfId="1443"/>
    <cellStyle name="Total 3 2 6 6 2" xfId="9266"/>
    <cellStyle name="Total 3 2 6 6 3" xfId="16694"/>
    <cellStyle name="Total 3 2 6 6 4" xfId="25517"/>
    <cellStyle name="Total 3 2 6 6 5" xfId="33995"/>
    <cellStyle name="Total 3 2 6 6 6" xfId="36516"/>
    <cellStyle name="Total 3 2 6 6 7" xfId="51904"/>
    <cellStyle name="Total 3 2 6 60" xfId="8099"/>
    <cellStyle name="Total 3 2 6 60 2" xfId="15816"/>
    <cellStyle name="Total 3 2 6 60 3" xfId="32996"/>
    <cellStyle name="Total 3 2 6 60 4" xfId="42218"/>
    <cellStyle name="Total 3 2 6 60 5" xfId="46661"/>
    <cellStyle name="Total 3 2 6 60 6" xfId="54398"/>
    <cellStyle name="Total 3 2 6 61" xfId="26356"/>
    <cellStyle name="Total 3 2 6 62" xfId="35088"/>
    <cellStyle name="Total 3 2 6 63" xfId="36322"/>
    <cellStyle name="Total 3 2 6 64" xfId="53750"/>
    <cellStyle name="Total 3 2 6 7" xfId="1005"/>
    <cellStyle name="Total 3 2 6 7 2" xfId="8829"/>
    <cellStyle name="Total 3 2 6 7 3" xfId="16257"/>
    <cellStyle name="Total 3 2 6 7 4" xfId="20694"/>
    <cellStyle name="Total 3 2 6 7 5" xfId="27192"/>
    <cellStyle name="Total 3 2 6 7 6" xfId="36891"/>
    <cellStyle name="Total 3 2 6 7 7" xfId="50228"/>
    <cellStyle name="Total 3 2 6 8" xfId="1680"/>
    <cellStyle name="Total 3 2 6 8 2" xfId="9503"/>
    <cellStyle name="Total 3 2 6 8 3" xfId="16931"/>
    <cellStyle name="Total 3 2 6 8 4" xfId="20418"/>
    <cellStyle name="Total 3 2 6 8 5" xfId="27987"/>
    <cellStyle name="Total 3 2 6 8 6" xfId="38019"/>
    <cellStyle name="Total 3 2 6 8 7" xfId="49007"/>
    <cellStyle name="Total 3 2 6 9" xfId="1814"/>
    <cellStyle name="Total 3 2 6 9 2" xfId="9637"/>
    <cellStyle name="Total 3 2 6 9 3" xfId="17065"/>
    <cellStyle name="Total 3 2 6 9 4" xfId="19387"/>
    <cellStyle name="Total 3 2 6 9 5" xfId="27844"/>
    <cellStyle name="Total 3 2 6 9 6" xfId="39764"/>
    <cellStyle name="Total 3 2 6 9 7" xfId="47392"/>
    <cellStyle name="Total 3 2 60" xfId="7383"/>
    <cellStyle name="Total 3 2 60 2" xfId="15100"/>
    <cellStyle name="Total 3 2 60 3" xfId="24093"/>
    <cellStyle name="Total 3 2 60 4" xfId="32280"/>
    <cellStyle name="Total 3 2 60 5" xfId="41536"/>
    <cellStyle name="Total 3 2 60 6" xfId="45945"/>
    <cellStyle name="Total 3 2 60 7" xfId="51658"/>
    <cellStyle name="Total 3 2 61" xfId="7536"/>
    <cellStyle name="Total 3 2 61 2" xfId="15253"/>
    <cellStyle name="Total 3 2 61 3" xfId="24246"/>
    <cellStyle name="Total 3 2 61 4" xfId="32433"/>
    <cellStyle name="Total 3 2 61 5" xfId="41679"/>
    <cellStyle name="Total 3 2 61 6" xfId="46098"/>
    <cellStyle name="Total 3 2 61 7" xfId="53821"/>
    <cellStyle name="Total 3 2 62" xfId="7737"/>
    <cellStyle name="Total 3 2 62 2" xfId="15454"/>
    <cellStyle name="Total 3 2 62 3" xfId="24445"/>
    <cellStyle name="Total 3 2 62 4" xfId="32634"/>
    <cellStyle name="Total 3 2 62 5" xfId="41870"/>
    <cellStyle name="Total 3 2 62 6" xfId="46299"/>
    <cellStyle name="Total 3 2 62 7" xfId="47929"/>
    <cellStyle name="Total 3 2 63" xfId="7809"/>
    <cellStyle name="Total 3 2 63 2" xfId="15526"/>
    <cellStyle name="Total 3 2 63 3" xfId="24513"/>
    <cellStyle name="Total 3 2 63 4" xfId="32706"/>
    <cellStyle name="Total 3 2 63 5" xfId="41941"/>
    <cellStyle name="Total 3 2 63 6" xfId="46371"/>
    <cellStyle name="Total 3 2 63 7" xfId="54129"/>
    <cellStyle name="Total 3 2 64" xfId="7806"/>
    <cellStyle name="Total 3 2 64 2" xfId="15523"/>
    <cellStyle name="Total 3 2 64 3" xfId="24510"/>
    <cellStyle name="Total 3 2 64 4" xfId="32703"/>
    <cellStyle name="Total 3 2 64 5" xfId="41938"/>
    <cellStyle name="Total 3 2 64 6" xfId="46368"/>
    <cellStyle name="Total 3 2 64 7" xfId="46978"/>
    <cellStyle name="Total 3 2 65" xfId="7937"/>
    <cellStyle name="Total 3 2 65 2" xfId="15654"/>
    <cellStyle name="Total 3 2 65 3" xfId="32834"/>
    <cellStyle name="Total 3 2 65 4" xfId="42064"/>
    <cellStyle name="Total 3 2 65 5" xfId="46499"/>
    <cellStyle name="Total 3 2 65 6" xfId="49162"/>
    <cellStyle name="Total 3 2 66" xfId="26414"/>
    <cellStyle name="Total 3 2 67" xfId="35174"/>
    <cellStyle name="Total 3 2 68" xfId="37730"/>
    <cellStyle name="Total 3 2 69" xfId="53885"/>
    <cellStyle name="Total 3 2 7" xfId="604"/>
    <cellStyle name="Total 3 2 7 2" xfId="8428"/>
    <cellStyle name="Total 3 2 7 3" xfId="11975"/>
    <cellStyle name="Total 3 2 7 4" xfId="19232"/>
    <cellStyle name="Total 3 2 7 5" xfId="27900"/>
    <cellStyle name="Total 3 2 7 6" xfId="37190"/>
    <cellStyle name="Total 3 2 7 7" xfId="47279"/>
    <cellStyle name="Total 3 2 8" xfId="615"/>
    <cellStyle name="Total 3 2 8 2" xfId="8439"/>
    <cellStyle name="Total 3 2 8 3" xfId="10985"/>
    <cellStyle name="Total 3 2 8 4" xfId="19425"/>
    <cellStyle name="Total 3 2 8 5" xfId="28302"/>
    <cellStyle name="Total 3 2 8 6" xfId="38189"/>
    <cellStyle name="Total 3 2 8 7" xfId="47010"/>
    <cellStyle name="Total 3 2 9" xfId="738"/>
    <cellStyle name="Total 3 2 9 2" xfId="8562"/>
    <cellStyle name="Total 3 2 9 3" xfId="15990"/>
    <cellStyle name="Total 3 2 9 4" xfId="20448"/>
    <cellStyle name="Total 3 2 9 5" xfId="27614"/>
    <cellStyle name="Total 3 2 9 6" xfId="37090"/>
    <cellStyle name="Total 3 2 9 7" xfId="47374"/>
    <cellStyle name="Total 3 20" xfId="3145"/>
    <cellStyle name="Total 3 20 2" xfId="10949"/>
    <cellStyle name="Total 3 20 3" xfId="20283"/>
    <cellStyle name="Total 3 20 4" xfId="28376"/>
    <cellStyle name="Total 3 20 5" xfId="37761"/>
    <cellStyle name="Total 3 20 6" xfId="42411"/>
    <cellStyle name="Total 3 20 7" xfId="47367"/>
    <cellStyle name="Total 3 21" xfId="3118"/>
    <cellStyle name="Total 3 21 2" xfId="10923"/>
    <cellStyle name="Total 3 21 3" xfId="20265"/>
    <cellStyle name="Total 3 21 4" xfId="28360"/>
    <cellStyle name="Total 3 21 5" xfId="37739"/>
    <cellStyle name="Total 3 21 6" xfId="42403"/>
    <cellStyle name="Total 3 21 7" xfId="48760"/>
    <cellStyle name="Total 3 22" xfId="4063"/>
    <cellStyle name="Total 3 22 2" xfId="11829"/>
    <cellStyle name="Total 3 22 3" xfId="20773"/>
    <cellStyle name="Total 3 22 4" xfId="28960"/>
    <cellStyle name="Total 3 22 5" xfId="38339"/>
    <cellStyle name="Total 3 22 6" xfId="42625"/>
    <cellStyle name="Total 3 22 7" xfId="50754"/>
    <cellStyle name="Total 3 23" xfId="5100"/>
    <cellStyle name="Total 3 23 2" xfId="12817"/>
    <cellStyle name="Total 3 23 3" xfId="21810"/>
    <cellStyle name="Total 3 23 4" xfId="29997"/>
    <cellStyle name="Total 3 23 5" xfId="39338"/>
    <cellStyle name="Total 3 23 6" xfId="43662"/>
    <cellStyle name="Total 3 23 7" xfId="50860"/>
    <cellStyle name="Total 3 24" xfId="5355"/>
    <cellStyle name="Total 3 24 2" xfId="13072"/>
    <cellStyle name="Total 3 24 3" xfId="22065"/>
    <cellStyle name="Total 3 24 4" xfId="30252"/>
    <cellStyle name="Total 3 24 5" xfId="39584"/>
    <cellStyle name="Total 3 24 6" xfId="43917"/>
    <cellStyle name="Total 3 24 7" xfId="47233"/>
    <cellStyle name="Total 3 25" xfId="5357"/>
    <cellStyle name="Total 3 25 2" xfId="13074"/>
    <cellStyle name="Total 3 25 3" xfId="22067"/>
    <cellStyle name="Total 3 25 4" xfId="30254"/>
    <cellStyle name="Total 3 25 5" xfId="39586"/>
    <cellStyle name="Total 3 25 6" xfId="43919"/>
    <cellStyle name="Total 3 25 7" xfId="50979"/>
    <cellStyle name="Total 3 26" xfId="5455"/>
    <cellStyle name="Total 3 26 2" xfId="13172"/>
    <cellStyle name="Total 3 26 3" xfId="22165"/>
    <cellStyle name="Total 3 26 4" xfId="30352"/>
    <cellStyle name="Total 3 26 5" xfId="39680"/>
    <cellStyle name="Total 3 26 6" xfId="44017"/>
    <cellStyle name="Total 3 26 7" xfId="53146"/>
    <cellStyle name="Total 3 27" xfId="6554"/>
    <cellStyle name="Total 3 27 2" xfId="14271"/>
    <cellStyle name="Total 3 27 3" xfId="23264"/>
    <cellStyle name="Total 3 27 4" xfId="31451"/>
    <cellStyle name="Total 3 27 5" xfId="40740"/>
    <cellStyle name="Total 3 27 6" xfId="45116"/>
    <cellStyle name="Total 3 27 7" xfId="53623"/>
    <cellStyle name="Total 3 28" xfId="5197"/>
    <cellStyle name="Total 3 28 2" xfId="12914"/>
    <cellStyle name="Total 3 28 3" xfId="21907"/>
    <cellStyle name="Total 3 28 4" xfId="30094"/>
    <cellStyle name="Total 3 28 5" xfId="39431"/>
    <cellStyle name="Total 3 28 6" xfId="43759"/>
    <cellStyle name="Total 3 28 7" xfId="49501"/>
    <cellStyle name="Total 3 29" xfId="7295"/>
    <cellStyle name="Total 3 29 2" xfId="15012"/>
    <cellStyle name="Total 3 29 3" xfId="24005"/>
    <cellStyle name="Total 3 29 4" xfId="32192"/>
    <cellStyle name="Total 3 29 5" xfId="41448"/>
    <cellStyle name="Total 3 29 6" xfId="45857"/>
    <cellStyle name="Total 3 29 7" xfId="47468"/>
    <cellStyle name="Total 3 3" xfId="517"/>
    <cellStyle name="Total 3 3 10" xfId="1964"/>
    <cellStyle name="Total 3 3 10 2" xfId="9787"/>
    <cellStyle name="Total 3 3 10 3" xfId="17215"/>
    <cellStyle name="Total 3 3 10 4" xfId="20273"/>
    <cellStyle name="Total 3 3 10 5" xfId="28826"/>
    <cellStyle name="Total 3 3 10 6" xfId="38900"/>
    <cellStyle name="Total 3 3 10 7" xfId="50258"/>
    <cellStyle name="Total 3 3 11" xfId="2082"/>
    <cellStyle name="Total 3 3 11 2" xfId="9905"/>
    <cellStyle name="Total 3 3 11 3" xfId="17333"/>
    <cellStyle name="Total 3 3 11 4" xfId="24887"/>
    <cellStyle name="Total 3 3 11 5" xfId="33201"/>
    <cellStyle name="Total 3 3 11 6" xfId="36862"/>
    <cellStyle name="Total 3 3 11 7" xfId="50533"/>
    <cellStyle name="Total 3 3 12" xfId="2195"/>
    <cellStyle name="Total 3 3 12 2" xfId="10018"/>
    <cellStyle name="Total 3 3 12 3" xfId="17446"/>
    <cellStyle name="Total 3 3 12 4" xfId="26237"/>
    <cellStyle name="Total 3 3 12 5" xfId="34927"/>
    <cellStyle name="Total 3 3 12 6" xfId="37997"/>
    <cellStyle name="Total 3 3 12 7" xfId="53501"/>
    <cellStyle name="Total 3 3 13" xfId="973"/>
    <cellStyle name="Total 3 3 13 2" xfId="8797"/>
    <cellStyle name="Total 3 3 13 3" xfId="16225"/>
    <cellStyle name="Total 3 3 13 4" xfId="26285"/>
    <cellStyle name="Total 3 3 13 5" xfId="34992"/>
    <cellStyle name="Total 3 3 13 6" xfId="36448"/>
    <cellStyle name="Total 3 3 13 7" xfId="53613"/>
    <cellStyle name="Total 3 3 14" xfId="1174"/>
    <cellStyle name="Total 3 3 14 2" xfId="8997"/>
    <cellStyle name="Total 3 3 14 3" xfId="16425"/>
    <cellStyle name="Total 3 3 14 4" xfId="20381"/>
    <cellStyle name="Total 3 3 14 5" xfId="27562"/>
    <cellStyle name="Total 3 3 14 6" xfId="37614"/>
    <cellStyle name="Total 3 3 14 7" xfId="48330"/>
    <cellStyle name="Total 3 3 15" xfId="2493"/>
    <cellStyle name="Total 3 3 15 2" xfId="10316"/>
    <cellStyle name="Total 3 3 15 3" xfId="17744"/>
    <cellStyle name="Total 3 3 15 4" xfId="25345"/>
    <cellStyle name="Total 3 3 15 5" xfId="33779"/>
    <cellStyle name="Total 3 3 15 6" xfId="37546"/>
    <cellStyle name="Total 3 3 15 7" xfId="51522"/>
    <cellStyle name="Total 3 3 16" xfId="2606"/>
    <cellStyle name="Total 3 3 16 2" xfId="10429"/>
    <cellStyle name="Total 3 3 16 3" xfId="17857"/>
    <cellStyle name="Total 3 3 16 4" xfId="19663"/>
    <cellStyle name="Total 3 3 16 5" xfId="26995"/>
    <cellStyle name="Total 3 3 16 6" xfId="36864"/>
    <cellStyle name="Total 3 3 16 7" xfId="48664"/>
    <cellStyle name="Total 3 3 17" xfId="2421"/>
    <cellStyle name="Total 3 3 17 2" xfId="10244"/>
    <cellStyle name="Total 3 3 17 3" xfId="17672"/>
    <cellStyle name="Total 3 3 17 4" xfId="25564"/>
    <cellStyle name="Total 3 3 17 5" xfId="34062"/>
    <cellStyle name="Total 3 3 17 6" xfId="37865"/>
    <cellStyle name="Total 3 3 17 7" xfId="52008"/>
    <cellStyle name="Total 3 3 18" xfId="2569"/>
    <cellStyle name="Total 3 3 18 2" xfId="10392"/>
    <cellStyle name="Total 3 3 18 3" xfId="17820"/>
    <cellStyle name="Total 3 3 18 4" xfId="25962"/>
    <cellStyle name="Total 3 3 18 5" xfId="34570"/>
    <cellStyle name="Total 3 3 18 6" xfId="38264"/>
    <cellStyle name="Total 3 3 18 7" xfId="52912"/>
    <cellStyle name="Total 3 3 19" xfId="2800"/>
    <cellStyle name="Total 3 3 19 2" xfId="10623"/>
    <cellStyle name="Total 3 3 19 3" xfId="18051"/>
    <cellStyle name="Total 3 3 19 4" xfId="25224"/>
    <cellStyle name="Total 3 3 19 5" xfId="33624"/>
    <cellStyle name="Total 3 3 19 6" xfId="37464"/>
    <cellStyle name="Total 3 3 19 7" xfId="51272"/>
    <cellStyle name="Total 3 3 2" xfId="668"/>
    <cellStyle name="Total 3 3 2 2" xfId="8492"/>
    <cellStyle name="Total 3 3 2 3" xfId="8268"/>
    <cellStyle name="Total 3 3 2 4" xfId="24883"/>
    <cellStyle name="Total 3 3 2 5" xfId="33197"/>
    <cellStyle name="Total 3 3 2 6" xfId="38092"/>
    <cellStyle name="Total 3 3 2 7" xfId="50524"/>
    <cellStyle name="Total 3 3 20" xfId="2907"/>
    <cellStyle name="Total 3 3 20 2" xfId="10730"/>
    <cellStyle name="Total 3 3 20 3" xfId="18158"/>
    <cellStyle name="Total 3 3 20 4" xfId="25511"/>
    <cellStyle name="Total 3 3 20 5" xfId="33989"/>
    <cellStyle name="Total 3 3 20 6" xfId="37332"/>
    <cellStyle name="Total 3 3 20 7" xfId="51895"/>
    <cellStyle name="Total 3 3 21" xfId="3283"/>
    <cellStyle name="Total 3 3 21 2" xfId="11076"/>
    <cellStyle name="Total 3 3 21 3" xfId="18405"/>
    <cellStyle name="Total 3 3 21 4" xfId="26332"/>
    <cellStyle name="Total 3 3 21 5" xfId="35056"/>
    <cellStyle name="Total 3 3 21 6" xfId="41339"/>
    <cellStyle name="Total 3 3 21 7" xfId="53702"/>
    <cellStyle name="Total 3 3 22" xfId="3403"/>
    <cellStyle name="Total 3 3 22 2" xfId="11194"/>
    <cellStyle name="Total 3 3 22 3" xfId="18516"/>
    <cellStyle name="Total 3 3 22 4" xfId="19093"/>
    <cellStyle name="Total 3 3 22 5" xfId="26804"/>
    <cellStyle name="Total 3 3 22 6" xfId="37237"/>
    <cellStyle name="Total 3 3 22 7" xfId="49864"/>
    <cellStyle name="Total 3 3 23" xfId="3004"/>
    <cellStyle name="Total 3 3 23 2" xfId="10823"/>
    <cellStyle name="Total 3 3 23 3" xfId="18246"/>
    <cellStyle name="Total 3 3 23 4" xfId="25827"/>
    <cellStyle name="Total 3 3 23 5" xfId="34410"/>
    <cellStyle name="Total 3 3 23 6" xfId="40319"/>
    <cellStyle name="Total 3 3 23 7" xfId="52622"/>
    <cellStyle name="Total 3 3 24" xfId="3673"/>
    <cellStyle name="Total 3 3 24 2" xfId="11458"/>
    <cellStyle name="Total 3 3 24 3" xfId="18731"/>
    <cellStyle name="Total 3 3 24 4" xfId="25655"/>
    <cellStyle name="Total 3 3 24 5" xfId="34177"/>
    <cellStyle name="Total 3 3 24 6" xfId="38813"/>
    <cellStyle name="Total 3 3 24 7" xfId="52210"/>
    <cellStyle name="Total 3 3 25" xfId="3804"/>
    <cellStyle name="Total 3 3 25 2" xfId="11586"/>
    <cellStyle name="Total 3 3 25 3" xfId="18843"/>
    <cellStyle name="Total 3 3 25 4" xfId="24809"/>
    <cellStyle name="Total 3 3 25 5" xfId="28144"/>
    <cellStyle name="Total 3 3 25 6" xfId="41691"/>
    <cellStyle name="Total 3 3 25 7" xfId="48167"/>
    <cellStyle name="Total 3 3 26" xfId="3921"/>
    <cellStyle name="Total 3 3 26 2" xfId="11701"/>
    <cellStyle name="Total 3 3 26 3" xfId="18952"/>
    <cellStyle name="Total 3 3 26 4" xfId="19160"/>
    <cellStyle name="Total 3 3 26 5" xfId="27769"/>
    <cellStyle name="Total 3 3 26 6" xfId="37191"/>
    <cellStyle name="Total 3 3 26 7" xfId="49242"/>
    <cellStyle name="Total 3 3 27" xfId="3581"/>
    <cellStyle name="Total 3 3 27 2" xfId="11370"/>
    <cellStyle name="Total 3 3 27 3" xfId="20537"/>
    <cellStyle name="Total 3 3 27 4" xfId="28662"/>
    <cellStyle name="Total 3 3 27 5" xfId="38045"/>
    <cellStyle name="Total 3 3 27 6" xfId="42517"/>
    <cellStyle name="Total 3 3 27 7" xfId="54180"/>
    <cellStyle name="Total 3 3 28" xfId="4118"/>
    <cellStyle name="Total 3 3 28 2" xfId="11878"/>
    <cellStyle name="Total 3 3 28 3" xfId="20828"/>
    <cellStyle name="Total 3 3 28 4" xfId="29015"/>
    <cellStyle name="Total 3 3 28 5" xfId="38392"/>
    <cellStyle name="Total 3 3 28 6" xfId="42680"/>
    <cellStyle name="Total 3 3 28 7" xfId="52747"/>
    <cellStyle name="Total 3 3 29" xfId="3097"/>
    <cellStyle name="Total 3 3 29 2" xfId="20256"/>
    <cellStyle name="Total 3 3 29 3" xfId="28346"/>
    <cellStyle name="Total 3 3 29 4" xfId="37725"/>
    <cellStyle name="Total 3 3 29 5" xfId="42399"/>
    <cellStyle name="Total 3 3 29 6" xfId="50596"/>
    <cellStyle name="Total 3 3 3" xfId="775"/>
    <cellStyle name="Total 3 3 3 2" xfId="8599"/>
    <cellStyle name="Total 3 3 3 3" xfId="16027"/>
    <cellStyle name="Total 3 3 3 4" xfId="25669"/>
    <cellStyle name="Total 3 3 3 5" xfId="34201"/>
    <cellStyle name="Total 3 3 3 6" xfId="38229"/>
    <cellStyle name="Total 3 3 3 7" xfId="52239"/>
    <cellStyle name="Total 3 3 30" xfId="4315"/>
    <cellStyle name="Total 3 3 30 2" xfId="12032"/>
    <cellStyle name="Total 3 3 30 3" xfId="21025"/>
    <cellStyle name="Total 3 3 30 4" xfId="29212"/>
    <cellStyle name="Total 3 3 30 5" xfId="38583"/>
    <cellStyle name="Total 3 3 30 6" xfId="42877"/>
    <cellStyle name="Total 3 3 30 7" xfId="47853"/>
    <cellStyle name="Total 3 3 31" xfId="4438"/>
    <cellStyle name="Total 3 3 31 2" xfId="12155"/>
    <cellStyle name="Total 3 3 31 3" xfId="21148"/>
    <cellStyle name="Total 3 3 31 4" xfId="29335"/>
    <cellStyle name="Total 3 3 31 5" xfId="38701"/>
    <cellStyle name="Total 3 3 31 6" xfId="43000"/>
    <cellStyle name="Total 3 3 31 7" xfId="51446"/>
    <cellStyle name="Total 3 3 32" xfId="4552"/>
    <cellStyle name="Total 3 3 32 2" xfId="12269"/>
    <cellStyle name="Total 3 3 32 3" xfId="21262"/>
    <cellStyle name="Total 3 3 32 4" xfId="29449"/>
    <cellStyle name="Total 3 3 32 5" xfId="38810"/>
    <cellStyle name="Total 3 3 32 6" xfId="43114"/>
    <cellStyle name="Total 3 3 32 7" xfId="48244"/>
    <cellStyle name="Total 3 3 33" xfId="4665"/>
    <cellStyle name="Total 3 3 33 2" xfId="12382"/>
    <cellStyle name="Total 3 3 33 3" xfId="21375"/>
    <cellStyle name="Total 3 3 33 4" xfId="29562"/>
    <cellStyle name="Total 3 3 33 5" xfId="38919"/>
    <cellStyle name="Total 3 3 33 6" xfId="43227"/>
    <cellStyle name="Total 3 3 33 7" xfId="49697"/>
    <cellStyle name="Total 3 3 34" xfId="4777"/>
    <cellStyle name="Total 3 3 34 2" xfId="12494"/>
    <cellStyle name="Total 3 3 34 3" xfId="21487"/>
    <cellStyle name="Total 3 3 34 4" xfId="29674"/>
    <cellStyle name="Total 3 3 34 5" xfId="39028"/>
    <cellStyle name="Total 3 3 34 6" xfId="43339"/>
    <cellStyle name="Total 3 3 34 7" xfId="54228"/>
    <cellStyle name="Total 3 3 35" xfId="4885"/>
    <cellStyle name="Total 3 3 35 2" xfId="12602"/>
    <cellStyle name="Total 3 3 35 3" xfId="21595"/>
    <cellStyle name="Total 3 3 35 4" xfId="29782"/>
    <cellStyle name="Total 3 3 35 5" xfId="39131"/>
    <cellStyle name="Total 3 3 35 6" xfId="43447"/>
    <cellStyle name="Total 3 3 35 7" xfId="50503"/>
    <cellStyle name="Total 3 3 36" xfId="4997"/>
    <cellStyle name="Total 3 3 36 2" xfId="12714"/>
    <cellStyle name="Total 3 3 36 3" xfId="21707"/>
    <cellStyle name="Total 3 3 36 4" xfId="29894"/>
    <cellStyle name="Total 3 3 36 5" xfId="39240"/>
    <cellStyle name="Total 3 3 36 6" xfId="43559"/>
    <cellStyle name="Total 3 3 36 7" xfId="54382"/>
    <cellStyle name="Total 3 3 37" xfId="5114"/>
    <cellStyle name="Total 3 3 37 2" xfId="12831"/>
    <cellStyle name="Total 3 3 37 3" xfId="21824"/>
    <cellStyle name="Total 3 3 37 4" xfId="30011"/>
    <cellStyle name="Total 3 3 37 5" xfId="39352"/>
    <cellStyle name="Total 3 3 37 6" xfId="43676"/>
    <cellStyle name="Total 3 3 37 7" xfId="49422"/>
    <cellStyle name="Total 3 3 38" xfId="5495"/>
    <cellStyle name="Total 3 3 38 2" xfId="13212"/>
    <cellStyle name="Total 3 3 38 3" xfId="22205"/>
    <cellStyle name="Total 3 3 38 4" xfId="30392"/>
    <cellStyle name="Total 3 3 38 5" xfId="39717"/>
    <cellStyle name="Total 3 3 38 6" xfId="44057"/>
    <cellStyle name="Total 3 3 38 7" xfId="49150"/>
    <cellStyle name="Total 3 3 39" xfId="5620"/>
    <cellStyle name="Total 3 3 39 2" xfId="13337"/>
    <cellStyle name="Total 3 3 39 3" xfId="22330"/>
    <cellStyle name="Total 3 3 39 4" xfId="30517"/>
    <cellStyle name="Total 3 3 39 5" xfId="39838"/>
    <cellStyle name="Total 3 3 39 6" xfId="44182"/>
    <cellStyle name="Total 3 3 39 7" xfId="47127"/>
    <cellStyle name="Total 3 3 4" xfId="887"/>
    <cellStyle name="Total 3 3 4 2" xfId="8711"/>
    <cellStyle name="Total 3 3 4 3" xfId="16139"/>
    <cellStyle name="Total 3 3 4 4" xfId="26533"/>
    <cellStyle name="Total 3 3 4 5" xfId="35333"/>
    <cellStyle name="Total 3 3 4 6" xfId="38111"/>
    <cellStyle name="Total 3 3 4 7" xfId="54140"/>
    <cellStyle name="Total 3 3 40" xfId="5735"/>
    <cellStyle name="Total 3 3 40 2" xfId="13452"/>
    <cellStyle name="Total 3 3 40 3" xfId="22445"/>
    <cellStyle name="Total 3 3 40 4" xfId="30632"/>
    <cellStyle name="Total 3 3 40 5" xfId="39949"/>
    <cellStyle name="Total 3 3 40 6" xfId="44297"/>
    <cellStyle name="Total 3 3 40 7" xfId="53819"/>
    <cellStyle name="Total 3 3 41" xfId="5852"/>
    <cellStyle name="Total 3 3 41 2" xfId="13569"/>
    <cellStyle name="Total 3 3 41 3" xfId="22562"/>
    <cellStyle name="Total 3 3 41 4" xfId="30749"/>
    <cellStyle name="Total 3 3 41 5" xfId="40063"/>
    <cellStyle name="Total 3 3 41 6" xfId="44414"/>
    <cellStyle name="Total 3 3 41 7" xfId="48155"/>
    <cellStyle name="Total 3 3 42" xfId="5980"/>
    <cellStyle name="Total 3 3 42 2" xfId="13697"/>
    <cellStyle name="Total 3 3 42 3" xfId="22690"/>
    <cellStyle name="Total 3 3 42 4" xfId="30877"/>
    <cellStyle name="Total 3 3 42 5" xfId="40186"/>
    <cellStyle name="Total 3 3 42 6" xfId="44542"/>
    <cellStyle name="Total 3 3 42 7" xfId="49187"/>
    <cellStyle name="Total 3 3 43" xfId="5339"/>
    <cellStyle name="Total 3 3 43 2" xfId="13056"/>
    <cellStyle name="Total 3 3 43 3" xfId="22049"/>
    <cellStyle name="Total 3 3 43 4" xfId="30236"/>
    <cellStyle name="Total 3 3 43 5" xfId="39569"/>
    <cellStyle name="Total 3 3 43 6" xfId="43901"/>
    <cellStyle name="Total 3 3 43 7" xfId="50159"/>
    <cellStyle name="Total 3 3 44" xfId="6236"/>
    <cellStyle name="Total 3 3 44 2" xfId="13953"/>
    <cellStyle name="Total 3 3 44 3" xfId="22946"/>
    <cellStyle name="Total 3 3 44 4" xfId="31133"/>
    <cellStyle name="Total 3 3 44 5" xfId="40434"/>
    <cellStyle name="Total 3 3 44 6" xfId="44798"/>
    <cellStyle name="Total 3 3 44 7" xfId="51872"/>
    <cellStyle name="Total 3 3 45" xfId="6353"/>
    <cellStyle name="Total 3 3 45 2" xfId="14070"/>
    <cellStyle name="Total 3 3 45 3" xfId="23063"/>
    <cellStyle name="Total 3 3 45 4" xfId="31250"/>
    <cellStyle name="Total 3 3 45 5" xfId="40548"/>
    <cellStyle name="Total 3 3 45 6" xfId="44915"/>
    <cellStyle name="Total 3 3 45 7" xfId="48565"/>
    <cellStyle name="Total 3 3 46" xfId="6463"/>
    <cellStyle name="Total 3 3 46 2" xfId="14180"/>
    <cellStyle name="Total 3 3 46 3" xfId="23173"/>
    <cellStyle name="Total 3 3 46 4" xfId="31360"/>
    <cellStyle name="Total 3 3 46 5" xfId="40654"/>
    <cellStyle name="Total 3 3 46 6" xfId="45025"/>
    <cellStyle name="Total 3 3 46 7" xfId="47396"/>
    <cellStyle name="Total 3 3 47" xfId="5085"/>
    <cellStyle name="Total 3 3 47 2" xfId="12802"/>
    <cellStyle name="Total 3 3 47 3" xfId="21795"/>
    <cellStyle name="Total 3 3 47 4" xfId="29982"/>
    <cellStyle name="Total 3 3 47 5" xfId="39325"/>
    <cellStyle name="Total 3 3 47 6" xfId="43647"/>
    <cellStyle name="Total 3 3 47 7" xfId="51680"/>
    <cellStyle name="Total 3 3 48" xfId="6610"/>
    <cellStyle name="Total 3 3 48 2" xfId="14327"/>
    <cellStyle name="Total 3 3 48 3" xfId="23320"/>
    <cellStyle name="Total 3 3 48 4" xfId="31507"/>
    <cellStyle name="Total 3 3 48 5" xfId="40794"/>
    <cellStyle name="Total 3 3 48 6" xfId="45172"/>
    <cellStyle name="Total 3 3 48 7" xfId="49915"/>
    <cellStyle name="Total 3 3 49" xfId="6721"/>
    <cellStyle name="Total 3 3 49 2" xfId="14438"/>
    <cellStyle name="Total 3 3 49 3" xfId="23431"/>
    <cellStyle name="Total 3 3 49 4" xfId="31618"/>
    <cellStyle name="Total 3 3 49 5" xfId="40899"/>
    <cellStyle name="Total 3 3 49 6" xfId="45283"/>
    <cellStyle name="Total 3 3 49 7" xfId="53011"/>
    <cellStyle name="Total 3 3 5" xfId="1352"/>
    <cellStyle name="Total 3 3 5 2" xfId="9175"/>
    <cellStyle name="Total 3 3 5 3" xfId="16603"/>
    <cellStyle name="Total 3 3 5 4" xfId="19750"/>
    <cellStyle name="Total 3 3 5 5" xfId="28732"/>
    <cellStyle name="Total 3 3 5 6" xfId="41546"/>
    <cellStyle name="Total 3 3 5 7" xfId="48698"/>
    <cellStyle name="Total 3 3 50" xfId="6836"/>
    <cellStyle name="Total 3 3 50 2" xfId="14553"/>
    <cellStyle name="Total 3 3 50 3" xfId="23546"/>
    <cellStyle name="Total 3 3 50 4" xfId="31733"/>
    <cellStyle name="Total 3 3 50 5" xfId="41007"/>
    <cellStyle name="Total 3 3 50 6" xfId="45398"/>
    <cellStyle name="Total 3 3 50 7" xfId="47798"/>
    <cellStyle name="Total 3 3 51" xfId="6949"/>
    <cellStyle name="Total 3 3 51 2" xfId="14666"/>
    <cellStyle name="Total 3 3 51 3" xfId="23659"/>
    <cellStyle name="Total 3 3 51 4" xfId="31846"/>
    <cellStyle name="Total 3 3 51 5" xfId="41115"/>
    <cellStyle name="Total 3 3 51 6" xfId="45511"/>
    <cellStyle name="Total 3 3 51 7" xfId="46804"/>
    <cellStyle name="Total 3 3 52" xfId="7061"/>
    <cellStyle name="Total 3 3 52 2" xfId="14778"/>
    <cellStyle name="Total 3 3 52 3" xfId="23771"/>
    <cellStyle name="Total 3 3 52 4" xfId="31958"/>
    <cellStyle name="Total 3 3 52 5" xfId="41221"/>
    <cellStyle name="Total 3 3 52 6" xfId="45623"/>
    <cellStyle name="Total 3 3 52 7" xfId="48073"/>
    <cellStyle name="Total 3 3 53" xfId="7337"/>
    <cellStyle name="Total 3 3 53 2" xfId="15054"/>
    <cellStyle name="Total 3 3 53 3" xfId="24047"/>
    <cellStyle name="Total 3 3 53 4" xfId="32234"/>
    <cellStyle name="Total 3 3 53 5" xfId="41490"/>
    <cellStyle name="Total 3 3 53 6" xfId="45899"/>
    <cellStyle name="Total 3 3 53 7" xfId="52841"/>
    <cellStyle name="Total 3 3 54" xfId="7302"/>
    <cellStyle name="Total 3 3 54 2" xfId="15019"/>
    <cellStyle name="Total 3 3 54 3" xfId="24012"/>
    <cellStyle name="Total 3 3 54 4" xfId="32199"/>
    <cellStyle name="Total 3 3 54 5" xfId="41455"/>
    <cellStyle name="Total 3 3 54 6" xfId="45864"/>
    <cellStyle name="Total 3 3 54 7" xfId="48260"/>
    <cellStyle name="Total 3 3 55" xfId="7458"/>
    <cellStyle name="Total 3 3 55 2" xfId="15175"/>
    <cellStyle name="Total 3 3 55 3" xfId="24168"/>
    <cellStyle name="Total 3 3 55 4" xfId="32355"/>
    <cellStyle name="Total 3 3 55 5" xfId="41604"/>
    <cellStyle name="Total 3 3 55 6" xfId="46020"/>
    <cellStyle name="Total 3 3 55 7" xfId="48432"/>
    <cellStyle name="Total 3 3 56" xfId="7579"/>
    <cellStyle name="Total 3 3 56 2" xfId="15296"/>
    <cellStyle name="Total 3 3 56 3" xfId="24289"/>
    <cellStyle name="Total 3 3 56 4" xfId="32476"/>
    <cellStyle name="Total 3 3 56 5" xfId="41719"/>
    <cellStyle name="Total 3 3 56 6" xfId="46141"/>
    <cellStyle name="Total 3 3 56 7" xfId="49245"/>
    <cellStyle name="Total 3 3 57" xfId="7855"/>
    <cellStyle name="Total 3 3 57 2" xfId="15572"/>
    <cellStyle name="Total 3 3 57 3" xfId="24559"/>
    <cellStyle name="Total 3 3 57 4" xfId="32752"/>
    <cellStyle name="Total 3 3 57 5" xfId="41984"/>
    <cellStyle name="Total 3 3 57 6" xfId="46417"/>
    <cellStyle name="Total 3 3 57 7" xfId="50547"/>
    <cellStyle name="Total 3 3 58" xfId="7975"/>
    <cellStyle name="Total 3 3 58 2" xfId="15692"/>
    <cellStyle name="Total 3 3 58 3" xfId="24677"/>
    <cellStyle name="Total 3 3 58 4" xfId="32872"/>
    <cellStyle name="Total 3 3 58 5" xfId="42099"/>
    <cellStyle name="Total 3 3 58 6" xfId="46537"/>
    <cellStyle name="Total 3 3 58 7" xfId="52675"/>
    <cellStyle name="Total 3 3 59" xfId="8067"/>
    <cellStyle name="Total 3 3 59 2" xfId="15784"/>
    <cellStyle name="Total 3 3 59 3" xfId="24769"/>
    <cellStyle name="Total 3 3 59 4" xfId="32964"/>
    <cellStyle name="Total 3 3 59 5" xfId="42188"/>
    <cellStyle name="Total 3 3 59 6" xfId="46629"/>
    <cellStyle name="Total 3 3 59 7" xfId="50217"/>
    <cellStyle name="Total 3 3 6" xfId="1475"/>
    <cellStyle name="Total 3 3 6 2" xfId="9298"/>
    <cellStyle name="Total 3 3 6 3" xfId="16726"/>
    <cellStyle name="Total 3 3 6 4" xfId="26342"/>
    <cellStyle name="Total 3 3 6 5" xfId="35068"/>
    <cellStyle name="Total 3 3 6 6" xfId="37079"/>
    <cellStyle name="Total 3 3 6 7" xfId="53722"/>
    <cellStyle name="Total 3 3 60" xfId="8131"/>
    <cellStyle name="Total 3 3 60 2" xfId="15848"/>
    <cellStyle name="Total 3 3 60 3" xfId="33028"/>
    <cellStyle name="Total 3 3 60 4" xfId="42248"/>
    <cellStyle name="Total 3 3 60 5" xfId="46693"/>
    <cellStyle name="Total 3 3 60 6" xfId="47517"/>
    <cellStyle name="Total 3 3 61" xfId="20618"/>
    <cellStyle name="Total 3 3 62" xfId="26779"/>
    <cellStyle name="Total 3 3 63" xfId="37295"/>
    <cellStyle name="Total 3 3 64" xfId="50364"/>
    <cellStyle name="Total 3 3 7" xfId="1164"/>
    <cellStyle name="Total 3 3 7 2" xfId="8987"/>
    <cellStyle name="Total 3 3 7 3" xfId="16415"/>
    <cellStyle name="Total 3 3 7 4" xfId="19453"/>
    <cellStyle name="Total 3 3 7 5" xfId="27635"/>
    <cellStyle name="Total 3 3 7 6" xfId="36485"/>
    <cellStyle name="Total 3 3 7 7" xfId="49673"/>
    <cellStyle name="Total 3 3 8" xfId="1712"/>
    <cellStyle name="Total 3 3 8 2" xfId="9535"/>
    <cellStyle name="Total 3 3 8 3" xfId="16963"/>
    <cellStyle name="Total 3 3 8 4" xfId="26076"/>
    <cellStyle name="Total 3 3 8 5" xfId="34722"/>
    <cellStyle name="Total 3 3 8 6" xfId="37381"/>
    <cellStyle name="Total 3 3 8 7" xfId="53161"/>
    <cellStyle name="Total 3 3 9" xfId="1846"/>
    <cellStyle name="Total 3 3 9 2" xfId="9669"/>
    <cellStyle name="Total 3 3 9 3" xfId="17097"/>
    <cellStyle name="Total 3 3 9 4" xfId="26274"/>
    <cellStyle name="Total 3 3 9 5" xfId="34975"/>
    <cellStyle name="Total 3 3 9 6" xfId="36360"/>
    <cellStyle name="Total 3 3 9 7" xfId="53585"/>
    <cellStyle name="Total 3 30" xfId="7212"/>
    <cellStyle name="Total 3 30 2" xfId="14929"/>
    <cellStyle name="Total 3 30 3" xfId="23922"/>
    <cellStyle name="Total 3 30 4" xfId="32109"/>
    <cellStyle name="Total 3 30 5" xfId="41369"/>
    <cellStyle name="Total 3 30 6" xfId="45774"/>
    <cellStyle name="Total 3 30 7" xfId="49618"/>
    <cellStyle name="Total 3 31" xfId="7385"/>
    <cellStyle name="Total 3 31 2" xfId="15102"/>
    <cellStyle name="Total 3 31 3" xfId="24095"/>
    <cellStyle name="Total 3 31 4" xfId="32282"/>
    <cellStyle name="Total 3 31 5" xfId="41538"/>
    <cellStyle name="Total 3 31 6" xfId="45947"/>
    <cellStyle name="Total 3 31 7" xfId="50787"/>
    <cellStyle name="Total 3 32" xfId="7752"/>
    <cellStyle name="Total 3 32 2" xfId="15469"/>
    <cellStyle name="Total 3 32 3" xfId="24460"/>
    <cellStyle name="Total 3 32 4" xfId="32649"/>
    <cellStyle name="Total 3 32 5" xfId="41885"/>
    <cellStyle name="Total 3 32 6" xfId="46314"/>
    <cellStyle name="Total 3 32 7" xfId="53004"/>
    <cellStyle name="Total 3 33" xfId="20374"/>
    <cellStyle name="Total 3 34" xfId="28870"/>
    <cellStyle name="Total 3 35" xfId="36362"/>
    <cellStyle name="Total 3 36" xfId="47477"/>
    <cellStyle name="Total 3 4" xfId="490"/>
    <cellStyle name="Total 3 4 10" xfId="1937"/>
    <cellStyle name="Total 3 4 10 2" xfId="9760"/>
    <cellStyle name="Total 3 4 10 3" xfId="17188"/>
    <cellStyle name="Total 3 4 10 4" xfId="26065"/>
    <cellStyle name="Total 3 4 10 5" xfId="34709"/>
    <cellStyle name="Total 3 4 10 6" xfId="41966"/>
    <cellStyle name="Total 3 4 10 7" xfId="53132"/>
    <cellStyle name="Total 3 4 11" xfId="2055"/>
    <cellStyle name="Total 3 4 11 2" xfId="9878"/>
    <cellStyle name="Total 3 4 11 3" xfId="17306"/>
    <cellStyle name="Total 3 4 11 4" xfId="26133"/>
    <cellStyle name="Total 3 4 11 5" xfId="34795"/>
    <cellStyle name="Total 3 4 11 6" xfId="37320"/>
    <cellStyle name="Total 3 4 11 7" xfId="53276"/>
    <cellStyle name="Total 3 4 12" xfId="2168"/>
    <cellStyle name="Total 3 4 12 2" xfId="9991"/>
    <cellStyle name="Total 3 4 12 3" xfId="17419"/>
    <cellStyle name="Total 3 4 12 4" xfId="25448"/>
    <cellStyle name="Total 3 4 12 5" xfId="33908"/>
    <cellStyle name="Total 3 4 12 6" xfId="40645"/>
    <cellStyle name="Total 3 4 12 7" xfId="51745"/>
    <cellStyle name="Total 3 4 13" xfId="1113"/>
    <cellStyle name="Total 3 4 13 2" xfId="8937"/>
    <cellStyle name="Total 3 4 13 3" xfId="16365"/>
    <cellStyle name="Total 3 4 13 4" xfId="26316"/>
    <cellStyle name="Total 3 4 13 5" xfId="35038"/>
    <cellStyle name="Total 3 4 13 6" xfId="37760"/>
    <cellStyle name="Total 3 4 13 7" xfId="53677"/>
    <cellStyle name="Total 3 4 14" xfId="1161"/>
    <cellStyle name="Total 3 4 14 2" xfId="8984"/>
    <cellStyle name="Total 3 4 14 3" xfId="16412"/>
    <cellStyle name="Total 3 4 14 4" xfId="20229"/>
    <cellStyle name="Total 3 4 14 5" xfId="27141"/>
    <cellStyle name="Total 3 4 14 6" xfId="38732"/>
    <cellStyle name="Total 3 4 14 7" xfId="47245"/>
    <cellStyle name="Total 3 4 15" xfId="2466"/>
    <cellStyle name="Total 3 4 15 2" xfId="10289"/>
    <cellStyle name="Total 3 4 15 3" xfId="17717"/>
    <cellStyle name="Total 3 4 15 4" xfId="26686"/>
    <cellStyle name="Total 3 4 15 5" xfId="35536"/>
    <cellStyle name="Total 3 4 15 6" xfId="40195"/>
    <cellStyle name="Total 3 4 15 7" xfId="54464"/>
    <cellStyle name="Total 3 4 16" xfId="2579"/>
    <cellStyle name="Total 3 4 16 2" xfId="10402"/>
    <cellStyle name="Total 3 4 16 3" xfId="17830"/>
    <cellStyle name="Total 3 4 16 4" xfId="25560"/>
    <cellStyle name="Total 3 4 16 5" xfId="34056"/>
    <cellStyle name="Total 3 4 16 6" xfId="36692"/>
    <cellStyle name="Total 3 4 16 7" xfId="52000"/>
    <cellStyle name="Total 3 4 17" xfId="2406"/>
    <cellStyle name="Total 3 4 17 2" xfId="10229"/>
    <cellStyle name="Total 3 4 17 3" xfId="17657"/>
    <cellStyle name="Total 3 4 17 4" xfId="26177"/>
    <cellStyle name="Total 3 4 17 5" xfId="34849"/>
    <cellStyle name="Total 3 4 17 6" xfId="39033"/>
    <cellStyle name="Total 3 4 17 7" xfId="53375"/>
    <cellStyle name="Total 3 4 18" xfId="1583"/>
    <cellStyle name="Total 3 4 18 2" xfId="9406"/>
    <cellStyle name="Total 3 4 18 3" xfId="16834"/>
    <cellStyle name="Total 3 4 18 4" xfId="25596"/>
    <cellStyle name="Total 3 4 18 5" xfId="34106"/>
    <cellStyle name="Total 3 4 18 6" xfId="40021"/>
    <cellStyle name="Total 3 4 18 7" xfId="52085"/>
    <cellStyle name="Total 3 4 19" xfId="2773"/>
    <cellStyle name="Total 3 4 19 2" xfId="10596"/>
    <cellStyle name="Total 3 4 19 3" xfId="18024"/>
    <cellStyle name="Total 3 4 19 4" xfId="24831"/>
    <cellStyle name="Total 3 4 19 5" xfId="27919"/>
    <cellStyle name="Total 3 4 19 6" xfId="39875"/>
    <cellStyle name="Total 3 4 19 7" xfId="48141"/>
    <cellStyle name="Total 3 4 2" xfId="641"/>
    <cellStyle name="Total 3 4 2 2" xfId="8465"/>
    <cellStyle name="Total 3 4 2 3" xfId="8293"/>
    <cellStyle name="Total 3 4 2 4" xfId="26318"/>
    <cellStyle name="Total 3 4 2 5" xfId="35041"/>
    <cellStyle name="Total 3 4 2 6" xfId="38202"/>
    <cellStyle name="Total 3 4 2 7" xfId="53682"/>
    <cellStyle name="Total 3 4 20" xfId="2880"/>
    <cellStyle name="Total 3 4 20 2" xfId="10703"/>
    <cellStyle name="Total 3 4 20 3" xfId="18131"/>
    <cellStyle name="Total 3 4 20 4" xfId="24937"/>
    <cellStyle name="Total 3 4 20 5" xfId="33272"/>
    <cellStyle name="Total 3 4 20 6" xfId="36343"/>
    <cellStyle name="Total 3 4 20 7" xfId="50654"/>
    <cellStyle name="Total 3 4 21" xfId="3256"/>
    <cellStyle name="Total 3 4 21 2" xfId="11049"/>
    <cellStyle name="Total 3 4 21 3" xfId="18378"/>
    <cellStyle name="Total 3 4 21 4" xfId="19608"/>
    <cellStyle name="Total 3 4 21 5" xfId="28837"/>
    <cellStyle name="Total 3 4 21 6" xfId="36565"/>
    <cellStyle name="Total 3 4 21 7" xfId="50156"/>
    <cellStyle name="Total 3 4 22" xfId="3376"/>
    <cellStyle name="Total 3 4 22 2" xfId="11167"/>
    <cellStyle name="Total 3 4 22 3" xfId="18489"/>
    <cellStyle name="Total 3 4 22 4" xfId="25838"/>
    <cellStyle name="Total 3 4 22 5" xfId="34423"/>
    <cellStyle name="Total 3 4 22 6" xfId="39278"/>
    <cellStyle name="Total 3 4 22 7" xfId="52649"/>
    <cellStyle name="Total 3 4 23" xfId="3541"/>
    <cellStyle name="Total 3 4 23 2" xfId="11330"/>
    <cellStyle name="Total 3 4 23 3" xfId="18620"/>
    <cellStyle name="Total 3 4 23 4" xfId="24974"/>
    <cellStyle name="Total 3 4 23 5" xfId="33316"/>
    <cellStyle name="Total 3 4 23 6" xfId="38867"/>
    <cellStyle name="Total 3 4 23 7" xfId="50729"/>
    <cellStyle name="Total 3 4 24" xfId="3646"/>
    <cellStyle name="Total 3 4 24 2" xfId="11431"/>
    <cellStyle name="Total 3 4 24 3" xfId="18704"/>
    <cellStyle name="Total 3 4 24 4" xfId="20587"/>
    <cellStyle name="Total 3 4 24 5" xfId="27745"/>
    <cellStyle name="Total 3 4 24 6" xfId="41722"/>
    <cellStyle name="Total 3 4 24 7" xfId="48531"/>
    <cellStyle name="Total 3 4 25" xfId="3777"/>
    <cellStyle name="Total 3 4 25 2" xfId="11559"/>
    <cellStyle name="Total 3 4 25 3" xfId="18816"/>
    <cellStyle name="Total 3 4 25 4" xfId="19065"/>
    <cellStyle name="Total 3 4 25 5" xfId="33162"/>
    <cellStyle name="Total 3 4 25 6" xfId="37428"/>
    <cellStyle name="Total 3 4 25 7" xfId="50458"/>
    <cellStyle name="Total 3 4 26" xfId="3894"/>
    <cellStyle name="Total 3 4 26 2" xfId="11674"/>
    <cellStyle name="Total 3 4 26 3" xfId="18925"/>
    <cellStyle name="Total 3 4 26 4" xfId="25603"/>
    <cellStyle name="Total 3 4 26 5" xfId="34113"/>
    <cellStyle name="Total 3 4 26 6" xfId="40038"/>
    <cellStyle name="Total 3 4 26 7" xfId="52094"/>
    <cellStyle name="Total 3 4 27" xfId="3238"/>
    <cellStyle name="Total 3 4 27 2" xfId="11031"/>
    <cellStyle name="Total 3 4 27 3" xfId="20357"/>
    <cellStyle name="Total 3 4 27 4" xfId="28445"/>
    <cellStyle name="Total 3 4 27 5" xfId="37837"/>
    <cellStyle name="Total 3 4 27 6" xfId="42460"/>
    <cellStyle name="Total 3 4 27 7" xfId="47657"/>
    <cellStyle name="Total 3 4 28" xfId="4091"/>
    <cellStyle name="Total 3 4 28 2" xfId="11851"/>
    <cellStyle name="Total 3 4 28 3" xfId="20801"/>
    <cellStyle name="Total 3 4 28 4" xfId="28988"/>
    <cellStyle name="Total 3 4 28 5" xfId="38367"/>
    <cellStyle name="Total 3 4 28 6" xfId="42653"/>
    <cellStyle name="Total 3 4 28 7" xfId="51817"/>
    <cellStyle name="Total 3 4 29" xfId="3364"/>
    <cellStyle name="Total 3 4 29 2" xfId="20413"/>
    <cellStyle name="Total 3 4 29 3" xfId="28520"/>
    <cellStyle name="Total 3 4 29 4" xfId="37906"/>
    <cellStyle name="Total 3 4 29 5" xfId="42470"/>
    <cellStyle name="Total 3 4 29 6" xfId="53791"/>
    <cellStyle name="Total 3 4 3" xfId="748"/>
    <cellStyle name="Total 3 4 3 2" xfId="8572"/>
    <cellStyle name="Total 3 4 3 3" xfId="16000"/>
    <cellStyle name="Total 3 4 3 4" xfId="20294"/>
    <cellStyle name="Total 3 4 3 5" xfId="28569"/>
    <cellStyle name="Total 3 4 3 6" xfId="38194"/>
    <cellStyle name="Total 3 4 3 7" xfId="48596"/>
    <cellStyle name="Total 3 4 30" xfId="4288"/>
    <cellStyle name="Total 3 4 30 2" xfId="12005"/>
    <cellStyle name="Total 3 4 30 3" xfId="20998"/>
    <cellStyle name="Total 3 4 30 4" xfId="29185"/>
    <cellStyle name="Total 3 4 30 5" xfId="38558"/>
    <cellStyle name="Total 3 4 30 6" xfId="42850"/>
    <cellStyle name="Total 3 4 30 7" xfId="50277"/>
    <cellStyle name="Total 3 4 31" xfId="4411"/>
    <cellStyle name="Total 3 4 31 2" xfId="12128"/>
    <cellStyle name="Total 3 4 31 3" xfId="21121"/>
    <cellStyle name="Total 3 4 31 4" xfId="29308"/>
    <cellStyle name="Total 3 4 31 5" xfId="38678"/>
    <cellStyle name="Total 3 4 31 6" xfId="42973"/>
    <cellStyle name="Total 3 4 31 7" xfId="54011"/>
    <cellStyle name="Total 3 4 32" xfId="4525"/>
    <cellStyle name="Total 3 4 32 2" xfId="12242"/>
    <cellStyle name="Total 3 4 32 3" xfId="21235"/>
    <cellStyle name="Total 3 4 32 4" xfId="29422"/>
    <cellStyle name="Total 3 4 32 5" xfId="38786"/>
    <cellStyle name="Total 3 4 32 6" xfId="43087"/>
    <cellStyle name="Total 3 4 32 7" xfId="49004"/>
    <cellStyle name="Total 3 4 33" xfId="4638"/>
    <cellStyle name="Total 3 4 33 2" xfId="12355"/>
    <cellStyle name="Total 3 4 33 3" xfId="21348"/>
    <cellStyle name="Total 3 4 33 4" xfId="29535"/>
    <cellStyle name="Total 3 4 33 5" xfId="38894"/>
    <cellStyle name="Total 3 4 33 6" xfId="43200"/>
    <cellStyle name="Total 3 4 33 7" xfId="53208"/>
    <cellStyle name="Total 3 4 34" xfId="4750"/>
    <cellStyle name="Total 3 4 34 2" xfId="12467"/>
    <cellStyle name="Total 3 4 34 3" xfId="21460"/>
    <cellStyle name="Total 3 4 34 4" xfId="29647"/>
    <cellStyle name="Total 3 4 34 5" xfId="39002"/>
    <cellStyle name="Total 3 4 34 6" xfId="43312"/>
    <cellStyle name="Total 3 4 34 7" xfId="48274"/>
    <cellStyle name="Total 3 4 35" xfId="4858"/>
    <cellStyle name="Total 3 4 35 2" xfId="12575"/>
    <cellStyle name="Total 3 4 35 3" xfId="21568"/>
    <cellStyle name="Total 3 4 35 4" xfId="29755"/>
    <cellStyle name="Total 3 4 35 5" xfId="39106"/>
    <cellStyle name="Total 3 4 35 6" xfId="43420"/>
    <cellStyle name="Total 3 4 35 7" xfId="53141"/>
    <cellStyle name="Total 3 4 36" xfId="4970"/>
    <cellStyle name="Total 3 4 36 2" xfId="12687"/>
    <cellStyle name="Total 3 4 36 3" xfId="21680"/>
    <cellStyle name="Total 3 4 36 4" xfId="29867"/>
    <cellStyle name="Total 3 4 36 5" xfId="39214"/>
    <cellStyle name="Total 3 4 36 6" xfId="43532"/>
    <cellStyle name="Total 3 4 36 7" xfId="47561"/>
    <cellStyle name="Total 3 4 37" xfId="5143"/>
    <cellStyle name="Total 3 4 37 2" xfId="12860"/>
    <cellStyle name="Total 3 4 37 3" xfId="21853"/>
    <cellStyle name="Total 3 4 37 4" xfId="30040"/>
    <cellStyle name="Total 3 4 37 5" xfId="39379"/>
    <cellStyle name="Total 3 4 37 6" xfId="43705"/>
    <cellStyle name="Total 3 4 37 7" xfId="53887"/>
    <cellStyle name="Total 3 4 38" xfId="5468"/>
    <cellStyle name="Total 3 4 38 2" xfId="13185"/>
    <cellStyle name="Total 3 4 38 3" xfId="22178"/>
    <cellStyle name="Total 3 4 38 4" xfId="30365"/>
    <cellStyle name="Total 3 4 38 5" xfId="39693"/>
    <cellStyle name="Total 3 4 38 6" xfId="44030"/>
    <cellStyle name="Total 3 4 38 7" xfId="47631"/>
    <cellStyle name="Total 3 4 39" xfId="5593"/>
    <cellStyle name="Total 3 4 39 2" xfId="13310"/>
    <cellStyle name="Total 3 4 39 3" xfId="22303"/>
    <cellStyle name="Total 3 4 39 4" xfId="30490"/>
    <cellStyle name="Total 3 4 39 5" xfId="39812"/>
    <cellStyle name="Total 3 4 39 6" xfId="44155"/>
    <cellStyle name="Total 3 4 39 7" xfId="46843"/>
    <cellStyle name="Total 3 4 4" xfId="860"/>
    <cellStyle name="Total 3 4 4 2" xfId="8684"/>
    <cellStyle name="Total 3 4 4 3" xfId="16112"/>
    <cellStyle name="Total 3 4 4 4" xfId="19443"/>
    <cellStyle name="Total 3 4 4 5" xfId="27975"/>
    <cellStyle name="Total 3 4 4 6" xfId="38177"/>
    <cellStyle name="Total 3 4 4 7" xfId="49521"/>
    <cellStyle name="Total 3 4 40" xfId="5708"/>
    <cellStyle name="Total 3 4 40 2" xfId="13425"/>
    <cellStyle name="Total 3 4 40 3" xfId="22418"/>
    <cellStyle name="Total 3 4 40 4" xfId="30605"/>
    <cellStyle name="Total 3 4 40 5" xfId="39923"/>
    <cellStyle name="Total 3 4 40 6" xfId="44270"/>
    <cellStyle name="Total 3 4 40 7" xfId="47075"/>
    <cellStyle name="Total 3 4 41" xfId="5825"/>
    <cellStyle name="Total 3 4 41 2" xfId="13542"/>
    <cellStyle name="Total 3 4 41 3" xfId="22535"/>
    <cellStyle name="Total 3 4 41 4" xfId="30722"/>
    <cellStyle name="Total 3 4 41 5" xfId="40037"/>
    <cellStyle name="Total 3 4 41 6" xfId="44387"/>
    <cellStyle name="Total 3 4 41 7" xfId="50721"/>
    <cellStyle name="Total 3 4 42" xfId="5953"/>
    <cellStyle name="Total 3 4 42 2" xfId="13670"/>
    <cellStyle name="Total 3 4 42 3" xfId="22663"/>
    <cellStyle name="Total 3 4 42 4" xfId="30850"/>
    <cellStyle name="Total 3 4 42 5" xfId="40161"/>
    <cellStyle name="Total 3 4 42 6" xfId="44515"/>
    <cellStyle name="Total 3 4 42 7" xfId="47666"/>
    <cellStyle name="Total 3 4 43" xfId="6109"/>
    <cellStyle name="Total 3 4 43 2" xfId="13826"/>
    <cellStyle name="Total 3 4 43 3" xfId="22819"/>
    <cellStyle name="Total 3 4 43 4" xfId="31006"/>
    <cellStyle name="Total 3 4 43 5" xfId="40308"/>
    <cellStyle name="Total 3 4 43 6" xfId="44671"/>
    <cellStyle name="Total 3 4 43 7" xfId="50399"/>
    <cellStyle name="Total 3 4 44" xfId="6209"/>
    <cellStyle name="Total 3 4 44 2" xfId="13926"/>
    <cellStyle name="Total 3 4 44 3" xfId="22919"/>
    <cellStyle name="Total 3 4 44 4" xfId="31106"/>
    <cellStyle name="Total 3 4 44 5" xfId="40407"/>
    <cellStyle name="Total 3 4 44 6" xfId="44771"/>
    <cellStyle name="Total 3 4 44 7" xfId="48314"/>
    <cellStyle name="Total 3 4 45" xfId="6326"/>
    <cellStyle name="Total 3 4 45 2" xfId="14043"/>
    <cellStyle name="Total 3 4 45 3" xfId="23036"/>
    <cellStyle name="Total 3 4 45 4" xfId="31223"/>
    <cellStyle name="Total 3 4 45 5" xfId="40522"/>
    <cellStyle name="Total 3 4 45 6" xfId="44888"/>
    <cellStyle name="Total 3 4 45 7" xfId="51250"/>
    <cellStyle name="Total 3 4 46" xfId="6436"/>
    <cellStyle name="Total 3 4 46 2" xfId="14153"/>
    <cellStyle name="Total 3 4 46 3" xfId="23146"/>
    <cellStyle name="Total 3 4 46 4" xfId="31333"/>
    <cellStyle name="Total 3 4 46 5" xfId="40628"/>
    <cellStyle name="Total 3 4 46 6" xfId="44998"/>
    <cellStyle name="Total 3 4 46 7" xfId="52662"/>
    <cellStyle name="Total 3 4 47" xfId="6130"/>
    <cellStyle name="Total 3 4 47 2" xfId="13847"/>
    <cellStyle name="Total 3 4 47 3" xfId="22840"/>
    <cellStyle name="Total 3 4 47 4" xfId="31027"/>
    <cellStyle name="Total 3 4 47 5" xfId="40328"/>
    <cellStyle name="Total 3 4 47 6" xfId="44692"/>
    <cellStyle name="Total 3 4 47 7" xfId="50823"/>
    <cellStyle name="Total 3 4 48" xfId="6583"/>
    <cellStyle name="Total 3 4 48 2" xfId="14300"/>
    <cellStyle name="Total 3 4 48 3" xfId="23293"/>
    <cellStyle name="Total 3 4 48 4" xfId="31480"/>
    <cellStyle name="Total 3 4 48 5" xfId="40768"/>
    <cellStyle name="Total 3 4 48 6" xfId="45145"/>
    <cellStyle name="Total 3 4 48 7" xfId="52913"/>
    <cellStyle name="Total 3 4 49" xfId="6694"/>
    <cellStyle name="Total 3 4 49 2" xfId="14411"/>
    <cellStyle name="Total 3 4 49 3" xfId="23404"/>
    <cellStyle name="Total 3 4 49 4" xfId="31591"/>
    <cellStyle name="Total 3 4 49 5" xfId="40875"/>
    <cellStyle name="Total 3 4 49 6" xfId="45256"/>
    <cellStyle name="Total 3 4 49 7" xfId="49813"/>
    <cellStyle name="Total 3 4 5" xfId="1325"/>
    <cellStyle name="Total 3 4 5 2" xfId="9148"/>
    <cellStyle name="Total 3 4 5 3" xfId="16576"/>
    <cellStyle name="Total 3 4 5 4" xfId="25318"/>
    <cellStyle name="Total 3 4 5 5" xfId="33743"/>
    <cellStyle name="Total 3 4 5 6" xfId="37656"/>
    <cellStyle name="Total 3 4 5 7" xfId="51466"/>
    <cellStyle name="Total 3 4 50" xfId="6809"/>
    <cellStyle name="Total 3 4 50 2" xfId="14526"/>
    <cellStyle name="Total 3 4 50 3" xfId="23519"/>
    <cellStyle name="Total 3 4 50 4" xfId="31706"/>
    <cellStyle name="Total 3 4 50 5" xfId="40983"/>
    <cellStyle name="Total 3 4 50 6" xfId="45371"/>
    <cellStyle name="Total 3 4 50 7" xfId="50988"/>
    <cellStyle name="Total 3 4 51" xfId="6922"/>
    <cellStyle name="Total 3 4 51 2" xfId="14639"/>
    <cellStyle name="Total 3 4 51 3" xfId="23632"/>
    <cellStyle name="Total 3 4 51 4" xfId="31819"/>
    <cellStyle name="Total 3 4 51 5" xfId="41091"/>
    <cellStyle name="Total 3 4 51 6" xfId="45484"/>
    <cellStyle name="Total 3 4 51 7" xfId="46791"/>
    <cellStyle name="Total 3 4 52" xfId="7034"/>
    <cellStyle name="Total 3 4 52 2" xfId="14751"/>
    <cellStyle name="Total 3 4 52 3" xfId="23744"/>
    <cellStyle name="Total 3 4 52 4" xfId="31931"/>
    <cellStyle name="Total 3 4 52 5" xfId="41197"/>
    <cellStyle name="Total 3 4 52 6" xfId="45596"/>
    <cellStyle name="Total 3 4 52 7" xfId="46987"/>
    <cellStyle name="Total 3 4 53" xfId="7230"/>
    <cellStyle name="Total 3 4 53 2" xfId="14947"/>
    <cellStyle name="Total 3 4 53 3" xfId="23940"/>
    <cellStyle name="Total 3 4 53 4" xfId="32127"/>
    <cellStyle name="Total 3 4 53 5" xfId="41385"/>
    <cellStyle name="Total 3 4 53 6" xfId="45792"/>
    <cellStyle name="Total 3 4 53 7" xfId="51804"/>
    <cellStyle name="Total 3 4 54" xfId="7275"/>
    <cellStyle name="Total 3 4 54 2" xfId="14992"/>
    <cellStyle name="Total 3 4 54 3" xfId="23985"/>
    <cellStyle name="Total 3 4 54 4" xfId="32172"/>
    <cellStyle name="Total 3 4 54 5" xfId="41428"/>
    <cellStyle name="Total 3 4 54 6" xfId="45837"/>
    <cellStyle name="Total 3 4 54 7" xfId="52038"/>
    <cellStyle name="Total 3 4 55" xfId="7431"/>
    <cellStyle name="Total 3 4 55 2" xfId="15148"/>
    <cellStyle name="Total 3 4 55 3" xfId="24141"/>
    <cellStyle name="Total 3 4 55 4" xfId="32328"/>
    <cellStyle name="Total 3 4 55 5" xfId="41579"/>
    <cellStyle name="Total 3 4 55 6" xfId="45993"/>
    <cellStyle name="Total 3 4 55 7" xfId="49732"/>
    <cellStyle name="Total 3 4 56" xfId="7552"/>
    <cellStyle name="Total 3 4 56 2" xfId="15269"/>
    <cellStyle name="Total 3 4 56 3" xfId="24262"/>
    <cellStyle name="Total 3 4 56 4" xfId="32449"/>
    <cellStyle name="Total 3 4 56 5" xfId="41694"/>
    <cellStyle name="Total 3 4 56 6" xfId="46114"/>
    <cellStyle name="Total 3 4 56 7" xfId="52206"/>
    <cellStyle name="Total 3 4 57" xfId="7828"/>
    <cellStyle name="Total 3 4 57 2" xfId="15545"/>
    <cellStyle name="Total 3 4 57 3" xfId="24532"/>
    <cellStyle name="Total 3 4 57 4" xfId="32725"/>
    <cellStyle name="Total 3 4 57 5" xfId="41960"/>
    <cellStyle name="Total 3 4 57 6" xfId="46390"/>
    <cellStyle name="Total 3 4 57 7" xfId="53290"/>
    <cellStyle name="Total 3 4 58" xfId="7994"/>
    <cellStyle name="Total 3 4 58 2" xfId="15711"/>
    <cellStyle name="Total 3 4 58 3" xfId="24696"/>
    <cellStyle name="Total 3 4 58 4" xfId="32891"/>
    <cellStyle name="Total 3 4 58 5" xfId="42117"/>
    <cellStyle name="Total 3 4 58 6" xfId="46556"/>
    <cellStyle name="Total 3 4 58 7" xfId="49652"/>
    <cellStyle name="Total 3 4 59" xfId="8065"/>
    <cellStyle name="Total 3 4 59 2" xfId="15782"/>
    <cellStyle name="Total 3 4 59 3" xfId="24767"/>
    <cellStyle name="Total 3 4 59 4" xfId="32962"/>
    <cellStyle name="Total 3 4 59 5" xfId="42186"/>
    <cellStyle name="Total 3 4 59 6" xfId="46627"/>
    <cellStyle name="Total 3 4 59 7" xfId="50454"/>
    <cellStyle name="Total 3 4 6" xfId="1448"/>
    <cellStyle name="Total 3 4 6 2" xfId="9271"/>
    <cellStyle name="Total 3 4 6 3" xfId="16699"/>
    <cellStyle name="Total 3 4 6 4" xfId="25159"/>
    <cellStyle name="Total 3 4 6 5" xfId="33536"/>
    <cellStyle name="Total 3 4 6 6" xfId="39012"/>
    <cellStyle name="Total 3 4 6 7" xfId="51127"/>
    <cellStyle name="Total 3 4 60" xfId="8104"/>
    <cellStyle name="Total 3 4 60 2" xfId="15821"/>
    <cellStyle name="Total 3 4 60 3" xfId="33001"/>
    <cellStyle name="Total 3 4 60 4" xfId="42223"/>
    <cellStyle name="Total 3 4 60 5" xfId="46666"/>
    <cellStyle name="Total 3 4 60 6" xfId="53593"/>
    <cellStyle name="Total 3 4 61" xfId="20624"/>
    <cellStyle name="Total 3 4 62" xfId="28642"/>
    <cellStyle name="Total 3 4 63" xfId="36720"/>
    <cellStyle name="Total 3 4 64" xfId="48037"/>
    <cellStyle name="Total 3 4 7" xfId="1135"/>
    <cellStyle name="Total 3 4 7 2" xfId="8958"/>
    <cellStyle name="Total 3 4 7 3" xfId="16386"/>
    <cellStyle name="Total 3 4 7 4" xfId="25178"/>
    <cellStyle name="Total 3 4 7 5" xfId="33560"/>
    <cellStyle name="Total 3 4 7 6" xfId="41539"/>
    <cellStyle name="Total 3 4 7 7" xfId="51174"/>
    <cellStyle name="Total 3 4 8" xfId="1685"/>
    <cellStyle name="Total 3 4 8 2" xfId="9508"/>
    <cellStyle name="Total 3 4 8 3" xfId="16936"/>
    <cellStyle name="Total 3 4 8 4" xfId="20683"/>
    <cellStyle name="Total 3 4 8 5" xfId="27830"/>
    <cellStyle name="Total 3 4 8 6" xfId="37552"/>
    <cellStyle name="Total 3 4 8 7" xfId="47261"/>
    <cellStyle name="Total 3 4 9" xfId="1819"/>
    <cellStyle name="Total 3 4 9 2" xfId="9642"/>
    <cellStyle name="Total 3 4 9 3" xfId="17070"/>
    <cellStyle name="Total 3 4 9 4" xfId="19083"/>
    <cellStyle name="Total 3 4 9 5" xfId="26728"/>
    <cellStyle name="Total 3 4 9 6" xfId="38966"/>
    <cellStyle name="Total 3 4 9 7" xfId="49117"/>
    <cellStyle name="Total 3 5" xfId="577"/>
    <cellStyle name="Total 3 5 10" xfId="2024"/>
    <cellStyle name="Total 3 5 10 2" xfId="9847"/>
    <cellStyle name="Total 3 5 10 3" xfId="17275"/>
    <cellStyle name="Total 3 5 10 4" xfId="24837"/>
    <cellStyle name="Total 3 5 10 5" xfId="27916"/>
    <cellStyle name="Total 3 5 10 6" xfId="40490"/>
    <cellStyle name="Total 3 5 10 7" xfId="50281"/>
    <cellStyle name="Total 3 5 11" xfId="2140"/>
    <cellStyle name="Total 3 5 11 2" xfId="9963"/>
    <cellStyle name="Total 3 5 11 3" xfId="17391"/>
    <cellStyle name="Total 3 5 11 4" xfId="25027"/>
    <cellStyle name="Total 3 5 11 5" xfId="33382"/>
    <cellStyle name="Total 3 5 11 6" xfId="38621"/>
    <cellStyle name="Total 3 5 11 7" xfId="50856"/>
    <cellStyle name="Total 3 5 12" xfId="2254"/>
    <cellStyle name="Total 3 5 12 2" xfId="10077"/>
    <cellStyle name="Total 3 5 12 3" xfId="17505"/>
    <cellStyle name="Total 3 5 12 4" xfId="19530"/>
    <cellStyle name="Total 3 5 12 5" xfId="27245"/>
    <cellStyle name="Total 3 5 12 6" xfId="39147"/>
    <cellStyle name="Total 3 5 12 7" xfId="48444"/>
    <cellStyle name="Total 3 5 13" xfId="1023"/>
    <cellStyle name="Total 3 5 13 2" xfId="8847"/>
    <cellStyle name="Total 3 5 13 3" xfId="16275"/>
    <cellStyle name="Total 3 5 13 4" xfId="25422"/>
    <cellStyle name="Total 3 5 13 5" xfId="33878"/>
    <cellStyle name="Total 3 5 13 6" xfId="37836"/>
    <cellStyle name="Total 3 5 13 7" xfId="51693"/>
    <cellStyle name="Total 3 5 14" xfId="1615"/>
    <cellStyle name="Total 3 5 14 2" xfId="9438"/>
    <cellStyle name="Total 3 5 14 3" xfId="16866"/>
    <cellStyle name="Total 3 5 14 4" xfId="19566"/>
    <cellStyle name="Total 3 5 14 5" xfId="27986"/>
    <cellStyle name="Total 3 5 14 6" xfId="37430"/>
    <cellStyle name="Total 3 5 14 7" xfId="47258"/>
    <cellStyle name="Total 3 5 15" xfId="2552"/>
    <cellStyle name="Total 3 5 15 2" xfId="10375"/>
    <cellStyle name="Total 3 5 15 3" xfId="17803"/>
    <cellStyle name="Total 3 5 15 4" xfId="26692"/>
    <cellStyle name="Total 3 5 15 5" xfId="35544"/>
    <cellStyle name="Total 3 5 15 6" xfId="40105"/>
    <cellStyle name="Total 3 5 15 7" xfId="54477"/>
    <cellStyle name="Total 3 5 16" xfId="2666"/>
    <cellStyle name="Total 3 5 16 2" xfId="10489"/>
    <cellStyle name="Total 3 5 16 3" xfId="17917"/>
    <cellStyle name="Total 3 5 16 4" xfId="19446"/>
    <cellStyle name="Total 3 5 16 5" xfId="27784"/>
    <cellStyle name="Total 3 5 16 6" xfId="39559"/>
    <cellStyle name="Total 3 5 16 7" xfId="47778"/>
    <cellStyle name="Total 3 5 17" xfId="2280"/>
    <cellStyle name="Total 3 5 17 2" xfId="10103"/>
    <cellStyle name="Total 3 5 17 3" xfId="17531"/>
    <cellStyle name="Total 3 5 17 4" xfId="25624"/>
    <cellStyle name="Total 3 5 17 5" xfId="34138"/>
    <cellStyle name="Total 3 5 17 6" xfId="37218"/>
    <cellStyle name="Total 3 5 17 7" xfId="52139"/>
    <cellStyle name="Total 3 5 18" xfId="1246"/>
    <cellStyle name="Total 3 5 18 2" xfId="9069"/>
    <cellStyle name="Total 3 5 18 3" xfId="16497"/>
    <cellStyle name="Total 3 5 18 4" xfId="24843"/>
    <cellStyle name="Total 3 5 18 5" xfId="26747"/>
    <cellStyle name="Total 3 5 18 6" xfId="37239"/>
    <cellStyle name="Total 3 5 18 7" xfId="49781"/>
    <cellStyle name="Total 3 5 19" xfId="2856"/>
    <cellStyle name="Total 3 5 19 2" xfId="10679"/>
    <cellStyle name="Total 3 5 19 3" xfId="18107"/>
    <cellStyle name="Total 3 5 19 4" xfId="26003"/>
    <cellStyle name="Total 3 5 19 5" xfId="34627"/>
    <cellStyle name="Total 3 5 19 6" xfId="38609"/>
    <cellStyle name="Total 3 5 19 7" xfId="53005"/>
    <cellStyle name="Total 3 5 2" xfId="724"/>
    <cellStyle name="Total 3 5 2 2" xfId="8548"/>
    <cellStyle name="Total 3 5 2 3" xfId="15976"/>
    <cellStyle name="Total 3 5 2 4" xfId="25117"/>
    <cellStyle name="Total 3 5 2 5" xfId="33487"/>
    <cellStyle name="Total 3 5 2 6" xfId="37678"/>
    <cellStyle name="Total 3 5 2 7" xfId="51050"/>
    <cellStyle name="Total 3 5 20" xfId="2963"/>
    <cellStyle name="Total 3 5 20 2" xfId="10786"/>
    <cellStyle name="Total 3 5 20 3" xfId="18214"/>
    <cellStyle name="Total 3 5 20 4" xfId="19796"/>
    <cellStyle name="Total 3 5 20 5" xfId="28211"/>
    <cellStyle name="Total 3 5 20 6" xfId="37827"/>
    <cellStyle name="Total 3 5 20 7" xfId="47436"/>
    <cellStyle name="Total 3 5 21" xfId="3341"/>
    <cellStyle name="Total 3 5 21 2" xfId="11134"/>
    <cellStyle name="Total 3 5 21 3" xfId="18461"/>
    <cellStyle name="Total 3 5 21 4" xfId="25416"/>
    <cellStyle name="Total 3 5 21 5" xfId="33872"/>
    <cellStyle name="Total 3 5 21 6" xfId="37989"/>
    <cellStyle name="Total 3 5 21 7" xfId="51684"/>
    <cellStyle name="Total 3 5 22" xfId="3460"/>
    <cellStyle name="Total 3 5 22 2" xfId="11251"/>
    <cellStyle name="Total 3 5 22 3" xfId="18572"/>
    <cellStyle name="Total 3 5 22 4" xfId="25315"/>
    <cellStyle name="Total 3 5 22 5" xfId="33735"/>
    <cellStyle name="Total 3 5 22 6" xfId="38244"/>
    <cellStyle name="Total 3 5 22 7" xfId="51454"/>
    <cellStyle name="Total 3 5 23" xfId="3619"/>
    <cellStyle name="Total 3 5 23 2" xfId="11405"/>
    <cellStyle name="Total 3 5 23 3" xfId="18679"/>
    <cellStyle name="Total 3 5 23 4" xfId="20295"/>
    <cellStyle name="Total 3 5 23 5" xfId="27953"/>
    <cellStyle name="Total 3 5 23 6" xfId="36399"/>
    <cellStyle name="Total 3 5 23 7" xfId="49597"/>
    <cellStyle name="Total 3 5 24" xfId="3733"/>
    <cellStyle name="Total 3 5 24 2" xfId="11518"/>
    <cellStyle name="Total 3 5 24 3" xfId="18789"/>
    <cellStyle name="Total 3 5 24 4" xfId="20015"/>
    <cellStyle name="Total 3 5 24 5" xfId="28802"/>
    <cellStyle name="Total 3 5 24 6" xfId="41422"/>
    <cellStyle name="Total 3 5 24 7" xfId="47355"/>
    <cellStyle name="Total 3 5 25" xfId="3862"/>
    <cellStyle name="Total 3 5 25 2" xfId="11644"/>
    <cellStyle name="Total 3 5 25 3" xfId="18899"/>
    <cellStyle name="Total 3 5 25 4" xfId="26495"/>
    <cellStyle name="Total 3 5 25 5" xfId="35288"/>
    <cellStyle name="Total 3 5 25 6" xfId="39401"/>
    <cellStyle name="Total 3 5 25 7" xfId="54064"/>
    <cellStyle name="Total 3 5 26" xfId="3980"/>
    <cellStyle name="Total 3 5 26 2" xfId="11759"/>
    <cellStyle name="Total 3 5 26 3" xfId="19008"/>
    <cellStyle name="Total 3 5 26 4" xfId="19810"/>
    <cellStyle name="Total 3 5 26 5" xfId="27787"/>
    <cellStyle name="Total 3 5 26 6" xfId="38348"/>
    <cellStyle name="Total 3 5 26 7" xfId="47651"/>
    <cellStyle name="Total 3 5 27" xfId="3482"/>
    <cellStyle name="Total 3 5 27 2" xfId="11273"/>
    <cellStyle name="Total 3 5 27 3" xfId="20469"/>
    <cellStyle name="Total 3 5 27 4" xfId="28591"/>
    <cellStyle name="Total 3 5 27 5" xfId="37969"/>
    <cellStyle name="Total 3 5 27 6" xfId="42480"/>
    <cellStyle name="Total 3 5 27 7" xfId="49289"/>
    <cellStyle name="Total 3 5 28" xfId="4176"/>
    <cellStyle name="Total 3 5 28 2" xfId="11935"/>
    <cellStyle name="Total 3 5 28 3" xfId="20886"/>
    <cellStyle name="Total 3 5 28 4" xfId="29073"/>
    <cellStyle name="Total 3 5 28 5" xfId="38449"/>
    <cellStyle name="Total 3 5 28 6" xfId="42738"/>
    <cellStyle name="Total 3 5 28 7" xfId="54117"/>
    <cellStyle name="Total 3 5 29" xfId="4215"/>
    <cellStyle name="Total 3 5 29 2" xfId="20925"/>
    <cellStyle name="Total 3 5 29 3" xfId="29112"/>
    <cellStyle name="Total 3 5 29 4" xfId="38488"/>
    <cellStyle name="Total 3 5 29 5" xfId="42777"/>
    <cellStyle name="Total 3 5 29 6" xfId="50290"/>
    <cellStyle name="Total 3 5 3" xfId="833"/>
    <cellStyle name="Total 3 5 3 2" xfId="8657"/>
    <cellStyle name="Total 3 5 3 3" xfId="16085"/>
    <cellStyle name="Total 3 5 3 4" xfId="25899"/>
    <cellStyle name="Total 3 5 3 5" xfId="34494"/>
    <cellStyle name="Total 3 5 3 6" xfId="36925"/>
    <cellStyle name="Total 3 5 3 7" xfId="52778"/>
    <cellStyle name="Total 3 5 30" xfId="4375"/>
    <cellStyle name="Total 3 5 30 2" xfId="12092"/>
    <cellStyle name="Total 3 5 30 3" xfId="21085"/>
    <cellStyle name="Total 3 5 30 4" xfId="29272"/>
    <cellStyle name="Total 3 5 30 5" xfId="38642"/>
    <cellStyle name="Total 3 5 30 6" xfId="42937"/>
    <cellStyle name="Total 3 5 30 7" xfId="51426"/>
    <cellStyle name="Total 3 5 31" xfId="4496"/>
    <cellStyle name="Total 3 5 31 2" xfId="12213"/>
    <cellStyle name="Total 3 5 31 3" xfId="21206"/>
    <cellStyle name="Total 3 5 31 4" xfId="29393"/>
    <cellStyle name="Total 3 5 31 5" xfId="38757"/>
    <cellStyle name="Total 3 5 31 6" xfId="43058"/>
    <cellStyle name="Total 3 5 31 7" xfId="52082"/>
    <cellStyle name="Total 3 5 32" xfId="4610"/>
    <cellStyle name="Total 3 5 32 2" xfId="12327"/>
    <cellStyle name="Total 3 5 32 3" xfId="21320"/>
    <cellStyle name="Total 3 5 32 4" xfId="29507"/>
    <cellStyle name="Total 3 5 32 5" xfId="38866"/>
    <cellStyle name="Total 3 5 32 6" xfId="43172"/>
    <cellStyle name="Total 3 5 32 7" xfId="48716"/>
    <cellStyle name="Total 3 5 33" xfId="4723"/>
    <cellStyle name="Total 3 5 33 2" xfId="12440"/>
    <cellStyle name="Total 3 5 33 3" xfId="21433"/>
    <cellStyle name="Total 3 5 33 4" xfId="29620"/>
    <cellStyle name="Total 3 5 33 5" xfId="38975"/>
    <cellStyle name="Total 3 5 33 6" xfId="43285"/>
    <cellStyle name="Total 3 5 33 7" xfId="52230"/>
    <cellStyle name="Total 3 5 34" xfId="4833"/>
    <cellStyle name="Total 3 5 34 2" xfId="12550"/>
    <cellStyle name="Total 3 5 34 3" xfId="21543"/>
    <cellStyle name="Total 3 5 34 4" xfId="29730"/>
    <cellStyle name="Total 3 5 34 5" xfId="39082"/>
    <cellStyle name="Total 3 5 34 6" xfId="43395"/>
    <cellStyle name="Total 3 5 34 7" xfId="49599"/>
    <cellStyle name="Total 3 5 35" xfId="4943"/>
    <cellStyle name="Total 3 5 35 2" xfId="12660"/>
    <cellStyle name="Total 3 5 35 3" xfId="21653"/>
    <cellStyle name="Total 3 5 35 4" xfId="29840"/>
    <cellStyle name="Total 3 5 35 5" xfId="39187"/>
    <cellStyle name="Total 3 5 35 6" xfId="43505"/>
    <cellStyle name="Total 3 5 35 7" xfId="53494"/>
    <cellStyle name="Total 3 5 36" xfId="5053"/>
    <cellStyle name="Total 3 5 36 2" xfId="12770"/>
    <cellStyle name="Total 3 5 36 3" xfId="21763"/>
    <cellStyle name="Total 3 5 36 4" xfId="29950"/>
    <cellStyle name="Total 3 5 36 5" xfId="39294"/>
    <cellStyle name="Total 3 5 36 6" xfId="43615"/>
    <cellStyle name="Total 3 5 36 7" xfId="48710"/>
    <cellStyle name="Total 3 5 37" xfId="5433"/>
    <cellStyle name="Total 3 5 37 2" xfId="13150"/>
    <cellStyle name="Total 3 5 37 3" xfId="22143"/>
    <cellStyle name="Total 3 5 37 4" xfId="30330"/>
    <cellStyle name="Total 3 5 37 5" xfId="39659"/>
    <cellStyle name="Total 3 5 37 6" xfId="43995"/>
    <cellStyle name="Total 3 5 37 7" xfId="48342"/>
    <cellStyle name="Total 3 5 38" xfId="5553"/>
    <cellStyle name="Total 3 5 38 2" xfId="13270"/>
    <cellStyle name="Total 3 5 38 3" xfId="22263"/>
    <cellStyle name="Total 3 5 38 4" xfId="30450"/>
    <cellStyle name="Total 3 5 38 5" xfId="39773"/>
    <cellStyle name="Total 3 5 38 6" xfId="44115"/>
    <cellStyle name="Total 3 5 38 7" xfId="47175"/>
    <cellStyle name="Total 3 5 39" xfId="5678"/>
    <cellStyle name="Total 3 5 39 2" xfId="13395"/>
    <cellStyle name="Total 3 5 39 3" xfId="22388"/>
    <cellStyle name="Total 3 5 39 4" xfId="30575"/>
    <cellStyle name="Total 3 5 39 5" xfId="39894"/>
    <cellStyle name="Total 3 5 39 6" xfId="44240"/>
    <cellStyle name="Total 3 5 39 7" xfId="46829"/>
    <cellStyle name="Total 3 5 4" xfId="943"/>
    <cellStyle name="Total 3 5 4 2" xfId="8767"/>
    <cellStyle name="Total 3 5 4 3" xfId="16195"/>
    <cellStyle name="Total 3 5 4 4" xfId="20059"/>
    <cellStyle name="Total 3 5 4 5" xfId="28839"/>
    <cellStyle name="Total 3 5 4 6" xfId="37595"/>
    <cellStyle name="Total 3 5 4 7" xfId="48957"/>
    <cellStyle name="Total 3 5 40" xfId="5793"/>
    <cellStyle name="Total 3 5 40 2" xfId="13510"/>
    <cellStyle name="Total 3 5 40 3" xfId="22503"/>
    <cellStyle name="Total 3 5 40 4" xfId="30690"/>
    <cellStyle name="Total 3 5 40 5" xfId="40006"/>
    <cellStyle name="Total 3 5 40 6" xfId="44355"/>
    <cellStyle name="Total 3 5 40 7" xfId="54238"/>
    <cellStyle name="Total 3 5 41" xfId="5911"/>
    <cellStyle name="Total 3 5 41 2" xfId="13628"/>
    <cellStyle name="Total 3 5 41 3" xfId="22621"/>
    <cellStyle name="Total 3 5 41 4" xfId="30808"/>
    <cellStyle name="Total 3 5 41 5" xfId="40121"/>
    <cellStyle name="Total 3 5 41 6" xfId="44473"/>
    <cellStyle name="Total 3 5 41 7" xfId="52531"/>
    <cellStyle name="Total 3 5 42" xfId="6038"/>
    <cellStyle name="Total 3 5 42 2" xfId="13755"/>
    <cellStyle name="Total 3 5 42 3" xfId="22748"/>
    <cellStyle name="Total 3 5 42 4" xfId="30935"/>
    <cellStyle name="Total 3 5 42 5" xfId="40243"/>
    <cellStyle name="Total 3 5 42 6" xfId="44600"/>
    <cellStyle name="Total 3 5 42 7" xfId="50552"/>
    <cellStyle name="Total 3 5 43" xfId="6166"/>
    <cellStyle name="Total 3 5 43 2" xfId="13883"/>
    <cellStyle name="Total 3 5 43 3" xfId="22876"/>
    <cellStyle name="Total 3 5 43 4" xfId="31063"/>
    <cellStyle name="Total 3 5 43 5" xfId="40364"/>
    <cellStyle name="Total 3 5 43 6" xfId="44728"/>
    <cellStyle name="Total 3 5 43 7" xfId="51648"/>
    <cellStyle name="Total 3 5 44" xfId="6294"/>
    <cellStyle name="Total 3 5 44 2" xfId="14011"/>
    <cellStyle name="Total 3 5 44 3" xfId="23004"/>
    <cellStyle name="Total 3 5 44 4" xfId="31191"/>
    <cellStyle name="Total 3 5 44 5" xfId="40491"/>
    <cellStyle name="Total 3 5 44 6" xfId="44856"/>
    <cellStyle name="Total 3 5 44 7" xfId="48454"/>
    <cellStyle name="Total 3 5 45" xfId="6409"/>
    <cellStyle name="Total 3 5 45 2" xfId="14126"/>
    <cellStyle name="Total 3 5 45 3" xfId="23119"/>
    <cellStyle name="Total 3 5 45 4" xfId="31306"/>
    <cellStyle name="Total 3 5 45 5" xfId="40602"/>
    <cellStyle name="Total 3 5 45 6" xfId="44971"/>
    <cellStyle name="Total 3 5 45 7" xfId="48894"/>
    <cellStyle name="Total 3 5 46" xfId="6521"/>
    <cellStyle name="Total 3 5 46 2" xfId="14238"/>
    <cellStyle name="Total 3 5 46 3" xfId="23231"/>
    <cellStyle name="Total 3 5 46 4" xfId="31418"/>
    <cellStyle name="Total 3 5 46 5" xfId="40710"/>
    <cellStyle name="Total 3 5 46 6" xfId="45083"/>
    <cellStyle name="Total 3 5 46 7" xfId="52044"/>
    <cellStyle name="Total 3 5 47" xfId="6315"/>
    <cellStyle name="Total 3 5 47 2" xfId="14032"/>
    <cellStyle name="Total 3 5 47 3" xfId="23025"/>
    <cellStyle name="Total 3 5 47 4" xfId="31212"/>
    <cellStyle name="Total 3 5 47 5" xfId="40512"/>
    <cellStyle name="Total 3 5 47 6" xfId="44877"/>
    <cellStyle name="Total 3 5 47 7" xfId="52608"/>
    <cellStyle name="Total 3 5 48" xfId="6668"/>
    <cellStyle name="Total 3 5 48 2" xfId="14385"/>
    <cellStyle name="Total 3 5 48 3" xfId="23378"/>
    <cellStyle name="Total 3 5 48 4" xfId="31565"/>
    <cellStyle name="Total 3 5 48 5" xfId="40849"/>
    <cellStyle name="Total 3 5 48 6" xfId="45230"/>
    <cellStyle name="Total 3 5 48 7" xfId="51141"/>
    <cellStyle name="Total 3 5 49" xfId="6779"/>
    <cellStyle name="Total 3 5 49 2" xfId="14496"/>
    <cellStyle name="Total 3 5 49 3" xfId="23489"/>
    <cellStyle name="Total 3 5 49 4" xfId="31676"/>
    <cellStyle name="Total 3 5 49 5" xfId="40955"/>
    <cellStyle name="Total 3 5 49 6" xfId="45341"/>
    <cellStyle name="Total 3 5 49 7" xfId="54024"/>
    <cellStyle name="Total 3 5 5" xfId="1411"/>
    <cellStyle name="Total 3 5 5 2" xfId="9234"/>
    <cellStyle name="Total 3 5 5 3" xfId="16662"/>
    <cellStyle name="Total 3 5 5 4" xfId="20117"/>
    <cellStyle name="Total 3 5 5 5" xfId="27090"/>
    <cellStyle name="Total 3 5 5 6" xfId="40192"/>
    <cellStyle name="Total 3 5 5 7" xfId="48767"/>
    <cellStyle name="Total 3 5 50" xfId="6894"/>
    <cellStyle name="Total 3 5 50 2" xfId="14611"/>
    <cellStyle name="Total 3 5 50 3" xfId="23604"/>
    <cellStyle name="Total 3 5 50 4" xfId="31791"/>
    <cellStyle name="Total 3 5 50 5" xfId="41063"/>
    <cellStyle name="Total 3 5 50 6" xfId="45456"/>
    <cellStyle name="Total 3 5 50 7" xfId="46946"/>
    <cellStyle name="Total 3 5 51" xfId="7007"/>
    <cellStyle name="Total 3 5 51 2" xfId="14724"/>
    <cellStyle name="Total 3 5 51 3" xfId="23717"/>
    <cellStyle name="Total 3 5 51 4" xfId="31904"/>
    <cellStyle name="Total 3 5 51 5" xfId="41171"/>
    <cellStyle name="Total 3 5 51 6" xfId="45569"/>
    <cellStyle name="Total 3 5 51 7" xfId="47218"/>
    <cellStyle name="Total 3 5 52" xfId="7117"/>
    <cellStyle name="Total 3 5 52 2" xfId="14834"/>
    <cellStyle name="Total 3 5 52 3" xfId="23827"/>
    <cellStyle name="Total 3 5 52 4" xfId="32014"/>
    <cellStyle name="Total 3 5 52 5" xfId="41276"/>
    <cellStyle name="Total 3 5 52 6" xfId="45679"/>
    <cellStyle name="Total 3 5 52 7" xfId="53536"/>
    <cellStyle name="Total 3 5 53" xfId="7159"/>
    <cellStyle name="Total 3 5 53 2" xfId="14876"/>
    <cellStyle name="Total 3 5 53 3" xfId="23869"/>
    <cellStyle name="Total 3 5 53 4" xfId="32056"/>
    <cellStyle name="Total 3 5 53 5" xfId="41318"/>
    <cellStyle name="Total 3 5 53 6" xfId="45721"/>
    <cellStyle name="Total 3 5 53 7" xfId="49181"/>
    <cellStyle name="Total 3 5 54" xfId="7261"/>
    <cellStyle name="Total 3 5 54 2" xfId="14978"/>
    <cellStyle name="Total 3 5 54 3" xfId="23971"/>
    <cellStyle name="Total 3 5 54 4" xfId="32158"/>
    <cellStyle name="Total 3 5 54 5" xfId="41414"/>
    <cellStyle name="Total 3 5 54 6" xfId="45823"/>
    <cellStyle name="Total 3 5 54 7" xfId="53299"/>
    <cellStyle name="Total 3 5 55" xfId="7514"/>
    <cellStyle name="Total 3 5 55 2" xfId="15231"/>
    <cellStyle name="Total 3 5 55 3" xfId="24224"/>
    <cellStyle name="Total 3 5 55 4" xfId="32411"/>
    <cellStyle name="Total 3 5 55 5" xfId="41658"/>
    <cellStyle name="Total 3 5 55 6" xfId="46076"/>
    <cellStyle name="Total 3 5 55 7" xfId="48779"/>
    <cellStyle name="Total 3 5 56" xfId="7635"/>
    <cellStyle name="Total 3 5 56 2" xfId="15352"/>
    <cellStyle name="Total 3 5 56 3" xfId="24345"/>
    <cellStyle name="Total 3 5 56 4" xfId="32532"/>
    <cellStyle name="Total 3 5 56 5" xfId="41774"/>
    <cellStyle name="Total 3 5 56 6" xfId="46197"/>
    <cellStyle name="Total 3 5 56 7" xfId="51816"/>
    <cellStyle name="Total 3 5 57" xfId="7912"/>
    <cellStyle name="Total 3 5 57 2" xfId="15629"/>
    <cellStyle name="Total 3 5 57 3" xfId="24616"/>
    <cellStyle name="Total 3 5 57 4" xfId="32809"/>
    <cellStyle name="Total 3 5 57 5" xfId="42040"/>
    <cellStyle name="Total 3 5 57 6" xfId="46474"/>
    <cellStyle name="Total 3 5 57 7" xfId="52002"/>
    <cellStyle name="Total 3 5 58" xfId="8040"/>
    <cellStyle name="Total 3 5 58 2" xfId="15757"/>
    <cellStyle name="Total 3 5 58 3" xfId="24742"/>
    <cellStyle name="Total 3 5 58 4" xfId="32937"/>
    <cellStyle name="Total 3 5 58 5" xfId="42162"/>
    <cellStyle name="Total 3 5 58 6" xfId="46602"/>
    <cellStyle name="Total 3 5 58 7" xfId="53093"/>
    <cellStyle name="Total 3 5 59" xfId="7711"/>
    <cellStyle name="Total 3 5 59 2" xfId="15428"/>
    <cellStyle name="Total 3 5 59 3" xfId="24419"/>
    <cellStyle name="Total 3 5 59 4" xfId="32608"/>
    <cellStyle name="Total 3 5 59 5" xfId="41845"/>
    <cellStyle name="Total 3 5 59 6" xfId="46273"/>
    <cellStyle name="Total 3 5 59 7" xfId="50795"/>
    <cellStyle name="Total 3 5 6" xfId="1534"/>
    <cellStyle name="Total 3 5 6 2" xfId="9357"/>
    <cellStyle name="Total 3 5 6 3" xfId="16785"/>
    <cellStyle name="Total 3 5 6 4" xfId="20490"/>
    <cellStyle name="Total 3 5 6 5" xfId="28071"/>
    <cellStyle name="Total 3 5 6 6" xfId="38027"/>
    <cellStyle name="Total 3 5 6 7" xfId="48734"/>
    <cellStyle name="Total 3 5 60" xfId="8187"/>
    <cellStyle name="Total 3 5 60 2" xfId="15904"/>
    <cellStyle name="Total 3 5 60 3" xfId="33084"/>
    <cellStyle name="Total 3 5 60 4" xfId="42303"/>
    <cellStyle name="Total 3 5 60 5" xfId="46749"/>
    <cellStyle name="Total 3 5 60 6" xfId="46869"/>
    <cellStyle name="Total 3 5 61" xfId="25247"/>
    <cellStyle name="Total 3 5 62" xfId="33651"/>
    <cellStyle name="Total 3 5 63" xfId="36250"/>
    <cellStyle name="Total 3 5 64" xfId="51314"/>
    <cellStyle name="Total 3 5 7" xfId="1269"/>
    <cellStyle name="Total 3 5 7 2" xfId="9092"/>
    <cellStyle name="Total 3 5 7 3" xfId="16520"/>
    <cellStyle name="Total 3 5 7 4" xfId="20368"/>
    <cellStyle name="Total 3 5 7 5" xfId="27349"/>
    <cellStyle name="Total 3 5 7 6" xfId="41225"/>
    <cellStyle name="Total 3 5 7 7" xfId="46956"/>
    <cellStyle name="Total 3 5 8" xfId="1772"/>
    <cellStyle name="Total 3 5 8 2" xfId="9595"/>
    <cellStyle name="Total 3 5 8 3" xfId="17023"/>
    <cellStyle name="Total 3 5 8 4" xfId="26509"/>
    <cellStyle name="Total 3 5 8 5" xfId="35305"/>
    <cellStyle name="Total 3 5 8 6" xfId="36428"/>
    <cellStyle name="Total 3 5 8 7" xfId="54092"/>
    <cellStyle name="Total 3 5 9" xfId="1905"/>
    <cellStyle name="Total 3 5 9 2" xfId="9728"/>
    <cellStyle name="Total 3 5 9 3" xfId="17156"/>
    <cellStyle name="Total 3 5 9 4" xfId="19956"/>
    <cellStyle name="Total 3 5 9 5" xfId="27431"/>
    <cellStyle name="Total 3 5 9 6" xfId="36895"/>
    <cellStyle name="Total 3 5 9 7" xfId="47842"/>
    <cellStyle name="Total 3 6" xfId="487"/>
    <cellStyle name="Total 3 6 10" xfId="1934"/>
    <cellStyle name="Total 3 6 10 2" xfId="9757"/>
    <cellStyle name="Total 3 6 10 3" xfId="17185"/>
    <cellStyle name="Total 3 6 10 4" xfId="26163"/>
    <cellStyle name="Total 3 6 10 5" xfId="34832"/>
    <cellStyle name="Total 3 6 10 6" xfId="42096"/>
    <cellStyle name="Total 3 6 10 7" xfId="53343"/>
    <cellStyle name="Total 3 6 11" xfId="2052"/>
    <cellStyle name="Total 3 6 11 2" xfId="9875"/>
    <cellStyle name="Total 3 6 11 3" xfId="17303"/>
    <cellStyle name="Total 3 6 11 4" xfId="26253"/>
    <cellStyle name="Total 3 6 11 5" xfId="34950"/>
    <cellStyle name="Total 3 6 11 6" xfId="37628"/>
    <cellStyle name="Total 3 6 11 7" xfId="53545"/>
    <cellStyle name="Total 3 6 12" xfId="2165"/>
    <cellStyle name="Total 3 6 12 2" xfId="9988"/>
    <cellStyle name="Total 3 6 12 3" xfId="17416"/>
    <cellStyle name="Total 3 6 12 4" xfId="25456"/>
    <cellStyle name="Total 3 6 12 5" xfId="33920"/>
    <cellStyle name="Total 3 6 12 6" xfId="40785"/>
    <cellStyle name="Total 3 6 12 7" xfId="51771"/>
    <cellStyle name="Total 3 6 13" xfId="1243"/>
    <cellStyle name="Total 3 6 13 2" xfId="9066"/>
    <cellStyle name="Total 3 6 13 3" xfId="16494"/>
    <cellStyle name="Total 3 6 13 4" xfId="24980"/>
    <cellStyle name="Total 3 6 13 5" xfId="33323"/>
    <cellStyle name="Total 3 6 13 6" xfId="37404"/>
    <cellStyle name="Total 3 6 13 7" xfId="50744"/>
    <cellStyle name="Total 3 6 14" xfId="1247"/>
    <cellStyle name="Total 3 6 14 2" xfId="9070"/>
    <cellStyle name="Total 3 6 14 3" xfId="16498"/>
    <cellStyle name="Total 3 6 14 4" xfId="20067"/>
    <cellStyle name="Total 3 6 14 5" xfId="26877"/>
    <cellStyle name="Total 3 6 14 6" xfId="37178"/>
    <cellStyle name="Total 3 6 14 7" xfId="49772"/>
    <cellStyle name="Total 3 6 15" xfId="2463"/>
    <cellStyle name="Total 3 6 15 2" xfId="10286"/>
    <cellStyle name="Total 3 6 15 3" xfId="17714"/>
    <cellStyle name="Total 3 6 15 4" xfId="20453"/>
    <cellStyle name="Total 3 6 15 5" xfId="27378"/>
    <cellStyle name="Total 3 6 15 6" xfId="40443"/>
    <cellStyle name="Total 3 6 15 7" xfId="48534"/>
    <cellStyle name="Total 3 6 16" xfId="2576"/>
    <cellStyle name="Total 3 6 16 2" xfId="10399"/>
    <cellStyle name="Total 3 6 16 3" xfId="17827"/>
    <cellStyle name="Total 3 6 16 4" xfId="25663"/>
    <cellStyle name="Total 3 6 16 5" xfId="34190"/>
    <cellStyle name="Total 3 6 16 6" xfId="37621"/>
    <cellStyle name="Total 3 6 16 7" xfId="52226"/>
    <cellStyle name="Total 3 6 17" xfId="2663"/>
    <cellStyle name="Total 3 6 17 2" xfId="10486"/>
    <cellStyle name="Total 3 6 17 3" xfId="17914"/>
    <cellStyle name="Total 3 6 17 4" xfId="19506"/>
    <cellStyle name="Total 3 6 17 5" xfId="27856"/>
    <cellStyle name="Total 3 6 17 6" xfId="39532"/>
    <cellStyle name="Total 3 6 17 7" xfId="47444"/>
    <cellStyle name="Total 3 6 18" xfId="2422"/>
    <cellStyle name="Total 3 6 18 2" xfId="10245"/>
    <cellStyle name="Total 3 6 18 3" xfId="17673"/>
    <cellStyle name="Total 3 6 18 4" xfId="25512"/>
    <cellStyle name="Total 3 6 18 5" xfId="33990"/>
    <cellStyle name="Total 3 6 18 6" xfId="37600"/>
    <cellStyle name="Total 3 6 18 7" xfId="51897"/>
    <cellStyle name="Total 3 6 19" xfId="2770"/>
    <cellStyle name="Total 3 6 19 2" xfId="10593"/>
    <cellStyle name="Total 3 6 19 3" xfId="18021"/>
    <cellStyle name="Total 3 6 19 4" xfId="26646"/>
    <cellStyle name="Total 3 6 19 5" xfId="35488"/>
    <cellStyle name="Total 3 6 19 6" xfId="40224"/>
    <cellStyle name="Total 3 6 19 7" xfId="54384"/>
    <cellStyle name="Total 3 6 2" xfId="638"/>
    <cellStyle name="Total 3 6 2 2" xfId="8462"/>
    <cellStyle name="Total 3 6 2 3" xfId="8298"/>
    <cellStyle name="Total 3 6 2 4" xfId="26429"/>
    <cellStyle name="Total 3 6 2 5" xfId="35196"/>
    <cellStyle name="Total 3 6 2 6" xfId="36554"/>
    <cellStyle name="Total 3 6 2 7" xfId="53919"/>
    <cellStyle name="Total 3 6 20" xfId="2877"/>
    <cellStyle name="Total 3 6 20 2" xfId="10700"/>
    <cellStyle name="Total 3 6 20 3" xfId="18128"/>
    <cellStyle name="Total 3 6 20 4" xfId="25019"/>
    <cellStyle name="Total 3 6 20 5" xfId="33374"/>
    <cellStyle name="Total 3 6 20 6" xfId="37224"/>
    <cellStyle name="Total 3 6 20 7" xfId="50842"/>
    <cellStyle name="Total 3 6 21" xfId="3253"/>
    <cellStyle name="Total 3 6 21 2" xfId="11046"/>
    <cellStyle name="Total 3 6 21 3" xfId="18375"/>
    <cellStyle name="Total 3 6 21 4" xfId="19409"/>
    <cellStyle name="Total 3 6 21 5" xfId="33148"/>
    <cellStyle name="Total 3 6 21 6" xfId="37424"/>
    <cellStyle name="Total 3 6 21 7" xfId="50423"/>
    <cellStyle name="Total 3 6 22" xfId="3373"/>
    <cellStyle name="Total 3 6 22 2" xfId="11164"/>
    <cellStyle name="Total 3 6 22 3" xfId="18486"/>
    <cellStyle name="Total 3 6 22 4" xfId="25796"/>
    <cellStyle name="Total 3 6 22 5" xfId="34368"/>
    <cellStyle name="Total 3 6 22 6" xfId="36550"/>
    <cellStyle name="Total 3 6 22 7" xfId="52554"/>
    <cellStyle name="Total 3 6 23" xfId="3542"/>
    <cellStyle name="Total 3 6 23 2" xfId="11331"/>
    <cellStyle name="Total 3 6 23 3" xfId="18621"/>
    <cellStyle name="Total 3 6 23 4" xfId="19374"/>
    <cellStyle name="Total 3 6 23 5" xfId="28703"/>
    <cellStyle name="Total 3 6 23 6" xfId="38758"/>
    <cellStyle name="Total 3 6 23 7" xfId="50158"/>
    <cellStyle name="Total 3 6 24" xfId="3643"/>
    <cellStyle name="Total 3 6 24 2" xfId="11428"/>
    <cellStyle name="Total 3 6 24 3" xfId="18701"/>
    <cellStyle name="Total 3 6 24 4" xfId="19437"/>
    <cellStyle name="Total 3 6 24 5" xfId="26943"/>
    <cellStyle name="Total 3 6 24 6" xfId="41887"/>
    <cellStyle name="Total 3 6 24 7" xfId="49094"/>
    <cellStyle name="Total 3 6 25" xfId="3774"/>
    <cellStyle name="Total 3 6 25 2" xfId="11556"/>
    <cellStyle name="Total 3 6 25 3" xfId="18813"/>
    <cellStyle name="Total 3 6 25 4" xfId="20207"/>
    <cellStyle name="Total 3 6 25 5" xfId="27207"/>
    <cellStyle name="Total 3 6 25 6" xfId="37530"/>
    <cellStyle name="Total 3 6 25 7" xfId="47475"/>
    <cellStyle name="Total 3 6 26" xfId="3891"/>
    <cellStyle name="Total 3 6 26 2" xfId="11671"/>
    <cellStyle name="Total 3 6 26 3" xfId="18922"/>
    <cellStyle name="Total 3 6 26 4" xfId="25754"/>
    <cellStyle name="Total 3 6 26 5" xfId="34305"/>
    <cellStyle name="Total 3 6 26 6" xfId="40289"/>
    <cellStyle name="Total 3 6 26 7" xfId="52434"/>
    <cellStyle name="Total 3 6 27" xfId="3630"/>
    <cellStyle name="Total 3 6 27 2" xfId="11415"/>
    <cellStyle name="Total 3 6 27 3" xfId="20554"/>
    <cellStyle name="Total 3 6 27 4" xfId="28689"/>
    <cellStyle name="Total 3 6 27 5" xfId="38075"/>
    <cellStyle name="Total 3 6 27 6" xfId="42524"/>
    <cellStyle name="Total 3 6 27 7" xfId="47916"/>
    <cellStyle name="Total 3 6 28" xfId="4088"/>
    <cellStyle name="Total 3 6 28 2" xfId="11848"/>
    <cellStyle name="Total 3 6 28 3" xfId="20798"/>
    <cellStyle name="Total 3 6 28 4" xfId="28985"/>
    <cellStyle name="Total 3 6 28 5" xfId="38364"/>
    <cellStyle name="Total 3 6 28 6" xfId="42650"/>
    <cellStyle name="Total 3 6 28 7" xfId="51792"/>
    <cellStyle name="Total 3 6 29" xfId="4070"/>
    <cellStyle name="Total 3 6 29 2" xfId="20780"/>
    <cellStyle name="Total 3 6 29 3" xfId="28967"/>
    <cellStyle name="Total 3 6 29 4" xfId="38346"/>
    <cellStyle name="Total 3 6 29 5" xfId="42632"/>
    <cellStyle name="Total 3 6 29 6" xfId="50212"/>
    <cellStyle name="Total 3 6 3" xfId="745"/>
    <cellStyle name="Total 3 6 3 2" xfId="8569"/>
    <cellStyle name="Total 3 6 3 3" xfId="15997"/>
    <cellStyle name="Total 3 6 3 4" xfId="24814"/>
    <cellStyle name="Total 3 6 3 5" xfId="28139"/>
    <cellStyle name="Total 3 6 3 6" xfId="36547"/>
    <cellStyle name="Total 3 6 3 7" xfId="48911"/>
    <cellStyle name="Total 3 6 30" xfId="4285"/>
    <cellStyle name="Total 3 6 30 2" xfId="12002"/>
    <cellStyle name="Total 3 6 30 3" xfId="20995"/>
    <cellStyle name="Total 3 6 30 4" xfId="29182"/>
    <cellStyle name="Total 3 6 30 5" xfId="38555"/>
    <cellStyle name="Total 3 6 30 6" xfId="42847"/>
    <cellStyle name="Total 3 6 30 7" xfId="49749"/>
    <cellStyle name="Total 3 6 31" xfId="4408"/>
    <cellStyle name="Total 3 6 31 2" xfId="12125"/>
    <cellStyle name="Total 3 6 31 3" xfId="21118"/>
    <cellStyle name="Total 3 6 31 4" xfId="29305"/>
    <cellStyle name="Total 3 6 31 5" xfId="38675"/>
    <cellStyle name="Total 3 6 31 6" xfId="42970"/>
    <cellStyle name="Total 3 6 31 7" xfId="54492"/>
    <cellStyle name="Total 3 6 32" xfId="4522"/>
    <cellStyle name="Total 3 6 32 2" xfId="12239"/>
    <cellStyle name="Total 3 6 32 3" xfId="21232"/>
    <cellStyle name="Total 3 6 32 4" xfId="29419"/>
    <cellStyle name="Total 3 6 32 5" xfId="38783"/>
    <cellStyle name="Total 3 6 32 6" xfId="43084"/>
    <cellStyle name="Total 3 6 32 7" xfId="49304"/>
    <cellStyle name="Total 3 6 33" xfId="4635"/>
    <cellStyle name="Total 3 6 33 2" xfId="12352"/>
    <cellStyle name="Total 3 6 33 3" xfId="21345"/>
    <cellStyle name="Total 3 6 33 4" xfId="29532"/>
    <cellStyle name="Total 3 6 33 5" xfId="38891"/>
    <cellStyle name="Total 3 6 33 6" xfId="43197"/>
    <cellStyle name="Total 3 6 33 7" xfId="53604"/>
    <cellStyle name="Total 3 6 34" xfId="4747"/>
    <cellStyle name="Total 3 6 34 2" xfId="12464"/>
    <cellStyle name="Total 3 6 34 3" xfId="21457"/>
    <cellStyle name="Total 3 6 34 4" xfId="29644"/>
    <cellStyle name="Total 3 6 34 5" xfId="38999"/>
    <cellStyle name="Total 3 6 34 6" xfId="43309"/>
    <cellStyle name="Total 3 6 34 7" xfId="47437"/>
    <cellStyle name="Total 3 6 35" xfId="4855"/>
    <cellStyle name="Total 3 6 35 2" xfId="12572"/>
    <cellStyle name="Total 3 6 35 3" xfId="21565"/>
    <cellStyle name="Total 3 6 35 4" xfId="29752"/>
    <cellStyle name="Total 3 6 35 5" xfId="39103"/>
    <cellStyle name="Total 3 6 35 6" xfId="43417"/>
    <cellStyle name="Total 3 6 35 7" xfId="53455"/>
    <cellStyle name="Total 3 6 36" xfId="4967"/>
    <cellStyle name="Total 3 6 36 2" xfId="12684"/>
    <cellStyle name="Total 3 6 36 3" xfId="21677"/>
    <cellStyle name="Total 3 6 36 4" xfId="29864"/>
    <cellStyle name="Total 3 6 36 5" xfId="39211"/>
    <cellStyle name="Total 3 6 36 6" xfId="43529"/>
    <cellStyle name="Total 3 6 36 7" xfId="51030"/>
    <cellStyle name="Total 3 6 37" xfId="5144"/>
    <cellStyle name="Total 3 6 37 2" xfId="12861"/>
    <cellStyle name="Total 3 6 37 3" xfId="21854"/>
    <cellStyle name="Total 3 6 37 4" xfId="30041"/>
    <cellStyle name="Total 3 6 37 5" xfId="39380"/>
    <cellStyle name="Total 3 6 37 6" xfId="43706"/>
    <cellStyle name="Total 3 6 37 7" xfId="53654"/>
    <cellStyle name="Total 3 6 38" xfId="5465"/>
    <cellStyle name="Total 3 6 38 2" xfId="13182"/>
    <cellStyle name="Total 3 6 38 3" xfId="22175"/>
    <cellStyle name="Total 3 6 38 4" xfId="30362"/>
    <cellStyle name="Total 3 6 38 5" xfId="39690"/>
    <cellStyle name="Total 3 6 38 6" xfId="44027"/>
    <cellStyle name="Total 3 6 38 7" xfId="52325"/>
    <cellStyle name="Total 3 6 39" xfId="5590"/>
    <cellStyle name="Total 3 6 39 2" xfId="13307"/>
    <cellStyle name="Total 3 6 39 3" xfId="22300"/>
    <cellStyle name="Total 3 6 39 4" xfId="30487"/>
    <cellStyle name="Total 3 6 39 5" xfId="39809"/>
    <cellStyle name="Total 3 6 39 6" xfId="44152"/>
    <cellStyle name="Total 3 6 39 7" xfId="47148"/>
    <cellStyle name="Total 3 6 4" xfId="857"/>
    <cellStyle name="Total 3 6 4 2" xfId="8681"/>
    <cellStyle name="Total 3 6 4 3" xfId="16109"/>
    <cellStyle name="Total 3 6 4 4" xfId="24825"/>
    <cellStyle name="Total 3 6 4 5" xfId="27475"/>
    <cellStyle name="Total 3 6 4 6" xfId="36530"/>
    <cellStyle name="Total 3 6 4 7" xfId="49647"/>
    <cellStyle name="Total 3 6 40" xfId="5705"/>
    <cellStyle name="Total 3 6 40 2" xfId="13422"/>
    <cellStyle name="Total 3 6 40 3" xfId="22415"/>
    <cellStyle name="Total 3 6 40 4" xfId="30602"/>
    <cellStyle name="Total 3 6 40 5" xfId="39920"/>
    <cellStyle name="Total 3 6 40 6" xfId="44267"/>
    <cellStyle name="Total 3 6 40 7" xfId="47077"/>
    <cellStyle name="Total 3 6 41" xfId="5822"/>
    <cellStyle name="Total 3 6 41 2" xfId="13539"/>
    <cellStyle name="Total 3 6 41 3" xfId="22532"/>
    <cellStyle name="Total 3 6 41 4" xfId="30719"/>
    <cellStyle name="Total 3 6 41 5" xfId="40034"/>
    <cellStyle name="Total 3 6 41 6" xfId="44384"/>
    <cellStyle name="Total 3 6 41 7" xfId="50909"/>
    <cellStyle name="Total 3 6 42" xfId="5950"/>
    <cellStyle name="Total 3 6 42 2" xfId="13667"/>
    <cellStyle name="Total 3 6 42 3" xfId="22660"/>
    <cellStyle name="Total 3 6 42 4" xfId="30847"/>
    <cellStyle name="Total 3 6 42 5" xfId="40158"/>
    <cellStyle name="Total 3 6 42 6" xfId="44512"/>
    <cellStyle name="Total 3 6 42 7" xfId="52483"/>
    <cellStyle name="Total 3 6 43" xfId="6123"/>
    <cellStyle name="Total 3 6 43 2" xfId="13840"/>
    <cellStyle name="Total 3 6 43 3" xfId="22833"/>
    <cellStyle name="Total 3 6 43 4" xfId="31020"/>
    <cellStyle name="Total 3 6 43 5" xfId="40322"/>
    <cellStyle name="Total 3 6 43 6" xfId="44685"/>
    <cellStyle name="Total 3 6 43 7" xfId="48868"/>
    <cellStyle name="Total 3 6 44" xfId="6206"/>
    <cellStyle name="Total 3 6 44 2" xfId="13923"/>
    <cellStyle name="Total 3 6 44 3" xfId="22916"/>
    <cellStyle name="Total 3 6 44 4" xfId="31103"/>
    <cellStyle name="Total 3 6 44 5" xfId="40404"/>
    <cellStyle name="Total 3 6 44 6" xfId="44768"/>
    <cellStyle name="Total 3 6 44 7" xfId="47983"/>
    <cellStyle name="Total 3 6 45" xfId="6323"/>
    <cellStyle name="Total 3 6 45 2" xfId="14040"/>
    <cellStyle name="Total 3 6 45 3" xfId="23033"/>
    <cellStyle name="Total 3 6 45 4" xfId="31220"/>
    <cellStyle name="Total 3 6 45 5" xfId="40520"/>
    <cellStyle name="Total 3 6 45 6" xfId="44885"/>
    <cellStyle name="Total 3 6 45 7" xfId="51564"/>
    <cellStyle name="Total 3 6 46" xfId="6433"/>
    <cellStyle name="Total 3 6 46 2" xfId="14150"/>
    <cellStyle name="Total 3 6 46 3" xfId="23143"/>
    <cellStyle name="Total 3 6 46 4" xfId="31330"/>
    <cellStyle name="Total 3 6 46 5" xfId="40625"/>
    <cellStyle name="Total 3 6 46 6" xfId="44995"/>
    <cellStyle name="Total 3 6 46 7" xfId="52046"/>
    <cellStyle name="Total 3 6 47" xfId="5183"/>
    <cellStyle name="Total 3 6 47 2" xfId="12900"/>
    <cellStyle name="Total 3 6 47 3" xfId="21893"/>
    <cellStyle name="Total 3 6 47 4" xfId="30080"/>
    <cellStyle name="Total 3 6 47 5" xfId="39419"/>
    <cellStyle name="Total 3 6 47 6" xfId="43745"/>
    <cellStyle name="Total 3 6 47 7" xfId="51061"/>
    <cellStyle name="Total 3 6 48" xfId="6580"/>
    <cellStyle name="Total 3 6 48 2" xfId="14297"/>
    <cellStyle name="Total 3 6 48 3" xfId="23290"/>
    <cellStyle name="Total 3 6 48 4" xfId="31477"/>
    <cellStyle name="Total 3 6 48 5" xfId="40765"/>
    <cellStyle name="Total 3 6 48 6" xfId="45142"/>
    <cellStyle name="Total 3 6 48 7" xfId="53157"/>
    <cellStyle name="Total 3 6 49" xfId="6691"/>
    <cellStyle name="Total 3 6 49 2" xfId="14408"/>
    <cellStyle name="Total 3 6 49 3" xfId="23401"/>
    <cellStyle name="Total 3 6 49 4" xfId="31588"/>
    <cellStyle name="Total 3 6 49 5" xfId="40872"/>
    <cellStyle name="Total 3 6 49 6" xfId="45253"/>
    <cellStyle name="Total 3 6 49 7" xfId="48798"/>
    <cellStyle name="Total 3 6 5" xfId="1322"/>
    <cellStyle name="Total 3 6 5 2" xfId="9145"/>
    <cellStyle name="Total 3 6 5 3" xfId="16573"/>
    <cellStyle name="Total 3 6 5 4" xfId="25575"/>
    <cellStyle name="Total 3 6 5 5" xfId="34078"/>
    <cellStyle name="Total 3 6 5 6" xfId="39508"/>
    <cellStyle name="Total 3 6 5 7" xfId="52037"/>
    <cellStyle name="Total 3 6 50" xfId="6806"/>
    <cellStyle name="Total 3 6 50 2" xfId="14523"/>
    <cellStyle name="Total 3 6 50 3" xfId="23516"/>
    <cellStyle name="Total 3 6 50 4" xfId="31703"/>
    <cellStyle name="Total 3 6 50 5" xfId="40981"/>
    <cellStyle name="Total 3 6 50 6" xfId="45368"/>
    <cellStyle name="Total 3 6 50 7" xfId="51309"/>
    <cellStyle name="Total 3 6 51" xfId="6919"/>
    <cellStyle name="Total 3 6 51 2" xfId="14636"/>
    <cellStyle name="Total 3 6 51 3" xfId="23629"/>
    <cellStyle name="Total 3 6 51 4" xfId="31816"/>
    <cellStyle name="Total 3 6 51 5" xfId="41088"/>
    <cellStyle name="Total 3 6 51 6" xfId="45481"/>
    <cellStyle name="Total 3 6 51 7" xfId="47047"/>
    <cellStyle name="Total 3 6 52" xfId="7031"/>
    <cellStyle name="Total 3 6 52 2" xfId="14748"/>
    <cellStyle name="Total 3 6 52 3" xfId="23741"/>
    <cellStyle name="Total 3 6 52 4" xfId="31928"/>
    <cellStyle name="Total 3 6 52 5" xfId="41195"/>
    <cellStyle name="Total 3 6 52 6" xfId="45593"/>
    <cellStyle name="Total 3 6 52 7" xfId="54545"/>
    <cellStyle name="Total 3 6 53" xfId="7232"/>
    <cellStyle name="Total 3 6 53 2" xfId="14949"/>
    <cellStyle name="Total 3 6 53 3" xfId="23942"/>
    <cellStyle name="Total 3 6 53 4" xfId="32129"/>
    <cellStyle name="Total 3 6 53 5" xfId="41387"/>
    <cellStyle name="Total 3 6 53 6" xfId="45794"/>
    <cellStyle name="Total 3 6 53 7" xfId="51755"/>
    <cellStyle name="Total 3 6 54" xfId="7281"/>
    <cellStyle name="Total 3 6 54 2" xfId="14998"/>
    <cellStyle name="Total 3 6 54 3" xfId="23991"/>
    <cellStyle name="Total 3 6 54 4" xfId="32178"/>
    <cellStyle name="Total 3 6 54 5" xfId="41434"/>
    <cellStyle name="Total 3 6 54 6" xfId="45843"/>
    <cellStyle name="Total 3 6 54 7" xfId="51150"/>
    <cellStyle name="Total 3 6 55" xfId="7428"/>
    <cellStyle name="Total 3 6 55 2" xfId="15145"/>
    <cellStyle name="Total 3 6 55 3" xfId="24138"/>
    <cellStyle name="Total 3 6 55 4" xfId="32325"/>
    <cellStyle name="Total 3 6 55 5" xfId="41577"/>
    <cellStyle name="Total 3 6 55 6" xfId="45990"/>
    <cellStyle name="Total 3 6 55 7" xfId="50510"/>
    <cellStyle name="Total 3 6 56" xfId="7549"/>
    <cellStyle name="Total 3 6 56 2" xfId="15266"/>
    <cellStyle name="Total 3 6 56 3" xfId="24259"/>
    <cellStyle name="Total 3 6 56 4" xfId="32446"/>
    <cellStyle name="Total 3 6 56 5" xfId="41692"/>
    <cellStyle name="Total 3 6 56 6" xfId="46111"/>
    <cellStyle name="Total 3 6 56 7" xfId="51919"/>
    <cellStyle name="Total 3 6 57" xfId="7825"/>
    <cellStyle name="Total 3 6 57 2" xfId="15542"/>
    <cellStyle name="Total 3 6 57 3" xfId="24529"/>
    <cellStyle name="Total 3 6 57 4" xfId="32722"/>
    <cellStyle name="Total 3 6 57 5" xfId="41957"/>
    <cellStyle name="Total 3 6 57 6" xfId="46387"/>
    <cellStyle name="Total 3 6 57 7" xfId="53529"/>
    <cellStyle name="Total 3 6 58" xfId="7931"/>
    <cellStyle name="Total 3 6 58 2" xfId="15648"/>
    <cellStyle name="Total 3 6 58 3" xfId="24635"/>
    <cellStyle name="Total 3 6 58 4" xfId="32828"/>
    <cellStyle name="Total 3 6 58 5" xfId="42059"/>
    <cellStyle name="Total 3 6 58 6" xfId="46493"/>
    <cellStyle name="Total 3 6 58 7" xfId="49553"/>
    <cellStyle name="Total 3 6 59" xfId="8000"/>
    <cellStyle name="Total 3 6 59 2" xfId="15717"/>
    <cellStyle name="Total 3 6 59 3" xfId="24702"/>
    <cellStyle name="Total 3 6 59 4" xfId="32897"/>
    <cellStyle name="Total 3 6 59 5" xfId="42123"/>
    <cellStyle name="Total 3 6 59 6" xfId="46562"/>
    <cellStyle name="Total 3 6 59 7" xfId="49890"/>
    <cellStyle name="Total 3 6 6" xfId="1445"/>
    <cellStyle name="Total 3 6 6 2" xfId="9268"/>
    <cellStyle name="Total 3 6 6 3" xfId="16696"/>
    <cellStyle name="Total 3 6 6 4" xfId="25311"/>
    <cellStyle name="Total 3 6 6 5" xfId="33727"/>
    <cellStyle name="Total 3 6 6 6" xfId="39368"/>
    <cellStyle name="Total 3 6 6 7" xfId="51445"/>
    <cellStyle name="Total 3 6 60" xfId="8101"/>
    <cellStyle name="Total 3 6 60 2" xfId="15818"/>
    <cellStyle name="Total 3 6 60 3" xfId="32998"/>
    <cellStyle name="Total 3 6 60 4" xfId="42220"/>
    <cellStyle name="Total 3 6 60 5" xfId="46663"/>
    <cellStyle name="Total 3 6 60 6" xfId="54200"/>
    <cellStyle name="Total 3 6 61" xfId="26202"/>
    <cellStyle name="Total 3 6 62" xfId="34884"/>
    <cellStyle name="Total 3 6 63" xfId="37675"/>
    <cellStyle name="Total 3 6 64" xfId="53429"/>
    <cellStyle name="Total 3 6 7" xfId="1002"/>
    <cellStyle name="Total 3 6 7 2" xfId="8826"/>
    <cellStyle name="Total 3 6 7 3" xfId="16254"/>
    <cellStyle name="Total 3 6 7 4" xfId="20309"/>
    <cellStyle name="Total 3 6 7 5" xfId="27973"/>
    <cellStyle name="Total 3 6 7 6" xfId="37258"/>
    <cellStyle name="Total 3 6 7 7" xfId="49627"/>
    <cellStyle name="Total 3 6 8" xfId="1682"/>
    <cellStyle name="Total 3 6 8 2" xfId="9505"/>
    <cellStyle name="Total 3 6 8 3" xfId="16933"/>
    <cellStyle name="Total 3 6 8 4" xfId="19687"/>
    <cellStyle name="Total 3 6 8 5" xfId="27416"/>
    <cellStyle name="Total 3 6 8 6" xfId="37872"/>
    <cellStyle name="Total 3 6 8 7" xfId="48845"/>
    <cellStyle name="Total 3 6 9" xfId="1816"/>
    <cellStyle name="Total 3 6 9 2" xfId="9639"/>
    <cellStyle name="Total 3 6 9 3" xfId="17067"/>
    <cellStyle name="Total 3 6 9 4" xfId="19649"/>
    <cellStyle name="Total 3 6 9 5" xfId="26941"/>
    <cellStyle name="Total 3 6 9 6" xfId="39285"/>
    <cellStyle name="Total 3 6 9 7" xfId="49090"/>
    <cellStyle name="Total 3 7" xfId="228"/>
    <cellStyle name="Total 3 7 2" xfId="8332"/>
    <cellStyle name="Total 3 7 3" xfId="8254"/>
    <cellStyle name="Total 3 7 4" xfId="19968"/>
    <cellStyle name="Total 3 7 5" xfId="33122"/>
    <cellStyle name="Total 3 7 6" xfId="36836"/>
    <cellStyle name="Total 3 7 7" xfId="50375"/>
    <cellStyle name="Total 3 8" xfId="233"/>
    <cellStyle name="Total 3 8 2" xfId="8337"/>
    <cellStyle name="Total 3 8 3" xfId="8252"/>
    <cellStyle name="Total 3 8 4" xfId="19492"/>
    <cellStyle name="Total 3 8 5" xfId="28041"/>
    <cellStyle name="Total 3 8 6" xfId="38183"/>
    <cellStyle name="Total 3 8 7" xfId="49520"/>
    <cellStyle name="Total 3 9" xfId="1217"/>
    <cellStyle name="Total 3 9 2" xfId="9040"/>
    <cellStyle name="Total 3 9 3" xfId="16468"/>
    <cellStyle name="Total 3 9 4" xfId="19362"/>
    <cellStyle name="Total 3 9 5" xfId="27832"/>
    <cellStyle name="Total 3 9 6" xfId="39760"/>
    <cellStyle name="Total 3 9 7" xfId="50017"/>
    <cellStyle name="Warning Text 2" xfId="167"/>
    <cellStyle name="Warning Text 3" xfId="166"/>
    <cellStyle name="표준_ENERGY CONSUMP" xfId="451"/>
    <cellStyle name="常规_海外市场服务网站资料操作BOM" xfId="452"/>
  </cellStyles>
  <dxfs count="0"/>
  <tableStyles count="0" defaultTableStyle="TableStyleMedium9" defaultPivotStyle="PivotStyleLight16"/>
  <colors>
    <mruColors>
      <color rgb="FF538ED5"/>
      <color rgb="FF8DB4E2"/>
      <color rgb="FFB1A0C7"/>
      <color rgb="FF0070C0"/>
      <color rgb="FFDBC500"/>
      <color rgb="FFFFFF99"/>
      <color rgb="FF8DB4E3"/>
      <color rgb="FFFABF8F"/>
      <color rgb="FF60497B"/>
      <color rgb="FF006A7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136"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2016-2017 Portfolio View'!A1"/><Relationship Id="rId1" Type="http://schemas.openxmlformats.org/officeDocument/2006/relationships/hyperlink" Target="#'Budget Category Descriptions'!A1"/></Relationships>
</file>

<file path=xl/drawings/_rels/drawing10.xml.rels><?xml version="1.0" encoding="UTF-8" standalone="yes"?>
<Relationships xmlns="http://schemas.openxmlformats.org/package/2006/relationships"><Relationship Id="rId3" Type="http://schemas.openxmlformats.org/officeDocument/2006/relationships/hyperlink" Target="#'2016 Sector View Elect'!A1"/><Relationship Id="rId2" Type="http://schemas.openxmlformats.org/officeDocument/2006/relationships/hyperlink" Target="#'2-yr Sector View Electric'!A1"/><Relationship Id="rId1" Type="http://schemas.openxmlformats.org/officeDocument/2006/relationships/hyperlink" Target="#'Portfolio--2017 only'!A1"/><Relationship Id="rId4" Type="http://schemas.openxmlformats.org/officeDocument/2006/relationships/hyperlink" Target="#'2-yr Sector View Gas'!A1"/></Relationships>
</file>

<file path=xl/drawings/_rels/drawing100.xml.rels><?xml version="1.0" encoding="UTF-8" standalone="yes"?>
<Relationships xmlns="http://schemas.openxmlformats.org/package/2006/relationships"><Relationship Id="rId2" Type="http://schemas.openxmlformats.org/officeDocument/2006/relationships/hyperlink" Target="#'Brochures Detail_PSCE Elec'!A1"/><Relationship Id="rId1" Type="http://schemas.openxmlformats.org/officeDocument/2006/relationships/hyperlink" Target="#'2-yr Sector View Gas'!A1"/></Relationships>
</file>

<file path=xl/drawings/_rels/drawing101.xml.rels><?xml version="1.0" encoding="UTF-8" standalone="yes"?>
<Relationships xmlns="http://schemas.openxmlformats.org/package/2006/relationships"><Relationship Id="rId2" Type="http://schemas.openxmlformats.org/officeDocument/2006/relationships/hyperlink" Target="#'Educatn Detail_PSCE E202 Elec'!A1"/><Relationship Id="rId1" Type="http://schemas.openxmlformats.org/officeDocument/2006/relationships/hyperlink" Target="#'2-yr Sector View Gas'!A1"/></Relationships>
</file>

<file path=xl/drawings/_rels/drawing102.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2016-2017 Portfolio View'!A1"/></Relationships>
</file>

<file path=xl/drawings/_rels/drawing103.xml.rels><?xml version="1.0" encoding="UTF-8" standalone="yes"?>
<Relationships xmlns="http://schemas.openxmlformats.org/package/2006/relationships"><Relationship Id="rId2" Type="http://schemas.openxmlformats.org/officeDocument/2006/relationships/hyperlink" Target="#'CustOnline Detail_PSWE_Elec'!A1"/><Relationship Id="rId1" Type="http://schemas.openxmlformats.org/officeDocument/2006/relationships/hyperlink" Target="#'2-yr Sector View Gas'!A1"/></Relationships>
</file>

<file path=xl/drawings/_rels/drawing104.xml.rels><?xml version="1.0" encoding="UTF-8" standalone="yes"?>
<Relationships xmlns="http://schemas.openxmlformats.org/package/2006/relationships"><Relationship Id="rId2" Type="http://schemas.openxmlformats.org/officeDocument/2006/relationships/hyperlink" Target="#'Mkt Intgn Detail_PSWE_Elec'!A1"/><Relationship Id="rId1" Type="http://schemas.openxmlformats.org/officeDocument/2006/relationships/hyperlink" Target="#'2-yr Sector View Gas'!A1"/></Relationships>
</file>

<file path=xl/drawings/_rels/drawing105.xml.rels><?xml version="1.0" encoding="UTF-8" standalone="yes"?>
<Relationships xmlns="http://schemas.openxmlformats.org/package/2006/relationships"><Relationship Id="rId2" Type="http://schemas.openxmlformats.org/officeDocument/2006/relationships/hyperlink" Target="#'ABS Detail_PSWE_Elec'!A1"/><Relationship Id="rId1" Type="http://schemas.openxmlformats.org/officeDocument/2006/relationships/hyperlink" Target="#'2-yr Sector View Gas'!A1"/></Relationships>
</file>

<file path=xl/drawings/_rels/drawing106.xml.rels><?xml version="1.0" encoding="UTF-8" standalone="yes"?>
<Relationships xmlns="http://schemas.openxmlformats.org/package/2006/relationships"><Relationship Id="rId2" Type="http://schemas.openxmlformats.org/officeDocument/2006/relationships/hyperlink" Target="#'Rebt Procg Detail_Elect'!A1"/><Relationship Id="rId1" Type="http://schemas.openxmlformats.org/officeDocument/2006/relationships/hyperlink" Target="#'2-yr Sector View Gas'!A1"/></Relationships>
</file>

<file path=xl/drawings/_rels/drawing107.xml.rels><?xml version="1.0" encoding="UTF-8" standalone="yes"?>
<Relationships xmlns="http://schemas.openxmlformats.org/package/2006/relationships"><Relationship Id="rId2" Type="http://schemas.openxmlformats.org/officeDocument/2006/relationships/hyperlink" Target="#'Progs Supp Detail_PS_ Elec'!A1"/><Relationship Id="rId1" Type="http://schemas.openxmlformats.org/officeDocument/2006/relationships/hyperlink" Target="#'2-yr Sector View Gas'!A1"/></Relationships>
</file>

<file path=xl/drawings/_rels/drawing108.xml.rels><?xml version="1.0" encoding="UTF-8" standalone="yes"?>
<Relationships xmlns="http://schemas.openxmlformats.org/package/2006/relationships"><Relationship Id="rId2" Type="http://schemas.openxmlformats.org/officeDocument/2006/relationships/hyperlink" Target="#'Data &amp; Systm Svcs_Elect'!A1"/><Relationship Id="rId1" Type="http://schemas.openxmlformats.org/officeDocument/2006/relationships/hyperlink" Target="#'2-yr Sector View Gas'!A1"/></Relationships>
</file>

<file path=xl/drawings/_rels/drawing109.xml.rels><?xml version="1.0" encoding="UTF-8" standalone="yes"?>
<Relationships xmlns="http://schemas.openxmlformats.org/package/2006/relationships"><Relationship Id="rId2" Type="http://schemas.openxmlformats.org/officeDocument/2006/relationships/hyperlink" Target="#'EEC Detail_PS_Elec'!A1"/><Relationship Id="rId1" Type="http://schemas.openxmlformats.org/officeDocument/2006/relationships/hyperlink" Target="#'2-yr Sector View Gas'!A1"/></Relationships>
</file>

<file path=xl/drawings/_rels/drawing11.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016 Sector View Gas'!A1"/><Relationship Id="rId1" Type="http://schemas.openxmlformats.org/officeDocument/2006/relationships/hyperlink" Target="#'2016-2017 Portfolio View'!A1"/><Relationship Id="rId4" Type="http://schemas.openxmlformats.org/officeDocument/2006/relationships/hyperlink" Target="#'2-yr Sector View Electric'!A1"/></Relationships>
</file>

<file path=xl/drawings/_rels/drawing110.xml.rels><?xml version="1.0" encoding="UTF-8" standalone="yes"?>
<Relationships xmlns="http://schemas.openxmlformats.org/package/2006/relationships"><Relationship Id="rId2" Type="http://schemas.openxmlformats.org/officeDocument/2006/relationships/hyperlink" Target="#'TradeAlly Detail_PS_ Elec'!A1"/><Relationship Id="rId1" Type="http://schemas.openxmlformats.org/officeDocument/2006/relationships/hyperlink" Target="#'2-yr Sector View Gas'!A1"/></Relationships>
</file>

<file path=xl/drawings/_rels/drawing111.xml.rels><?xml version="1.0" encoding="UTF-8" standalone="yes"?>
<Relationships xmlns="http://schemas.openxmlformats.org/package/2006/relationships"><Relationship Id="rId2" Type="http://schemas.openxmlformats.org/officeDocument/2006/relationships/hyperlink" Target="#CAN_Elect!A1"/><Relationship Id="rId1" Type="http://schemas.openxmlformats.org/officeDocument/2006/relationships/hyperlink" Target="#'2-yr Sector View Gas'!A1"/></Relationships>
</file>

<file path=xl/drawings/_rels/drawing112.xml.rels><?xml version="1.0" encoding="UTF-8" standalone="yes"?>
<Relationships xmlns="http://schemas.openxmlformats.org/package/2006/relationships"><Relationship Id="rId2" Type="http://schemas.openxmlformats.org/officeDocument/2006/relationships/hyperlink" Target="#'Supp Crv Detail_R&amp;C_gas'!A1"/><Relationship Id="rId1" Type="http://schemas.openxmlformats.org/officeDocument/2006/relationships/hyperlink" Target="#'2-yr Sector View Electric'!A1"/></Relationships>
</file>

<file path=xl/drawings/_rels/drawing113.xml.rels><?xml version="1.0" encoding="UTF-8" standalone="yes"?>
<Relationships xmlns="http://schemas.openxmlformats.org/package/2006/relationships"><Relationship Id="rId2" Type="http://schemas.openxmlformats.org/officeDocument/2006/relationships/hyperlink" Target="#'Strat Pln Detail_R&amp;C_Gas'!A1"/><Relationship Id="rId1" Type="http://schemas.openxmlformats.org/officeDocument/2006/relationships/hyperlink" Target="#'2-yr Sector View Electric'!A1"/></Relationships>
</file>

<file path=xl/drawings/_rels/drawing114.xml.rels><?xml version="1.0" encoding="UTF-8" standalone="yes"?>
<Relationships xmlns="http://schemas.openxmlformats.org/package/2006/relationships"><Relationship Id="rId2" Type="http://schemas.openxmlformats.org/officeDocument/2006/relationships/hyperlink" Target="#'Mktg Rsch Detail_PS_gas'!A1"/><Relationship Id="rId1" Type="http://schemas.openxmlformats.org/officeDocument/2006/relationships/hyperlink" Target="#'2-yr Sector View Electric'!A1"/></Relationships>
</file>

<file path=xl/drawings/_rels/drawing115.xml.rels><?xml version="1.0" encoding="UTF-8" standalone="yes"?>
<Relationships xmlns="http://schemas.openxmlformats.org/package/2006/relationships"><Relationship Id="rId2" Type="http://schemas.openxmlformats.org/officeDocument/2006/relationships/hyperlink" Target="#'Eval Detail_R&amp;C_Gas'!A1"/><Relationship Id="rId1" Type="http://schemas.openxmlformats.org/officeDocument/2006/relationships/hyperlink" Target="#'2-yr Sector View Electric'!A1"/></Relationships>
</file>

<file path=xl/drawings/_rels/drawing116.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17.xml.rels><?xml version="1.0" encoding="UTF-8" standalone="yes"?>
<Relationships xmlns="http://schemas.openxmlformats.org/package/2006/relationships"><Relationship Id="rId2" Type="http://schemas.openxmlformats.org/officeDocument/2006/relationships/hyperlink" Target="#'Verifctn team Detail Gas'!A1"/><Relationship Id="rId1" Type="http://schemas.openxmlformats.org/officeDocument/2006/relationships/hyperlink" Target="#'2-yr Sector View Electric'!A1"/></Relationships>
</file>

<file path=xl/drawings/_rels/drawing118.xml.rels><?xml version="1.0" encoding="UTF-8" standalone="yes"?>
<Relationships xmlns="http://schemas.openxmlformats.org/package/2006/relationships"><Relationship Id="rId2" Type="http://schemas.openxmlformats.org/officeDocument/2006/relationships/hyperlink" Target="#'SuppCrv Detail_R&amp;C_Elec'!A1"/><Relationship Id="rId1" Type="http://schemas.openxmlformats.org/officeDocument/2006/relationships/hyperlink" Target="#'2-yr Sector View Gas'!A1"/></Relationships>
</file>

<file path=xl/drawings/_rels/drawing119.xml.rels><?xml version="1.0" encoding="UTF-8" standalone="yes"?>
<Relationships xmlns="http://schemas.openxmlformats.org/package/2006/relationships"><Relationship Id="rId2" Type="http://schemas.openxmlformats.org/officeDocument/2006/relationships/hyperlink" Target="#'Strat Plan Detail_R&amp;C_Elec'!A1"/><Relationship Id="rId1" Type="http://schemas.openxmlformats.org/officeDocument/2006/relationships/hyperlink" Target="#'2-yr Sector View Gas'!A1"/></Relationships>
</file>

<file path=xl/drawings/_rels/drawing12.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yr Sector View Gas'!A1"/><Relationship Id="rId1" Type="http://schemas.openxmlformats.org/officeDocument/2006/relationships/hyperlink" Target="#'Portfolio--2016 only'!A1"/><Relationship Id="rId4" Type="http://schemas.openxmlformats.org/officeDocument/2006/relationships/hyperlink" Target="#'2-yr Sector View Electric'!A1"/></Relationships>
</file>

<file path=xl/drawings/_rels/drawing120.xml.rels><?xml version="1.0" encoding="UTF-8" standalone="yes"?>
<Relationships xmlns="http://schemas.openxmlformats.org/package/2006/relationships"><Relationship Id="rId2" Type="http://schemas.openxmlformats.org/officeDocument/2006/relationships/hyperlink" Target="#'Mktg Resch Detail_PS_ Elec'!A1"/><Relationship Id="rId1" Type="http://schemas.openxmlformats.org/officeDocument/2006/relationships/hyperlink" Target="#'2-yr Sector View Gas'!A1"/></Relationships>
</file>

<file path=xl/drawings/_rels/drawing121.xml.rels><?xml version="1.0" encoding="UTF-8" standalone="yes"?>
<Relationships xmlns="http://schemas.openxmlformats.org/package/2006/relationships"><Relationship Id="rId2" Type="http://schemas.openxmlformats.org/officeDocument/2006/relationships/hyperlink" Target="#'Eval Detail_R&amp;C_Elec'!A1"/><Relationship Id="rId1" Type="http://schemas.openxmlformats.org/officeDocument/2006/relationships/hyperlink" Target="#'2-yr Sector View Gas'!A1"/></Relationships>
</file>

<file path=xl/drawings/_rels/drawing122.xml.rels><?xml version="1.0" encoding="UTF-8" standalone="yes"?>
<Relationships xmlns="http://schemas.openxmlformats.org/package/2006/relationships"><Relationship Id="rId2" Type="http://schemas.openxmlformats.org/officeDocument/2006/relationships/hyperlink" Target="#'Verifctn Team Detail Elec'!A1"/><Relationship Id="rId1" Type="http://schemas.openxmlformats.org/officeDocument/2006/relationships/hyperlink" Target="#'2-yr Sector View Gas'!A1"/></Relationships>
</file>

<file path=xl/drawings/_rels/drawing12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24.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13.xml.rels><?xml version="1.0" encoding="UTF-8" standalone="yes"?>
<Relationships xmlns="http://schemas.openxmlformats.org/package/2006/relationships"><Relationship Id="rId3" Type="http://schemas.openxmlformats.org/officeDocument/2006/relationships/hyperlink" Target="#'2016 Sector View Gas'!A1"/><Relationship Id="rId2" Type="http://schemas.openxmlformats.org/officeDocument/2006/relationships/hyperlink" Target="#'2-yr Sector View Gas'!A1"/><Relationship Id="rId1" Type="http://schemas.openxmlformats.org/officeDocument/2006/relationships/hyperlink" Target="#'Portfolio--2017 only'!A1"/><Relationship Id="rId4" Type="http://schemas.openxmlformats.org/officeDocument/2006/relationships/hyperlink" Target="#'2-yr Sector View Electric'!A1"/></Relationships>
</file>

<file path=xl/drawings/_rels/drawing14.xml.rels><?xml version="1.0" encoding="UTF-8" standalone="yes"?>
<Relationships xmlns="http://schemas.openxmlformats.org/package/2006/relationships"><Relationship Id="rId2" Type="http://schemas.openxmlformats.org/officeDocument/2006/relationships/hyperlink" Target="#'LowIncWx Detail_REM G201 Gas'!A1"/><Relationship Id="rId1" Type="http://schemas.openxmlformats.org/officeDocument/2006/relationships/hyperlink" Target="#'2-yr Sector View Electric'!A1"/></Relationships>
</file>

<file path=xl/drawings/_rels/drawing15.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016-2017 Portfolio View'!A1"/><Relationship Id="rId1" Type="http://schemas.openxmlformats.org/officeDocument/2006/relationships/hyperlink" Target="#'2-yr Sector View Electric'!A1"/></Relationships>
</file>

<file path=xl/drawings/_rels/drawing16.xml.rels><?xml version="1.0" encoding="UTF-8" standalone="yes"?>
<Relationships xmlns="http://schemas.openxmlformats.org/package/2006/relationships"><Relationship Id="rId2" Type="http://schemas.openxmlformats.org/officeDocument/2006/relationships/hyperlink" Target="#'HmEnrgyAsmt Detail_REM G214 Gas'!A1"/><Relationship Id="rId1" Type="http://schemas.openxmlformats.org/officeDocument/2006/relationships/hyperlink" Target="#'2-yr Sector View Electric'!A1"/></Relationships>
</file>

<file path=xl/drawings/_rels/drawing17.xml.rels><?xml version="1.0" encoding="UTF-8" standalone="yes"?>
<Relationships xmlns="http://schemas.openxmlformats.org/package/2006/relationships"><Relationship Id="rId2" Type="http://schemas.openxmlformats.org/officeDocument/2006/relationships/hyperlink" Target="#'WtrHeat Detail_REM G214 Gas'!A1"/><Relationship Id="rId1" Type="http://schemas.openxmlformats.org/officeDocument/2006/relationships/hyperlink" Target="#'2-yr Sector View Electric'!A1"/></Relationships>
</file>

<file path=xl/drawings/_rels/drawing18.xml.rels><?xml version="1.0" encoding="UTF-8" standalone="yes"?>
<Relationships xmlns="http://schemas.openxmlformats.org/package/2006/relationships"><Relationship Id="rId2" Type="http://schemas.openxmlformats.org/officeDocument/2006/relationships/hyperlink" Target="#'Wx Detail_REM G214 Gas'!A1"/><Relationship Id="rId1" Type="http://schemas.openxmlformats.org/officeDocument/2006/relationships/hyperlink" Target="#'2-yr Sector View Electric'!A1"/></Relationships>
</file>

<file path=xl/drawings/_rels/drawing19.xml.rels><?xml version="1.0" encoding="UTF-8" standalone="yes"?>
<Relationships xmlns="http://schemas.openxmlformats.org/package/2006/relationships"><Relationship Id="rId2" Type="http://schemas.openxmlformats.org/officeDocument/2006/relationships/hyperlink" Target="#'SpHeat Detail_REM G214 Gas'!A1"/><Relationship Id="rId1" Type="http://schemas.openxmlformats.org/officeDocument/2006/relationships/hyperlink" Target="#'2-yr Sector View Electric'!A1"/></Relationships>
</file>

<file path=xl/drawings/_rels/drawing2.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20.xml.rels><?xml version="1.0" encoding="UTF-8" standalone="yes"?>
<Relationships xmlns="http://schemas.openxmlformats.org/package/2006/relationships"><Relationship Id="rId2" Type="http://schemas.openxmlformats.org/officeDocument/2006/relationships/hyperlink" Target="#'HmApplSvgs Detail_REM G214 Gas'!A1"/><Relationship Id="rId1" Type="http://schemas.openxmlformats.org/officeDocument/2006/relationships/hyperlink" Target="#'2-yr Sector View Electric'!A1"/></Relationships>
</file>

<file path=xl/drawings/_rels/drawing21.xml.rels><?xml version="1.0" encoding="UTF-8" standalone="yes"?>
<Relationships xmlns="http://schemas.openxmlformats.org/package/2006/relationships"><Relationship Id="rId2" Type="http://schemas.openxmlformats.org/officeDocument/2006/relationships/hyperlink" Target="#'ShwrHead Detail_REM G214 Gas'!A1"/><Relationship Id="rId1" Type="http://schemas.openxmlformats.org/officeDocument/2006/relationships/hyperlink" Target="#'2-yr Sector View Electric'!A1"/></Relationships>
</file>

<file path=xl/drawings/_rels/drawing22.xml.rels><?xml version="1.0" encoding="UTF-8" standalone="yes"?>
<Relationships xmlns="http://schemas.openxmlformats.org/package/2006/relationships"><Relationship Id="rId2" Type="http://schemas.openxmlformats.org/officeDocument/2006/relationships/hyperlink" Target="#'WebTstat Detail_REM G214 Gas'!A1"/><Relationship Id="rId1" Type="http://schemas.openxmlformats.org/officeDocument/2006/relationships/hyperlink" Target="#'2-yr Sector View Electric'!A1"/></Relationships>
</file>

<file path=xl/drawings/_rels/drawing2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24.xml.rels><?xml version="1.0" encoding="UTF-8" standalone="yes"?>
<Relationships xmlns="http://schemas.openxmlformats.org/package/2006/relationships"><Relationship Id="rId2" Type="http://schemas.openxmlformats.org/officeDocument/2006/relationships/hyperlink" Target="#'MHDS Detail_REM G214 Gas'!A1"/><Relationship Id="rId1" Type="http://schemas.openxmlformats.org/officeDocument/2006/relationships/hyperlink" Target="#'2-yr Sector View Electric'!A1"/></Relationships>
</file>

<file path=xl/drawings/_rels/drawing25.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26.xml.rels><?xml version="1.0" encoding="UTF-8" standalone="yes"?>
<Relationships xmlns="http://schemas.openxmlformats.org/package/2006/relationships"><Relationship Id="rId2" Type="http://schemas.openxmlformats.org/officeDocument/2006/relationships/hyperlink" Target="#'HER Detail_REM G214 gas'!A1"/><Relationship Id="rId1" Type="http://schemas.openxmlformats.org/officeDocument/2006/relationships/hyperlink" Target="#'2-yr Sector View Electric'!A1"/></Relationships>
</file>

<file path=xl/drawings/_rels/drawing27.xml.rels><?xml version="1.0" encoding="UTF-8" standalone="yes"?>
<Relationships xmlns="http://schemas.openxmlformats.org/package/2006/relationships"><Relationship Id="rId2" Type="http://schemas.openxmlformats.org/officeDocument/2006/relationships/hyperlink" Target="#'SFNC Detail_REM G215 Gas'!A1"/><Relationship Id="rId1" Type="http://schemas.openxmlformats.org/officeDocument/2006/relationships/hyperlink" Target="#'2-yr Sector View Electric'!A1"/></Relationships>
</file>

<file path=xl/drawings/_rels/drawing28.xml.rels><?xml version="1.0" encoding="UTF-8" standalone="yes"?>
<Relationships xmlns="http://schemas.openxmlformats.org/package/2006/relationships"><Relationship Id="rId2" Type="http://schemas.openxmlformats.org/officeDocument/2006/relationships/hyperlink" Target="#'NCMfgHomes Detail_REM G215 Gas'!A1"/><Relationship Id="rId1" Type="http://schemas.openxmlformats.org/officeDocument/2006/relationships/hyperlink" Target="#'2-yr Sector View Electric'!A1"/></Relationships>
</file>

<file path=xl/drawings/_rels/drawing29.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3.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30.xml.rels><?xml version="1.0" encoding="UTF-8" standalone="yes"?>
<Relationships xmlns="http://schemas.openxmlformats.org/package/2006/relationships"><Relationship Id="rId2" Type="http://schemas.openxmlformats.org/officeDocument/2006/relationships/hyperlink" Target="#'MF Retr Detail_REM G217 Gas'!A1"/><Relationship Id="rId1" Type="http://schemas.openxmlformats.org/officeDocument/2006/relationships/hyperlink" Target="#'2-yr Sector View Electric'!A1"/></Relationships>
</file>

<file path=xl/drawings/_rels/drawing31.xml.rels><?xml version="1.0" encoding="UTF-8" standalone="yes"?>
<Relationships xmlns="http://schemas.openxmlformats.org/package/2006/relationships"><Relationship Id="rId2" Type="http://schemas.openxmlformats.org/officeDocument/2006/relationships/hyperlink" Target="#'MFNC Detail_REM G218 Gas'!A1"/><Relationship Id="rId1" Type="http://schemas.openxmlformats.org/officeDocument/2006/relationships/hyperlink" Target="#'2-yr Sector View Electric'!A1"/></Relationships>
</file>

<file path=xl/drawings/_rels/drawing32.xml.rels><?xml version="1.0" encoding="UTF-8" standalone="yes"?>
<Relationships xmlns="http://schemas.openxmlformats.org/package/2006/relationships"><Relationship Id="rId2" Type="http://schemas.openxmlformats.org/officeDocument/2006/relationships/hyperlink" Target="#' LowIncWx Detail_REM E201_Elec'!A1"/><Relationship Id="rId1" Type="http://schemas.openxmlformats.org/officeDocument/2006/relationships/hyperlink" Target="#'2-yr Sector View Gas'!A1"/></Relationships>
</file>

<file path=xl/drawings/_rels/drawing33.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016-2017 Portfolio View'!A1"/><Relationship Id="rId1" Type="http://schemas.openxmlformats.org/officeDocument/2006/relationships/hyperlink" Target="#'2-yr Sector View Gas'!A1"/></Relationships>
</file>

<file path=xl/drawings/_rels/drawing34.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35.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36.xml.rels><?xml version="1.0" encoding="UTF-8" standalone="yes"?>
<Relationships xmlns="http://schemas.openxmlformats.org/package/2006/relationships"><Relationship Id="rId2" Type="http://schemas.openxmlformats.org/officeDocument/2006/relationships/hyperlink" Target="#'Wx_Detail_REM E214 Elec'!A1"/><Relationship Id="rId1" Type="http://schemas.openxmlformats.org/officeDocument/2006/relationships/hyperlink" Target="#'2-yr Sector View Gas'!A1"/></Relationships>
</file>

<file path=xl/drawings/_rels/drawing37.xml.rels><?xml version="1.0" encoding="UTF-8" standalone="yes"?>
<Relationships xmlns="http://schemas.openxmlformats.org/package/2006/relationships"><Relationship Id="rId2" Type="http://schemas.openxmlformats.org/officeDocument/2006/relationships/hyperlink" Target="#'SpcHeat Detail_REM_E214 Elec'!A1"/><Relationship Id="rId1" Type="http://schemas.openxmlformats.org/officeDocument/2006/relationships/hyperlink" Target="#'2-yr Sector View Gas'!A1"/></Relationships>
</file>

<file path=xl/drawings/_rels/drawing38.xml.rels><?xml version="1.0" encoding="UTF-8" standalone="yes"?>
<Relationships xmlns="http://schemas.openxmlformats.org/package/2006/relationships"><Relationship Id="rId2" Type="http://schemas.openxmlformats.org/officeDocument/2006/relationships/hyperlink" Target="#'ShwrHead_Detail_REM_E214  Elec'!A1"/><Relationship Id="rId1" Type="http://schemas.openxmlformats.org/officeDocument/2006/relationships/hyperlink" Target="#'2-yr Sector View Gas'!A1"/></Relationships>
</file>

<file path=xl/drawings/_rels/drawing39.xml.rels><?xml version="1.0" encoding="UTF-8" standalone="yes"?>
<Relationships xmlns="http://schemas.openxmlformats.org/package/2006/relationships"><Relationship Id="rId2" Type="http://schemas.openxmlformats.org/officeDocument/2006/relationships/hyperlink" Target="#'HmAppplc_Detail_REM_E214 Elec'!A1"/><Relationship Id="rId1" Type="http://schemas.openxmlformats.org/officeDocument/2006/relationships/hyperlink" Target="#'2-yr Sector View Gas'!A1"/></Relationships>
</file>

<file path=xl/drawings/_rels/drawing4.xml.rels><?xml version="1.0" encoding="UTF-8" standalone="yes"?>
<Relationships xmlns="http://schemas.openxmlformats.org/package/2006/relationships"><Relationship Id="rId1" Type="http://schemas.openxmlformats.org/officeDocument/2006/relationships/hyperlink" Target="#'2016-2017 Portfolio View'!A1"/></Relationships>
</file>

<file path=xl/drawings/_rels/drawing40.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41.xml.rels><?xml version="1.0" encoding="UTF-8" standalone="yes"?>
<Relationships xmlns="http://schemas.openxmlformats.org/package/2006/relationships"><Relationship Id="rId2" Type="http://schemas.openxmlformats.org/officeDocument/2006/relationships/hyperlink" Target="#'Web Tstat Detail_REM E214 Elec'!A1"/><Relationship Id="rId1" Type="http://schemas.openxmlformats.org/officeDocument/2006/relationships/hyperlink" Target="#'2-yr Sector View Gas'!A1"/></Relationships>
</file>

<file path=xl/drawings/_rels/drawing42.xml.rels><?xml version="1.0" encoding="UTF-8" standalone="yes"?>
<Relationships xmlns="http://schemas.openxmlformats.org/package/2006/relationships"><Relationship Id="rId2" Type="http://schemas.openxmlformats.org/officeDocument/2006/relationships/hyperlink" Target="#'HER Detail_REM_E214 elec.'!A1"/><Relationship Id="rId1" Type="http://schemas.openxmlformats.org/officeDocument/2006/relationships/hyperlink" Target="#'2-yr Sector View Gas'!A1"/></Relationships>
</file>

<file path=xl/drawings/_rels/drawing43.xml.rels><?xml version="1.0" encoding="UTF-8" standalone="yes"?>
<Relationships xmlns="http://schemas.openxmlformats.org/package/2006/relationships"><Relationship Id="rId2" Type="http://schemas.openxmlformats.org/officeDocument/2006/relationships/hyperlink" Target="#'SFNC Detail_REM E215 Elec'!A1"/><Relationship Id="rId1" Type="http://schemas.openxmlformats.org/officeDocument/2006/relationships/hyperlink" Target="#'2-yr Sector View Gas'!A1"/></Relationships>
</file>

<file path=xl/drawings/_rels/drawing44.xml.rels><?xml version="1.0" encoding="UTF-8" standalone="yes"?>
<Relationships xmlns="http://schemas.openxmlformats.org/package/2006/relationships"><Relationship Id="rId2" Type="http://schemas.openxmlformats.org/officeDocument/2006/relationships/hyperlink" Target="#'NCMfgHome Detail_REM E215 Elec'!A1"/><Relationship Id="rId1" Type="http://schemas.openxmlformats.org/officeDocument/2006/relationships/hyperlink" Target="#'2-yr Sector View Gas'!A1"/></Relationships>
</file>

<file path=xl/drawings/_rels/drawing45.xml.rels><?xml version="1.0" encoding="UTF-8" standalone="yes"?>
<Relationships xmlns="http://schemas.openxmlformats.org/package/2006/relationships"><Relationship Id="rId2" Type="http://schemas.openxmlformats.org/officeDocument/2006/relationships/hyperlink" Target="#'MF Retr Detail_REM E217 Elec'!A1"/><Relationship Id="rId1" Type="http://schemas.openxmlformats.org/officeDocument/2006/relationships/hyperlink" Target="#'2-yr Sector View Gas'!A1"/></Relationships>
</file>

<file path=xl/drawings/_rels/drawing46.xml.rels><?xml version="1.0" encoding="UTF-8" standalone="yes"?>
<Relationships xmlns="http://schemas.openxmlformats.org/package/2006/relationships"><Relationship Id="rId2" Type="http://schemas.openxmlformats.org/officeDocument/2006/relationships/hyperlink" Target="#'MFNC Detail_REM E218 Elec'!A1"/><Relationship Id="rId1" Type="http://schemas.openxmlformats.org/officeDocument/2006/relationships/hyperlink" Target="#'2-yr Sector View Gas'!A1"/></Relationships>
</file>

<file path=xl/drawings/_rels/drawing47.xml.rels><?xml version="1.0" encoding="UTF-8" standalone="yes"?>
<Relationships xmlns="http://schemas.openxmlformats.org/package/2006/relationships"><Relationship Id="rId2" Type="http://schemas.openxmlformats.org/officeDocument/2006/relationships/hyperlink" Target="#'CI Retr Detail_BEM G250 Gas'!A1"/><Relationship Id="rId1" Type="http://schemas.openxmlformats.org/officeDocument/2006/relationships/hyperlink" Target="#'2-yr Sector View Electric'!A1"/></Relationships>
</file>

<file path=xl/drawings/_rels/drawing48.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49.xml.rels><?xml version="1.0" encoding="UTF-8" standalone="yes"?>
<Relationships xmlns="http://schemas.openxmlformats.org/package/2006/relationships"><Relationship Id="rId2" Type="http://schemas.openxmlformats.org/officeDocument/2006/relationships/hyperlink" Target="#'CI NC Detail_BEM G251 Gas'!A1"/><Relationship Id="rId1" Type="http://schemas.openxmlformats.org/officeDocument/2006/relationships/hyperlink" Target="#'2-yr Sector View Electric'!A1"/></Relationships>
</file>

<file path=xl/drawings/_rels/drawing5.xml.rels><?xml version="1.0" encoding="UTF-8" standalone="yes"?>
<Relationships xmlns="http://schemas.openxmlformats.org/package/2006/relationships"><Relationship Id="rId3" Type="http://schemas.openxmlformats.org/officeDocument/2006/relationships/hyperlink" Target="#'Building the elec. target'!A1"/><Relationship Id="rId2" Type="http://schemas.openxmlformats.org/officeDocument/2006/relationships/hyperlink" Target="#'Portfolio--2017 only'!A1"/><Relationship Id="rId1" Type="http://schemas.openxmlformats.org/officeDocument/2006/relationships/hyperlink" Target="#'Portfolio--2016 only'!A1"/><Relationship Id="rId5" Type="http://schemas.openxmlformats.org/officeDocument/2006/relationships/hyperlink" Target="#'Building the gas target'!A1"/><Relationship Id="rId4"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hyperlink" Target="#'RCM Detail_BEM 253 Gas'!A1"/><Relationship Id="rId1" Type="http://schemas.openxmlformats.org/officeDocument/2006/relationships/hyperlink" Target="#'2-yr Sector View Electric'!A1"/></Relationships>
</file>

<file path=xl/drawings/_rels/drawing51.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2.xml.rels><?xml version="1.0" encoding="UTF-8" standalone="yes"?>
<Relationships xmlns="http://schemas.openxmlformats.org/package/2006/relationships"><Relationship Id="rId2" Type="http://schemas.openxmlformats.org/officeDocument/2006/relationships/hyperlink" Target="#'ResAcctSW Detail_PSWE_Gas'!A1"/><Relationship Id="rId1" Type="http://schemas.openxmlformats.org/officeDocument/2006/relationships/hyperlink" Target="#'2-yr Sector View Electric'!A1"/></Relationships>
</file>

<file path=xl/drawings/_rels/drawing53.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4.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5.xml.rels><?xml version="1.0" encoding="UTF-8" standalone="yes"?>
<Relationships xmlns="http://schemas.openxmlformats.org/package/2006/relationships"><Relationship Id="rId2" Type="http://schemas.openxmlformats.org/officeDocument/2006/relationships/hyperlink" Target="#'TechEval Detail_BEM G261 Gas'!A1"/><Relationship Id="rId1" Type="http://schemas.openxmlformats.org/officeDocument/2006/relationships/hyperlink" Target="#'2-yr Sector View Electric'!A1"/></Relationships>
</file>

<file path=xl/drawings/_rels/drawing56.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7.xml.rels><?xml version="1.0" encoding="UTF-8" standalone="yes"?>
<Relationships xmlns="http://schemas.openxmlformats.org/package/2006/relationships"><Relationship Id="rId2" Type="http://schemas.openxmlformats.org/officeDocument/2006/relationships/hyperlink" Target="#'Comm Kit-Laund_G262 Gas'!A1"/><Relationship Id="rId1" Type="http://schemas.openxmlformats.org/officeDocument/2006/relationships/hyperlink" Target="#'2-yr Sector View Electric'!A1"/></Relationships>
</file>

<file path=xl/drawings/_rels/drawing58.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59.xml.rels><?xml version="1.0" encoding="UTF-8" standalone="yes"?>
<Relationships xmlns="http://schemas.openxmlformats.org/package/2006/relationships"><Relationship Id="rId2" Type="http://schemas.openxmlformats.org/officeDocument/2006/relationships/hyperlink" Target="#'Comm HVAC_G262 Gas'!A1"/><Relationship Id="rId1" Type="http://schemas.openxmlformats.org/officeDocument/2006/relationships/hyperlink" Target="#'2-yr Sector View Electric'!A1"/></Relationships>
</file>

<file path=xl/drawings/_rels/drawing6.xml.rels><?xml version="1.0" encoding="UTF-8" standalone="yes"?>
<Relationships xmlns="http://schemas.openxmlformats.org/package/2006/relationships"><Relationship Id="rId3" Type="http://schemas.openxmlformats.org/officeDocument/2006/relationships/hyperlink" Target="#'Portfolio--2017 only'!A1"/><Relationship Id="rId2" Type="http://schemas.openxmlformats.org/officeDocument/2006/relationships/image" Target="../media/image1.jpg"/><Relationship Id="rId1" Type="http://schemas.openxmlformats.org/officeDocument/2006/relationships/hyperlink" Target="#'2016-2017 Portfolio View'!A1"/><Relationship Id="rId5" Type="http://schemas.openxmlformats.org/officeDocument/2006/relationships/hyperlink" Target="#'Building the gas target'!A1"/><Relationship Id="rId4" Type="http://schemas.openxmlformats.org/officeDocument/2006/relationships/hyperlink" Target="#'Building the elec. target'!A1"/></Relationships>
</file>

<file path=xl/drawings/_rels/drawing60.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61.xml.rels><?xml version="1.0" encoding="UTF-8" standalone="yes"?>
<Relationships xmlns="http://schemas.openxmlformats.org/package/2006/relationships"><Relationship Id="rId2" Type="http://schemas.openxmlformats.org/officeDocument/2006/relationships/hyperlink" Target="#'Sm Agr DI_G262 Gas'!A1"/><Relationship Id="rId1" Type="http://schemas.openxmlformats.org/officeDocument/2006/relationships/hyperlink" Target="#'2-yr Sector View Electric'!A1"/></Relationships>
</file>

<file path=xl/drawings/_rels/drawing62.xml.rels><?xml version="1.0" encoding="UTF-8" standalone="yes"?>
<Relationships xmlns="http://schemas.openxmlformats.org/package/2006/relationships"><Relationship Id="rId2" Type="http://schemas.openxmlformats.org/officeDocument/2006/relationships/hyperlink" Target="#'Lodging DI_G262_Gas'!A1"/><Relationship Id="rId1" Type="http://schemas.openxmlformats.org/officeDocument/2006/relationships/hyperlink" Target="#'2-yr Sector View Electric'!A1"/></Relationships>
</file>

<file path=xl/drawings/_rels/drawing63.xml.rels><?xml version="1.0" encoding="UTF-8" standalone="yes"?>
<Relationships xmlns="http://schemas.openxmlformats.org/package/2006/relationships"><Relationship Id="rId2" Type="http://schemas.openxmlformats.org/officeDocument/2006/relationships/hyperlink" Target="#'Sm Bus DI_G262 Gas'!A1"/><Relationship Id="rId1" Type="http://schemas.openxmlformats.org/officeDocument/2006/relationships/hyperlink" Target="#'2-yr Sector View Electric'!A1"/></Relationships>
</file>

<file path=xl/drawings/_rels/drawing64.xml.rels><?xml version="1.0" encoding="UTF-8" standalone="yes"?>
<Relationships xmlns="http://schemas.openxmlformats.org/package/2006/relationships"><Relationship Id="rId2" Type="http://schemas.openxmlformats.org/officeDocument/2006/relationships/hyperlink" Target="#'CI Retr Detail_BEM E250 Elec'!A1"/><Relationship Id="rId1" Type="http://schemas.openxmlformats.org/officeDocument/2006/relationships/hyperlink" Target="#'2-yr Sector View Gas'!A1"/></Relationships>
</file>

<file path=xl/drawings/_rels/drawing65.xml.rels><?xml version="1.0" encoding="UTF-8" standalone="yes"?>
<Relationships xmlns="http://schemas.openxmlformats.org/package/2006/relationships"><Relationship Id="rId2" Type="http://schemas.openxmlformats.org/officeDocument/2006/relationships/hyperlink" Target="#'CI NC Detail_BEM E251 Elec'!A1"/><Relationship Id="rId1" Type="http://schemas.openxmlformats.org/officeDocument/2006/relationships/hyperlink" Target="#'2-yr Sector View Gas'!A1"/></Relationships>
</file>

<file path=xl/drawings/_rels/drawing66.xml.rels><?xml version="1.0" encoding="UTF-8" standalone="yes"?>
<Relationships xmlns="http://schemas.openxmlformats.org/package/2006/relationships"><Relationship Id="rId2" Type="http://schemas.openxmlformats.org/officeDocument/2006/relationships/hyperlink" Target="#'RCM Detail_BEM E253 Elec'!A1"/><Relationship Id="rId1" Type="http://schemas.openxmlformats.org/officeDocument/2006/relationships/hyperlink" Target="#'2-yr Sector View Gas'!A1"/></Relationships>
</file>

<file path=xl/drawings/_rels/drawing67.xml.rels><?xml version="1.0" encoding="UTF-8" standalone="yes"?>
<Relationships xmlns="http://schemas.openxmlformats.org/package/2006/relationships"><Relationship Id="rId2" Type="http://schemas.openxmlformats.org/officeDocument/2006/relationships/hyperlink" Target="#'ResAcctSW Detail_PSWE_Elec'!A1"/><Relationship Id="rId1" Type="http://schemas.openxmlformats.org/officeDocument/2006/relationships/hyperlink" Target="#'2-yr Sector View Gas'!A1"/></Relationships>
</file>

<file path=xl/drawings/_rels/drawing68.xml.rels><?xml version="1.0" encoding="UTF-8" standalone="yes"?>
<Relationships xmlns="http://schemas.openxmlformats.org/package/2006/relationships"><Relationship Id="rId2" Type="http://schemas.openxmlformats.org/officeDocument/2006/relationships/hyperlink" Target="#'TechEval Detail_BEM E261 Elec'!A1"/><Relationship Id="rId1" Type="http://schemas.openxmlformats.org/officeDocument/2006/relationships/hyperlink" Target="#'2-yr Sector View Gas'!A1"/></Relationships>
</file>

<file path=xl/drawings/_rels/drawing69.xml.rels><?xml version="1.0" encoding="UTF-8" standalone="yes"?>
<Relationships xmlns="http://schemas.openxmlformats.org/package/2006/relationships"><Relationship Id="rId2" Type="http://schemas.openxmlformats.org/officeDocument/2006/relationships/hyperlink" Target="#'Sm Agr DI_E262 Elect'!A1"/><Relationship Id="rId1" Type="http://schemas.openxmlformats.org/officeDocument/2006/relationships/hyperlink" Target="#'2-yr Sector View Gas'!A1"/></Relationships>
</file>

<file path=xl/drawings/_rels/drawing7.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Portfolio--2016 only'!A1"/><Relationship Id="rId1" Type="http://schemas.openxmlformats.org/officeDocument/2006/relationships/hyperlink" Target="#'2016-2017 Portfolio View'!A1"/><Relationship Id="rId5" Type="http://schemas.openxmlformats.org/officeDocument/2006/relationships/hyperlink" Target="#'Building the gas target'!A1"/><Relationship Id="rId4" Type="http://schemas.openxmlformats.org/officeDocument/2006/relationships/hyperlink" Target="#'Building the elec. target'!A1"/></Relationships>
</file>

<file path=xl/drawings/_rels/drawing70.xml.rels><?xml version="1.0" encoding="UTF-8" standalone="yes"?>
<Relationships xmlns="http://schemas.openxmlformats.org/package/2006/relationships"><Relationship Id="rId2" Type="http://schemas.openxmlformats.org/officeDocument/2006/relationships/hyperlink" Target="#'Lodging DI_E262 Elec'!A1"/><Relationship Id="rId1" Type="http://schemas.openxmlformats.org/officeDocument/2006/relationships/hyperlink" Target="#'2-yr Sector View Gas'!A1"/></Relationships>
</file>

<file path=xl/drawings/_rels/drawing71.xml.rels><?xml version="1.0" encoding="UTF-8" standalone="yes"?>
<Relationships xmlns="http://schemas.openxmlformats.org/package/2006/relationships"><Relationship Id="rId2" Type="http://schemas.openxmlformats.org/officeDocument/2006/relationships/hyperlink" Target="#'Sm Bus DI_E262 Elect'!A1"/><Relationship Id="rId1" Type="http://schemas.openxmlformats.org/officeDocument/2006/relationships/hyperlink" Target="#'2-yr Sector View Gas'!A1"/></Relationships>
</file>

<file path=xl/drawings/_rels/drawing72.xml.rels><?xml version="1.0" encoding="UTF-8" standalone="yes"?>
<Relationships xmlns="http://schemas.openxmlformats.org/package/2006/relationships"><Relationship Id="rId2" Type="http://schemas.openxmlformats.org/officeDocument/2006/relationships/hyperlink" Target="#'Comm Kit-Laund_E262 Elect'!A1"/><Relationship Id="rId1" Type="http://schemas.openxmlformats.org/officeDocument/2006/relationships/hyperlink" Target="#'2-yr Sector View Gas'!A1"/></Relationships>
</file>

<file path=xl/drawings/_rels/drawing73.xml.rels><?xml version="1.0" encoding="UTF-8" standalone="yes"?>
<Relationships xmlns="http://schemas.openxmlformats.org/package/2006/relationships"><Relationship Id="rId1" Type="http://schemas.openxmlformats.org/officeDocument/2006/relationships/hyperlink" Target="#'2-yr Sector View Gas'!A1"/></Relationships>
</file>

<file path=xl/drawings/_rels/drawing74.xml.rels><?xml version="1.0" encoding="UTF-8" standalone="yes"?>
<Relationships xmlns="http://schemas.openxmlformats.org/package/2006/relationships"><Relationship Id="rId2" Type="http://schemas.openxmlformats.org/officeDocument/2006/relationships/hyperlink" Target="#'Comm HVAC_E262 Elect'!A1"/><Relationship Id="rId1" Type="http://schemas.openxmlformats.org/officeDocument/2006/relationships/hyperlink" Target="#'2-yr Sector View Gas'!A1"/></Relationships>
</file>

<file path=xl/drawings/_rels/drawing75.xml.rels><?xml version="1.0" encoding="UTF-8" standalone="yes"?>
<Relationships xmlns="http://schemas.openxmlformats.org/package/2006/relationships"><Relationship Id="rId2" Type="http://schemas.openxmlformats.org/officeDocument/2006/relationships/hyperlink" Target="#'REM Pilots Detail G249 Gas'!A1"/><Relationship Id="rId1" Type="http://schemas.openxmlformats.org/officeDocument/2006/relationships/hyperlink" Target="#'2-yr Sector View Electric'!A1"/></Relationships>
</file>

<file path=xl/drawings/_rels/drawing76.xml.rels><?xml version="1.0" encoding="UTF-8" standalone="yes"?>
<Relationships xmlns="http://schemas.openxmlformats.org/package/2006/relationships"><Relationship Id="rId2" Type="http://schemas.openxmlformats.org/officeDocument/2006/relationships/hyperlink" Target="#'BEM Pilots Detail G249 Gas'!A1"/><Relationship Id="rId1" Type="http://schemas.openxmlformats.org/officeDocument/2006/relationships/hyperlink" Target="#'2-yr Sector View Electric'!A1"/></Relationships>
</file>

<file path=xl/drawings/_rels/drawing77.xml.rels><?xml version="1.0" encoding="UTF-8" standalone="yes"?>
<Relationships xmlns="http://schemas.openxmlformats.org/package/2006/relationships"><Relationship Id="rId2" Type="http://schemas.openxmlformats.org/officeDocument/2006/relationships/hyperlink" Target="#'REM Pilots E249 Elec'!A1"/><Relationship Id="rId1" Type="http://schemas.openxmlformats.org/officeDocument/2006/relationships/hyperlink" Target="#'2-yr Sector View Gas'!A1"/></Relationships>
</file>

<file path=xl/drawings/_rels/drawing78.xml.rels><?xml version="1.0" encoding="UTF-8" standalone="yes"?>
<Relationships xmlns="http://schemas.openxmlformats.org/package/2006/relationships"><Relationship Id="rId2" Type="http://schemas.openxmlformats.org/officeDocument/2006/relationships/hyperlink" Target="#'BEM Pilots E249 Elec'!A1"/><Relationship Id="rId1" Type="http://schemas.openxmlformats.org/officeDocument/2006/relationships/hyperlink" Target="#'2-yr Sector View Gas'!A1"/></Relationships>
</file>

<file path=xl/drawings/_rels/drawing79.xml.rels><?xml version="1.0" encoding="UTF-8" standalone="yes"?>
<Relationships xmlns="http://schemas.openxmlformats.org/package/2006/relationships"><Relationship Id="rId2" Type="http://schemas.openxmlformats.org/officeDocument/2006/relationships/hyperlink" Target="#'NEEA Gas MT_no Sched Gas'!A1"/><Relationship Id="rId1" Type="http://schemas.openxmlformats.org/officeDocument/2006/relationships/hyperlink" Target="#'2-yr Sector View Electric'!A1"/></Relationships>
</file>

<file path=xl/drawings/_rels/drawing8.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016 Sector View Elect'!A1"/><Relationship Id="rId1" Type="http://schemas.openxmlformats.org/officeDocument/2006/relationships/hyperlink" Target="#'2016-2017 Portfolio View'!A1"/><Relationship Id="rId4" Type="http://schemas.openxmlformats.org/officeDocument/2006/relationships/hyperlink" Target="#'2-yr Sector View Gas'!A1"/></Relationships>
</file>

<file path=xl/drawings/_rels/drawing80.xml.rels><?xml version="1.0" encoding="UTF-8" standalone="yes"?>
<Relationships xmlns="http://schemas.openxmlformats.org/package/2006/relationships"><Relationship Id="rId1" Type="http://schemas.openxmlformats.org/officeDocument/2006/relationships/hyperlink" Target="#'2-yr Sector View Electric'!A1"/></Relationships>
</file>

<file path=xl/drawings/_rels/drawing81.xml.rels><?xml version="1.0" encoding="UTF-8" standalone="yes"?>
<Relationships xmlns="http://schemas.openxmlformats.org/package/2006/relationships"><Relationship Id="rId2" Type="http://schemas.openxmlformats.org/officeDocument/2006/relationships/hyperlink" Target="#'NEEA Detail_E254 elec'!A1"/><Relationship Id="rId1" Type="http://schemas.openxmlformats.org/officeDocument/2006/relationships/hyperlink" Target="#'2-yr Sector View Gas'!A1"/></Relationships>
</file>

<file path=xl/drawings/_rels/drawing82.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yr Sector View Electric'!A1"/><Relationship Id="rId1" Type="http://schemas.openxmlformats.org/officeDocument/2006/relationships/hyperlink" Target="#'2016-2017 Portfolio View'!A1"/></Relationships>
</file>

<file path=xl/drawings/_rels/drawing83.xml.rels><?xml version="1.0" encoding="UTF-8" standalone="yes"?>
<Relationships xmlns="http://schemas.openxmlformats.org/package/2006/relationships"><Relationship Id="rId2" Type="http://schemas.openxmlformats.org/officeDocument/2006/relationships/hyperlink" Target="#'Engy Adv Detail_PSCE_Gas'!A1"/><Relationship Id="rId1" Type="http://schemas.openxmlformats.org/officeDocument/2006/relationships/hyperlink" Target="#'2-yr Sector View Electric'!A1"/></Relationships>
</file>

<file path=xl/drawings/_rels/drawing84.xml.rels><?xml version="1.0" encoding="UTF-8" standalone="yes"?>
<Relationships xmlns="http://schemas.openxmlformats.org/package/2006/relationships"><Relationship Id="rId2" Type="http://schemas.openxmlformats.org/officeDocument/2006/relationships/hyperlink" Target="#'Events Detail_PSCE_Gas'!A1"/><Relationship Id="rId1" Type="http://schemas.openxmlformats.org/officeDocument/2006/relationships/hyperlink" Target="#'2-yr Sector View Electric'!A1"/></Relationships>
</file>

<file path=xl/drawings/_rels/drawing85.xml.rels><?xml version="1.0" encoding="UTF-8" standalone="yes"?>
<Relationships xmlns="http://schemas.openxmlformats.org/package/2006/relationships"><Relationship Id="rId2" Type="http://schemas.openxmlformats.org/officeDocument/2006/relationships/hyperlink" Target="#'Brochure Detail_PSCE_Gas'!A1"/><Relationship Id="rId1" Type="http://schemas.openxmlformats.org/officeDocument/2006/relationships/hyperlink" Target="#'2-yr Sector View Electric'!A1"/></Relationships>
</file>

<file path=xl/drawings/_rels/drawing86.xml.rels><?xml version="1.0" encoding="UTF-8" standalone="yes"?>
<Relationships xmlns="http://schemas.openxmlformats.org/package/2006/relationships"><Relationship Id="rId2" Type="http://schemas.openxmlformats.org/officeDocument/2006/relationships/hyperlink" Target="#'Eductn Detail_PSCE_G207 Gas'!A1"/><Relationship Id="rId1" Type="http://schemas.openxmlformats.org/officeDocument/2006/relationships/hyperlink" Target="#'2-yr Sector View Electric'!A1"/></Relationships>
</file>

<file path=xl/drawings/_rels/drawing87.xml.rels><?xml version="1.0" encoding="UTF-8" standalone="yes"?>
<Relationships xmlns="http://schemas.openxmlformats.org/package/2006/relationships"><Relationship Id="rId3" Type="http://schemas.openxmlformats.org/officeDocument/2006/relationships/hyperlink" Target="#'2-yr Sector View Gas'!A1"/><Relationship Id="rId2" Type="http://schemas.openxmlformats.org/officeDocument/2006/relationships/hyperlink" Target="#'2-yr Sector View Electric'!A1"/><Relationship Id="rId1" Type="http://schemas.openxmlformats.org/officeDocument/2006/relationships/hyperlink" Target="#'2016-2017 Portfolio View'!A1"/></Relationships>
</file>

<file path=xl/drawings/_rels/drawing88.xml.rels><?xml version="1.0" encoding="UTF-8" standalone="yes"?>
<Relationships xmlns="http://schemas.openxmlformats.org/package/2006/relationships"><Relationship Id="rId2" Type="http://schemas.openxmlformats.org/officeDocument/2006/relationships/hyperlink" Target="#'CustOnline Detail_PSWE_Gas'!A1"/><Relationship Id="rId1" Type="http://schemas.openxmlformats.org/officeDocument/2006/relationships/hyperlink" Target="#'2-yr Sector View Electric'!A1"/></Relationships>
</file>

<file path=xl/drawings/_rels/drawing89.xml.rels><?xml version="1.0" encoding="UTF-8" standalone="yes"?>
<Relationships xmlns="http://schemas.openxmlformats.org/package/2006/relationships"><Relationship Id="rId2" Type="http://schemas.openxmlformats.org/officeDocument/2006/relationships/hyperlink" Target="#'Mkt Intg Detail_PSWE_Gas'!A1"/><Relationship Id="rId1" Type="http://schemas.openxmlformats.org/officeDocument/2006/relationships/hyperlink" Target="#'2-yr Sector View Electric'!A1"/></Relationships>
</file>

<file path=xl/drawings/_rels/drawing9.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yr Sector View Electric'!A1"/><Relationship Id="rId1" Type="http://schemas.openxmlformats.org/officeDocument/2006/relationships/hyperlink" Target="#'Portfolio--2016 only'!A1"/><Relationship Id="rId4" Type="http://schemas.openxmlformats.org/officeDocument/2006/relationships/hyperlink" Target="#'2-yr Sector View Gas'!A1"/></Relationships>
</file>

<file path=xl/drawings/_rels/drawing90.xml.rels><?xml version="1.0" encoding="UTF-8" standalone="yes"?>
<Relationships xmlns="http://schemas.openxmlformats.org/package/2006/relationships"><Relationship Id="rId2" Type="http://schemas.openxmlformats.org/officeDocument/2006/relationships/hyperlink" Target="#'ABS Detail_PSWE_Gas'!A1"/><Relationship Id="rId1" Type="http://schemas.openxmlformats.org/officeDocument/2006/relationships/hyperlink" Target="#'2-yr Sector View Electric'!A1"/></Relationships>
</file>

<file path=xl/drawings/_rels/drawing91.xml.rels><?xml version="1.0" encoding="UTF-8" standalone="yes"?>
<Relationships xmlns="http://schemas.openxmlformats.org/package/2006/relationships"><Relationship Id="rId2" Type="http://schemas.openxmlformats.org/officeDocument/2006/relationships/hyperlink" Target="#'Rebt Procg_Detail Gas'!A1"/><Relationship Id="rId1" Type="http://schemas.openxmlformats.org/officeDocument/2006/relationships/hyperlink" Target="#'2-yr Sector View Electric'!A1"/></Relationships>
</file>

<file path=xl/drawings/_rels/drawing92.xml.rels><?xml version="1.0" encoding="UTF-8" standalone="yes"?>
<Relationships xmlns="http://schemas.openxmlformats.org/package/2006/relationships"><Relationship Id="rId2" Type="http://schemas.openxmlformats.org/officeDocument/2006/relationships/hyperlink" Target="#'Progs Supp Detail_PS_Gas'!A1"/><Relationship Id="rId1" Type="http://schemas.openxmlformats.org/officeDocument/2006/relationships/hyperlink" Target="#'2-yr Sector View Electric'!A1"/></Relationships>
</file>

<file path=xl/drawings/_rels/drawing93.xml.rels><?xml version="1.0" encoding="UTF-8" standalone="yes"?>
<Relationships xmlns="http://schemas.openxmlformats.org/package/2006/relationships"><Relationship Id="rId2" Type="http://schemas.openxmlformats.org/officeDocument/2006/relationships/hyperlink" Target="#'Data &amp; Systm Svcs Detail Gas'!A1"/><Relationship Id="rId1" Type="http://schemas.openxmlformats.org/officeDocument/2006/relationships/hyperlink" Target="#'2-yr Sector View Electric'!A1"/></Relationships>
</file>

<file path=xl/drawings/_rels/drawing94.xml.rels><?xml version="1.0" encoding="UTF-8" standalone="yes"?>
<Relationships xmlns="http://schemas.openxmlformats.org/package/2006/relationships"><Relationship Id="rId2" Type="http://schemas.openxmlformats.org/officeDocument/2006/relationships/hyperlink" Target="#'EEC Detail_PS_Gas'!A1"/><Relationship Id="rId1" Type="http://schemas.openxmlformats.org/officeDocument/2006/relationships/hyperlink" Target="#'2-yr Sector View Electric'!A1"/></Relationships>
</file>

<file path=xl/drawings/_rels/drawing95.xml.rels><?xml version="1.0" encoding="UTF-8" standalone="yes"?>
<Relationships xmlns="http://schemas.openxmlformats.org/package/2006/relationships"><Relationship Id="rId2" Type="http://schemas.openxmlformats.org/officeDocument/2006/relationships/hyperlink" Target="#'TradeAlly Detail_PS_gas'!A1"/><Relationship Id="rId1" Type="http://schemas.openxmlformats.org/officeDocument/2006/relationships/hyperlink" Target="#'2-yr Sector View Electric'!A1"/></Relationships>
</file>

<file path=xl/drawings/_rels/drawing96.xml.rels><?xml version="1.0" encoding="UTF-8" standalone="yes"?>
<Relationships xmlns="http://schemas.openxmlformats.org/package/2006/relationships"><Relationship Id="rId2" Type="http://schemas.openxmlformats.org/officeDocument/2006/relationships/hyperlink" Target="#'CAN_PS_Detail Gas'!A1"/><Relationship Id="rId1" Type="http://schemas.openxmlformats.org/officeDocument/2006/relationships/hyperlink" Target="#'2-yr Sector View Electric'!A1"/></Relationships>
</file>

<file path=xl/drawings/_rels/drawing97.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2016-2017 Portfolio View'!A1"/></Relationships>
</file>

<file path=xl/drawings/_rels/drawing98.xml.rels><?xml version="1.0" encoding="UTF-8" standalone="yes"?>
<Relationships xmlns="http://schemas.openxmlformats.org/package/2006/relationships"><Relationship Id="rId2" Type="http://schemas.openxmlformats.org/officeDocument/2006/relationships/hyperlink" Target="#'Engy Adv Detail_PSCE  Elec'!A1"/><Relationship Id="rId1" Type="http://schemas.openxmlformats.org/officeDocument/2006/relationships/hyperlink" Target="#'2-yr Sector View Gas'!A1"/></Relationships>
</file>

<file path=xl/drawings/_rels/drawing99.xml.rels><?xml version="1.0" encoding="UTF-8" standalone="yes"?>
<Relationships xmlns="http://schemas.openxmlformats.org/package/2006/relationships"><Relationship Id="rId2" Type="http://schemas.openxmlformats.org/officeDocument/2006/relationships/hyperlink" Target="#'Events Detail_PSCE Elec'!A1"/><Relationship Id="rId1" Type="http://schemas.openxmlformats.org/officeDocument/2006/relationships/hyperlink" Target="#'2-yr Sector View Ga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314325</xdr:colOff>
      <xdr:row>1</xdr:row>
      <xdr:rowOff>76201</xdr:rowOff>
    </xdr:from>
    <xdr:to>
      <xdr:col>17</xdr:col>
      <xdr:colOff>133350</xdr:colOff>
      <xdr:row>5</xdr:row>
      <xdr:rowOff>0</xdr:rowOff>
    </xdr:to>
    <xdr:sp macro="" textlink="">
      <xdr:nvSpPr>
        <xdr:cNvPr id="2" name="Rectangle 1">
          <a:hlinkClick xmlns:r="http://schemas.openxmlformats.org/officeDocument/2006/relationships" r:id="rId1"/>
        </xdr:cNvPr>
        <xdr:cNvSpPr/>
      </xdr:nvSpPr>
      <xdr:spPr>
        <a:xfrm>
          <a:off x="9458325" y="238126"/>
          <a:ext cx="1038225" cy="5715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Budget Category Descriptions</a:t>
          </a:r>
        </a:p>
      </xdr:txBody>
    </xdr:sp>
    <xdr:clientData/>
  </xdr:twoCellAnchor>
  <xdr:twoCellAnchor>
    <xdr:from>
      <xdr:col>15</xdr:col>
      <xdr:colOff>333375</xdr:colOff>
      <xdr:row>6</xdr:row>
      <xdr:rowOff>57149</xdr:rowOff>
    </xdr:from>
    <xdr:to>
      <xdr:col>17</xdr:col>
      <xdr:colOff>152400</xdr:colOff>
      <xdr:row>9</xdr:row>
      <xdr:rowOff>57150</xdr:rowOff>
    </xdr:to>
    <xdr:sp macro="" textlink="">
      <xdr:nvSpPr>
        <xdr:cNvPr id="3" name="Rectangle 2">
          <a:hlinkClick xmlns:r="http://schemas.openxmlformats.org/officeDocument/2006/relationships" r:id="rId2"/>
        </xdr:cNvPr>
        <xdr:cNvSpPr/>
      </xdr:nvSpPr>
      <xdr:spPr>
        <a:xfrm>
          <a:off x="9277350" y="1028699"/>
          <a:ext cx="1038225" cy="485776"/>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2-year</a:t>
          </a:r>
          <a:r>
            <a:rPr lang="en-US" sz="900" baseline="0">
              <a:solidFill>
                <a:schemeClr val="tx1"/>
              </a:solidFill>
            </a:rPr>
            <a:t> Portfolio Page</a:t>
          </a:r>
          <a:endParaRPr lang="en-US" sz="9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527395</xdr:colOff>
      <xdr:row>3</xdr:row>
      <xdr:rowOff>33877</xdr:rowOff>
    </xdr:from>
    <xdr:ext cx="1491905" cy="423323"/>
    <xdr:sp macro="" textlink="">
      <xdr:nvSpPr>
        <xdr:cNvPr id="2" name="Rectangle 1">
          <a:hlinkClick xmlns:r="http://schemas.openxmlformats.org/officeDocument/2006/relationships" r:id="rId1"/>
        </xdr:cNvPr>
        <xdr:cNvSpPr/>
      </xdr:nvSpPr>
      <xdr:spPr>
        <a:xfrm>
          <a:off x="613120" y="614902"/>
          <a:ext cx="1491905"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2017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542926</xdr:colOff>
      <xdr:row>3</xdr:row>
      <xdr:rowOff>38099</xdr:rowOff>
    </xdr:from>
    <xdr:to>
      <xdr:col>5</xdr:col>
      <xdr:colOff>133352</xdr:colOff>
      <xdr:row>3</xdr:row>
      <xdr:rowOff>466724</xdr:rowOff>
    </xdr:to>
    <xdr:sp macro="" textlink="">
      <xdr:nvSpPr>
        <xdr:cNvPr id="3" name="TextBox 2">
          <a:hlinkClick xmlns:r="http://schemas.openxmlformats.org/officeDocument/2006/relationships" r:id="rId2"/>
        </xdr:cNvPr>
        <xdr:cNvSpPr txBox="1"/>
      </xdr:nvSpPr>
      <xdr:spPr>
        <a:xfrm>
          <a:off x="2619376" y="619124"/>
          <a:ext cx="885826" cy="4286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Sector View</a:t>
          </a:r>
        </a:p>
      </xdr:txBody>
    </xdr:sp>
    <xdr:clientData/>
  </xdr:twoCellAnchor>
  <xdr:twoCellAnchor>
    <xdr:from>
      <xdr:col>6</xdr:col>
      <xdr:colOff>123826</xdr:colOff>
      <xdr:row>3</xdr:row>
      <xdr:rowOff>38100</xdr:rowOff>
    </xdr:from>
    <xdr:to>
      <xdr:col>6</xdr:col>
      <xdr:colOff>1095376</xdr:colOff>
      <xdr:row>4</xdr:row>
      <xdr:rowOff>0</xdr:rowOff>
    </xdr:to>
    <xdr:sp macro="" textlink="">
      <xdr:nvSpPr>
        <xdr:cNvPr id="4" name="TextBox 3">
          <a:hlinkClick xmlns:r="http://schemas.openxmlformats.org/officeDocument/2006/relationships" r:id="rId3"/>
        </xdr:cNvPr>
        <xdr:cNvSpPr txBox="1"/>
      </xdr:nvSpPr>
      <xdr:spPr>
        <a:xfrm>
          <a:off x="3981451" y="619125"/>
          <a:ext cx="971550" cy="4286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Sector View</a:t>
          </a:r>
        </a:p>
      </xdr:txBody>
    </xdr:sp>
    <xdr:clientData/>
  </xdr:twoCellAnchor>
  <xdr:twoCellAnchor>
    <xdr:from>
      <xdr:col>6</xdr:col>
      <xdr:colOff>1362075</xdr:colOff>
      <xdr:row>3</xdr:row>
      <xdr:rowOff>47625</xdr:rowOff>
    </xdr:from>
    <xdr:to>
      <xdr:col>7</xdr:col>
      <xdr:colOff>114302</xdr:colOff>
      <xdr:row>4</xdr:row>
      <xdr:rowOff>9524</xdr:rowOff>
    </xdr:to>
    <xdr:sp macro="" textlink="">
      <xdr:nvSpPr>
        <xdr:cNvPr id="5" name="TextBox 4">
          <a:hlinkClick xmlns:r="http://schemas.openxmlformats.org/officeDocument/2006/relationships" r:id="rId4"/>
        </xdr:cNvPr>
        <xdr:cNvSpPr txBox="1"/>
      </xdr:nvSpPr>
      <xdr:spPr>
        <a:xfrm>
          <a:off x="5219700" y="628650"/>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5" cy="638176"/>
    <xdr:sp macro="" textlink="">
      <xdr:nvSpPr>
        <xdr:cNvPr id="2" name="Rectangle 1">
          <a:hlinkClick xmlns:r="http://schemas.openxmlformats.org/officeDocument/2006/relationships" r:id="rId1"/>
        </xdr:cNvPr>
        <xdr:cNvSpPr/>
      </xdr:nvSpPr>
      <xdr:spPr>
        <a:xfrm>
          <a:off x="38100" y="28574"/>
          <a:ext cx="542925"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42925" cy="638176"/>
    <xdr:sp macro="" textlink="">
      <xdr:nvSpPr>
        <xdr:cNvPr id="3" name="Rectangle 2">
          <a:hlinkClick xmlns:r="http://schemas.openxmlformats.org/officeDocument/2006/relationships" r:id="rId2"/>
        </xdr:cNvPr>
        <xdr:cNvSpPr/>
      </xdr:nvSpPr>
      <xdr:spPr>
        <a:xfrm>
          <a:off x="638175" y="47624"/>
          <a:ext cx="542925"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38099</xdr:colOff>
      <xdr:row>0</xdr:row>
      <xdr:rowOff>28574</xdr:rowOff>
    </xdr:from>
    <xdr:ext cx="533401" cy="647701"/>
    <xdr:sp macro="" textlink="">
      <xdr:nvSpPr>
        <xdr:cNvPr id="2" name="Rectangle 1">
          <a:hlinkClick xmlns:r="http://schemas.openxmlformats.org/officeDocument/2006/relationships" r:id="rId1"/>
        </xdr:cNvPr>
        <xdr:cNvSpPr/>
      </xdr:nvSpPr>
      <xdr:spPr>
        <a:xfrm>
          <a:off x="38099" y="2857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19049</xdr:rowOff>
    </xdr:from>
    <xdr:ext cx="533401" cy="647701"/>
    <xdr:sp macro="" textlink="">
      <xdr:nvSpPr>
        <xdr:cNvPr id="3" name="Rectangle 2">
          <a:hlinkClick xmlns:r="http://schemas.openxmlformats.org/officeDocument/2006/relationships" r:id="rId2"/>
        </xdr:cNvPr>
        <xdr:cNvSpPr/>
      </xdr:nvSpPr>
      <xdr:spPr>
        <a:xfrm>
          <a:off x="609599" y="19049"/>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504825</xdr:colOff>
      <xdr:row>20</xdr:row>
      <xdr:rowOff>76200</xdr:rowOff>
    </xdr:from>
    <xdr:to>
      <xdr:col>3</xdr:col>
      <xdr:colOff>457200</xdr:colOff>
      <xdr:row>23</xdr:row>
      <xdr:rowOff>38100</xdr:rowOff>
    </xdr:to>
    <xdr:sp macro="" textlink="">
      <xdr:nvSpPr>
        <xdr:cNvPr id="2" name="Rectangle 1">
          <a:hlinkClick xmlns:r="http://schemas.openxmlformats.org/officeDocument/2006/relationships" r:id="rId1"/>
        </xdr:cNvPr>
        <xdr:cNvSpPr/>
      </xdr:nvSpPr>
      <xdr:spPr>
        <a:xfrm>
          <a:off x="1114425" y="3314700"/>
          <a:ext cx="11715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 2-year Portfolio View</a:t>
          </a:r>
        </a:p>
      </xdr:txBody>
    </xdr:sp>
    <xdr:clientData/>
  </xdr:twoCellAnchor>
  <xdr:twoCellAnchor>
    <xdr:from>
      <xdr:col>1</xdr:col>
      <xdr:colOff>533400</xdr:colOff>
      <xdr:row>24</xdr:row>
      <xdr:rowOff>142876</xdr:rowOff>
    </xdr:from>
    <xdr:to>
      <xdr:col>3</xdr:col>
      <xdr:colOff>476250</xdr:colOff>
      <xdr:row>28</xdr:row>
      <xdr:rowOff>85726</xdr:rowOff>
    </xdr:to>
    <xdr:sp macro="" textlink="">
      <xdr:nvSpPr>
        <xdr:cNvPr id="3" name="Rectangle 2">
          <a:hlinkClick xmlns:r="http://schemas.openxmlformats.org/officeDocument/2006/relationships" r:id="rId2"/>
        </xdr:cNvPr>
        <xdr:cNvSpPr/>
      </xdr:nvSpPr>
      <xdr:spPr>
        <a:xfrm>
          <a:off x="1143000" y="4029076"/>
          <a:ext cx="1162050"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123825</xdr:colOff>
      <xdr:row>24</xdr:row>
      <xdr:rowOff>133351</xdr:rowOff>
    </xdr:from>
    <xdr:to>
      <xdr:col>6</xdr:col>
      <xdr:colOff>66675</xdr:colOff>
      <xdr:row>28</xdr:row>
      <xdr:rowOff>76201</xdr:rowOff>
    </xdr:to>
    <xdr:sp macro="" textlink="">
      <xdr:nvSpPr>
        <xdr:cNvPr id="4" name="Rectangle 3">
          <a:hlinkClick xmlns:r="http://schemas.openxmlformats.org/officeDocument/2006/relationships" r:id="rId3"/>
        </xdr:cNvPr>
        <xdr:cNvSpPr/>
      </xdr:nvSpPr>
      <xdr:spPr>
        <a:xfrm>
          <a:off x="2562225" y="4019551"/>
          <a:ext cx="1162050" cy="5905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Electric 2-year Sector View</a:t>
          </a:r>
          <a:endParaRPr lang="en-US" sz="1100">
            <a:solidFill>
              <a:schemeClr val="tx1"/>
            </a:solidFill>
          </a:endParaRPr>
        </a:p>
      </xdr:txBody>
    </xdr:sp>
    <xdr:clientData/>
  </xdr:twoCellAnchor>
</xdr:wsDr>
</file>

<file path=xl/drawings/drawing103.xml><?xml version="1.0" encoding="utf-8"?>
<xdr:wsDr xmlns:xdr="http://schemas.openxmlformats.org/drawingml/2006/spreadsheetDrawing" xmlns:a="http://schemas.openxmlformats.org/drawingml/2006/main">
  <xdr:oneCellAnchor>
    <xdr:from>
      <xdr:col>0</xdr:col>
      <xdr:colOff>28575</xdr:colOff>
      <xdr:row>0</xdr:row>
      <xdr:rowOff>28574</xdr:rowOff>
    </xdr:from>
    <xdr:ext cx="542925" cy="685801"/>
    <xdr:sp macro="" textlink="">
      <xdr:nvSpPr>
        <xdr:cNvPr id="2" name="Rectangle 1">
          <a:hlinkClick xmlns:r="http://schemas.openxmlformats.org/officeDocument/2006/relationships" r:id="rId1"/>
        </xdr:cNvPr>
        <xdr:cNvSpPr/>
      </xdr:nvSpPr>
      <xdr:spPr>
        <a:xfrm>
          <a:off x="28575" y="28574"/>
          <a:ext cx="542925" cy="6858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28575</xdr:rowOff>
    </xdr:from>
    <xdr:ext cx="542925" cy="685801"/>
    <xdr:sp macro="" textlink="">
      <xdr:nvSpPr>
        <xdr:cNvPr id="3" name="Rectangle 2">
          <a:hlinkClick xmlns:r="http://schemas.openxmlformats.org/officeDocument/2006/relationships" r:id="rId2"/>
        </xdr:cNvPr>
        <xdr:cNvSpPr/>
      </xdr:nvSpPr>
      <xdr:spPr>
        <a:xfrm>
          <a:off x="619125" y="28575"/>
          <a:ext cx="542925" cy="6858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38099</xdr:colOff>
      <xdr:row>0</xdr:row>
      <xdr:rowOff>19050</xdr:rowOff>
    </xdr:from>
    <xdr:ext cx="552451" cy="685800"/>
    <xdr:sp macro="" textlink="">
      <xdr:nvSpPr>
        <xdr:cNvPr id="2" name="Rectangle 1">
          <a:hlinkClick xmlns:r="http://schemas.openxmlformats.org/officeDocument/2006/relationships" r:id="rId1"/>
        </xdr:cNvPr>
        <xdr:cNvSpPr/>
      </xdr:nvSpPr>
      <xdr:spPr>
        <a:xfrm>
          <a:off x="38099" y="19050"/>
          <a:ext cx="55245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52451" cy="685800"/>
    <xdr:sp macro="" textlink="">
      <xdr:nvSpPr>
        <xdr:cNvPr id="3" name="Rectangle 2">
          <a:hlinkClick xmlns:r="http://schemas.openxmlformats.org/officeDocument/2006/relationships" r:id="rId2"/>
        </xdr:cNvPr>
        <xdr:cNvSpPr/>
      </xdr:nvSpPr>
      <xdr:spPr>
        <a:xfrm>
          <a:off x="619124" y="19050"/>
          <a:ext cx="552451"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38099</xdr:colOff>
      <xdr:row>0</xdr:row>
      <xdr:rowOff>19049</xdr:rowOff>
    </xdr:from>
    <xdr:ext cx="514351" cy="676275"/>
    <xdr:sp macro="" textlink="">
      <xdr:nvSpPr>
        <xdr:cNvPr id="2" name="Rectangle 1">
          <a:hlinkClick xmlns:r="http://schemas.openxmlformats.org/officeDocument/2006/relationships" r:id="rId1"/>
        </xdr:cNvPr>
        <xdr:cNvSpPr/>
      </xdr:nvSpPr>
      <xdr:spPr>
        <a:xfrm>
          <a:off x="38099" y="1904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19049</xdr:rowOff>
    </xdr:from>
    <xdr:ext cx="561976" cy="676275"/>
    <xdr:sp macro="" textlink="">
      <xdr:nvSpPr>
        <xdr:cNvPr id="3" name="Rectangle 2">
          <a:hlinkClick xmlns:r="http://schemas.openxmlformats.org/officeDocument/2006/relationships" r:id="rId2"/>
        </xdr:cNvPr>
        <xdr:cNvSpPr/>
      </xdr:nvSpPr>
      <xdr:spPr>
        <a:xfrm>
          <a:off x="619124" y="19049"/>
          <a:ext cx="561976" cy="676275"/>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38100</xdr:colOff>
      <xdr:row>0</xdr:row>
      <xdr:rowOff>19050</xdr:rowOff>
    </xdr:from>
    <xdr:ext cx="485776" cy="666750"/>
    <xdr:sp macro="" textlink="">
      <xdr:nvSpPr>
        <xdr:cNvPr id="2" name="Rectangle 1">
          <a:hlinkClick xmlns:r="http://schemas.openxmlformats.org/officeDocument/2006/relationships" r:id="rId1"/>
        </xdr:cNvPr>
        <xdr:cNvSpPr/>
      </xdr:nvSpPr>
      <xdr:spPr>
        <a:xfrm>
          <a:off x="38100" y="19050"/>
          <a:ext cx="4857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9525</xdr:rowOff>
    </xdr:from>
    <xdr:ext cx="533400" cy="666750"/>
    <xdr:sp macro="" textlink="">
      <xdr:nvSpPr>
        <xdr:cNvPr id="3" name="Rectangle 2">
          <a:hlinkClick xmlns:r="http://schemas.openxmlformats.org/officeDocument/2006/relationships" r:id="rId2"/>
        </xdr:cNvPr>
        <xdr:cNvSpPr/>
      </xdr:nvSpPr>
      <xdr:spPr>
        <a:xfrm>
          <a:off x="619125" y="9525"/>
          <a:ext cx="533400" cy="6667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38100</xdr:colOff>
      <xdr:row>0</xdr:row>
      <xdr:rowOff>28575</xdr:rowOff>
    </xdr:from>
    <xdr:ext cx="504826" cy="685800"/>
    <xdr:sp macro="" textlink="">
      <xdr:nvSpPr>
        <xdr:cNvPr id="2" name="Rectangle 1">
          <a:hlinkClick xmlns:r="http://schemas.openxmlformats.org/officeDocument/2006/relationships" r:id="rId1"/>
        </xdr:cNvPr>
        <xdr:cNvSpPr/>
      </xdr:nvSpPr>
      <xdr:spPr>
        <a:xfrm>
          <a:off x="38100" y="28575"/>
          <a:ext cx="504826"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19050</xdr:rowOff>
    </xdr:from>
    <xdr:ext cx="571500" cy="685800"/>
    <xdr:sp macro="" textlink="">
      <xdr:nvSpPr>
        <xdr:cNvPr id="3" name="Rectangle 2">
          <a:hlinkClick xmlns:r="http://schemas.openxmlformats.org/officeDocument/2006/relationships" r:id="rId2"/>
        </xdr:cNvPr>
        <xdr:cNvSpPr/>
      </xdr:nvSpPr>
      <xdr:spPr>
        <a:xfrm>
          <a:off x="609600" y="19050"/>
          <a:ext cx="571500"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85800"/>
    <xdr:sp macro="" textlink="">
      <xdr:nvSpPr>
        <xdr:cNvPr id="2" name="Rectangle 1">
          <a:hlinkClick xmlns:r="http://schemas.openxmlformats.org/officeDocument/2006/relationships" r:id="rId1"/>
        </xdr:cNvPr>
        <xdr:cNvSpPr/>
      </xdr:nvSpPr>
      <xdr:spPr>
        <a:xfrm>
          <a:off x="38099" y="19050"/>
          <a:ext cx="5334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61975" cy="685800"/>
    <xdr:sp macro="" textlink="">
      <xdr:nvSpPr>
        <xdr:cNvPr id="3" name="Rectangle 2">
          <a:hlinkClick xmlns:r="http://schemas.openxmlformats.org/officeDocument/2006/relationships" r:id="rId2"/>
        </xdr:cNvPr>
        <xdr:cNvSpPr/>
      </xdr:nvSpPr>
      <xdr:spPr>
        <a:xfrm>
          <a:off x="619125" y="19050"/>
          <a:ext cx="561975"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6" cy="657226"/>
    <xdr:sp macro="" textlink="">
      <xdr:nvSpPr>
        <xdr:cNvPr id="2" name="Rectangle 1">
          <a:hlinkClick xmlns:r="http://schemas.openxmlformats.org/officeDocument/2006/relationships" r:id="rId1"/>
        </xdr:cNvPr>
        <xdr:cNvSpPr/>
      </xdr:nvSpPr>
      <xdr:spPr>
        <a:xfrm>
          <a:off x="38100" y="28574"/>
          <a:ext cx="542926" cy="65722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42926" cy="657226"/>
    <xdr:sp macro="" textlink="">
      <xdr:nvSpPr>
        <xdr:cNvPr id="3" name="Rectangle 2">
          <a:hlinkClick xmlns:r="http://schemas.openxmlformats.org/officeDocument/2006/relationships" r:id="rId2"/>
        </xdr:cNvPr>
        <xdr:cNvSpPr/>
      </xdr:nvSpPr>
      <xdr:spPr>
        <a:xfrm>
          <a:off x="619125" y="28574"/>
          <a:ext cx="542926" cy="65722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151654</xdr:colOff>
      <xdr:row>3</xdr:row>
      <xdr:rowOff>48164</xdr:rowOff>
    </xdr:from>
    <xdr:ext cx="1591422" cy="409036"/>
    <xdr:sp macro="" textlink="">
      <xdr:nvSpPr>
        <xdr:cNvPr id="2" name="Rectangle 1">
          <a:hlinkClick xmlns:r="http://schemas.openxmlformats.org/officeDocument/2006/relationships" r:id="rId1"/>
        </xdr:cNvPr>
        <xdr:cNvSpPr/>
      </xdr:nvSpPr>
      <xdr:spPr>
        <a:xfrm>
          <a:off x="265954" y="629189"/>
          <a:ext cx="1591422" cy="40903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2-year Portfolio View</a:t>
          </a:r>
        </a:p>
      </xdr:txBody>
    </xdr:sp>
    <xdr:clientData/>
  </xdr:oneCellAnchor>
  <xdr:twoCellAnchor>
    <xdr:from>
      <xdr:col>3</xdr:col>
      <xdr:colOff>171450</xdr:colOff>
      <xdr:row>3</xdr:row>
      <xdr:rowOff>66676</xdr:rowOff>
    </xdr:from>
    <xdr:to>
      <xdr:col>3</xdr:col>
      <xdr:colOff>962025</xdr:colOff>
      <xdr:row>4</xdr:row>
      <xdr:rowOff>1</xdr:rowOff>
    </xdr:to>
    <xdr:sp macro="" textlink="">
      <xdr:nvSpPr>
        <xdr:cNvPr id="3" name="TextBox 2">
          <a:hlinkClick xmlns:r="http://schemas.openxmlformats.org/officeDocument/2006/relationships" r:id="rId2"/>
        </xdr:cNvPr>
        <xdr:cNvSpPr txBox="1"/>
      </xdr:nvSpPr>
      <xdr:spPr>
        <a:xfrm>
          <a:off x="2247900" y="647701"/>
          <a:ext cx="790575"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Gas Sector</a:t>
          </a:r>
        </a:p>
      </xdr:txBody>
    </xdr:sp>
    <xdr:clientData/>
  </xdr:twoCellAnchor>
  <xdr:twoCellAnchor>
    <xdr:from>
      <xdr:col>4</xdr:col>
      <xdr:colOff>66675</xdr:colOff>
      <xdr:row>3</xdr:row>
      <xdr:rowOff>47626</xdr:rowOff>
    </xdr:from>
    <xdr:to>
      <xdr:col>6</xdr:col>
      <xdr:colOff>504825</xdr:colOff>
      <xdr:row>4</xdr:row>
      <xdr:rowOff>1</xdr:rowOff>
    </xdr:to>
    <xdr:sp macro="" textlink="">
      <xdr:nvSpPr>
        <xdr:cNvPr id="4" name="TextBox 3">
          <a:hlinkClick xmlns:r="http://schemas.openxmlformats.org/officeDocument/2006/relationships" r:id="rId3"/>
        </xdr:cNvPr>
        <xdr:cNvSpPr txBox="1"/>
      </xdr:nvSpPr>
      <xdr:spPr>
        <a:xfrm>
          <a:off x="3476625" y="628651"/>
          <a:ext cx="895350"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Gas Sector</a:t>
          </a:r>
        </a:p>
      </xdr:txBody>
    </xdr:sp>
    <xdr:clientData/>
  </xdr:twoCellAnchor>
  <xdr:twoCellAnchor>
    <xdr:from>
      <xdr:col>6</xdr:col>
      <xdr:colOff>695325</xdr:colOff>
      <xdr:row>3</xdr:row>
      <xdr:rowOff>38100</xdr:rowOff>
    </xdr:from>
    <xdr:to>
      <xdr:col>6</xdr:col>
      <xdr:colOff>1695450</xdr:colOff>
      <xdr:row>3</xdr:row>
      <xdr:rowOff>447676</xdr:rowOff>
    </xdr:to>
    <xdr:sp macro="" textlink="">
      <xdr:nvSpPr>
        <xdr:cNvPr id="5" name="TextBox 4">
          <a:hlinkClick xmlns:r="http://schemas.openxmlformats.org/officeDocument/2006/relationships" r:id="rId4"/>
        </xdr:cNvPr>
        <xdr:cNvSpPr txBox="1"/>
      </xdr:nvSpPr>
      <xdr:spPr>
        <a:xfrm>
          <a:off x="4562475" y="61912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28650"/>
    <xdr:sp macro="" textlink="">
      <xdr:nvSpPr>
        <xdr:cNvPr id="2" name="Rectangle 1">
          <a:hlinkClick xmlns:r="http://schemas.openxmlformats.org/officeDocument/2006/relationships" r:id="rId1"/>
        </xdr:cNvPr>
        <xdr:cNvSpPr/>
      </xdr:nvSpPr>
      <xdr:spPr>
        <a:xfrm>
          <a:off x="38099" y="28575"/>
          <a:ext cx="533401"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19050</xdr:rowOff>
    </xdr:from>
    <xdr:ext cx="533401" cy="628650"/>
    <xdr:sp macro="" textlink="">
      <xdr:nvSpPr>
        <xdr:cNvPr id="3" name="Rectangle 2">
          <a:hlinkClick xmlns:r="http://schemas.openxmlformats.org/officeDocument/2006/relationships" r:id="rId2"/>
        </xdr:cNvPr>
        <xdr:cNvSpPr/>
      </xdr:nvSpPr>
      <xdr:spPr>
        <a:xfrm>
          <a:off x="600074" y="19050"/>
          <a:ext cx="533401"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47626</xdr:colOff>
      <xdr:row>0</xdr:row>
      <xdr:rowOff>28574</xdr:rowOff>
    </xdr:from>
    <xdr:ext cx="552450" cy="676276"/>
    <xdr:sp macro="" textlink="">
      <xdr:nvSpPr>
        <xdr:cNvPr id="2" name="Rectangle 1">
          <a:hlinkClick xmlns:r="http://schemas.openxmlformats.org/officeDocument/2006/relationships" r:id="rId1"/>
        </xdr:cNvPr>
        <xdr:cNvSpPr/>
      </xdr:nvSpPr>
      <xdr:spPr>
        <a:xfrm>
          <a:off x="47626" y="28574"/>
          <a:ext cx="55245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647701</xdr:colOff>
      <xdr:row>0</xdr:row>
      <xdr:rowOff>28574</xdr:rowOff>
    </xdr:from>
    <xdr:ext cx="552450" cy="676276"/>
    <xdr:sp macro="" textlink="">
      <xdr:nvSpPr>
        <xdr:cNvPr id="3" name="Rectangle 2">
          <a:hlinkClick xmlns:r="http://schemas.openxmlformats.org/officeDocument/2006/relationships" r:id="rId2"/>
        </xdr:cNvPr>
        <xdr:cNvSpPr/>
      </xdr:nvSpPr>
      <xdr:spPr>
        <a:xfrm>
          <a:off x="647701" y="28574"/>
          <a:ext cx="55245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57225"/>
    <xdr:sp macro="" textlink="">
      <xdr:nvSpPr>
        <xdr:cNvPr id="2" name="Rectangle 1">
          <a:hlinkClick xmlns:r="http://schemas.openxmlformats.org/officeDocument/2006/relationships" r:id="rId1"/>
        </xdr:cNvPr>
        <xdr:cNvSpPr/>
      </xdr:nvSpPr>
      <xdr:spPr>
        <a:xfrm>
          <a:off x="38100" y="28574"/>
          <a:ext cx="5238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19049</xdr:rowOff>
    </xdr:from>
    <xdr:ext cx="523876" cy="657225"/>
    <xdr:sp macro="" textlink="">
      <xdr:nvSpPr>
        <xdr:cNvPr id="3" name="Rectangle 2">
          <a:hlinkClick xmlns:r="http://schemas.openxmlformats.org/officeDocument/2006/relationships" r:id="rId2"/>
        </xdr:cNvPr>
        <xdr:cNvSpPr/>
      </xdr:nvSpPr>
      <xdr:spPr>
        <a:xfrm>
          <a:off x="628650" y="19049"/>
          <a:ext cx="523876"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38099</xdr:colOff>
      <xdr:row>0</xdr:row>
      <xdr:rowOff>28574</xdr:rowOff>
    </xdr:from>
    <xdr:ext cx="552451" cy="628651"/>
    <xdr:sp macro="" textlink="">
      <xdr:nvSpPr>
        <xdr:cNvPr id="2" name="Rectangle 1">
          <a:hlinkClick xmlns:r="http://schemas.openxmlformats.org/officeDocument/2006/relationships" r:id="rId1"/>
        </xdr:cNvPr>
        <xdr:cNvSpPr/>
      </xdr:nvSpPr>
      <xdr:spPr>
        <a:xfrm>
          <a:off x="38099" y="28574"/>
          <a:ext cx="552451"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28651"/>
    <xdr:sp macro="" textlink="">
      <xdr:nvSpPr>
        <xdr:cNvPr id="3" name="Rectangle 2">
          <a:hlinkClick xmlns:r="http://schemas.openxmlformats.org/officeDocument/2006/relationships" r:id="rId2"/>
        </xdr:cNvPr>
        <xdr:cNvSpPr/>
      </xdr:nvSpPr>
      <xdr:spPr>
        <a:xfrm>
          <a:off x="657224" y="28574"/>
          <a:ext cx="552451" cy="6286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28575</xdr:colOff>
      <xdr:row>0</xdr:row>
      <xdr:rowOff>28574</xdr:rowOff>
    </xdr:from>
    <xdr:ext cx="581025" cy="638175"/>
    <xdr:sp macro="" textlink="">
      <xdr:nvSpPr>
        <xdr:cNvPr id="2" name="Rectangle 1">
          <a:hlinkClick xmlns:r="http://schemas.openxmlformats.org/officeDocument/2006/relationships" r:id="rId1"/>
        </xdr:cNvPr>
        <xdr:cNvSpPr/>
      </xdr:nvSpPr>
      <xdr:spPr>
        <a:xfrm>
          <a:off x="28575" y="28574"/>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38099</xdr:rowOff>
    </xdr:from>
    <xdr:ext cx="581025" cy="638175"/>
    <xdr:sp macro="" textlink="">
      <xdr:nvSpPr>
        <xdr:cNvPr id="3" name="Rectangle 2">
          <a:hlinkClick xmlns:r="http://schemas.openxmlformats.org/officeDocument/2006/relationships" r:id="rId2"/>
        </xdr:cNvPr>
        <xdr:cNvSpPr/>
      </xdr:nvSpPr>
      <xdr:spPr>
        <a:xfrm>
          <a:off x="638175" y="38099"/>
          <a:ext cx="581025"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38099</xdr:colOff>
      <xdr:row>0</xdr:row>
      <xdr:rowOff>38100</xdr:rowOff>
    </xdr:from>
    <xdr:ext cx="504826" cy="666750"/>
    <xdr:sp macro="" textlink="">
      <xdr:nvSpPr>
        <xdr:cNvPr id="2" name="Rectangle 1">
          <a:hlinkClick xmlns:r="http://schemas.openxmlformats.org/officeDocument/2006/relationships" r:id="rId1"/>
        </xdr:cNvPr>
        <xdr:cNvSpPr/>
      </xdr:nvSpPr>
      <xdr:spPr>
        <a:xfrm>
          <a:off x="38099" y="38100"/>
          <a:ext cx="5048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38100</xdr:rowOff>
    </xdr:from>
    <xdr:ext cx="561976" cy="666750"/>
    <xdr:sp macro="" textlink="">
      <xdr:nvSpPr>
        <xdr:cNvPr id="3" name="Rectangle 2">
          <a:hlinkClick xmlns:r="http://schemas.openxmlformats.org/officeDocument/2006/relationships" r:id="rId2"/>
        </xdr:cNvPr>
        <xdr:cNvSpPr/>
      </xdr:nvSpPr>
      <xdr:spPr>
        <a:xfrm>
          <a:off x="647699" y="38100"/>
          <a:ext cx="5619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38099</xdr:colOff>
      <xdr:row>0</xdr:row>
      <xdr:rowOff>38100</xdr:rowOff>
    </xdr:from>
    <xdr:ext cx="1000126" cy="514350"/>
    <xdr:sp macro="" textlink="">
      <xdr:nvSpPr>
        <xdr:cNvPr id="2" name="Rectangle 1">
          <a:hlinkClick xmlns:r="http://schemas.openxmlformats.org/officeDocument/2006/relationships" r:id="rId1"/>
        </xdr:cNvPr>
        <xdr:cNvSpPr/>
      </xdr:nvSpPr>
      <xdr:spPr>
        <a:xfrm>
          <a:off x="38099" y="38100"/>
          <a:ext cx="10001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38100</xdr:colOff>
      <xdr:row>0</xdr:row>
      <xdr:rowOff>38100</xdr:rowOff>
    </xdr:from>
    <xdr:ext cx="523876" cy="647700"/>
    <xdr:sp macro="" textlink="">
      <xdr:nvSpPr>
        <xdr:cNvPr id="2" name="Rectangle 1">
          <a:hlinkClick xmlns:r="http://schemas.openxmlformats.org/officeDocument/2006/relationships" r:id="rId1"/>
        </xdr:cNvPr>
        <xdr:cNvSpPr/>
      </xdr:nvSpPr>
      <xdr:spPr>
        <a:xfrm>
          <a:off x="38100" y="38100"/>
          <a:ext cx="523876"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47700"/>
    <xdr:sp macro="" textlink="">
      <xdr:nvSpPr>
        <xdr:cNvPr id="3" name="Rectangle 2">
          <a:hlinkClick xmlns:r="http://schemas.openxmlformats.org/officeDocument/2006/relationships" r:id="rId2"/>
        </xdr:cNvPr>
        <xdr:cNvSpPr/>
      </xdr:nvSpPr>
      <xdr:spPr>
        <a:xfrm>
          <a:off x="619125" y="38100"/>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57149</xdr:colOff>
      <xdr:row>0</xdr:row>
      <xdr:rowOff>9525</xdr:rowOff>
    </xdr:from>
    <xdr:ext cx="542926" cy="628650"/>
    <xdr:sp macro="" textlink="">
      <xdr:nvSpPr>
        <xdr:cNvPr id="2" name="Rectangle 1">
          <a:hlinkClick xmlns:r="http://schemas.openxmlformats.org/officeDocument/2006/relationships" r:id="rId1"/>
        </xdr:cNvPr>
        <xdr:cNvSpPr/>
      </xdr:nvSpPr>
      <xdr:spPr>
        <a:xfrm>
          <a:off x="57149" y="9525"/>
          <a:ext cx="542926"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42926" cy="628650"/>
    <xdr:sp macro="" textlink="">
      <xdr:nvSpPr>
        <xdr:cNvPr id="3" name="Rectangle 2">
          <a:hlinkClick xmlns:r="http://schemas.openxmlformats.org/officeDocument/2006/relationships" r:id="rId2"/>
        </xdr:cNvPr>
        <xdr:cNvSpPr/>
      </xdr:nvSpPr>
      <xdr:spPr>
        <a:xfrm>
          <a:off x="657224" y="19050"/>
          <a:ext cx="542926"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38099</xdr:colOff>
      <xdr:row>0</xdr:row>
      <xdr:rowOff>47624</xdr:rowOff>
    </xdr:from>
    <xdr:ext cx="533401" cy="647701"/>
    <xdr:sp macro="" textlink="">
      <xdr:nvSpPr>
        <xdr:cNvPr id="2" name="Rectangle 1">
          <a:hlinkClick xmlns:r="http://schemas.openxmlformats.org/officeDocument/2006/relationships" r:id="rId1"/>
        </xdr:cNvPr>
        <xdr:cNvSpPr/>
      </xdr:nvSpPr>
      <xdr:spPr>
        <a:xfrm>
          <a:off x="38099" y="4762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47624</xdr:rowOff>
    </xdr:from>
    <xdr:ext cx="533401" cy="647701"/>
    <xdr:sp macro="" textlink="">
      <xdr:nvSpPr>
        <xdr:cNvPr id="3" name="Rectangle 2">
          <a:hlinkClick xmlns:r="http://schemas.openxmlformats.org/officeDocument/2006/relationships" r:id="rId2"/>
        </xdr:cNvPr>
        <xdr:cNvSpPr/>
      </xdr:nvSpPr>
      <xdr:spPr>
        <a:xfrm>
          <a:off x="638174" y="47624"/>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503581</xdr:colOff>
      <xdr:row>3</xdr:row>
      <xdr:rowOff>29114</xdr:rowOff>
    </xdr:from>
    <xdr:ext cx="1496669" cy="428086"/>
    <xdr:sp macro="" textlink="">
      <xdr:nvSpPr>
        <xdr:cNvPr id="3" name="Rectangle 2">
          <a:hlinkClick xmlns:r="http://schemas.openxmlformats.org/officeDocument/2006/relationships" r:id="rId1"/>
        </xdr:cNvPr>
        <xdr:cNvSpPr/>
      </xdr:nvSpPr>
      <xdr:spPr>
        <a:xfrm>
          <a:off x="617881" y="610139"/>
          <a:ext cx="149666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2016 Portfolio View</a:t>
          </a:r>
        </a:p>
      </xdr:txBody>
    </xdr:sp>
    <xdr:clientData/>
  </xdr:oneCellAnchor>
  <xdr:twoCellAnchor>
    <xdr:from>
      <xdr:col>3</xdr:col>
      <xdr:colOff>466725</xdr:colOff>
      <xdr:row>3</xdr:row>
      <xdr:rowOff>28575</xdr:rowOff>
    </xdr:from>
    <xdr:to>
      <xdr:col>6</xdr:col>
      <xdr:colOff>38100</xdr:colOff>
      <xdr:row>3</xdr:row>
      <xdr:rowOff>457200</xdr:rowOff>
    </xdr:to>
    <xdr:sp macro="" textlink="">
      <xdr:nvSpPr>
        <xdr:cNvPr id="4" name="TextBox 3">
          <a:hlinkClick xmlns:r="http://schemas.openxmlformats.org/officeDocument/2006/relationships" r:id="rId2"/>
        </xdr:cNvPr>
        <xdr:cNvSpPr txBox="1"/>
      </xdr:nvSpPr>
      <xdr:spPr>
        <a:xfrm>
          <a:off x="2514600" y="609600"/>
          <a:ext cx="1104900" cy="4286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Return to 2-year Sector View</a:t>
          </a:r>
        </a:p>
      </xdr:txBody>
    </xdr:sp>
    <xdr:clientData/>
  </xdr:twoCellAnchor>
  <xdr:twoCellAnchor>
    <xdr:from>
      <xdr:col>6</xdr:col>
      <xdr:colOff>228600</xdr:colOff>
      <xdr:row>3</xdr:row>
      <xdr:rowOff>28575</xdr:rowOff>
    </xdr:from>
    <xdr:to>
      <xdr:col>6</xdr:col>
      <xdr:colOff>1352550</xdr:colOff>
      <xdr:row>3</xdr:row>
      <xdr:rowOff>457200</xdr:rowOff>
    </xdr:to>
    <xdr:sp macro="" textlink="">
      <xdr:nvSpPr>
        <xdr:cNvPr id="5" name="TextBox 4">
          <a:hlinkClick xmlns:r="http://schemas.openxmlformats.org/officeDocument/2006/relationships" r:id="rId3"/>
        </xdr:cNvPr>
        <xdr:cNvSpPr txBox="1"/>
      </xdr:nvSpPr>
      <xdr:spPr>
        <a:xfrm>
          <a:off x="4019550" y="609600"/>
          <a:ext cx="1123950" cy="4286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Sector View</a:t>
          </a:r>
        </a:p>
      </xdr:txBody>
    </xdr:sp>
    <xdr:clientData/>
  </xdr:twoCellAnchor>
  <xdr:twoCellAnchor>
    <xdr:from>
      <xdr:col>6</xdr:col>
      <xdr:colOff>1590675</xdr:colOff>
      <xdr:row>3</xdr:row>
      <xdr:rowOff>57150</xdr:rowOff>
    </xdr:from>
    <xdr:to>
      <xdr:col>7</xdr:col>
      <xdr:colOff>504825</xdr:colOff>
      <xdr:row>4</xdr:row>
      <xdr:rowOff>1</xdr:rowOff>
    </xdr:to>
    <xdr:sp macro="" textlink="">
      <xdr:nvSpPr>
        <xdr:cNvPr id="6" name="TextBox 5">
          <a:hlinkClick xmlns:r="http://schemas.openxmlformats.org/officeDocument/2006/relationships" r:id="rId4"/>
        </xdr:cNvPr>
        <xdr:cNvSpPr txBox="1"/>
      </xdr:nvSpPr>
      <xdr:spPr>
        <a:xfrm>
          <a:off x="5381625" y="63817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38099</xdr:colOff>
      <xdr:row>0</xdr:row>
      <xdr:rowOff>28575</xdr:rowOff>
    </xdr:from>
    <xdr:ext cx="523876" cy="647700"/>
    <xdr:sp macro="" textlink="">
      <xdr:nvSpPr>
        <xdr:cNvPr id="2" name="Rectangle 1">
          <a:hlinkClick xmlns:r="http://schemas.openxmlformats.org/officeDocument/2006/relationships" r:id="rId1"/>
        </xdr:cNvPr>
        <xdr:cNvSpPr/>
      </xdr:nvSpPr>
      <xdr:spPr>
        <a:xfrm>
          <a:off x="38099" y="28575"/>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28575</xdr:rowOff>
    </xdr:from>
    <xdr:ext cx="523876" cy="647700"/>
    <xdr:sp macro="" textlink="">
      <xdr:nvSpPr>
        <xdr:cNvPr id="3" name="Rectangle 2">
          <a:hlinkClick xmlns:r="http://schemas.openxmlformats.org/officeDocument/2006/relationships" r:id="rId2"/>
        </xdr:cNvPr>
        <xdr:cNvSpPr/>
      </xdr:nvSpPr>
      <xdr:spPr>
        <a:xfrm>
          <a:off x="638174" y="28575"/>
          <a:ext cx="523876"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28575</xdr:colOff>
      <xdr:row>0</xdr:row>
      <xdr:rowOff>28574</xdr:rowOff>
    </xdr:from>
    <xdr:ext cx="533400" cy="676276"/>
    <xdr:sp macro="" textlink="">
      <xdr:nvSpPr>
        <xdr:cNvPr id="2" name="Rectangle 1">
          <a:hlinkClick xmlns:r="http://schemas.openxmlformats.org/officeDocument/2006/relationships" r:id="rId1"/>
        </xdr:cNvPr>
        <xdr:cNvSpPr/>
      </xdr:nvSpPr>
      <xdr:spPr>
        <a:xfrm>
          <a:off x="28575" y="28574"/>
          <a:ext cx="53340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33400" cy="676276"/>
    <xdr:sp macro="" textlink="">
      <xdr:nvSpPr>
        <xdr:cNvPr id="3" name="Rectangle 2">
          <a:hlinkClick xmlns:r="http://schemas.openxmlformats.org/officeDocument/2006/relationships" r:id="rId2"/>
        </xdr:cNvPr>
        <xdr:cNvSpPr/>
      </xdr:nvSpPr>
      <xdr:spPr>
        <a:xfrm>
          <a:off x="638175" y="28575"/>
          <a:ext cx="53340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66751"/>
    <xdr:sp macro="" textlink="">
      <xdr:nvSpPr>
        <xdr:cNvPr id="2" name="Rectangle 1">
          <a:hlinkClick xmlns:r="http://schemas.openxmlformats.org/officeDocument/2006/relationships" r:id="rId1"/>
        </xdr:cNvPr>
        <xdr:cNvSpPr/>
      </xdr:nvSpPr>
      <xdr:spPr>
        <a:xfrm>
          <a:off x="28574" y="28574"/>
          <a:ext cx="552451"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52451" cy="666751"/>
    <xdr:sp macro="" textlink="">
      <xdr:nvSpPr>
        <xdr:cNvPr id="3" name="Rectangle 2">
          <a:hlinkClick xmlns:r="http://schemas.openxmlformats.org/officeDocument/2006/relationships" r:id="rId2"/>
        </xdr:cNvPr>
        <xdr:cNvSpPr/>
      </xdr:nvSpPr>
      <xdr:spPr>
        <a:xfrm>
          <a:off x="638175" y="28575"/>
          <a:ext cx="552451" cy="66675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2-Year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2-Year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398806</xdr:colOff>
      <xdr:row>3</xdr:row>
      <xdr:rowOff>29115</xdr:rowOff>
    </xdr:from>
    <xdr:ext cx="1515719" cy="428086"/>
    <xdr:sp macro="" textlink="">
      <xdr:nvSpPr>
        <xdr:cNvPr id="2" name="Rectangle 1">
          <a:hlinkClick xmlns:r="http://schemas.openxmlformats.org/officeDocument/2006/relationships" r:id="rId1"/>
        </xdr:cNvPr>
        <xdr:cNvSpPr/>
      </xdr:nvSpPr>
      <xdr:spPr>
        <a:xfrm>
          <a:off x="513106" y="610140"/>
          <a:ext cx="151571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2017 Portfolio View</a:t>
          </a:r>
        </a:p>
      </xdr:txBody>
    </xdr:sp>
    <xdr:clientData/>
  </xdr:oneCellAnchor>
  <xdr:twoCellAnchor>
    <xdr:from>
      <xdr:col>3</xdr:col>
      <xdr:colOff>133351</xdr:colOff>
      <xdr:row>3</xdr:row>
      <xdr:rowOff>47625</xdr:rowOff>
    </xdr:from>
    <xdr:to>
      <xdr:col>4</xdr:col>
      <xdr:colOff>142875</xdr:colOff>
      <xdr:row>4</xdr:row>
      <xdr:rowOff>0</xdr:rowOff>
    </xdr:to>
    <xdr:sp macro="" textlink="">
      <xdr:nvSpPr>
        <xdr:cNvPr id="3" name="TextBox 2">
          <a:hlinkClick xmlns:r="http://schemas.openxmlformats.org/officeDocument/2006/relationships" r:id="rId2"/>
        </xdr:cNvPr>
        <xdr:cNvSpPr txBox="1"/>
      </xdr:nvSpPr>
      <xdr:spPr>
        <a:xfrm>
          <a:off x="2324101" y="628650"/>
          <a:ext cx="1095374"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Return to 2-year Sector View</a:t>
          </a:r>
        </a:p>
      </xdr:txBody>
    </xdr:sp>
    <xdr:clientData/>
  </xdr:twoCellAnchor>
  <xdr:twoCellAnchor>
    <xdr:from>
      <xdr:col>5</xdr:col>
      <xdr:colOff>85725</xdr:colOff>
      <xdr:row>3</xdr:row>
      <xdr:rowOff>57150</xdr:rowOff>
    </xdr:from>
    <xdr:to>
      <xdr:col>6</xdr:col>
      <xdr:colOff>971550</xdr:colOff>
      <xdr:row>4</xdr:row>
      <xdr:rowOff>9525</xdr:rowOff>
    </xdr:to>
    <xdr:sp macro="" textlink="">
      <xdr:nvSpPr>
        <xdr:cNvPr id="4" name="TextBox 3">
          <a:hlinkClick xmlns:r="http://schemas.openxmlformats.org/officeDocument/2006/relationships" r:id="rId3"/>
        </xdr:cNvPr>
        <xdr:cNvSpPr txBox="1"/>
      </xdr:nvSpPr>
      <xdr:spPr>
        <a:xfrm>
          <a:off x="3819525" y="638175"/>
          <a:ext cx="1114425" cy="4191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Sector View</a:t>
          </a:r>
        </a:p>
      </xdr:txBody>
    </xdr:sp>
    <xdr:clientData/>
  </xdr:twoCellAnchor>
  <xdr:twoCellAnchor>
    <xdr:from>
      <xdr:col>6</xdr:col>
      <xdr:colOff>1200150</xdr:colOff>
      <xdr:row>3</xdr:row>
      <xdr:rowOff>38100</xdr:rowOff>
    </xdr:from>
    <xdr:to>
      <xdr:col>7</xdr:col>
      <xdr:colOff>114300</xdr:colOff>
      <xdr:row>3</xdr:row>
      <xdr:rowOff>447676</xdr:rowOff>
    </xdr:to>
    <xdr:sp macro="" textlink="">
      <xdr:nvSpPr>
        <xdr:cNvPr id="5" name="TextBox 4">
          <a:hlinkClick xmlns:r="http://schemas.openxmlformats.org/officeDocument/2006/relationships" r:id="rId4"/>
        </xdr:cNvPr>
        <xdr:cNvSpPr txBox="1"/>
      </xdr:nvSpPr>
      <xdr:spPr>
        <a:xfrm>
          <a:off x="5162550" y="619125"/>
          <a:ext cx="10001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Elec. Sector</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57150</xdr:colOff>
      <xdr:row>0</xdr:row>
      <xdr:rowOff>38100</xdr:rowOff>
    </xdr:from>
    <xdr:ext cx="542926" cy="590550"/>
    <xdr:sp macro="" textlink="">
      <xdr:nvSpPr>
        <xdr:cNvPr id="2" name="Rectangle 1">
          <a:hlinkClick xmlns:r="http://schemas.openxmlformats.org/officeDocument/2006/relationships" r:id="rId1"/>
        </xdr:cNvPr>
        <xdr:cNvSpPr/>
      </xdr:nvSpPr>
      <xdr:spPr>
        <a:xfrm>
          <a:off x="57150" y="38100"/>
          <a:ext cx="54292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bg1"/>
              </a:solidFill>
              <a:effectLst/>
            </a:rPr>
            <a:t>Rtn</a:t>
          </a:r>
          <a:r>
            <a:rPr lang="en-US" sz="900" b="0" cap="none" spc="0" baseline="0">
              <a:ln w="10541" cmpd="sng">
                <a:solidFill>
                  <a:schemeClr val="accent1">
                    <a:shade val="88000"/>
                    <a:satMod val="110000"/>
                  </a:schemeClr>
                </a:solidFill>
                <a:prstDash val="solid"/>
              </a:ln>
              <a:solidFill>
                <a:schemeClr val="bg1"/>
              </a:solidFill>
              <a:effectLst/>
            </a:rPr>
            <a:t> to </a:t>
          </a:r>
          <a:r>
            <a:rPr lang="en-US" sz="900" b="0" cap="none" spc="0" baseline="0">
              <a:ln w="10541" cmpd="sng">
                <a:solidFill>
                  <a:schemeClr val="accent1">
                    <a:shade val="88000"/>
                    <a:satMod val="110000"/>
                  </a:schemeClr>
                </a:solidFill>
                <a:prstDash val="solid"/>
              </a:ln>
              <a:solidFill>
                <a:schemeClr val="tx1"/>
              </a:solidFill>
              <a:effectLst/>
            </a:rPr>
            <a:t>2-year</a:t>
          </a:r>
          <a:r>
            <a:rPr lang="en-US" sz="900" b="0" cap="none" spc="0" baseline="0">
              <a:ln w="10541" cmpd="sng">
                <a:solidFill>
                  <a:schemeClr val="accent1">
                    <a:shade val="88000"/>
                    <a:satMod val="110000"/>
                  </a:schemeClr>
                </a:solidFill>
                <a:prstDash val="solid"/>
              </a:ln>
              <a:solidFill>
                <a:schemeClr val="bg1"/>
              </a:solidFill>
              <a:effectLst/>
            </a:rPr>
            <a:t> Elec Sector</a:t>
          </a:r>
          <a:endParaRPr lang="en-US" sz="900" b="0" cap="none" spc="0">
            <a:ln w="10541" cmpd="sng">
              <a:solidFill>
                <a:schemeClr val="accent1">
                  <a:shade val="88000"/>
                  <a:satMod val="110000"/>
                </a:schemeClr>
              </a:solidFill>
              <a:prstDash val="solid"/>
            </a:ln>
            <a:solidFill>
              <a:schemeClr val="bg1"/>
            </a:solidFill>
            <a:effectLst/>
          </a:endParaRPr>
        </a:p>
      </xdr:txBody>
    </xdr:sp>
    <xdr:clientData/>
  </xdr:oneCellAnchor>
  <xdr:oneCellAnchor>
    <xdr:from>
      <xdr:col>0</xdr:col>
      <xdr:colOff>666750</xdr:colOff>
      <xdr:row>0</xdr:row>
      <xdr:rowOff>28574</xdr:rowOff>
    </xdr:from>
    <xdr:ext cx="542926" cy="600075"/>
    <xdr:sp macro="" textlink="">
      <xdr:nvSpPr>
        <xdr:cNvPr id="4" name="Rectangle 3">
          <a:hlinkClick xmlns:r="http://schemas.openxmlformats.org/officeDocument/2006/relationships" r:id="rId2"/>
        </xdr:cNvPr>
        <xdr:cNvSpPr/>
      </xdr:nvSpPr>
      <xdr:spPr>
        <a:xfrm>
          <a:off x="666750" y="28574"/>
          <a:ext cx="54292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11</xdr:row>
      <xdr:rowOff>0</xdr:rowOff>
    </xdr:from>
    <xdr:ext cx="1028701" cy="533400"/>
    <xdr:sp macro="" textlink="">
      <xdr:nvSpPr>
        <xdr:cNvPr id="3" name="Rectangle 2">
          <a:hlinkClick xmlns:r="http://schemas.openxmlformats.org/officeDocument/2006/relationships" r:id="rId1"/>
        </xdr:cNvPr>
        <xdr:cNvSpPr/>
      </xdr:nvSpPr>
      <xdr:spPr>
        <a:xfrm>
          <a:off x="1219200" y="1781175"/>
          <a:ext cx="1028701" cy="5334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0</xdr:colOff>
      <xdr:row>15</xdr:row>
      <xdr:rowOff>142875</xdr:rowOff>
    </xdr:from>
    <xdr:ext cx="1028701" cy="533400"/>
    <xdr:sp macro="" textlink="">
      <xdr:nvSpPr>
        <xdr:cNvPr id="4" name="Rectangle 3">
          <a:hlinkClick xmlns:r="http://schemas.openxmlformats.org/officeDocument/2006/relationships" r:id="rId2"/>
        </xdr:cNvPr>
        <xdr:cNvSpPr/>
      </xdr:nvSpPr>
      <xdr:spPr>
        <a:xfrm>
          <a:off x="1219200" y="2571750"/>
          <a:ext cx="1028701" cy="533400"/>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133350</xdr:colOff>
      <xdr:row>11</xdr:row>
      <xdr:rowOff>19050</xdr:rowOff>
    </xdr:from>
    <xdr:ext cx="1028701" cy="533400"/>
    <xdr:sp macro="" textlink="">
      <xdr:nvSpPr>
        <xdr:cNvPr id="5" name="Rectangle 4">
          <a:hlinkClick xmlns:r="http://schemas.openxmlformats.org/officeDocument/2006/relationships" r:id="rId3"/>
        </xdr:cNvPr>
        <xdr:cNvSpPr/>
      </xdr:nvSpPr>
      <xdr:spPr>
        <a:xfrm>
          <a:off x="2571750" y="1800225"/>
          <a:ext cx="1028701" cy="5334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Go</a:t>
          </a:r>
          <a:r>
            <a:rPr lang="en-US" sz="1000" b="1" cap="none" spc="0" baseline="0">
              <a:ln w="10541" cmpd="sng">
                <a:solidFill>
                  <a:schemeClr val="accent1">
                    <a:shade val="88000"/>
                    <a:satMod val="110000"/>
                  </a:schemeClr>
                </a:solidFill>
                <a:prstDash val="solid"/>
              </a:ln>
              <a:solidFill>
                <a:schemeClr val="tx1"/>
              </a:solidFill>
              <a:effectLst/>
            </a:rPr>
            <a:t> to 2-year Gas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0</xdr:row>
      <xdr:rowOff>28575</xdr:rowOff>
    </xdr:from>
    <xdr:ext cx="495300" cy="590550"/>
    <xdr:sp macro="" textlink="">
      <xdr:nvSpPr>
        <xdr:cNvPr id="2" name="Rectangle 1">
          <a:hlinkClick xmlns:r="http://schemas.openxmlformats.org/officeDocument/2006/relationships" r:id="rId1"/>
        </xdr:cNvPr>
        <xdr:cNvSpPr/>
      </xdr:nvSpPr>
      <xdr:spPr>
        <a:xfrm>
          <a:off x="47625" y="28575"/>
          <a:ext cx="495300"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619125</xdr:colOff>
      <xdr:row>0</xdr:row>
      <xdr:rowOff>47625</xdr:rowOff>
    </xdr:from>
    <xdr:ext cx="495300" cy="590550"/>
    <xdr:sp macro="" textlink="">
      <xdr:nvSpPr>
        <xdr:cNvPr id="3" name="Rectangle 2">
          <a:hlinkClick xmlns:r="http://schemas.openxmlformats.org/officeDocument/2006/relationships" r:id="rId2"/>
        </xdr:cNvPr>
        <xdr:cNvSpPr/>
      </xdr:nvSpPr>
      <xdr:spPr>
        <a:xfrm>
          <a:off x="619125" y="47625"/>
          <a:ext cx="495300"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28575</xdr:rowOff>
    </xdr:from>
    <xdr:ext cx="542925" cy="647700"/>
    <xdr:sp macro="" textlink="">
      <xdr:nvSpPr>
        <xdr:cNvPr id="2" name="Rectangle 1">
          <a:hlinkClick xmlns:r="http://schemas.openxmlformats.org/officeDocument/2006/relationships" r:id="rId1"/>
        </xdr:cNvPr>
        <xdr:cNvSpPr/>
      </xdr:nvSpPr>
      <xdr:spPr>
        <a:xfrm>
          <a:off x="38100" y="28575"/>
          <a:ext cx="542925"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47625</xdr:rowOff>
    </xdr:from>
    <xdr:ext cx="542925" cy="647700"/>
    <xdr:sp macro="" textlink="">
      <xdr:nvSpPr>
        <xdr:cNvPr id="4" name="Rectangle 3">
          <a:hlinkClick xmlns:r="http://schemas.openxmlformats.org/officeDocument/2006/relationships" r:id="rId2"/>
        </xdr:cNvPr>
        <xdr:cNvSpPr/>
      </xdr:nvSpPr>
      <xdr:spPr>
        <a:xfrm>
          <a:off x="628650" y="47625"/>
          <a:ext cx="542925"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38101</xdr:colOff>
      <xdr:row>0</xdr:row>
      <xdr:rowOff>28575</xdr:rowOff>
    </xdr:from>
    <xdr:ext cx="495299" cy="590550"/>
    <xdr:sp macro="" textlink="">
      <xdr:nvSpPr>
        <xdr:cNvPr id="2" name="Rectangle 1">
          <a:hlinkClick xmlns:r="http://schemas.openxmlformats.org/officeDocument/2006/relationships" r:id="rId1"/>
        </xdr:cNvPr>
        <xdr:cNvSpPr/>
      </xdr:nvSpPr>
      <xdr:spPr>
        <a:xfrm>
          <a:off x="38101" y="28575"/>
          <a:ext cx="495299"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657226</xdr:colOff>
      <xdr:row>0</xdr:row>
      <xdr:rowOff>38100</xdr:rowOff>
    </xdr:from>
    <xdr:ext cx="495299" cy="590550"/>
    <xdr:sp macro="" textlink="">
      <xdr:nvSpPr>
        <xdr:cNvPr id="3" name="Rectangle 2">
          <a:hlinkClick xmlns:r="http://schemas.openxmlformats.org/officeDocument/2006/relationships" r:id="rId2"/>
        </xdr:cNvPr>
        <xdr:cNvSpPr/>
      </xdr:nvSpPr>
      <xdr:spPr>
        <a:xfrm>
          <a:off x="657226" y="38100"/>
          <a:ext cx="495299"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38100</xdr:colOff>
      <xdr:row>0</xdr:row>
      <xdr:rowOff>38099</xdr:rowOff>
    </xdr:from>
    <xdr:ext cx="561975" cy="628651"/>
    <xdr:sp macro="" textlink="">
      <xdr:nvSpPr>
        <xdr:cNvPr id="2" name="Rectangle 1">
          <a:hlinkClick xmlns:r="http://schemas.openxmlformats.org/officeDocument/2006/relationships" r:id="rId1"/>
        </xdr:cNvPr>
        <xdr:cNvSpPr/>
      </xdr:nvSpPr>
      <xdr:spPr>
        <a:xfrm>
          <a:off x="38100" y="38099"/>
          <a:ext cx="561975"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61975" cy="628651"/>
    <xdr:sp macro="" textlink="">
      <xdr:nvSpPr>
        <xdr:cNvPr id="3" name="Rectangle 2">
          <a:hlinkClick xmlns:r="http://schemas.openxmlformats.org/officeDocument/2006/relationships" r:id="rId2"/>
        </xdr:cNvPr>
        <xdr:cNvSpPr/>
      </xdr:nvSpPr>
      <xdr:spPr>
        <a:xfrm>
          <a:off x="638175" y="47624"/>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2943225</xdr:colOff>
      <xdr:row>0</xdr:row>
      <xdr:rowOff>85725</xdr:rowOff>
    </xdr:from>
    <xdr:to>
      <xdr:col>2</xdr:col>
      <xdr:colOff>4714875</xdr:colOff>
      <xdr:row>1</xdr:row>
      <xdr:rowOff>180975</xdr:rowOff>
    </xdr:to>
    <xdr:sp macro="" textlink="">
      <xdr:nvSpPr>
        <xdr:cNvPr id="2" name="Rectangle 1">
          <a:hlinkClick xmlns:r="http://schemas.openxmlformats.org/officeDocument/2006/relationships" r:id="rId1"/>
        </xdr:cNvPr>
        <xdr:cNvSpPr/>
      </xdr:nvSpPr>
      <xdr:spPr>
        <a:xfrm>
          <a:off x="4505325" y="85725"/>
          <a:ext cx="1771650" cy="32385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47625</xdr:rowOff>
    </xdr:from>
    <xdr:ext cx="504825" cy="609600"/>
    <xdr:sp macro="" textlink="">
      <xdr:nvSpPr>
        <xdr:cNvPr id="2" name="Rectangle 1">
          <a:hlinkClick xmlns:r="http://schemas.openxmlformats.org/officeDocument/2006/relationships" r:id="rId1"/>
        </xdr:cNvPr>
        <xdr:cNvSpPr/>
      </xdr:nvSpPr>
      <xdr:spPr>
        <a:xfrm>
          <a:off x="38100" y="47625"/>
          <a:ext cx="5048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561975" cy="628651"/>
    <xdr:sp macro="" textlink="">
      <xdr:nvSpPr>
        <xdr:cNvPr id="3" name="Rectangle 2">
          <a:hlinkClick xmlns:r="http://schemas.openxmlformats.org/officeDocument/2006/relationships" r:id="rId2"/>
        </xdr:cNvPr>
        <xdr:cNvSpPr/>
      </xdr:nvSpPr>
      <xdr:spPr>
        <a:xfrm>
          <a:off x="638175" y="47625"/>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38100</xdr:colOff>
      <xdr:row>0</xdr:row>
      <xdr:rowOff>28574</xdr:rowOff>
    </xdr:from>
    <xdr:ext cx="561976" cy="657225"/>
    <xdr:sp macro="" textlink="">
      <xdr:nvSpPr>
        <xdr:cNvPr id="2" name="Rectangle 1">
          <a:hlinkClick xmlns:r="http://schemas.openxmlformats.org/officeDocument/2006/relationships" r:id="rId1"/>
        </xdr:cNvPr>
        <xdr:cNvSpPr/>
      </xdr:nvSpPr>
      <xdr:spPr>
        <a:xfrm>
          <a:off x="38100" y="28574"/>
          <a:ext cx="5619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676275</xdr:colOff>
      <xdr:row>0</xdr:row>
      <xdr:rowOff>28575</xdr:rowOff>
    </xdr:from>
    <xdr:ext cx="561976" cy="657225"/>
    <xdr:sp macro="" textlink="">
      <xdr:nvSpPr>
        <xdr:cNvPr id="3" name="Rectangle 2">
          <a:hlinkClick xmlns:r="http://schemas.openxmlformats.org/officeDocument/2006/relationships" r:id="rId2"/>
        </xdr:cNvPr>
        <xdr:cNvSpPr/>
      </xdr:nvSpPr>
      <xdr:spPr>
        <a:xfrm>
          <a:off x="676275" y="28575"/>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533400" cy="561974"/>
    <xdr:sp macro="" textlink="">
      <xdr:nvSpPr>
        <xdr:cNvPr id="2" name="Rectangle 1">
          <a:hlinkClick xmlns:r="http://schemas.openxmlformats.org/officeDocument/2006/relationships" r:id="rId1"/>
        </xdr:cNvPr>
        <xdr:cNvSpPr/>
      </xdr:nvSpPr>
      <xdr:spPr>
        <a:xfrm>
          <a:off x="0" y="0"/>
          <a:ext cx="533400" cy="56197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609600</xdr:colOff>
      <xdr:row>0</xdr:row>
      <xdr:rowOff>19050</xdr:rowOff>
    </xdr:from>
    <xdr:ext cx="533400" cy="561974"/>
    <xdr:sp macro="" textlink="">
      <xdr:nvSpPr>
        <xdr:cNvPr id="3" name="Rectangle 2">
          <a:hlinkClick xmlns:r="http://schemas.openxmlformats.org/officeDocument/2006/relationships" r:id="rId2"/>
        </xdr:cNvPr>
        <xdr:cNvSpPr/>
      </xdr:nvSpPr>
      <xdr:spPr>
        <a:xfrm>
          <a:off x="609600" y="19050"/>
          <a:ext cx="533400" cy="56197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a:t>
          </a:r>
          <a:r>
            <a:rPr lang="en-US" sz="900" b="0" cap="none" spc="0" baseline="0">
              <a:ln w="10541" cmpd="sng">
                <a:solidFill>
                  <a:schemeClr val="accent1">
                    <a:shade val="88000"/>
                    <a:satMod val="110000"/>
                  </a:schemeClr>
                </a:solidFill>
                <a:prstDash val="solid"/>
              </a:ln>
              <a:solidFill>
                <a:schemeClr val="tx1"/>
              </a:solidFill>
              <a:effectLst/>
            </a:rPr>
            <a:t> to Gas Detail Page</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28575</xdr:colOff>
      <xdr:row>0</xdr:row>
      <xdr:rowOff>28575</xdr:rowOff>
    </xdr:from>
    <xdr:ext cx="971550" cy="514350"/>
    <xdr:sp macro="" textlink="">
      <xdr:nvSpPr>
        <xdr:cNvPr id="2" name="Rectangle 1">
          <a:hlinkClick xmlns:r="http://schemas.openxmlformats.org/officeDocument/2006/relationships" r:id="rId1"/>
        </xdr:cNvPr>
        <xdr:cNvSpPr/>
      </xdr:nvSpPr>
      <xdr:spPr>
        <a:xfrm>
          <a:off x="28575" y="28575"/>
          <a:ext cx="971550"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19050</xdr:colOff>
      <xdr:row>0</xdr:row>
      <xdr:rowOff>19049</xdr:rowOff>
    </xdr:from>
    <xdr:ext cx="495300" cy="590551"/>
    <xdr:sp macro="" textlink="">
      <xdr:nvSpPr>
        <xdr:cNvPr id="2" name="Rectangle 1">
          <a:hlinkClick xmlns:r="http://schemas.openxmlformats.org/officeDocument/2006/relationships" r:id="rId1"/>
        </xdr:cNvPr>
        <xdr:cNvSpPr/>
      </xdr:nvSpPr>
      <xdr:spPr>
        <a:xfrm>
          <a:off x="19050" y="19049"/>
          <a:ext cx="495300" cy="5905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590550</xdr:colOff>
      <xdr:row>0</xdr:row>
      <xdr:rowOff>28574</xdr:rowOff>
    </xdr:from>
    <xdr:ext cx="495300" cy="590551"/>
    <xdr:sp macro="" textlink="">
      <xdr:nvSpPr>
        <xdr:cNvPr id="3" name="Rectangle 2">
          <a:hlinkClick xmlns:r="http://schemas.openxmlformats.org/officeDocument/2006/relationships" r:id="rId2"/>
        </xdr:cNvPr>
        <xdr:cNvSpPr/>
      </xdr:nvSpPr>
      <xdr:spPr>
        <a:xfrm>
          <a:off x="590550" y="28574"/>
          <a:ext cx="495300" cy="5905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28574</xdr:colOff>
      <xdr:row>0</xdr:row>
      <xdr:rowOff>0</xdr:rowOff>
    </xdr:from>
    <xdr:ext cx="962025" cy="514350"/>
    <xdr:sp macro="" textlink="">
      <xdr:nvSpPr>
        <xdr:cNvPr id="2" name="Rectangle 1">
          <a:hlinkClick xmlns:r="http://schemas.openxmlformats.org/officeDocument/2006/relationships" r:id="rId1"/>
        </xdr:cNvPr>
        <xdr:cNvSpPr/>
      </xdr:nvSpPr>
      <xdr:spPr>
        <a:xfrm>
          <a:off x="28574" y="0"/>
          <a:ext cx="962025"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47625</xdr:colOff>
      <xdr:row>0</xdr:row>
      <xdr:rowOff>0</xdr:rowOff>
    </xdr:from>
    <xdr:ext cx="485776" cy="628650"/>
    <xdr:sp macro="" textlink="">
      <xdr:nvSpPr>
        <xdr:cNvPr id="2" name="Rectangle 1">
          <a:hlinkClick xmlns:r="http://schemas.openxmlformats.org/officeDocument/2006/relationships" r:id="rId1"/>
        </xdr:cNvPr>
        <xdr:cNvSpPr/>
      </xdr:nvSpPr>
      <xdr:spPr>
        <a:xfrm>
          <a:off x="47625" y="0"/>
          <a:ext cx="4857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9525</xdr:rowOff>
    </xdr:from>
    <xdr:ext cx="485776" cy="628650"/>
    <xdr:sp macro="" textlink="">
      <xdr:nvSpPr>
        <xdr:cNvPr id="3" name="Rectangle 2">
          <a:hlinkClick xmlns:r="http://schemas.openxmlformats.org/officeDocument/2006/relationships" r:id="rId2"/>
        </xdr:cNvPr>
        <xdr:cNvSpPr/>
      </xdr:nvSpPr>
      <xdr:spPr>
        <a:xfrm>
          <a:off x="628650" y="9525"/>
          <a:ext cx="4857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19050</xdr:colOff>
      <xdr:row>0</xdr:row>
      <xdr:rowOff>19049</xdr:rowOff>
    </xdr:from>
    <xdr:ext cx="485776" cy="571501"/>
    <xdr:sp macro="" textlink="">
      <xdr:nvSpPr>
        <xdr:cNvPr id="2" name="Rectangle 1">
          <a:hlinkClick xmlns:r="http://schemas.openxmlformats.org/officeDocument/2006/relationships" r:id="rId1"/>
        </xdr:cNvPr>
        <xdr:cNvSpPr/>
      </xdr:nvSpPr>
      <xdr:spPr>
        <a:xfrm>
          <a:off x="19050" y="19049"/>
          <a:ext cx="485776" cy="5715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571500</xdr:colOff>
      <xdr:row>0</xdr:row>
      <xdr:rowOff>28574</xdr:rowOff>
    </xdr:from>
    <xdr:ext cx="485776" cy="571501"/>
    <xdr:sp macro="" textlink="">
      <xdr:nvSpPr>
        <xdr:cNvPr id="3" name="Rectangle 2">
          <a:hlinkClick xmlns:r="http://schemas.openxmlformats.org/officeDocument/2006/relationships" r:id="rId2"/>
        </xdr:cNvPr>
        <xdr:cNvSpPr/>
      </xdr:nvSpPr>
      <xdr:spPr>
        <a:xfrm>
          <a:off x="571500" y="28574"/>
          <a:ext cx="485776" cy="57150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38099</xdr:colOff>
      <xdr:row>0</xdr:row>
      <xdr:rowOff>28575</xdr:rowOff>
    </xdr:from>
    <xdr:ext cx="495301" cy="609600"/>
    <xdr:sp macro="" textlink="">
      <xdr:nvSpPr>
        <xdr:cNvPr id="2" name="Rectangle 1">
          <a:hlinkClick xmlns:r="http://schemas.openxmlformats.org/officeDocument/2006/relationships" r:id="rId1"/>
        </xdr:cNvPr>
        <xdr:cNvSpPr/>
      </xdr:nvSpPr>
      <xdr:spPr>
        <a:xfrm>
          <a:off x="38099" y="28575"/>
          <a:ext cx="495301"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495301" cy="609600"/>
    <xdr:sp macro="" textlink="">
      <xdr:nvSpPr>
        <xdr:cNvPr id="3" name="Rectangle 2">
          <a:hlinkClick xmlns:r="http://schemas.openxmlformats.org/officeDocument/2006/relationships" r:id="rId2"/>
        </xdr:cNvPr>
        <xdr:cNvSpPr/>
      </xdr:nvSpPr>
      <xdr:spPr>
        <a:xfrm>
          <a:off x="619124" y="38100"/>
          <a:ext cx="495301"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38100</xdr:colOff>
      <xdr:row>0</xdr:row>
      <xdr:rowOff>19049</xdr:rowOff>
    </xdr:from>
    <xdr:ext cx="990600" cy="504825"/>
    <xdr:sp macro="" textlink="">
      <xdr:nvSpPr>
        <xdr:cNvPr id="2" name="Rectangle 1">
          <a:hlinkClick xmlns:r="http://schemas.openxmlformats.org/officeDocument/2006/relationships" r:id="rId1"/>
        </xdr:cNvPr>
        <xdr:cNvSpPr/>
      </xdr:nvSpPr>
      <xdr:spPr>
        <a:xfrm>
          <a:off x="38100" y="19049"/>
          <a:ext cx="990600"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39</xdr:row>
      <xdr:rowOff>9523</xdr:rowOff>
    </xdr:from>
    <xdr:ext cx="6953249" cy="2632983"/>
    <xdr:sp macro="" textlink="">
      <xdr:nvSpPr>
        <xdr:cNvPr id="2" name="TextBox 1"/>
        <xdr:cNvSpPr txBox="1"/>
      </xdr:nvSpPr>
      <xdr:spPr>
        <a:xfrm>
          <a:off x="1393371" y="5343523"/>
          <a:ext cx="6953249" cy="2632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Discussion:</a:t>
          </a:r>
        </a:p>
        <a:p>
          <a:endParaRPr lang="en-US" sz="1100"/>
        </a:p>
      </xdr:txBody>
    </xdr:sp>
    <xdr:clientData/>
  </xdr:oneCellAnchor>
  <xdr:twoCellAnchor>
    <xdr:from>
      <xdr:col>0</xdr:col>
      <xdr:colOff>171450</xdr:colOff>
      <xdr:row>0</xdr:row>
      <xdr:rowOff>76200</xdr:rowOff>
    </xdr:from>
    <xdr:to>
      <xdr:col>1</xdr:col>
      <xdr:colOff>571500</xdr:colOff>
      <xdr:row>3</xdr:row>
      <xdr:rowOff>76200</xdr:rowOff>
    </xdr:to>
    <xdr:sp macro="" textlink="">
      <xdr:nvSpPr>
        <xdr:cNvPr id="3" name="Rectangle 2">
          <a:hlinkClick xmlns:r="http://schemas.openxmlformats.org/officeDocument/2006/relationships" r:id="rId1"/>
        </xdr:cNvPr>
        <xdr:cNvSpPr/>
      </xdr:nvSpPr>
      <xdr:spPr>
        <a:xfrm>
          <a:off x="171450" y="76200"/>
          <a:ext cx="1009650" cy="4857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38100</xdr:colOff>
      <xdr:row>0</xdr:row>
      <xdr:rowOff>38099</xdr:rowOff>
    </xdr:from>
    <xdr:ext cx="485776" cy="581025"/>
    <xdr:sp macro="" textlink="">
      <xdr:nvSpPr>
        <xdr:cNvPr id="2" name="Rectangle 1">
          <a:hlinkClick xmlns:r="http://schemas.openxmlformats.org/officeDocument/2006/relationships" r:id="rId1"/>
        </xdr:cNvPr>
        <xdr:cNvSpPr/>
      </xdr:nvSpPr>
      <xdr:spPr>
        <a:xfrm>
          <a:off x="38100" y="38099"/>
          <a:ext cx="485776"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38099</xdr:rowOff>
    </xdr:from>
    <xdr:ext cx="485776" cy="581025"/>
    <xdr:sp macro="" textlink="">
      <xdr:nvSpPr>
        <xdr:cNvPr id="3" name="Rectangle 2">
          <a:hlinkClick xmlns:r="http://schemas.openxmlformats.org/officeDocument/2006/relationships" r:id="rId2"/>
        </xdr:cNvPr>
        <xdr:cNvSpPr/>
      </xdr:nvSpPr>
      <xdr:spPr>
        <a:xfrm>
          <a:off x="600075" y="38099"/>
          <a:ext cx="485776" cy="5810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28574</xdr:colOff>
      <xdr:row>0</xdr:row>
      <xdr:rowOff>19050</xdr:rowOff>
    </xdr:from>
    <xdr:ext cx="533401" cy="619125"/>
    <xdr:sp macro="" textlink="">
      <xdr:nvSpPr>
        <xdr:cNvPr id="2" name="Rectangle 1">
          <a:hlinkClick xmlns:r="http://schemas.openxmlformats.org/officeDocument/2006/relationships" r:id="rId1"/>
        </xdr:cNvPr>
        <xdr:cNvSpPr/>
      </xdr:nvSpPr>
      <xdr:spPr>
        <a:xfrm>
          <a:off x="28574" y="19050"/>
          <a:ext cx="53340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33401" cy="619125"/>
    <xdr:sp macro="" textlink="">
      <xdr:nvSpPr>
        <xdr:cNvPr id="3" name="Rectangle 2">
          <a:hlinkClick xmlns:r="http://schemas.openxmlformats.org/officeDocument/2006/relationships" r:id="rId2"/>
        </xdr:cNvPr>
        <xdr:cNvSpPr/>
      </xdr:nvSpPr>
      <xdr:spPr>
        <a:xfrm>
          <a:off x="628649" y="28575"/>
          <a:ext cx="53340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590550"/>
    <xdr:sp macro="" textlink="">
      <xdr:nvSpPr>
        <xdr:cNvPr id="2" name="Rectangle 1">
          <a:hlinkClick xmlns:r="http://schemas.openxmlformats.org/officeDocument/2006/relationships" r:id="rId1"/>
        </xdr:cNvPr>
        <xdr:cNvSpPr/>
      </xdr:nvSpPr>
      <xdr:spPr>
        <a:xfrm>
          <a:off x="28574" y="28575"/>
          <a:ext cx="514351"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47625</xdr:rowOff>
    </xdr:from>
    <xdr:ext cx="523876" cy="590550"/>
    <xdr:sp macro="" textlink="">
      <xdr:nvSpPr>
        <xdr:cNvPr id="4" name="Rectangle 3">
          <a:hlinkClick xmlns:r="http://schemas.openxmlformats.org/officeDocument/2006/relationships" r:id="rId2"/>
        </xdr:cNvPr>
        <xdr:cNvSpPr/>
      </xdr:nvSpPr>
      <xdr:spPr>
        <a:xfrm>
          <a:off x="600074" y="47625"/>
          <a:ext cx="52387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2</xdr:col>
      <xdr:colOff>85725</xdr:colOff>
      <xdr:row>7</xdr:row>
      <xdr:rowOff>0</xdr:rowOff>
    </xdr:from>
    <xdr:ext cx="1200150" cy="400050"/>
    <xdr:sp macro="" textlink="">
      <xdr:nvSpPr>
        <xdr:cNvPr id="3" name="Rectangle 2">
          <a:hlinkClick xmlns:r="http://schemas.openxmlformats.org/officeDocument/2006/relationships" r:id="rId1"/>
        </xdr:cNvPr>
        <xdr:cNvSpPr/>
      </xdr:nvSpPr>
      <xdr:spPr>
        <a:xfrm>
          <a:off x="1304925" y="1133475"/>
          <a:ext cx="1200150"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47626</xdr:colOff>
      <xdr:row>11</xdr:row>
      <xdr:rowOff>28575</xdr:rowOff>
    </xdr:from>
    <xdr:ext cx="1314450" cy="423323"/>
    <xdr:sp macro="" textlink="">
      <xdr:nvSpPr>
        <xdr:cNvPr id="5" name="Rectangle 4">
          <a:hlinkClick xmlns:r="http://schemas.openxmlformats.org/officeDocument/2006/relationships" r:id="rId2"/>
        </xdr:cNvPr>
        <xdr:cNvSpPr/>
      </xdr:nvSpPr>
      <xdr:spPr>
        <a:xfrm>
          <a:off x="1266826" y="1809750"/>
          <a:ext cx="1314450"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361950</xdr:colOff>
      <xdr:row>7</xdr:row>
      <xdr:rowOff>28575</xdr:rowOff>
    </xdr:from>
    <xdr:ext cx="1314450" cy="400050"/>
    <xdr:sp macro="" textlink="">
      <xdr:nvSpPr>
        <xdr:cNvPr id="4" name="Rectangle 3">
          <a:hlinkClick xmlns:r="http://schemas.openxmlformats.org/officeDocument/2006/relationships" r:id="rId3"/>
        </xdr:cNvPr>
        <xdr:cNvSpPr/>
      </xdr:nvSpPr>
      <xdr:spPr>
        <a:xfrm>
          <a:off x="2800350" y="1162050"/>
          <a:ext cx="1314450"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38100</xdr:colOff>
      <xdr:row>0</xdr:row>
      <xdr:rowOff>28574</xdr:rowOff>
    </xdr:from>
    <xdr:ext cx="1047750" cy="523875"/>
    <xdr:sp macro="" textlink="">
      <xdr:nvSpPr>
        <xdr:cNvPr id="2" name="Rectangle 1">
          <a:hlinkClick xmlns:r="http://schemas.openxmlformats.org/officeDocument/2006/relationships" r:id="rId1"/>
        </xdr:cNvPr>
        <xdr:cNvSpPr/>
      </xdr:nvSpPr>
      <xdr:spPr>
        <a:xfrm>
          <a:off x="38100" y="28574"/>
          <a:ext cx="1047750"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47624</xdr:colOff>
      <xdr:row>0</xdr:row>
      <xdr:rowOff>28575</xdr:rowOff>
    </xdr:from>
    <xdr:ext cx="981076" cy="495300"/>
    <xdr:sp macro="" textlink="">
      <xdr:nvSpPr>
        <xdr:cNvPr id="2" name="Rectangle 1">
          <a:hlinkClick xmlns:r="http://schemas.openxmlformats.org/officeDocument/2006/relationships" r:id="rId1"/>
        </xdr:cNvPr>
        <xdr:cNvSpPr/>
      </xdr:nvSpPr>
      <xdr:spPr>
        <a:xfrm>
          <a:off x="47624" y="28575"/>
          <a:ext cx="981076" cy="4953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38100</xdr:colOff>
      <xdr:row>0</xdr:row>
      <xdr:rowOff>19050</xdr:rowOff>
    </xdr:from>
    <xdr:ext cx="581025" cy="628649"/>
    <xdr:sp macro="" textlink="">
      <xdr:nvSpPr>
        <xdr:cNvPr id="2" name="Rectangle 1">
          <a:hlinkClick xmlns:r="http://schemas.openxmlformats.org/officeDocument/2006/relationships" r:id="rId1"/>
        </xdr:cNvPr>
        <xdr:cNvSpPr/>
      </xdr:nvSpPr>
      <xdr:spPr>
        <a:xfrm>
          <a:off x="38100" y="19050"/>
          <a:ext cx="581025" cy="62864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28575</xdr:rowOff>
    </xdr:from>
    <xdr:ext cx="581025" cy="628649"/>
    <xdr:sp macro="" textlink="">
      <xdr:nvSpPr>
        <xdr:cNvPr id="3" name="Rectangle 2">
          <a:hlinkClick xmlns:r="http://schemas.openxmlformats.org/officeDocument/2006/relationships" r:id="rId2"/>
        </xdr:cNvPr>
        <xdr:cNvSpPr/>
      </xdr:nvSpPr>
      <xdr:spPr>
        <a:xfrm>
          <a:off x="657225" y="28575"/>
          <a:ext cx="581025" cy="628649"/>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09601"/>
    <xdr:sp macro="" textlink="">
      <xdr:nvSpPr>
        <xdr:cNvPr id="2" name="Rectangle 1">
          <a:hlinkClick xmlns:r="http://schemas.openxmlformats.org/officeDocument/2006/relationships" r:id="rId1"/>
        </xdr:cNvPr>
        <xdr:cNvSpPr/>
      </xdr:nvSpPr>
      <xdr:spPr>
        <a:xfrm>
          <a:off x="38100" y="28574"/>
          <a:ext cx="523876" cy="6096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28574</xdr:rowOff>
    </xdr:from>
    <xdr:ext cx="523876" cy="609601"/>
    <xdr:sp macro="" textlink="">
      <xdr:nvSpPr>
        <xdr:cNvPr id="3" name="Rectangle 2">
          <a:hlinkClick xmlns:r="http://schemas.openxmlformats.org/officeDocument/2006/relationships" r:id="rId2"/>
        </xdr:cNvPr>
        <xdr:cNvSpPr/>
      </xdr:nvSpPr>
      <xdr:spPr>
        <a:xfrm>
          <a:off x="628650" y="28574"/>
          <a:ext cx="523876" cy="6096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0</xdr:col>
      <xdr:colOff>47624</xdr:colOff>
      <xdr:row>0</xdr:row>
      <xdr:rowOff>28574</xdr:rowOff>
    </xdr:from>
    <xdr:ext cx="533401" cy="581025"/>
    <xdr:sp macro="" textlink="">
      <xdr:nvSpPr>
        <xdr:cNvPr id="2" name="Rectangle 1">
          <a:hlinkClick xmlns:r="http://schemas.openxmlformats.org/officeDocument/2006/relationships" r:id="rId1"/>
        </xdr:cNvPr>
        <xdr:cNvSpPr/>
      </xdr:nvSpPr>
      <xdr:spPr>
        <a:xfrm>
          <a:off x="47624" y="28574"/>
          <a:ext cx="533401" cy="5810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581025"/>
    <xdr:sp macro="" textlink="">
      <xdr:nvSpPr>
        <xdr:cNvPr id="3" name="Rectangle 2">
          <a:hlinkClick xmlns:r="http://schemas.openxmlformats.org/officeDocument/2006/relationships" r:id="rId2"/>
        </xdr:cNvPr>
        <xdr:cNvSpPr/>
      </xdr:nvSpPr>
      <xdr:spPr>
        <a:xfrm>
          <a:off x="638174" y="38099"/>
          <a:ext cx="533401"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38099</xdr:colOff>
      <xdr:row>0</xdr:row>
      <xdr:rowOff>38099</xdr:rowOff>
    </xdr:from>
    <xdr:ext cx="514351" cy="619125"/>
    <xdr:sp macro="" textlink="">
      <xdr:nvSpPr>
        <xdr:cNvPr id="2" name="Rectangle 1">
          <a:hlinkClick xmlns:r="http://schemas.openxmlformats.org/officeDocument/2006/relationships" r:id="rId1"/>
        </xdr:cNvPr>
        <xdr:cNvSpPr/>
      </xdr:nvSpPr>
      <xdr:spPr>
        <a:xfrm>
          <a:off x="38099" y="38099"/>
          <a:ext cx="514351"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38099</xdr:rowOff>
    </xdr:from>
    <xdr:ext cx="552451" cy="619125"/>
    <xdr:sp macro="" textlink="">
      <xdr:nvSpPr>
        <xdr:cNvPr id="3" name="Rectangle 2">
          <a:hlinkClick xmlns:r="http://schemas.openxmlformats.org/officeDocument/2006/relationships" r:id="rId2"/>
        </xdr:cNvPr>
        <xdr:cNvSpPr/>
      </xdr:nvSpPr>
      <xdr:spPr>
        <a:xfrm>
          <a:off x="628649" y="38099"/>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47626</xdr:rowOff>
    </xdr:from>
    <xdr:to>
      <xdr:col>0</xdr:col>
      <xdr:colOff>981075</xdr:colOff>
      <xdr:row>0</xdr:row>
      <xdr:rowOff>485775</xdr:rowOff>
    </xdr:to>
    <xdr:sp macro="" textlink="">
      <xdr:nvSpPr>
        <xdr:cNvPr id="3" name="Rectangle 2">
          <a:hlinkClick xmlns:r="http://schemas.openxmlformats.org/officeDocument/2006/relationships" r:id="rId1"/>
        </xdr:cNvPr>
        <xdr:cNvSpPr/>
      </xdr:nvSpPr>
      <xdr:spPr>
        <a:xfrm>
          <a:off x="57150" y="47626"/>
          <a:ext cx="923925" cy="438149"/>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2-year Portfolio View</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38099</xdr:colOff>
      <xdr:row>0</xdr:row>
      <xdr:rowOff>38100</xdr:rowOff>
    </xdr:from>
    <xdr:ext cx="1019175" cy="504825"/>
    <xdr:sp macro="" textlink="">
      <xdr:nvSpPr>
        <xdr:cNvPr id="2" name="Rectangle 1">
          <a:hlinkClick xmlns:r="http://schemas.openxmlformats.org/officeDocument/2006/relationships" r:id="rId1"/>
        </xdr:cNvPr>
        <xdr:cNvSpPr/>
      </xdr:nvSpPr>
      <xdr:spPr>
        <a:xfrm>
          <a:off x="38099" y="38100"/>
          <a:ext cx="1019175" cy="5048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28575</xdr:colOff>
      <xdr:row>0</xdr:row>
      <xdr:rowOff>19050</xdr:rowOff>
    </xdr:from>
    <xdr:ext cx="533400" cy="666750"/>
    <xdr:sp macro="" textlink="">
      <xdr:nvSpPr>
        <xdr:cNvPr id="2" name="Rectangle 1">
          <a:hlinkClick xmlns:r="http://schemas.openxmlformats.org/officeDocument/2006/relationships" r:id="rId1"/>
        </xdr:cNvPr>
        <xdr:cNvSpPr/>
      </xdr:nvSpPr>
      <xdr:spPr>
        <a:xfrm>
          <a:off x="28575" y="19050"/>
          <a:ext cx="533400"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33400" cy="666750"/>
    <xdr:sp macro="" textlink="">
      <xdr:nvSpPr>
        <xdr:cNvPr id="3" name="Rectangle 2">
          <a:hlinkClick xmlns:r="http://schemas.openxmlformats.org/officeDocument/2006/relationships" r:id="rId2"/>
        </xdr:cNvPr>
        <xdr:cNvSpPr/>
      </xdr:nvSpPr>
      <xdr:spPr>
        <a:xfrm>
          <a:off x="619125" y="19050"/>
          <a:ext cx="533400"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542925" cy="657224"/>
    <xdr:sp macro="" textlink="">
      <xdr:nvSpPr>
        <xdr:cNvPr id="2" name="Rectangle 1">
          <a:hlinkClick xmlns:r="http://schemas.openxmlformats.org/officeDocument/2006/relationships" r:id="rId1"/>
        </xdr:cNvPr>
        <xdr:cNvSpPr/>
      </xdr:nvSpPr>
      <xdr:spPr>
        <a:xfrm>
          <a:off x="0" y="0"/>
          <a:ext cx="542925" cy="6572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19050</xdr:rowOff>
    </xdr:from>
    <xdr:ext cx="542925" cy="657224"/>
    <xdr:sp macro="" textlink="">
      <xdr:nvSpPr>
        <xdr:cNvPr id="3" name="Rectangle 2">
          <a:hlinkClick xmlns:r="http://schemas.openxmlformats.org/officeDocument/2006/relationships" r:id="rId2"/>
        </xdr:cNvPr>
        <xdr:cNvSpPr/>
      </xdr:nvSpPr>
      <xdr:spPr>
        <a:xfrm>
          <a:off x="600075" y="19050"/>
          <a:ext cx="54292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19125"/>
    <xdr:sp macro="" textlink="">
      <xdr:nvSpPr>
        <xdr:cNvPr id="2" name="Rectangle 1">
          <a:hlinkClick xmlns:r="http://schemas.openxmlformats.org/officeDocument/2006/relationships" r:id="rId1"/>
        </xdr:cNvPr>
        <xdr:cNvSpPr/>
      </xdr:nvSpPr>
      <xdr:spPr>
        <a:xfrm>
          <a:off x="28574" y="28574"/>
          <a:ext cx="542926"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81026" cy="619125"/>
    <xdr:sp macro="" textlink="">
      <xdr:nvSpPr>
        <xdr:cNvPr id="3" name="Rectangle 2">
          <a:hlinkClick xmlns:r="http://schemas.openxmlformats.org/officeDocument/2006/relationships" r:id="rId2"/>
        </xdr:cNvPr>
        <xdr:cNvSpPr/>
      </xdr:nvSpPr>
      <xdr:spPr>
        <a:xfrm>
          <a:off x="638174" y="38099"/>
          <a:ext cx="581026"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76275"/>
    <xdr:sp macro="" textlink="">
      <xdr:nvSpPr>
        <xdr:cNvPr id="2" name="Rectangle 1">
          <a:hlinkClick xmlns:r="http://schemas.openxmlformats.org/officeDocument/2006/relationships" r:id="rId1"/>
        </xdr:cNvPr>
        <xdr:cNvSpPr/>
      </xdr:nvSpPr>
      <xdr:spPr>
        <a:xfrm>
          <a:off x="28574" y="28574"/>
          <a:ext cx="53340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2-Year</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Gas Sector</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61976" cy="676275"/>
    <xdr:sp macro="" textlink="">
      <xdr:nvSpPr>
        <xdr:cNvPr id="3" name="Rectangle 2">
          <a:hlinkClick xmlns:r="http://schemas.openxmlformats.org/officeDocument/2006/relationships" r:id="rId2"/>
        </xdr:cNvPr>
        <xdr:cNvSpPr/>
      </xdr:nvSpPr>
      <xdr:spPr>
        <a:xfrm>
          <a:off x="609599" y="28574"/>
          <a:ext cx="56197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28575</xdr:colOff>
      <xdr:row>0</xdr:row>
      <xdr:rowOff>38100</xdr:rowOff>
    </xdr:from>
    <xdr:ext cx="514350" cy="657225"/>
    <xdr:sp macro="" textlink="">
      <xdr:nvSpPr>
        <xdr:cNvPr id="2" name="Rectangle 1">
          <a:hlinkClick xmlns:r="http://schemas.openxmlformats.org/officeDocument/2006/relationships" r:id="rId1"/>
        </xdr:cNvPr>
        <xdr:cNvSpPr/>
      </xdr:nvSpPr>
      <xdr:spPr>
        <a:xfrm>
          <a:off x="28575" y="38100"/>
          <a:ext cx="514350"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90550" cy="657225"/>
    <xdr:sp macro="" textlink="">
      <xdr:nvSpPr>
        <xdr:cNvPr id="4" name="Rectangle 3">
          <a:hlinkClick xmlns:r="http://schemas.openxmlformats.org/officeDocument/2006/relationships" r:id="rId2"/>
        </xdr:cNvPr>
        <xdr:cNvSpPr/>
      </xdr:nvSpPr>
      <xdr:spPr>
        <a:xfrm>
          <a:off x="609600" y="28575"/>
          <a:ext cx="59055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609600"/>
    <xdr:sp macro="" textlink="">
      <xdr:nvSpPr>
        <xdr:cNvPr id="2" name="Rectangle 1">
          <a:hlinkClick xmlns:r="http://schemas.openxmlformats.org/officeDocument/2006/relationships" r:id="rId1"/>
        </xdr:cNvPr>
        <xdr:cNvSpPr/>
      </xdr:nvSpPr>
      <xdr:spPr>
        <a:xfrm>
          <a:off x="28574" y="28575"/>
          <a:ext cx="514351" cy="6096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38100</xdr:rowOff>
    </xdr:from>
    <xdr:ext cx="542926" cy="609600"/>
    <xdr:sp macro="" textlink="">
      <xdr:nvSpPr>
        <xdr:cNvPr id="3" name="Rectangle 2">
          <a:hlinkClick xmlns:r="http://schemas.openxmlformats.org/officeDocument/2006/relationships" r:id="rId2"/>
        </xdr:cNvPr>
        <xdr:cNvSpPr/>
      </xdr:nvSpPr>
      <xdr:spPr>
        <a:xfrm>
          <a:off x="600074" y="38100"/>
          <a:ext cx="542926"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47624</xdr:colOff>
      <xdr:row>0</xdr:row>
      <xdr:rowOff>29114</xdr:rowOff>
    </xdr:from>
    <xdr:ext cx="542925" cy="656686"/>
    <xdr:sp macro="" textlink="">
      <xdr:nvSpPr>
        <xdr:cNvPr id="2" name="Rectangle 1">
          <a:hlinkClick xmlns:r="http://schemas.openxmlformats.org/officeDocument/2006/relationships" r:id="rId1"/>
        </xdr:cNvPr>
        <xdr:cNvSpPr/>
      </xdr:nvSpPr>
      <xdr:spPr>
        <a:xfrm>
          <a:off x="47624" y="29114"/>
          <a:ext cx="542925" cy="6566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38639</xdr:rowOff>
    </xdr:from>
    <xdr:ext cx="542925" cy="656686"/>
    <xdr:sp macro="" textlink="">
      <xdr:nvSpPr>
        <xdr:cNvPr id="8" name="Rectangle 7">
          <a:hlinkClick xmlns:r="http://schemas.openxmlformats.org/officeDocument/2006/relationships" r:id="rId2"/>
        </xdr:cNvPr>
        <xdr:cNvSpPr/>
      </xdr:nvSpPr>
      <xdr:spPr>
        <a:xfrm>
          <a:off x="638174" y="38639"/>
          <a:ext cx="542925" cy="65668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1314450</xdr:colOff>
      <xdr:row>33</xdr:row>
      <xdr:rowOff>19050</xdr:rowOff>
    </xdr:from>
    <xdr:to>
      <xdr:col>11</xdr:col>
      <xdr:colOff>488950</xdr:colOff>
      <xdr:row>42</xdr:row>
      <xdr:rowOff>107373</xdr:rowOff>
    </xdr:to>
    <xdr:sp macro="" textlink="">
      <xdr:nvSpPr>
        <xdr:cNvPr id="5" name="TextBox 4"/>
        <xdr:cNvSpPr txBox="1"/>
      </xdr:nvSpPr>
      <xdr:spPr>
        <a:xfrm>
          <a:off x="11601450" y="6943725"/>
          <a:ext cx="5842000" cy="1574223"/>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(credited) annually by journal entry to E250 C/I Retrofit (order #18230711) &amp; debited to E258 Self-Directed (449s</a:t>
          </a:r>
          <a:r>
            <a:rPr lang="en-US" sz="1100" baseline="0"/>
            <a:t> and non-449s</a:t>
          </a:r>
          <a:r>
            <a:rPr lang="en-US" sz="1100"/>
            <a:t>).   These </a:t>
          </a:r>
          <a:r>
            <a:rPr lang="en-US" sz="1100" baseline="0"/>
            <a:t>expenditures are represented in this table as [labor (##) + overhead (##)] values and </a:t>
          </a:r>
          <a:r>
            <a:rPr lang="en-US" sz="1100"/>
            <a:t>reconcile with Journal</a:t>
          </a:r>
          <a:r>
            <a:rPr lang="en-US" sz="1100" baseline="0"/>
            <a:t> Entry tables in </a:t>
          </a:r>
          <a:r>
            <a:rPr lang="en-US" sz="1100" b="1">
              <a:solidFill>
                <a:srgbClr val="FF0000"/>
              </a:solidFill>
            </a:rPr>
            <a:t>LPSD_Detail_449</a:t>
          </a:r>
          <a:r>
            <a:rPr lang="en-US" sz="1100" b="1" baseline="0">
              <a:solidFill>
                <a:srgbClr val="FF0000"/>
              </a:solidFill>
            </a:rPr>
            <a:t>_Elec </a:t>
          </a:r>
          <a:r>
            <a:rPr lang="en-US" sz="1100" b="0" baseline="0">
              <a:solidFill>
                <a:schemeClr val="tx1"/>
              </a:solidFill>
            </a:rPr>
            <a:t>+ </a:t>
          </a:r>
          <a:r>
            <a:rPr lang="en-US" sz="1100" b="1" baseline="0">
              <a:solidFill>
                <a:srgbClr val="FF0000"/>
              </a:solidFill>
            </a:rPr>
            <a:t>LPSD_Detail_Non-449_Elec</a:t>
          </a:r>
          <a:r>
            <a:rPr lang="en-US" sz="1100"/>
            <a:t>.  The 7.5%</a:t>
          </a:r>
          <a:r>
            <a:rPr lang="en-US" sz="1100" baseline="0"/>
            <a:t> is </a:t>
          </a:r>
          <a:r>
            <a:rPr lang="en-US" sz="1100"/>
            <a:t>represented in Schedule 250 as credits to indicate that some EMEs spend time managing projects for Sch. 258 customers.  The amount is credited to Sch 250 and debited to 258 to satisfy</a:t>
          </a:r>
          <a:r>
            <a:rPr lang="en-US" sz="1100" baseline="0"/>
            <a:t> requirements in Schedule 258, Section 4, Funding.</a:t>
          </a:r>
          <a:endParaRPr lang="en-US" sz="1100"/>
        </a:p>
        <a:p>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0</xdr:col>
      <xdr:colOff>47625</xdr:colOff>
      <xdr:row>0</xdr:row>
      <xdr:rowOff>29114</xdr:rowOff>
    </xdr:from>
    <xdr:ext cx="990600" cy="523336"/>
    <xdr:sp macro="" textlink="">
      <xdr:nvSpPr>
        <xdr:cNvPr id="2" name="Rectangle 1">
          <a:hlinkClick xmlns:r="http://schemas.openxmlformats.org/officeDocument/2006/relationships" r:id="rId1"/>
        </xdr:cNvPr>
        <xdr:cNvSpPr/>
      </xdr:nvSpPr>
      <xdr:spPr>
        <a:xfrm>
          <a:off x="47625" y="29114"/>
          <a:ext cx="990600" cy="5233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57148</xdr:colOff>
      <xdr:row>0</xdr:row>
      <xdr:rowOff>28574</xdr:rowOff>
    </xdr:from>
    <xdr:ext cx="523877" cy="600075"/>
    <xdr:sp macro="" textlink="">
      <xdr:nvSpPr>
        <xdr:cNvPr id="2" name="Rectangle 1">
          <a:hlinkClick xmlns:r="http://schemas.openxmlformats.org/officeDocument/2006/relationships" r:id="rId1"/>
        </xdr:cNvPr>
        <xdr:cNvSpPr/>
      </xdr:nvSpPr>
      <xdr:spPr>
        <a:xfrm>
          <a:off x="57148" y="28574"/>
          <a:ext cx="523877" cy="6000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628648</xdr:colOff>
      <xdr:row>0</xdr:row>
      <xdr:rowOff>28574</xdr:rowOff>
    </xdr:from>
    <xdr:ext cx="523877" cy="600075"/>
    <xdr:sp macro="" textlink="">
      <xdr:nvSpPr>
        <xdr:cNvPr id="7" name="Rectangle 6">
          <a:hlinkClick xmlns:r="http://schemas.openxmlformats.org/officeDocument/2006/relationships" r:id="rId2"/>
        </xdr:cNvPr>
        <xdr:cNvSpPr/>
      </xdr:nvSpPr>
      <xdr:spPr>
        <a:xfrm>
          <a:off x="628648" y="28574"/>
          <a:ext cx="523877"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6</xdr:col>
      <xdr:colOff>647701</xdr:colOff>
      <xdr:row>1</xdr:row>
      <xdr:rowOff>357727</xdr:rowOff>
    </xdr:from>
    <xdr:to>
      <xdr:col>9</xdr:col>
      <xdr:colOff>657227</xdr:colOff>
      <xdr:row>2</xdr:row>
      <xdr:rowOff>581025</xdr:rowOff>
    </xdr:to>
    <xdr:grpSp>
      <xdr:nvGrpSpPr>
        <xdr:cNvPr id="7" name="Group 6"/>
        <xdr:cNvGrpSpPr/>
      </xdr:nvGrpSpPr>
      <xdr:grpSpPr>
        <a:xfrm>
          <a:off x="5419726" y="948277"/>
          <a:ext cx="3857626" cy="594773"/>
          <a:chOff x="4933951" y="81502"/>
          <a:chExt cx="3506501" cy="594773"/>
        </a:xfrm>
      </xdr:grpSpPr>
      <xdr:sp macro="" textlink="">
        <xdr:nvSpPr>
          <xdr:cNvPr id="2" name="Rectangle 1"/>
          <xdr:cNvSpPr/>
        </xdr:nvSpPr>
        <xdr:spPr>
          <a:xfrm>
            <a:off x="5433155" y="81502"/>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2-year Sector Views</a:t>
            </a:r>
          </a:p>
        </xdr:txBody>
      </xdr:sp>
      <xdr:sp macro="" textlink="">
        <xdr:nvSpPr>
          <xdr:cNvPr id="3" name="Bent Arrow 2"/>
          <xdr:cNvSpPr/>
        </xdr:nvSpPr>
        <xdr:spPr>
          <a:xfrm rot="5400000">
            <a:off x="7969876" y="-41948"/>
            <a:ext cx="161928" cy="77922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4" name="Bent Arrow 3"/>
          <xdr:cNvSpPr/>
        </xdr:nvSpPr>
        <xdr:spPr>
          <a:xfrm rot="5400000" flipV="1">
            <a:off x="5255153" y="-73550"/>
            <a:ext cx="171451" cy="813856"/>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5</xdr:col>
      <xdr:colOff>665543</xdr:colOff>
      <xdr:row>2</xdr:row>
      <xdr:rowOff>86264</xdr:rowOff>
    </xdr:from>
    <xdr:ext cx="1393074" cy="248851"/>
    <xdr:sp macro="" textlink="">
      <xdr:nvSpPr>
        <xdr:cNvPr id="5" name="Rectangle 4">
          <a:hlinkClick xmlns:r="http://schemas.openxmlformats.org/officeDocument/2006/relationships" r:id="rId1"/>
        </xdr:cNvPr>
        <xdr:cNvSpPr/>
      </xdr:nvSpPr>
      <xdr:spPr>
        <a:xfrm>
          <a:off x="3161093" y="1048289"/>
          <a:ext cx="1393074" cy="248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Click</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her for </a:t>
          </a: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2016</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657225</xdr:colOff>
      <xdr:row>2</xdr:row>
      <xdr:rowOff>485775</xdr:rowOff>
    </xdr:from>
    <xdr:to>
      <xdr:col>5</xdr:col>
      <xdr:colOff>2066925</xdr:colOff>
      <xdr:row>2</xdr:row>
      <xdr:rowOff>733425</xdr:rowOff>
    </xdr:to>
    <xdr:sp macro="" textlink="">
      <xdr:nvSpPr>
        <xdr:cNvPr id="6" name="Rectangle 5">
          <a:hlinkClick xmlns:r="http://schemas.openxmlformats.org/officeDocument/2006/relationships" r:id="rId2"/>
        </xdr:cNvPr>
        <xdr:cNvSpPr/>
      </xdr:nvSpPr>
      <xdr:spPr>
        <a:xfrm>
          <a:off x="2828925" y="1447800"/>
          <a:ext cx="1409700" cy="247650"/>
        </a:xfrm>
        <a:prstGeom prst="rect">
          <a:avLst/>
        </a:prstGeom>
        <a:solidFill>
          <a:srgbClr val="C2D7F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Click her for 2017 view</a:t>
          </a:r>
        </a:p>
      </xdr:txBody>
    </xdr:sp>
    <xdr:clientData/>
  </xdr:twoCellAnchor>
  <xdr:oneCellAnchor>
    <xdr:from>
      <xdr:col>0</xdr:col>
      <xdr:colOff>333375</xdr:colOff>
      <xdr:row>0</xdr:row>
      <xdr:rowOff>133350</xdr:rowOff>
    </xdr:from>
    <xdr:ext cx="1800045" cy="655885"/>
    <xdr:sp macro="" textlink="">
      <xdr:nvSpPr>
        <xdr:cNvPr id="9" name="TextBox 8"/>
        <xdr:cNvSpPr txBox="1"/>
      </xdr:nvSpPr>
      <xdr:spPr>
        <a:xfrm>
          <a:off x="333375" y="1333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1</xdr:col>
      <xdr:colOff>361949</xdr:colOff>
      <xdr:row>78</xdr:row>
      <xdr:rowOff>28575</xdr:rowOff>
    </xdr:from>
    <xdr:to>
      <xdr:col>2</xdr:col>
      <xdr:colOff>847725</xdr:colOff>
      <xdr:row>81</xdr:row>
      <xdr:rowOff>152400</xdr:rowOff>
    </xdr:to>
    <xdr:sp macro="" textlink="">
      <xdr:nvSpPr>
        <xdr:cNvPr id="10" name="Rectangle 9">
          <a:hlinkClick xmlns:r="http://schemas.openxmlformats.org/officeDocument/2006/relationships" r:id="rId3"/>
        </xdr:cNvPr>
        <xdr:cNvSpPr/>
      </xdr:nvSpPr>
      <xdr:spPr>
        <a:xfrm>
          <a:off x="685799" y="14525625"/>
          <a:ext cx="87630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a:t>
          </a:r>
        </a:p>
        <a:p>
          <a:pPr algn="ctr"/>
          <a:r>
            <a:rPr lang="en-US" sz="800" baseline="0">
              <a:solidFill>
                <a:schemeClr val="tx1"/>
              </a:solidFill>
            </a:rPr>
            <a:t>Electric Target Page</a:t>
          </a:r>
          <a:endParaRPr lang="en-US" sz="800">
            <a:solidFill>
              <a:schemeClr val="tx1"/>
            </a:solidFill>
          </a:endParaRPr>
        </a:p>
      </xdr:txBody>
    </xdr:sp>
    <xdr:clientData/>
  </xdr:twoCellAnchor>
  <xdr:twoCellAnchor editAs="oneCell">
    <xdr:from>
      <xdr:col>8</xdr:col>
      <xdr:colOff>1047750</xdr:colOff>
      <xdr:row>0</xdr:row>
      <xdr:rowOff>169068</xdr:rowOff>
    </xdr:from>
    <xdr:to>
      <xdr:col>10</xdr:col>
      <xdr:colOff>1247775</xdr:colOff>
      <xdr:row>1</xdr:row>
      <xdr:rowOff>228599</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91525" y="169068"/>
          <a:ext cx="2600325" cy="650081"/>
        </a:xfrm>
        <a:prstGeom prst="rect">
          <a:avLst/>
        </a:prstGeom>
      </xdr:spPr>
    </xdr:pic>
    <xdr:clientData/>
  </xdr:twoCellAnchor>
  <xdr:twoCellAnchor>
    <xdr:from>
      <xdr:col>2</xdr:col>
      <xdr:colOff>0</xdr:colOff>
      <xdr:row>82</xdr:row>
      <xdr:rowOff>114301</xdr:rowOff>
    </xdr:from>
    <xdr:to>
      <xdr:col>2</xdr:col>
      <xdr:colOff>876301</xdr:colOff>
      <xdr:row>85</xdr:row>
      <xdr:rowOff>0</xdr:rowOff>
    </xdr:to>
    <xdr:sp macro="" textlink="">
      <xdr:nvSpPr>
        <xdr:cNvPr id="19" name="Rectangle 18">
          <a:hlinkClick xmlns:r="http://schemas.openxmlformats.org/officeDocument/2006/relationships" r:id="rId5"/>
        </xdr:cNvPr>
        <xdr:cNvSpPr/>
      </xdr:nvSpPr>
      <xdr:spPr>
        <a:xfrm>
          <a:off x="714375" y="15316201"/>
          <a:ext cx="876301" cy="457200"/>
        </a:xfrm>
        <a:prstGeom prst="rect">
          <a:avLst/>
        </a:prstGeom>
        <a:solidFill>
          <a:schemeClr val="accent6">
            <a:lumMod val="40000"/>
            <a:lumOff val="60000"/>
          </a:schemeClr>
        </a:solidFill>
        <a:ln w="25400" cap="flat" cmpd="sng" algn="ctr">
          <a:noFill/>
          <a:prstDash val="soli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Go to Building the  Gas Target Page</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38176"/>
    <xdr:sp macro="" textlink="">
      <xdr:nvSpPr>
        <xdr:cNvPr id="2" name="Rectangle 1">
          <a:hlinkClick xmlns:r="http://schemas.openxmlformats.org/officeDocument/2006/relationships" r:id="rId1"/>
        </xdr:cNvPr>
        <xdr:cNvSpPr/>
      </xdr:nvSpPr>
      <xdr:spPr>
        <a:xfrm>
          <a:off x="28574" y="28574"/>
          <a:ext cx="533401"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638176"/>
    <xdr:sp macro="" textlink="">
      <xdr:nvSpPr>
        <xdr:cNvPr id="7" name="Rectangle 6">
          <a:hlinkClick xmlns:r="http://schemas.openxmlformats.org/officeDocument/2006/relationships" r:id="rId2"/>
        </xdr:cNvPr>
        <xdr:cNvSpPr/>
      </xdr:nvSpPr>
      <xdr:spPr>
        <a:xfrm>
          <a:off x="638174" y="38099"/>
          <a:ext cx="533401" cy="63817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28574</xdr:colOff>
      <xdr:row>0</xdr:row>
      <xdr:rowOff>28574</xdr:rowOff>
    </xdr:from>
    <xdr:ext cx="1019176" cy="504825"/>
    <xdr:sp macro="" textlink="">
      <xdr:nvSpPr>
        <xdr:cNvPr id="2" name="Rectangle 1">
          <a:hlinkClick xmlns:r="http://schemas.openxmlformats.org/officeDocument/2006/relationships" r:id="rId1"/>
        </xdr:cNvPr>
        <xdr:cNvSpPr/>
      </xdr:nvSpPr>
      <xdr:spPr>
        <a:xfrm>
          <a:off x="28574" y="28574"/>
          <a:ext cx="101917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47624</xdr:colOff>
      <xdr:row>0</xdr:row>
      <xdr:rowOff>28575</xdr:rowOff>
    </xdr:from>
    <xdr:ext cx="552451" cy="628650"/>
    <xdr:sp macro="" textlink="">
      <xdr:nvSpPr>
        <xdr:cNvPr id="2" name="Rectangle 1">
          <a:hlinkClick xmlns:r="http://schemas.openxmlformats.org/officeDocument/2006/relationships" r:id="rId1"/>
        </xdr:cNvPr>
        <xdr:cNvSpPr/>
      </xdr:nvSpPr>
      <xdr:spPr>
        <a:xfrm>
          <a:off x="47624" y="28575"/>
          <a:ext cx="55245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28650"/>
    <xdr:sp macro="" textlink="">
      <xdr:nvSpPr>
        <xdr:cNvPr id="3" name="Rectangle 2">
          <a:hlinkClick xmlns:r="http://schemas.openxmlformats.org/officeDocument/2006/relationships" r:id="rId2"/>
        </xdr:cNvPr>
        <xdr:cNvSpPr/>
      </xdr:nvSpPr>
      <xdr:spPr>
        <a:xfrm>
          <a:off x="647699" y="28575"/>
          <a:ext cx="55245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28574</xdr:colOff>
      <xdr:row>0</xdr:row>
      <xdr:rowOff>28574</xdr:rowOff>
    </xdr:from>
    <xdr:ext cx="981075" cy="523876"/>
    <xdr:sp macro="" textlink="">
      <xdr:nvSpPr>
        <xdr:cNvPr id="2" name="Rectangle 1">
          <a:hlinkClick xmlns:r="http://schemas.openxmlformats.org/officeDocument/2006/relationships" r:id="rId1"/>
        </xdr:cNvPr>
        <xdr:cNvSpPr/>
      </xdr:nvSpPr>
      <xdr:spPr>
        <a:xfrm>
          <a:off x="28574" y="28574"/>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266700</xdr:colOff>
      <xdr:row>11</xdr:row>
      <xdr:rowOff>123825</xdr:rowOff>
    </xdr:from>
    <xdr:to>
      <xdr:col>7</xdr:col>
      <xdr:colOff>1076325</xdr:colOff>
      <xdr:row>25</xdr:row>
      <xdr:rowOff>47626</xdr:rowOff>
    </xdr:to>
    <xdr:sp macro="" textlink="">
      <xdr:nvSpPr>
        <xdr:cNvPr id="7" name="TextBox 6"/>
        <xdr:cNvSpPr txBox="1"/>
      </xdr:nvSpPr>
      <xdr:spPr>
        <a:xfrm>
          <a:off x="9448800" y="3181350"/>
          <a:ext cx="3448050" cy="2286001"/>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276225</xdr:colOff>
      <xdr:row>46</xdr:row>
      <xdr:rowOff>114300</xdr:rowOff>
    </xdr:from>
    <xdr:to>
      <xdr:col>9</xdr:col>
      <xdr:colOff>571501</xdr:colOff>
      <xdr:row>52</xdr:row>
      <xdr:rowOff>142875</xdr:rowOff>
    </xdr:to>
    <xdr:sp macro="" textlink="">
      <xdr:nvSpPr>
        <xdr:cNvPr id="10" name="TextBox 9"/>
        <xdr:cNvSpPr txBox="1"/>
      </xdr:nvSpPr>
      <xdr:spPr>
        <a:xfrm>
          <a:off x="9458325" y="8991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981075" cy="523876"/>
    <xdr:sp macro="" textlink="">
      <xdr:nvSpPr>
        <xdr:cNvPr id="2" name="Rectangle 1">
          <a:hlinkClick xmlns:r="http://schemas.openxmlformats.org/officeDocument/2006/relationships" r:id="rId1"/>
        </xdr:cNvPr>
        <xdr:cNvSpPr/>
      </xdr:nvSpPr>
      <xdr:spPr>
        <a:xfrm>
          <a:off x="0" y="0"/>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190500</xdr:colOff>
      <xdr:row>11</xdr:row>
      <xdr:rowOff>161925</xdr:rowOff>
    </xdr:from>
    <xdr:to>
      <xdr:col>7</xdr:col>
      <xdr:colOff>1000125</xdr:colOff>
      <xdr:row>25</xdr:row>
      <xdr:rowOff>85726</xdr:rowOff>
    </xdr:to>
    <xdr:sp macro="" textlink="">
      <xdr:nvSpPr>
        <xdr:cNvPr id="3" name="TextBox 2"/>
        <xdr:cNvSpPr txBox="1"/>
      </xdr:nvSpPr>
      <xdr:spPr>
        <a:xfrm>
          <a:off x="8915400" y="3219450"/>
          <a:ext cx="3448050" cy="2286001"/>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257175</xdr:colOff>
      <xdr:row>46</xdr:row>
      <xdr:rowOff>9525</xdr:rowOff>
    </xdr:from>
    <xdr:to>
      <xdr:col>9</xdr:col>
      <xdr:colOff>552451</xdr:colOff>
      <xdr:row>52</xdr:row>
      <xdr:rowOff>38100</xdr:rowOff>
    </xdr:to>
    <xdr:sp macro="" textlink="">
      <xdr:nvSpPr>
        <xdr:cNvPr id="4" name="TextBox 3"/>
        <xdr:cNvSpPr txBox="1"/>
      </xdr:nvSpPr>
      <xdr:spPr>
        <a:xfrm>
          <a:off x="8982075" y="9372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0</xdr:col>
      <xdr:colOff>38099</xdr:colOff>
      <xdr:row>0</xdr:row>
      <xdr:rowOff>38099</xdr:rowOff>
    </xdr:from>
    <xdr:ext cx="581025" cy="638175"/>
    <xdr:sp macro="" textlink="">
      <xdr:nvSpPr>
        <xdr:cNvPr id="2" name="Rectangle 1">
          <a:hlinkClick xmlns:r="http://schemas.openxmlformats.org/officeDocument/2006/relationships" r:id="rId1"/>
        </xdr:cNvPr>
        <xdr:cNvSpPr/>
      </xdr:nvSpPr>
      <xdr:spPr>
        <a:xfrm>
          <a:off x="38099" y="38099"/>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47624</xdr:rowOff>
    </xdr:from>
    <xdr:ext cx="581025" cy="638175"/>
    <xdr:sp macro="" textlink="">
      <xdr:nvSpPr>
        <xdr:cNvPr id="3" name="Rectangle 2">
          <a:hlinkClick xmlns:r="http://schemas.openxmlformats.org/officeDocument/2006/relationships" r:id="rId2"/>
        </xdr:cNvPr>
        <xdr:cNvSpPr/>
      </xdr:nvSpPr>
      <xdr:spPr>
        <a:xfrm>
          <a:off x="657224" y="47624"/>
          <a:ext cx="581025" cy="6381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76275"/>
    <xdr:sp macro="" textlink="">
      <xdr:nvSpPr>
        <xdr:cNvPr id="2" name="Rectangle 1">
          <a:hlinkClick xmlns:r="http://schemas.openxmlformats.org/officeDocument/2006/relationships" r:id="rId1"/>
        </xdr:cNvPr>
        <xdr:cNvSpPr/>
      </xdr:nvSpPr>
      <xdr:spPr>
        <a:xfrm>
          <a:off x="28574" y="28574"/>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28574</xdr:rowOff>
    </xdr:from>
    <xdr:ext cx="542926" cy="676275"/>
    <xdr:sp macro="" textlink="">
      <xdr:nvSpPr>
        <xdr:cNvPr id="3" name="Rectangle 2">
          <a:hlinkClick xmlns:r="http://schemas.openxmlformats.org/officeDocument/2006/relationships" r:id="rId2"/>
        </xdr:cNvPr>
        <xdr:cNvSpPr/>
      </xdr:nvSpPr>
      <xdr:spPr>
        <a:xfrm>
          <a:off x="647699" y="28574"/>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28574</xdr:colOff>
      <xdr:row>0</xdr:row>
      <xdr:rowOff>28575</xdr:rowOff>
    </xdr:from>
    <xdr:ext cx="523876" cy="666750"/>
    <xdr:sp macro="" textlink="">
      <xdr:nvSpPr>
        <xdr:cNvPr id="2" name="Rectangle 1">
          <a:hlinkClick xmlns:r="http://schemas.openxmlformats.org/officeDocument/2006/relationships" r:id="rId1"/>
        </xdr:cNvPr>
        <xdr:cNvSpPr/>
      </xdr:nvSpPr>
      <xdr:spPr>
        <a:xfrm>
          <a:off x="28574" y="28575"/>
          <a:ext cx="52387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23876" cy="666750"/>
    <xdr:sp macro="" textlink="">
      <xdr:nvSpPr>
        <xdr:cNvPr id="3" name="Rectangle 2">
          <a:hlinkClick xmlns:r="http://schemas.openxmlformats.org/officeDocument/2006/relationships" r:id="rId2"/>
        </xdr:cNvPr>
        <xdr:cNvSpPr/>
      </xdr:nvSpPr>
      <xdr:spPr>
        <a:xfrm>
          <a:off x="600074" y="28575"/>
          <a:ext cx="52387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80073</xdr:colOff>
      <xdr:row>2</xdr:row>
      <xdr:rowOff>43402</xdr:rowOff>
    </xdr:from>
    <xdr:ext cx="1129602" cy="461423"/>
    <xdr:sp macro="" textlink="">
      <xdr:nvSpPr>
        <xdr:cNvPr id="2" name="Rectangle 1">
          <a:hlinkClick xmlns:r="http://schemas.openxmlformats.org/officeDocument/2006/relationships" r:id="rId1"/>
        </xdr:cNvPr>
        <xdr:cNvSpPr/>
      </xdr:nvSpPr>
      <xdr:spPr>
        <a:xfrm>
          <a:off x="2242248" y="1005427"/>
          <a:ext cx="1129602" cy="46142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628650</xdr:colOff>
      <xdr:row>1</xdr:row>
      <xdr:rowOff>228600</xdr:rowOff>
    </xdr:from>
    <xdr:to>
      <xdr:col>9</xdr:col>
      <xdr:colOff>652458</xdr:colOff>
      <xdr:row>3</xdr:row>
      <xdr:rowOff>89948</xdr:rowOff>
    </xdr:to>
    <xdr:grpSp>
      <xdr:nvGrpSpPr>
        <xdr:cNvPr id="3" name="Group 2"/>
        <xdr:cNvGrpSpPr/>
      </xdr:nvGrpSpPr>
      <xdr:grpSpPr>
        <a:xfrm>
          <a:off x="5419725" y="914400"/>
          <a:ext cx="3681408" cy="966248"/>
          <a:chOff x="4933951" y="140132"/>
          <a:chExt cx="3519483" cy="594773"/>
        </a:xfrm>
      </xdr:grpSpPr>
      <xdr:sp macro="" textlink="">
        <xdr:nvSpPr>
          <xdr:cNvPr id="4" name="Rectangle 3"/>
          <xdr:cNvSpPr/>
        </xdr:nvSpPr>
        <xdr:spPr>
          <a:xfrm>
            <a:off x="5433155" y="140132"/>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2016 Sector Views</a:t>
            </a:r>
          </a:p>
        </xdr:txBody>
      </xdr:sp>
      <xdr:sp macro="" textlink="">
        <xdr:nvSpPr>
          <xdr:cNvPr id="5" name="Bent Arrow 4"/>
          <xdr:cNvSpPr/>
        </xdr:nvSpPr>
        <xdr:spPr>
          <a:xfrm rot="5400000">
            <a:off x="8050804" y="13070"/>
            <a:ext cx="163287" cy="64197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46346" y="30496"/>
            <a:ext cx="176212" cy="60100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542925</xdr:colOff>
      <xdr:row>0</xdr:row>
      <xdr:rowOff>209550</xdr:rowOff>
    </xdr:from>
    <xdr:ext cx="1800045" cy="655885"/>
    <xdr:sp macro="" textlink="">
      <xdr:nvSpPr>
        <xdr:cNvPr id="8" name="TextBox 7"/>
        <xdr:cNvSpPr txBox="1"/>
      </xdr:nvSpPr>
      <xdr:spPr>
        <a:xfrm>
          <a:off x="542925" y="2095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editAs="oneCell">
    <xdr:from>
      <xdr:col>8</xdr:col>
      <xdr:colOff>857250</xdr:colOff>
      <xdr:row>0</xdr:row>
      <xdr:rowOff>159544</xdr:rowOff>
    </xdr:from>
    <xdr:to>
      <xdr:col>10</xdr:col>
      <xdr:colOff>1238250</xdr:colOff>
      <xdr:row>1</xdr:row>
      <xdr:rowOff>190500</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159544"/>
          <a:ext cx="2867025" cy="716756"/>
        </a:xfrm>
        <a:prstGeom prst="rect">
          <a:avLst/>
        </a:prstGeom>
      </xdr:spPr>
    </xdr:pic>
    <xdr:clientData/>
  </xdr:twoCellAnchor>
  <xdr:oneCellAnchor>
    <xdr:from>
      <xdr:col>5</xdr:col>
      <xdr:colOff>1162050</xdr:colOff>
      <xdr:row>2</xdr:row>
      <xdr:rowOff>57150</xdr:rowOff>
    </xdr:from>
    <xdr:ext cx="977202" cy="461423"/>
    <xdr:sp macro="" textlink="">
      <xdr:nvSpPr>
        <xdr:cNvPr id="10" name="Rectangle 9">
          <a:hlinkClick xmlns:r="http://schemas.openxmlformats.org/officeDocument/2006/relationships" r:id="rId3"/>
        </xdr:cNvPr>
        <xdr:cNvSpPr/>
      </xdr:nvSpPr>
      <xdr:spPr>
        <a:xfrm>
          <a:off x="3733800" y="1019175"/>
          <a:ext cx="977202" cy="46142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to 2017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2</xdr:col>
      <xdr:colOff>57149</xdr:colOff>
      <xdr:row>78</xdr:row>
      <xdr:rowOff>47625</xdr:rowOff>
    </xdr:from>
    <xdr:to>
      <xdr:col>2</xdr:col>
      <xdr:colOff>847725</xdr:colOff>
      <xdr:row>81</xdr:row>
      <xdr:rowOff>104775</xdr:rowOff>
    </xdr:to>
    <xdr:sp macro="" textlink="">
      <xdr:nvSpPr>
        <xdr:cNvPr id="11" name="Rectangle 10">
          <a:hlinkClick xmlns:r="http://schemas.openxmlformats.org/officeDocument/2006/relationships" r:id="rId4"/>
        </xdr:cNvPr>
        <xdr:cNvSpPr/>
      </xdr:nvSpPr>
      <xdr:spPr>
        <a:xfrm>
          <a:off x="809624" y="14449425"/>
          <a:ext cx="790576" cy="6000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76199</xdr:colOff>
      <xdr:row>82</xdr:row>
      <xdr:rowOff>19050</xdr:rowOff>
    </xdr:from>
    <xdr:to>
      <xdr:col>2</xdr:col>
      <xdr:colOff>866775</xdr:colOff>
      <xdr:row>85</xdr:row>
      <xdr:rowOff>38100</xdr:rowOff>
    </xdr:to>
    <xdr:sp macro="" textlink="">
      <xdr:nvSpPr>
        <xdr:cNvPr id="12" name="Rectangle 11">
          <a:hlinkClick xmlns:r="http://schemas.openxmlformats.org/officeDocument/2006/relationships" r:id="rId5"/>
        </xdr:cNvPr>
        <xdr:cNvSpPr/>
      </xdr:nvSpPr>
      <xdr:spPr>
        <a:xfrm>
          <a:off x="828674" y="15154275"/>
          <a:ext cx="79057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GasTarget Page</a:t>
          </a:r>
          <a:endParaRPr lang="en-US" sz="800">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523875" cy="657224"/>
    <xdr:sp macro="" textlink="">
      <xdr:nvSpPr>
        <xdr:cNvPr id="2" name="Rectangle 1">
          <a:hlinkClick xmlns:r="http://schemas.openxmlformats.org/officeDocument/2006/relationships" r:id="rId1"/>
        </xdr:cNvPr>
        <xdr:cNvSpPr/>
      </xdr:nvSpPr>
      <xdr:spPr>
        <a:xfrm>
          <a:off x="0" y="0"/>
          <a:ext cx="52387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600075</xdr:colOff>
      <xdr:row>0</xdr:row>
      <xdr:rowOff>19050</xdr:rowOff>
    </xdr:from>
    <xdr:ext cx="523875" cy="657224"/>
    <xdr:sp macro="" textlink="">
      <xdr:nvSpPr>
        <xdr:cNvPr id="3" name="Rectangle 2">
          <a:hlinkClick xmlns:r="http://schemas.openxmlformats.org/officeDocument/2006/relationships" r:id="rId2"/>
        </xdr:cNvPr>
        <xdr:cNvSpPr/>
      </xdr:nvSpPr>
      <xdr:spPr>
        <a:xfrm>
          <a:off x="600075" y="19050"/>
          <a:ext cx="523875" cy="65722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1</xdr:colOff>
      <xdr:row>0</xdr:row>
      <xdr:rowOff>0</xdr:rowOff>
    </xdr:from>
    <xdr:ext cx="561974" cy="647700"/>
    <xdr:sp macro="" textlink="">
      <xdr:nvSpPr>
        <xdr:cNvPr id="2" name="Rectangle 1">
          <a:hlinkClick xmlns:r="http://schemas.openxmlformats.org/officeDocument/2006/relationships" r:id="rId1"/>
        </xdr:cNvPr>
        <xdr:cNvSpPr/>
      </xdr:nvSpPr>
      <xdr:spPr>
        <a:xfrm>
          <a:off x="1" y="0"/>
          <a:ext cx="561974"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2-Year Elec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628651</xdr:colOff>
      <xdr:row>0</xdr:row>
      <xdr:rowOff>19050</xdr:rowOff>
    </xdr:from>
    <xdr:ext cx="561974" cy="647700"/>
    <xdr:sp macro="" textlink="">
      <xdr:nvSpPr>
        <xdr:cNvPr id="3" name="Rectangle 2">
          <a:hlinkClick xmlns:r="http://schemas.openxmlformats.org/officeDocument/2006/relationships" r:id="rId2"/>
        </xdr:cNvPr>
        <xdr:cNvSpPr/>
      </xdr:nvSpPr>
      <xdr:spPr>
        <a:xfrm>
          <a:off x="628651" y="19050"/>
          <a:ext cx="561974"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66750"/>
    <xdr:sp macro="" textlink="">
      <xdr:nvSpPr>
        <xdr:cNvPr id="2" name="Rectangle 1">
          <a:hlinkClick xmlns:r="http://schemas.openxmlformats.org/officeDocument/2006/relationships" r:id="rId1"/>
        </xdr:cNvPr>
        <xdr:cNvSpPr/>
      </xdr:nvSpPr>
      <xdr:spPr>
        <a:xfrm>
          <a:off x="28574" y="28575"/>
          <a:ext cx="55245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66750"/>
    <xdr:sp macro="" textlink="">
      <xdr:nvSpPr>
        <xdr:cNvPr id="3" name="Rectangle 2">
          <a:hlinkClick xmlns:r="http://schemas.openxmlformats.org/officeDocument/2006/relationships" r:id="rId2"/>
        </xdr:cNvPr>
        <xdr:cNvSpPr/>
      </xdr:nvSpPr>
      <xdr:spPr>
        <a:xfrm>
          <a:off x="647699" y="28575"/>
          <a:ext cx="552451"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28575</xdr:colOff>
      <xdr:row>0</xdr:row>
      <xdr:rowOff>19049</xdr:rowOff>
    </xdr:from>
    <xdr:ext cx="533400" cy="666751"/>
    <xdr:sp macro="" textlink="">
      <xdr:nvSpPr>
        <xdr:cNvPr id="2" name="Rectangle 1">
          <a:hlinkClick xmlns:r="http://schemas.openxmlformats.org/officeDocument/2006/relationships" r:id="rId1"/>
        </xdr:cNvPr>
        <xdr:cNvSpPr/>
      </xdr:nvSpPr>
      <xdr:spPr>
        <a:xfrm>
          <a:off x="28575" y="19049"/>
          <a:ext cx="533400"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19049</xdr:rowOff>
    </xdr:from>
    <xdr:ext cx="533400" cy="666751"/>
    <xdr:sp macro="" textlink="">
      <xdr:nvSpPr>
        <xdr:cNvPr id="7" name="Rectangle 6">
          <a:hlinkClick xmlns:r="http://schemas.openxmlformats.org/officeDocument/2006/relationships" r:id="rId2"/>
        </xdr:cNvPr>
        <xdr:cNvSpPr/>
      </xdr:nvSpPr>
      <xdr:spPr>
        <a:xfrm>
          <a:off x="609600" y="19049"/>
          <a:ext cx="533400" cy="6667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38099</xdr:colOff>
      <xdr:row>0</xdr:row>
      <xdr:rowOff>38099</xdr:rowOff>
    </xdr:from>
    <xdr:ext cx="561976" cy="638176"/>
    <xdr:sp macro="" textlink="">
      <xdr:nvSpPr>
        <xdr:cNvPr id="2" name="Rectangle 1">
          <a:hlinkClick xmlns:r="http://schemas.openxmlformats.org/officeDocument/2006/relationships" r:id="rId1"/>
        </xdr:cNvPr>
        <xdr:cNvSpPr/>
      </xdr:nvSpPr>
      <xdr:spPr>
        <a:xfrm>
          <a:off x="38099" y="38099"/>
          <a:ext cx="561976"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61976" cy="638176"/>
    <xdr:sp macro="" textlink="">
      <xdr:nvSpPr>
        <xdr:cNvPr id="7" name="Rectangle 6">
          <a:hlinkClick xmlns:r="http://schemas.openxmlformats.org/officeDocument/2006/relationships" r:id="rId2"/>
        </xdr:cNvPr>
        <xdr:cNvSpPr/>
      </xdr:nvSpPr>
      <xdr:spPr>
        <a:xfrm>
          <a:off x="638174" y="38099"/>
          <a:ext cx="561976"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28574</xdr:colOff>
      <xdr:row>0</xdr:row>
      <xdr:rowOff>38099</xdr:rowOff>
    </xdr:from>
    <xdr:ext cx="514351" cy="676275"/>
    <xdr:sp macro="" textlink="">
      <xdr:nvSpPr>
        <xdr:cNvPr id="2" name="Rectangle 1">
          <a:hlinkClick xmlns:r="http://schemas.openxmlformats.org/officeDocument/2006/relationships" r:id="rId1"/>
        </xdr:cNvPr>
        <xdr:cNvSpPr/>
      </xdr:nvSpPr>
      <xdr:spPr>
        <a:xfrm>
          <a:off x="28574" y="3809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38099</xdr:rowOff>
    </xdr:from>
    <xdr:ext cx="552451" cy="676275"/>
    <xdr:sp macro="" textlink="">
      <xdr:nvSpPr>
        <xdr:cNvPr id="7" name="Rectangle 6">
          <a:hlinkClick xmlns:r="http://schemas.openxmlformats.org/officeDocument/2006/relationships" r:id="rId2"/>
        </xdr:cNvPr>
        <xdr:cNvSpPr/>
      </xdr:nvSpPr>
      <xdr:spPr>
        <a:xfrm>
          <a:off x="600074" y="38099"/>
          <a:ext cx="5524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38099</xdr:colOff>
      <xdr:row>0</xdr:row>
      <xdr:rowOff>19050</xdr:rowOff>
    </xdr:from>
    <xdr:ext cx="571501" cy="685800"/>
    <xdr:sp macro="" textlink="">
      <xdr:nvSpPr>
        <xdr:cNvPr id="2" name="Rectangle 1">
          <a:hlinkClick xmlns:r="http://schemas.openxmlformats.org/officeDocument/2006/relationships" r:id="rId1"/>
        </xdr:cNvPr>
        <xdr:cNvSpPr/>
      </xdr:nvSpPr>
      <xdr:spPr>
        <a:xfrm>
          <a:off x="38099" y="19050"/>
          <a:ext cx="5715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71501" cy="685800"/>
    <xdr:sp macro="" textlink="">
      <xdr:nvSpPr>
        <xdr:cNvPr id="3" name="Rectangle 2">
          <a:hlinkClick xmlns:r="http://schemas.openxmlformats.org/officeDocument/2006/relationships" r:id="rId2"/>
        </xdr:cNvPr>
        <xdr:cNvSpPr/>
      </xdr:nvSpPr>
      <xdr:spPr>
        <a:xfrm>
          <a:off x="657224" y="19050"/>
          <a:ext cx="571501"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704850"/>
    <xdr:sp macro="" textlink="">
      <xdr:nvSpPr>
        <xdr:cNvPr id="2" name="Rectangle 1">
          <a:hlinkClick xmlns:r="http://schemas.openxmlformats.org/officeDocument/2006/relationships" r:id="rId1"/>
        </xdr:cNvPr>
        <xdr:cNvSpPr/>
      </xdr:nvSpPr>
      <xdr:spPr>
        <a:xfrm>
          <a:off x="28574" y="28575"/>
          <a:ext cx="552451" cy="7048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552451" cy="704850"/>
    <xdr:sp macro="" textlink="">
      <xdr:nvSpPr>
        <xdr:cNvPr id="3" name="Rectangle 2">
          <a:hlinkClick xmlns:r="http://schemas.openxmlformats.org/officeDocument/2006/relationships" r:id="rId2"/>
        </xdr:cNvPr>
        <xdr:cNvSpPr/>
      </xdr:nvSpPr>
      <xdr:spPr>
        <a:xfrm>
          <a:off x="619124" y="38100"/>
          <a:ext cx="552451" cy="7048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28575</xdr:colOff>
      <xdr:row>0</xdr:row>
      <xdr:rowOff>28574</xdr:rowOff>
    </xdr:from>
    <xdr:ext cx="504825" cy="676275"/>
    <xdr:sp macro="" textlink="">
      <xdr:nvSpPr>
        <xdr:cNvPr id="2" name="Rectangle 1">
          <a:hlinkClick xmlns:r="http://schemas.openxmlformats.org/officeDocument/2006/relationships" r:id="rId1"/>
        </xdr:cNvPr>
        <xdr:cNvSpPr/>
      </xdr:nvSpPr>
      <xdr:spPr>
        <a:xfrm>
          <a:off x="28575" y="28574"/>
          <a:ext cx="504825"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04825" cy="676275"/>
    <xdr:sp macro="" textlink="">
      <xdr:nvSpPr>
        <xdr:cNvPr id="3" name="Rectangle 2">
          <a:hlinkClick xmlns:r="http://schemas.openxmlformats.org/officeDocument/2006/relationships" r:id="rId2"/>
        </xdr:cNvPr>
        <xdr:cNvSpPr/>
      </xdr:nvSpPr>
      <xdr:spPr>
        <a:xfrm>
          <a:off x="619125" y="28574"/>
          <a:ext cx="504825"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xdr:col>
      <xdr:colOff>308673</xdr:colOff>
      <xdr:row>2</xdr:row>
      <xdr:rowOff>33877</xdr:rowOff>
    </xdr:from>
    <xdr:ext cx="1120077" cy="518573"/>
    <xdr:sp macro="" textlink="">
      <xdr:nvSpPr>
        <xdr:cNvPr id="2" name="Rectangle 1">
          <a:hlinkClick xmlns:r="http://schemas.openxmlformats.org/officeDocument/2006/relationships" r:id="rId1"/>
        </xdr:cNvPr>
        <xdr:cNvSpPr/>
      </xdr:nvSpPr>
      <xdr:spPr>
        <a:xfrm>
          <a:off x="2461323" y="938752"/>
          <a:ext cx="1120077" cy="5185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647699</xdr:colOff>
      <xdr:row>1</xdr:row>
      <xdr:rowOff>209550</xdr:rowOff>
    </xdr:from>
    <xdr:to>
      <xdr:col>9</xdr:col>
      <xdr:colOff>671511</xdr:colOff>
      <xdr:row>3</xdr:row>
      <xdr:rowOff>156623</xdr:rowOff>
    </xdr:to>
    <xdr:grpSp>
      <xdr:nvGrpSpPr>
        <xdr:cNvPr id="3" name="Group 2"/>
        <xdr:cNvGrpSpPr/>
      </xdr:nvGrpSpPr>
      <xdr:grpSpPr>
        <a:xfrm>
          <a:off x="5543549" y="895350"/>
          <a:ext cx="3633787" cy="994823"/>
          <a:chOff x="4933950" y="161225"/>
          <a:chExt cx="3519487" cy="594773"/>
        </a:xfrm>
      </xdr:grpSpPr>
      <xdr:sp macro="" textlink="">
        <xdr:nvSpPr>
          <xdr:cNvPr id="4" name="Rectangle 3"/>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2017 Sector Views</a:t>
            </a:r>
          </a:p>
        </xdr:txBody>
      </xdr:sp>
      <xdr:sp macro="" textlink="">
        <xdr:nvSpPr>
          <xdr:cNvPr id="5" name="Bent Arrow 4"/>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533400</xdr:colOff>
      <xdr:row>0</xdr:row>
      <xdr:rowOff>171450</xdr:rowOff>
    </xdr:from>
    <xdr:ext cx="1800045" cy="655885"/>
    <xdr:sp macro="" textlink="">
      <xdr:nvSpPr>
        <xdr:cNvPr id="8" name="TextBox 7"/>
        <xdr:cNvSpPr txBox="1"/>
      </xdr:nvSpPr>
      <xdr:spPr>
        <a:xfrm>
          <a:off x="53340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oneCellAnchor>
    <xdr:from>
      <xdr:col>5</xdr:col>
      <xdr:colOff>1200150</xdr:colOff>
      <xdr:row>2</xdr:row>
      <xdr:rowOff>33877</xdr:rowOff>
    </xdr:from>
    <xdr:ext cx="1000125" cy="518573"/>
    <xdr:sp macro="" textlink="">
      <xdr:nvSpPr>
        <xdr:cNvPr id="9" name="Rectangle 8">
          <a:hlinkClick xmlns:r="http://schemas.openxmlformats.org/officeDocument/2006/relationships" r:id="rId2"/>
        </xdr:cNvPr>
        <xdr:cNvSpPr/>
      </xdr:nvSpPr>
      <xdr:spPr>
        <a:xfrm>
          <a:off x="3762375" y="938752"/>
          <a:ext cx="1000125" cy="5185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to 2016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8</xdr:col>
      <xdr:colOff>1219200</xdr:colOff>
      <xdr:row>0</xdr:row>
      <xdr:rowOff>142876</xdr:rowOff>
    </xdr:from>
    <xdr:ext cx="2419350" cy="604838"/>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48675" y="142876"/>
          <a:ext cx="2419350" cy="604838"/>
        </a:xfrm>
        <a:prstGeom prst="rect">
          <a:avLst/>
        </a:prstGeom>
      </xdr:spPr>
    </xdr:pic>
    <xdr:clientData/>
  </xdr:oneCellAnchor>
  <xdr:twoCellAnchor>
    <xdr:from>
      <xdr:col>2</xdr:col>
      <xdr:colOff>104774</xdr:colOff>
      <xdr:row>78</xdr:row>
      <xdr:rowOff>28575</xdr:rowOff>
    </xdr:from>
    <xdr:to>
      <xdr:col>2</xdr:col>
      <xdr:colOff>914400</xdr:colOff>
      <xdr:row>81</xdr:row>
      <xdr:rowOff>123825</xdr:rowOff>
    </xdr:to>
    <xdr:sp macro="" textlink="">
      <xdr:nvSpPr>
        <xdr:cNvPr id="10" name="Rectangle 9">
          <a:hlinkClick xmlns:r="http://schemas.openxmlformats.org/officeDocument/2006/relationships" r:id="rId4"/>
        </xdr:cNvPr>
        <xdr:cNvSpPr/>
      </xdr:nvSpPr>
      <xdr:spPr>
        <a:xfrm>
          <a:off x="819149" y="14373225"/>
          <a:ext cx="809626"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133349</xdr:colOff>
      <xdr:row>82</xdr:row>
      <xdr:rowOff>57150</xdr:rowOff>
    </xdr:from>
    <xdr:to>
      <xdr:col>2</xdr:col>
      <xdr:colOff>904875</xdr:colOff>
      <xdr:row>85</xdr:row>
      <xdr:rowOff>152400</xdr:rowOff>
    </xdr:to>
    <xdr:sp macro="" textlink="">
      <xdr:nvSpPr>
        <xdr:cNvPr id="11" name="Rectangle 10">
          <a:hlinkClick xmlns:r="http://schemas.openxmlformats.org/officeDocument/2006/relationships" r:id="rId5"/>
        </xdr:cNvPr>
        <xdr:cNvSpPr/>
      </xdr:nvSpPr>
      <xdr:spPr>
        <a:xfrm>
          <a:off x="847724" y="15135225"/>
          <a:ext cx="77152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 Target Page</a:t>
          </a:r>
          <a:endParaRPr lang="en-US" sz="800">
            <a:solidFill>
              <a:schemeClr val="tx1"/>
            </a:solidFill>
          </a:endParaRP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609600" cy="676274"/>
    <xdr:sp macro="" textlink="">
      <xdr:nvSpPr>
        <xdr:cNvPr id="2" name="Rectangle 1">
          <a:hlinkClick xmlns:r="http://schemas.openxmlformats.org/officeDocument/2006/relationships" r:id="rId1"/>
        </xdr:cNvPr>
        <xdr:cNvSpPr/>
      </xdr:nvSpPr>
      <xdr:spPr>
        <a:xfrm>
          <a:off x="0" y="0"/>
          <a:ext cx="609600" cy="67627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609600" cy="657225"/>
    <xdr:sp macro="" textlink="">
      <xdr:nvSpPr>
        <xdr:cNvPr id="3" name="Rectangle 2">
          <a:hlinkClick xmlns:r="http://schemas.openxmlformats.org/officeDocument/2006/relationships" r:id="rId2"/>
        </xdr:cNvPr>
        <xdr:cNvSpPr/>
      </xdr:nvSpPr>
      <xdr:spPr>
        <a:xfrm>
          <a:off x="638175" y="19050"/>
          <a:ext cx="60960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28574</xdr:colOff>
      <xdr:row>0</xdr:row>
      <xdr:rowOff>28575</xdr:rowOff>
    </xdr:from>
    <xdr:ext cx="571501" cy="666750"/>
    <xdr:sp macro="" textlink="">
      <xdr:nvSpPr>
        <xdr:cNvPr id="2" name="Rectangle 1">
          <a:hlinkClick xmlns:r="http://schemas.openxmlformats.org/officeDocument/2006/relationships" r:id="rId1"/>
        </xdr:cNvPr>
        <xdr:cNvSpPr/>
      </xdr:nvSpPr>
      <xdr:spPr>
        <a:xfrm>
          <a:off x="28574" y="28575"/>
          <a:ext cx="571501"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19050</xdr:rowOff>
    </xdr:from>
    <xdr:ext cx="571501" cy="666750"/>
    <xdr:sp macro="" textlink="">
      <xdr:nvSpPr>
        <xdr:cNvPr id="3" name="Rectangle 2">
          <a:hlinkClick xmlns:r="http://schemas.openxmlformats.org/officeDocument/2006/relationships" r:id="rId2"/>
        </xdr:cNvPr>
        <xdr:cNvSpPr/>
      </xdr:nvSpPr>
      <xdr:spPr>
        <a:xfrm>
          <a:off x="647699" y="19050"/>
          <a:ext cx="57150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28574</xdr:colOff>
      <xdr:row>0</xdr:row>
      <xdr:rowOff>28574</xdr:rowOff>
    </xdr:from>
    <xdr:ext cx="590551" cy="676275"/>
    <xdr:sp macro="" textlink="">
      <xdr:nvSpPr>
        <xdr:cNvPr id="2" name="Rectangle 1">
          <a:hlinkClick xmlns:r="http://schemas.openxmlformats.org/officeDocument/2006/relationships" r:id="rId1"/>
        </xdr:cNvPr>
        <xdr:cNvSpPr/>
      </xdr:nvSpPr>
      <xdr:spPr>
        <a:xfrm>
          <a:off x="28574" y="28574"/>
          <a:ext cx="5905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19049</xdr:rowOff>
    </xdr:from>
    <xdr:ext cx="590551" cy="676275"/>
    <xdr:sp macro="" textlink="">
      <xdr:nvSpPr>
        <xdr:cNvPr id="4" name="Rectangle 3">
          <a:hlinkClick xmlns:r="http://schemas.openxmlformats.org/officeDocument/2006/relationships" r:id="rId2"/>
        </xdr:cNvPr>
        <xdr:cNvSpPr/>
      </xdr:nvSpPr>
      <xdr:spPr>
        <a:xfrm>
          <a:off x="657224" y="19049"/>
          <a:ext cx="5905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28574</xdr:colOff>
      <xdr:row>0</xdr:row>
      <xdr:rowOff>28575</xdr:rowOff>
    </xdr:from>
    <xdr:ext cx="581026" cy="666750"/>
    <xdr:sp macro="" textlink="">
      <xdr:nvSpPr>
        <xdr:cNvPr id="2" name="Rectangle 1">
          <a:hlinkClick xmlns:r="http://schemas.openxmlformats.org/officeDocument/2006/relationships" r:id="rId1"/>
        </xdr:cNvPr>
        <xdr:cNvSpPr/>
      </xdr:nvSpPr>
      <xdr:spPr>
        <a:xfrm>
          <a:off x="28574" y="28575"/>
          <a:ext cx="58102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81026" cy="666750"/>
    <xdr:sp macro="" textlink="">
      <xdr:nvSpPr>
        <xdr:cNvPr id="3" name="Rectangle 2">
          <a:hlinkClick xmlns:r="http://schemas.openxmlformats.org/officeDocument/2006/relationships" r:id="rId2"/>
        </xdr:cNvPr>
        <xdr:cNvSpPr/>
      </xdr:nvSpPr>
      <xdr:spPr>
        <a:xfrm>
          <a:off x="647699" y="28575"/>
          <a:ext cx="5810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28575</xdr:colOff>
      <xdr:row>0</xdr:row>
      <xdr:rowOff>28575</xdr:rowOff>
    </xdr:from>
    <xdr:ext cx="523876" cy="628650"/>
    <xdr:sp macro="" textlink="">
      <xdr:nvSpPr>
        <xdr:cNvPr id="2" name="Rectangle 1">
          <a:hlinkClick xmlns:r="http://schemas.openxmlformats.org/officeDocument/2006/relationships" r:id="rId1"/>
        </xdr:cNvPr>
        <xdr:cNvSpPr/>
      </xdr:nvSpPr>
      <xdr:spPr>
        <a:xfrm>
          <a:off x="28575" y="28575"/>
          <a:ext cx="5238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28650"/>
    <xdr:sp macro="" textlink="">
      <xdr:nvSpPr>
        <xdr:cNvPr id="3" name="Rectangle 2">
          <a:hlinkClick xmlns:r="http://schemas.openxmlformats.org/officeDocument/2006/relationships" r:id="rId2"/>
        </xdr:cNvPr>
        <xdr:cNvSpPr/>
      </xdr:nvSpPr>
      <xdr:spPr>
        <a:xfrm>
          <a:off x="619125" y="38100"/>
          <a:ext cx="5238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19125"/>
    <xdr:sp macro="" textlink="">
      <xdr:nvSpPr>
        <xdr:cNvPr id="2" name="Rectangle 1">
          <a:hlinkClick xmlns:r="http://schemas.openxmlformats.org/officeDocument/2006/relationships" r:id="rId1"/>
        </xdr:cNvPr>
        <xdr:cNvSpPr/>
      </xdr:nvSpPr>
      <xdr:spPr>
        <a:xfrm>
          <a:off x="28574" y="28575"/>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52451" cy="619125"/>
    <xdr:sp macro="" textlink="">
      <xdr:nvSpPr>
        <xdr:cNvPr id="3" name="Rectangle 2">
          <a:hlinkClick xmlns:r="http://schemas.openxmlformats.org/officeDocument/2006/relationships" r:id="rId2"/>
        </xdr:cNvPr>
        <xdr:cNvSpPr/>
      </xdr:nvSpPr>
      <xdr:spPr>
        <a:xfrm>
          <a:off x="628649" y="28575"/>
          <a:ext cx="55245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47700"/>
    <xdr:sp macro="" textlink="">
      <xdr:nvSpPr>
        <xdr:cNvPr id="2" name="Rectangle 1">
          <a:hlinkClick xmlns:r="http://schemas.openxmlformats.org/officeDocument/2006/relationships" r:id="rId1"/>
        </xdr:cNvPr>
        <xdr:cNvSpPr/>
      </xdr:nvSpPr>
      <xdr:spPr>
        <a:xfrm>
          <a:off x="28574" y="28575"/>
          <a:ext cx="552451"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52451" cy="647700"/>
    <xdr:sp macro="" textlink="">
      <xdr:nvSpPr>
        <xdr:cNvPr id="3" name="Rectangle 2">
          <a:hlinkClick xmlns:r="http://schemas.openxmlformats.org/officeDocument/2006/relationships" r:id="rId2"/>
        </xdr:cNvPr>
        <xdr:cNvSpPr/>
      </xdr:nvSpPr>
      <xdr:spPr>
        <a:xfrm>
          <a:off x="600074" y="28575"/>
          <a:ext cx="552451" cy="6477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38175"/>
    <xdr:sp macro="" textlink="">
      <xdr:nvSpPr>
        <xdr:cNvPr id="2" name="Rectangle 1">
          <a:hlinkClick xmlns:r="http://schemas.openxmlformats.org/officeDocument/2006/relationships" r:id="rId1"/>
        </xdr:cNvPr>
        <xdr:cNvSpPr/>
      </xdr:nvSpPr>
      <xdr:spPr>
        <a:xfrm>
          <a:off x="28574" y="28574"/>
          <a:ext cx="552451"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52451" cy="638175"/>
    <xdr:sp macro="" textlink="">
      <xdr:nvSpPr>
        <xdr:cNvPr id="3" name="Rectangle 2">
          <a:hlinkClick xmlns:r="http://schemas.openxmlformats.org/officeDocument/2006/relationships" r:id="rId2"/>
        </xdr:cNvPr>
        <xdr:cNvSpPr/>
      </xdr:nvSpPr>
      <xdr:spPr>
        <a:xfrm>
          <a:off x="609599" y="28574"/>
          <a:ext cx="55245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57149</xdr:colOff>
      <xdr:row>0</xdr:row>
      <xdr:rowOff>38099</xdr:rowOff>
    </xdr:from>
    <xdr:ext cx="514351" cy="657225"/>
    <xdr:sp macro="" textlink="">
      <xdr:nvSpPr>
        <xdr:cNvPr id="2" name="Rectangle 1">
          <a:hlinkClick xmlns:r="http://schemas.openxmlformats.org/officeDocument/2006/relationships" r:id="rId1"/>
        </xdr:cNvPr>
        <xdr:cNvSpPr/>
      </xdr:nvSpPr>
      <xdr:spPr>
        <a:xfrm>
          <a:off x="57149" y="38099"/>
          <a:ext cx="5143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295275</xdr:colOff>
      <xdr:row>56</xdr:row>
      <xdr:rowOff>152400</xdr:rowOff>
    </xdr:from>
    <xdr:to>
      <xdr:col>10</xdr:col>
      <xdr:colOff>219075</xdr:colOff>
      <xdr:row>63</xdr:row>
      <xdr:rowOff>123826</xdr:rowOff>
    </xdr:to>
    <xdr:sp macro="" textlink="">
      <xdr:nvSpPr>
        <xdr:cNvPr id="3" name="TextBox 2"/>
        <xdr:cNvSpPr txBox="1"/>
      </xdr:nvSpPr>
      <xdr:spPr>
        <a:xfrm>
          <a:off x="8620125" y="10782300"/>
          <a:ext cx="4381500" cy="1152526"/>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Program expenditures equal to 10.0% of Sch 120 collections for Rate Sch 40, 46,49, 448, 449/459 customers are applied by journal entry to E254 NEEA .   The</a:t>
          </a:r>
          <a:r>
            <a:rPr lang="en-US" sz="1100" baseline="0"/>
            <a:t> funds collected are represented in this table in the miscellaneous budget category and </a:t>
          </a:r>
          <a:r>
            <a:rPr lang="en-US" sz="1100"/>
            <a:t>must reconcile with cell  </a:t>
          </a:r>
          <a:r>
            <a:rPr lang="en-US" sz="1100" b="1" u="sng">
              <a:solidFill>
                <a:srgbClr val="FF0000"/>
              </a:solidFill>
            </a:rPr>
            <a:t>E-12</a:t>
          </a:r>
          <a:r>
            <a:rPr lang="en-US" sz="1100"/>
            <a:t> on tab </a:t>
          </a:r>
          <a:r>
            <a:rPr lang="en-US" sz="1100" b="1">
              <a:solidFill>
                <a:srgbClr val="FF0000"/>
              </a:solidFill>
            </a:rPr>
            <a:t>LPDS_Detail_BEM Sch 258</a:t>
          </a:r>
          <a:r>
            <a:rPr lang="en-US" sz="1100" b="1" baseline="0">
              <a:solidFill>
                <a:srgbClr val="FF0000"/>
              </a:solidFill>
            </a:rPr>
            <a:t> Elec</a:t>
          </a:r>
          <a:r>
            <a:rPr lang="en-US" sz="1100"/>
            <a:t>.  </a:t>
          </a:r>
        </a:p>
        <a:p>
          <a:endParaRPr lang="en-US" sz="1100"/>
        </a:p>
      </xdr:txBody>
    </xdr:sp>
    <xdr:clientData/>
  </xdr:twoCellAnchor>
  <xdr:twoCellAnchor>
    <xdr:from>
      <xdr:col>6</xdr:col>
      <xdr:colOff>581025</xdr:colOff>
      <xdr:row>12</xdr:row>
      <xdr:rowOff>123826</xdr:rowOff>
    </xdr:from>
    <xdr:to>
      <xdr:col>11</xdr:col>
      <xdr:colOff>76200</xdr:colOff>
      <xdr:row>16</xdr:row>
      <xdr:rowOff>19050</xdr:rowOff>
    </xdr:to>
    <xdr:sp macro="" textlink="">
      <xdr:nvSpPr>
        <xdr:cNvPr id="4" name="TextBox 3"/>
        <xdr:cNvSpPr txBox="1"/>
      </xdr:nvSpPr>
      <xdr:spPr>
        <a:xfrm>
          <a:off x="8905875" y="3162301"/>
          <a:ext cx="5067300" cy="657224"/>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100">
              <a:solidFill>
                <a:schemeClr val="dk1"/>
              </a:solidFill>
              <a:latin typeface="+mn-lt"/>
              <a:ea typeface="+mn-ea"/>
              <a:cs typeface="+mn-cs"/>
            </a:rPr>
            <a:t>Total payments made</a:t>
          </a:r>
          <a:r>
            <a:rPr lang="en-US" sz="1100" baseline="0">
              <a:solidFill>
                <a:schemeClr val="dk1"/>
              </a:solidFill>
              <a:latin typeface="+mn-lt"/>
              <a:ea typeface="+mn-ea"/>
              <a:cs typeface="+mn-cs"/>
            </a:rPr>
            <a:t> to NEEA include </a:t>
          </a:r>
          <a:r>
            <a:rPr lang="en-US" sz="1100">
              <a:solidFill>
                <a:schemeClr val="dk1"/>
              </a:solidFill>
              <a:latin typeface="+mn-lt"/>
              <a:ea typeface="+mn-ea"/>
              <a:cs typeface="+mn-cs"/>
            </a:rPr>
            <a:t>Schedule 258 10% customer contributions noted in  the below Miscellaneous columns.</a:t>
          </a:r>
          <a:r>
            <a:rPr lang="en-US" sz="1100" baseline="0">
              <a:solidFill>
                <a:schemeClr val="dk1"/>
              </a:solidFill>
              <a:latin typeface="+mn-lt"/>
              <a:ea typeface="+mn-ea"/>
              <a:cs typeface="+mn-cs"/>
            </a:rPr>
            <a:t>  Total payments are also comprised of </a:t>
          </a:r>
          <a:r>
            <a:rPr lang="en-US" sz="1100">
              <a:solidFill>
                <a:schemeClr val="dk1"/>
              </a:solidFill>
              <a:latin typeface="+mn-lt"/>
              <a:ea typeface="+mn-ea"/>
              <a:cs typeface="+mn-cs"/>
            </a:rPr>
            <a:t>Outside Services and DBtC columns.</a:t>
          </a:r>
        </a:p>
      </xdr:txBody>
    </xdr:sp>
    <xdr:clientData/>
  </xdr:twoCellAnchor>
  <xdr:oneCellAnchor>
    <xdr:from>
      <xdr:col>0</xdr:col>
      <xdr:colOff>638174</xdr:colOff>
      <xdr:row>0</xdr:row>
      <xdr:rowOff>38099</xdr:rowOff>
    </xdr:from>
    <xdr:ext cx="561976" cy="657225"/>
    <xdr:sp macro="" textlink="">
      <xdr:nvSpPr>
        <xdr:cNvPr id="5" name="Rectangle 4">
          <a:hlinkClick xmlns:r="http://schemas.openxmlformats.org/officeDocument/2006/relationships" r:id="rId2"/>
        </xdr:cNvPr>
        <xdr:cNvSpPr/>
      </xdr:nvSpPr>
      <xdr:spPr>
        <a:xfrm>
          <a:off x="638174" y="38099"/>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MT Detail Pg</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423118</xdr:colOff>
      <xdr:row>3</xdr:row>
      <xdr:rowOff>52928</xdr:rowOff>
    </xdr:from>
    <xdr:ext cx="1472358" cy="394748"/>
    <xdr:sp macro="" textlink="">
      <xdr:nvSpPr>
        <xdr:cNvPr id="4" name="Rectangle 3">
          <a:hlinkClick xmlns:r="http://schemas.openxmlformats.org/officeDocument/2006/relationships" r:id="rId1"/>
        </xdr:cNvPr>
        <xdr:cNvSpPr/>
      </xdr:nvSpPr>
      <xdr:spPr>
        <a:xfrm>
          <a:off x="508843" y="633953"/>
          <a:ext cx="1472358" cy="394748"/>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2-year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400050</xdr:colOff>
      <xdr:row>3</xdr:row>
      <xdr:rowOff>28574</xdr:rowOff>
    </xdr:from>
    <xdr:to>
      <xdr:col>5</xdr:col>
      <xdr:colOff>0</xdr:colOff>
      <xdr:row>3</xdr:row>
      <xdr:rowOff>438150</xdr:rowOff>
    </xdr:to>
    <xdr:sp macro="" textlink="">
      <xdr:nvSpPr>
        <xdr:cNvPr id="3" name="TextBox 2">
          <a:hlinkClick xmlns:r="http://schemas.openxmlformats.org/officeDocument/2006/relationships" r:id="rId2"/>
        </xdr:cNvPr>
        <xdr:cNvSpPr txBox="1"/>
      </xdr:nvSpPr>
      <xdr:spPr>
        <a:xfrm>
          <a:off x="2505075" y="609599"/>
          <a:ext cx="847725"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2016 Elec. Sector</a:t>
          </a:r>
        </a:p>
      </xdr:txBody>
    </xdr:sp>
    <xdr:clientData/>
  </xdr:twoCellAnchor>
  <xdr:twoCellAnchor>
    <xdr:from>
      <xdr:col>5</xdr:col>
      <xdr:colOff>209550</xdr:colOff>
      <xdr:row>3</xdr:row>
      <xdr:rowOff>19051</xdr:rowOff>
    </xdr:from>
    <xdr:to>
      <xdr:col>6</xdr:col>
      <xdr:colOff>895352</xdr:colOff>
      <xdr:row>3</xdr:row>
      <xdr:rowOff>447675</xdr:rowOff>
    </xdr:to>
    <xdr:sp macro="" textlink="">
      <xdr:nvSpPr>
        <xdr:cNvPr id="5" name="TextBox 4">
          <a:hlinkClick xmlns:r="http://schemas.openxmlformats.org/officeDocument/2006/relationships" r:id="rId3"/>
        </xdr:cNvPr>
        <xdr:cNvSpPr txBox="1"/>
      </xdr:nvSpPr>
      <xdr:spPr>
        <a:xfrm>
          <a:off x="3829050" y="600076"/>
          <a:ext cx="914402" cy="4286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Elec. Sector</a:t>
          </a:r>
        </a:p>
      </xdr:txBody>
    </xdr:sp>
    <xdr:clientData/>
  </xdr:twoCellAnchor>
  <xdr:twoCellAnchor>
    <xdr:from>
      <xdr:col>6</xdr:col>
      <xdr:colOff>1162050</xdr:colOff>
      <xdr:row>3</xdr:row>
      <xdr:rowOff>28576</xdr:rowOff>
    </xdr:from>
    <xdr:to>
      <xdr:col>6</xdr:col>
      <xdr:colOff>2076452</xdr:colOff>
      <xdr:row>3</xdr:row>
      <xdr:rowOff>457200</xdr:rowOff>
    </xdr:to>
    <xdr:sp macro="" textlink="">
      <xdr:nvSpPr>
        <xdr:cNvPr id="6" name="TextBox 5">
          <a:hlinkClick xmlns:r="http://schemas.openxmlformats.org/officeDocument/2006/relationships" r:id="rId4"/>
        </xdr:cNvPr>
        <xdr:cNvSpPr txBox="1"/>
      </xdr:nvSpPr>
      <xdr:spPr>
        <a:xfrm>
          <a:off x="5010150" y="609601"/>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0</xdr:col>
      <xdr:colOff>38099</xdr:colOff>
      <xdr:row>0</xdr:row>
      <xdr:rowOff>38099</xdr:rowOff>
    </xdr:from>
    <xdr:ext cx="971551" cy="542925"/>
    <xdr:sp macro="" textlink="">
      <xdr:nvSpPr>
        <xdr:cNvPr id="2" name="Rectangle 1">
          <a:hlinkClick xmlns:r="http://schemas.openxmlformats.org/officeDocument/2006/relationships" r:id="rId1"/>
        </xdr:cNvPr>
        <xdr:cNvSpPr/>
      </xdr:nvSpPr>
      <xdr:spPr>
        <a:xfrm>
          <a:off x="38099" y="38099"/>
          <a:ext cx="971551" cy="5429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57149</xdr:colOff>
      <xdr:row>0</xdr:row>
      <xdr:rowOff>38099</xdr:rowOff>
    </xdr:from>
    <xdr:ext cx="542926" cy="695325"/>
    <xdr:sp macro="" textlink="">
      <xdr:nvSpPr>
        <xdr:cNvPr id="2" name="Rectangle 1">
          <a:hlinkClick xmlns:r="http://schemas.openxmlformats.org/officeDocument/2006/relationships" r:id="rId1"/>
        </xdr:cNvPr>
        <xdr:cNvSpPr/>
      </xdr:nvSpPr>
      <xdr:spPr>
        <a:xfrm>
          <a:off x="57149" y="38099"/>
          <a:ext cx="542926" cy="6953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38099</xdr:rowOff>
    </xdr:from>
    <xdr:ext cx="542926" cy="695325"/>
    <xdr:sp macro="" textlink="">
      <xdr:nvSpPr>
        <xdr:cNvPr id="3" name="Rectangle 2">
          <a:hlinkClick xmlns:r="http://schemas.openxmlformats.org/officeDocument/2006/relationships" r:id="rId2"/>
        </xdr:cNvPr>
        <xdr:cNvSpPr/>
      </xdr:nvSpPr>
      <xdr:spPr>
        <a:xfrm>
          <a:off x="647699" y="38099"/>
          <a:ext cx="542926" cy="69532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NEEA Elec Detail Pg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2</xdr:col>
      <xdr:colOff>0</xdr:colOff>
      <xdr:row>11</xdr:row>
      <xdr:rowOff>0</xdr:rowOff>
    </xdr:from>
    <xdr:to>
      <xdr:col>3</xdr:col>
      <xdr:colOff>523875</xdr:colOff>
      <xdr:row>13</xdr:row>
      <xdr:rowOff>123825</xdr:rowOff>
    </xdr:to>
    <xdr:sp macro="" textlink="">
      <xdr:nvSpPr>
        <xdr:cNvPr id="2" name="Rectangle 1">
          <a:hlinkClick xmlns:r="http://schemas.openxmlformats.org/officeDocument/2006/relationships" r:id="rId1"/>
        </xdr:cNvPr>
        <xdr:cNvSpPr/>
      </xdr:nvSpPr>
      <xdr:spPr>
        <a:xfrm>
          <a:off x="1219200" y="1781175"/>
          <a:ext cx="11334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2-year Portfolio View</a:t>
          </a:r>
        </a:p>
      </xdr:txBody>
    </xdr:sp>
    <xdr:clientData/>
  </xdr:twoCellAnchor>
  <xdr:twoCellAnchor>
    <xdr:from>
      <xdr:col>1</xdr:col>
      <xdr:colOff>590550</xdr:colOff>
      <xdr:row>15</xdr:row>
      <xdr:rowOff>66675</xdr:rowOff>
    </xdr:from>
    <xdr:to>
      <xdr:col>3</xdr:col>
      <xdr:colOff>571500</xdr:colOff>
      <xdr:row>19</xdr:row>
      <xdr:rowOff>76200</xdr:rowOff>
    </xdr:to>
    <xdr:sp macro="" textlink="">
      <xdr:nvSpPr>
        <xdr:cNvPr id="3" name="Rectangle 2">
          <a:hlinkClick xmlns:r="http://schemas.openxmlformats.org/officeDocument/2006/relationships" r:id="rId2"/>
        </xdr:cNvPr>
        <xdr:cNvSpPr/>
      </xdr:nvSpPr>
      <xdr:spPr>
        <a:xfrm>
          <a:off x="1200150" y="2495550"/>
          <a:ext cx="1200150" cy="657225"/>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2-year Sector View</a:t>
          </a:r>
          <a:endParaRPr lang="en-US" sz="1100">
            <a:solidFill>
              <a:schemeClr val="tx1"/>
            </a:solidFill>
          </a:endParaRPr>
        </a:p>
      </xdr:txBody>
    </xdr:sp>
    <xdr:clientData/>
  </xdr:twoCellAnchor>
  <xdr:twoCellAnchor>
    <xdr:from>
      <xdr:col>4</xdr:col>
      <xdr:colOff>152400</xdr:colOff>
      <xdr:row>15</xdr:row>
      <xdr:rowOff>85725</xdr:rowOff>
    </xdr:from>
    <xdr:to>
      <xdr:col>6</xdr:col>
      <xdr:colOff>133350</xdr:colOff>
      <xdr:row>19</xdr:row>
      <xdr:rowOff>95250</xdr:rowOff>
    </xdr:to>
    <xdr:sp macro="" textlink="">
      <xdr:nvSpPr>
        <xdr:cNvPr id="4" name="Rectangle 3">
          <a:hlinkClick xmlns:r="http://schemas.openxmlformats.org/officeDocument/2006/relationships" r:id="rId3"/>
        </xdr:cNvPr>
        <xdr:cNvSpPr/>
      </xdr:nvSpPr>
      <xdr:spPr>
        <a:xfrm>
          <a:off x="2590800" y="2514600"/>
          <a:ext cx="1200150"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a:t>
          </a:r>
          <a:r>
            <a:rPr lang="en-US" sz="1100" baseline="0">
              <a:solidFill>
                <a:schemeClr val="tx1"/>
              </a:solidFill>
            </a:rPr>
            <a:t> to Gas 2-year Sector View</a:t>
          </a:r>
          <a:endParaRPr lang="en-US" sz="1100">
            <a:solidFill>
              <a:schemeClr val="tx1"/>
            </a:solidFill>
          </a:endParaRPr>
        </a:p>
      </xdr:txBody>
    </xdr:sp>
    <xdr:clientData/>
  </xdr:twoCellAnchor>
</xdr:wsDr>
</file>

<file path=xl/drawings/drawing83.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5" cy="609600"/>
    <xdr:sp macro="" textlink="">
      <xdr:nvSpPr>
        <xdr:cNvPr id="2" name="Rectangle 1">
          <a:hlinkClick xmlns:r="http://schemas.openxmlformats.org/officeDocument/2006/relationships" r:id="rId1"/>
        </xdr:cNvPr>
        <xdr:cNvSpPr/>
      </xdr:nvSpPr>
      <xdr:spPr>
        <a:xfrm>
          <a:off x="47625" y="28575"/>
          <a:ext cx="5429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38100</xdr:rowOff>
    </xdr:from>
    <xdr:ext cx="542925" cy="609600"/>
    <xdr:sp macro="" textlink="">
      <xdr:nvSpPr>
        <xdr:cNvPr id="3" name="Rectangle 2">
          <a:hlinkClick xmlns:r="http://schemas.openxmlformats.org/officeDocument/2006/relationships" r:id="rId2"/>
        </xdr:cNvPr>
        <xdr:cNvSpPr/>
      </xdr:nvSpPr>
      <xdr:spPr>
        <a:xfrm>
          <a:off x="657225" y="38100"/>
          <a:ext cx="542925"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38099</xdr:colOff>
      <xdr:row>0</xdr:row>
      <xdr:rowOff>38099</xdr:rowOff>
    </xdr:from>
    <xdr:ext cx="523876" cy="657226"/>
    <xdr:sp macro="" textlink="">
      <xdr:nvSpPr>
        <xdr:cNvPr id="2" name="Rectangle 1">
          <a:hlinkClick xmlns:r="http://schemas.openxmlformats.org/officeDocument/2006/relationships" r:id="rId1"/>
        </xdr:cNvPr>
        <xdr:cNvSpPr/>
      </xdr:nvSpPr>
      <xdr:spPr>
        <a:xfrm>
          <a:off x="38099" y="38099"/>
          <a:ext cx="523876"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38099</xdr:rowOff>
    </xdr:from>
    <xdr:ext cx="523876" cy="657226"/>
    <xdr:sp macro="" textlink="">
      <xdr:nvSpPr>
        <xdr:cNvPr id="3" name="Rectangle 2">
          <a:hlinkClick xmlns:r="http://schemas.openxmlformats.org/officeDocument/2006/relationships" r:id="rId2"/>
        </xdr:cNvPr>
        <xdr:cNvSpPr/>
      </xdr:nvSpPr>
      <xdr:spPr>
        <a:xfrm>
          <a:off x="609599" y="38099"/>
          <a:ext cx="523876"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38099</xdr:colOff>
      <xdr:row>0</xdr:row>
      <xdr:rowOff>38099</xdr:rowOff>
    </xdr:from>
    <xdr:ext cx="552451" cy="657225"/>
    <xdr:sp macro="" textlink="">
      <xdr:nvSpPr>
        <xdr:cNvPr id="2" name="Rectangle 1">
          <a:hlinkClick xmlns:r="http://schemas.openxmlformats.org/officeDocument/2006/relationships" r:id="rId1"/>
        </xdr:cNvPr>
        <xdr:cNvSpPr/>
      </xdr:nvSpPr>
      <xdr:spPr>
        <a:xfrm>
          <a:off x="38099" y="38099"/>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28574</xdr:rowOff>
    </xdr:from>
    <xdr:ext cx="552451" cy="657225"/>
    <xdr:sp macro="" textlink="">
      <xdr:nvSpPr>
        <xdr:cNvPr id="3" name="Rectangle 2">
          <a:hlinkClick xmlns:r="http://schemas.openxmlformats.org/officeDocument/2006/relationships" r:id="rId2"/>
        </xdr:cNvPr>
        <xdr:cNvSpPr/>
      </xdr:nvSpPr>
      <xdr:spPr>
        <a:xfrm>
          <a:off x="628649"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5" cy="657226"/>
    <xdr:sp macro="" textlink="">
      <xdr:nvSpPr>
        <xdr:cNvPr id="2" name="Rectangle 1">
          <a:hlinkClick xmlns:r="http://schemas.openxmlformats.org/officeDocument/2006/relationships" r:id="rId1"/>
        </xdr:cNvPr>
        <xdr:cNvSpPr/>
      </xdr:nvSpPr>
      <xdr:spPr>
        <a:xfrm>
          <a:off x="47625" y="38099"/>
          <a:ext cx="542925"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695325</xdr:colOff>
      <xdr:row>0</xdr:row>
      <xdr:rowOff>28574</xdr:rowOff>
    </xdr:from>
    <xdr:ext cx="542925" cy="657226"/>
    <xdr:sp macro="" textlink="">
      <xdr:nvSpPr>
        <xdr:cNvPr id="3" name="Rectangle 2">
          <a:hlinkClick xmlns:r="http://schemas.openxmlformats.org/officeDocument/2006/relationships" r:id="rId2"/>
        </xdr:cNvPr>
        <xdr:cNvSpPr/>
      </xdr:nvSpPr>
      <xdr:spPr>
        <a:xfrm>
          <a:off x="695325" y="28574"/>
          <a:ext cx="542925"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7.xml><?xml version="1.0" encoding="utf-8"?>
<xdr:wsDr xmlns:xdr="http://schemas.openxmlformats.org/drawingml/2006/spreadsheetDrawing" xmlns:a="http://schemas.openxmlformats.org/drawingml/2006/main">
  <xdr:twoCellAnchor>
    <xdr:from>
      <xdr:col>1</xdr:col>
      <xdr:colOff>504825</xdr:colOff>
      <xdr:row>9</xdr:row>
      <xdr:rowOff>104775</xdr:rowOff>
    </xdr:from>
    <xdr:to>
      <xdr:col>3</xdr:col>
      <xdr:colOff>571500</xdr:colOff>
      <xdr:row>12</xdr:row>
      <xdr:rowOff>66675</xdr:rowOff>
    </xdr:to>
    <xdr:sp macro="" textlink="">
      <xdr:nvSpPr>
        <xdr:cNvPr id="2" name="Rectangle 1">
          <a:hlinkClick xmlns:r="http://schemas.openxmlformats.org/officeDocument/2006/relationships" r:id="rId1"/>
        </xdr:cNvPr>
        <xdr:cNvSpPr/>
      </xdr:nvSpPr>
      <xdr:spPr>
        <a:xfrm>
          <a:off x="1114425" y="1562100"/>
          <a:ext cx="12858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2-year Portfolio View</a:t>
          </a:r>
        </a:p>
      </xdr:txBody>
    </xdr:sp>
    <xdr:clientData/>
  </xdr:twoCellAnchor>
  <xdr:twoCellAnchor>
    <xdr:from>
      <xdr:col>1</xdr:col>
      <xdr:colOff>533400</xdr:colOff>
      <xdr:row>14</xdr:row>
      <xdr:rowOff>9526</xdr:rowOff>
    </xdr:from>
    <xdr:to>
      <xdr:col>3</xdr:col>
      <xdr:colOff>590550</xdr:colOff>
      <xdr:row>17</xdr:row>
      <xdr:rowOff>19051</xdr:rowOff>
    </xdr:to>
    <xdr:sp macro="" textlink="">
      <xdr:nvSpPr>
        <xdr:cNvPr id="3" name="Rectangle 2">
          <a:hlinkClick xmlns:r="http://schemas.openxmlformats.org/officeDocument/2006/relationships" r:id="rId2"/>
        </xdr:cNvPr>
        <xdr:cNvSpPr/>
      </xdr:nvSpPr>
      <xdr:spPr>
        <a:xfrm>
          <a:off x="1143000" y="2276476"/>
          <a:ext cx="1276350" cy="495300"/>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2-year Sector View</a:t>
          </a:r>
          <a:endParaRPr lang="en-US" sz="1100">
            <a:solidFill>
              <a:schemeClr val="tx1"/>
            </a:solidFill>
          </a:endParaRPr>
        </a:p>
      </xdr:txBody>
    </xdr:sp>
    <xdr:clientData/>
  </xdr:twoCellAnchor>
  <xdr:twoCellAnchor>
    <xdr:from>
      <xdr:col>4</xdr:col>
      <xdr:colOff>228600</xdr:colOff>
      <xdr:row>14</xdr:row>
      <xdr:rowOff>19051</xdr:rowOff>
    </xdr:from>
    <xdr:to>
      <xdr:col>6</xdr:col>
      <xdr:colOff>285750</xdr:colOff>
      <xdr:row>17</xdr:row>
      <xdr:rowOff>28576</xdr:rowOff>
    </xdr:to>
    <xdr:sp macro="" textlink="">
      <xdr:nvSpPr>
        <xdr:cNvPr id="4" name="Rectangle 3">
          <a:hlinkClick xmlns:r="http://schemas.openxmlformats.org/officeDocument/2006/relationships" r:id="rId3"/>
        </xdr:cNvPr>
        <xdr:cNvSpPr/>
      </xdr:nvSpPr>
      <xdr:spPr>
        <a:xfrm>
          <a:off x="2667000" y="2286001"/>
          <a:ext cx="1276350" cy="4953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Gas 2-year Sector View</a:t>
          </a:r>
          <a:endParaRPr lang="en-US" sz="1100">
            <a:solidFill>
              <a:schemeClr val="tx1"/>
            </a:solidFill>
          </a:endParaRPr>
        </a:p>
      </xdr:txBody>
    </xdr:sp>
    <xdr:clientData/>
  </xdr:twoCellAnchor>
</xdr:wsDr>
</file>

<file path=xl/drawings/drawing88.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6" cy="695326"/>
    <xdr:sp macro="" textlink="">
      <xdr:nvSpPr>
        <xdr:cNvPr id="2" name="Rectangle 1">
          <a:hlinkClick xmlns:r="http://schemas.openxmlformats.org/officeDocument/2006/relationships" r:id="rId1"/>
        </xdr:cNvPr>
        <xdr:cNvSpPr/>
      </xdr:nvSpPr>
      <xdr:spPr>
        <a:xfrm>
          <a:off x="47625" y="38099"/>
          <a:ext cx="542926" cy="6953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42926" cy="695326"/>
    <xdr:sp macro="" textlink="">
      <xdr:nvSpPr>
        <xdr:cNvPr id="3" name="Rectangle 2">
          <a:hlinkClick xmlns:r="http://schemas.openxmlformats.org/officeDocument/2006/relationships" r:id="rId2"/>
        </xdr:cNvPr>
        <xdr:cNvSpPr/>
      </xdr:nvSpPr>
      <xdr:spPr>
        <a:xfrm>
          <a:off x="638175" y="28574"/>
          <a:ext cx="542926" cy="6953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47624</xdr:colOff>
      <xdr:row>0</xdr:row>
      <xdr:rowOff>28574</xdr:rowOff>
    </xdr:from>
    <xdr:ext cx="552451" cy="657225"/>
    <xdr:sp macro="" textlink="">
      <xdr:nvSpPr>
        <xdr:cNvPr id="2" name="Rectangle 1">
          <a:hlinkClick xmlns:r="http://schemas.openxmlformats.org/officeDocument/2006/relationships" r:id="rId1"/>
        </xdr:cNvPr>
        <xdr:cNvSpPr/>
      </xdr:nvSpPr>
      <xdr:spPr>
        <a:xfrm>
          <a:off x="47624" y="28574"/>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57225"/>
    <xdr:sp macro="" textlink="">
      <xdr:nvSpPr>
        <xdr:cNvPr id="3" name="Rectangle 2">
          <a:hlinkClick xmlns:r="http://schemas.openxmlformats.org/officeDocument/2006/relationships" r:id="rId2"/>
        </xdr:cNvPr>
        <xdr:cNvSpPr/>
      </xdr:nvSpPr>
      <xdr:spPr>
        <a:xfrm>
          <a:off x="657224"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565495</xdr:colOff>
      <xdr:row>3</xdr:row>
      <xdr:rowOff>52927</xdr:rowOff>
    </xdr:from>
    <xdr:ext cx="1406180" cy="394748"/>
    <xdr:sp macro="" textlink="">
      <xdr:nvSpPr>
        <xdr:cNvPr id="2" name="Rectangle 1">
          <a:hlinkClick xmlns:r="http://schemas.openxmlformats.org/officeDocument/2006/relationships" r:id="rId1"/>
        </xdr:cNvPr>
        <xdr:cNvSpPr/>
      </xdr:nvSpPr>
      <xdr:spPr>
        <a:xfrm>
          <a:off x="651220" y="633952"/>
          <a:ext cx="1406180" cy="394748"/>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2016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466724</xdr:colOff>
      <xdr:row>3</xdr:row>
      <xdr:rowOff>47625</xdr:rowOff>
    </xdr:from>
    <xdr:to>
      <xdr:col>5</xdr:col>
      <xdr:colOff>9524</xdr:colOff>
      <xdr:row>3</xdr:row>
      <xdr:rowOff>447675</xdr:rowOff>
    </xdr:to>
    <xdr:sp macro="" textlink="">
      <xdr:nvSpPr>
        <xdr:cNvPr id="3" name="TextBox 2">
          <a:hlinkClick xmlns:r="http://schemas.openxmlformats.org/officeDocument/2006/relationships" r:id="rId2"/>
        </xdr:cNvPr>
        <xdr:cNvSpPr txBox="1"/>
      </xdr:nvSpPr>
      <xdr:spPr>
        <a:xfrm>
          <a:off x="2571749" y="628650"/>
          <a:ext cx="1095375"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Sector View</a:t>
          </a:r>
        </a:p>
      </xdr:txBody>
    </xdr:sp>
    <xdr:clientData/>
  </xdr:twoCellAnchor>
  <xdr:twoCellAnchor>
    <xdr:from>
      <xdr:col>6</xdr:col>
      <xdr:colOff>19050</xdr:colOff>
      <xdr:row>3</xdr:row>
      <xdr:rowOff>47625</xdr:rowOff>
    </xdr:from>
    <xdr:to>
      <xdr:col>6</xdr:col>
      <xdr:colOff>1114425</xdr:colOff>
      <xdr:row>3</xdr:row>
      <xdr:rowOff>447675</xdr:rowOff>
    </xdr:to>
    <xdr:sp macro="" textlink="">
      <xdr:nvSpPr>
        <xdr:cNvPr id="4" name="TextBox 3">
          <a:hlinkClick xmlns:r="http://schemas.openxmlformats.org/officeDocument/2006/relationships" r:id="rId3"/>
        </xdr:cNvPr>
        <xdr:cNvSpPr txBox="1"/>
      </xdr:nvSpPr>
      <xdr:spPr>
        <a:xfrm>
          <a:off x="3905250" y="628650"/>
          <a:ext cx="1095375"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Sector View</a:t>
          </a:r>
        </a:p>
      </xdr:txBody>
    </xdr:sp>
    <xdr:clientData/>
  </xdr:twoCellAnchor>
  <xdr:twoCellAnchor>
    <xdr:from>
      <xdr:col>6</xdr:col>
      <xdr:colOff>1381125</xdr:colOff>
      <xdr:row>3</xdr:row>
      <xdr:rowOff>28575</xdr:rowOff>
    </xdr:from>
    <xdr:to>
      <xdr:col>7</xdr:col>
      <xdr:colOff>200027</xdr:colOff>
      <xdr:row>3</xdr:row>
      <xdr:rowOff>457199</xdr:rowOff>
    </xdr:to>
    <xdr:sp macro="" textlink="">
      <xdr:nvSpPr>
        <xdr:cNvPr id="5" name="TextBox 4">
          <a:hlinkClick xmlns:r="http://schemas.openxmlformats.org/officeDocument/2006/relationships" r:id="rId4"/>
        </xdr:cNvPr>
        <xdr:cNvSpPr txBox="1"/>
      </xdr:nvSpPr>
      <xdr:spPr>
        <a:xfrm>
          <a:off x="5267325" y="609600"/>
          <a:ext cx="914402" cy="4286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2-year Gas Sector</a:t>
          </a:r>
        </a:p>
      </xdr:txBody>
    </xdr:sp>
    <xdr:clientData/>
  </xdr:twoCellAnchor>
</xdr:wsDr>
</file>

<file path=xl/drawings/drawing90.xml><?xml version="1.0" encoding="utf-8"?>
<xdr:wsDr xmlns:xdr="http://schemas.openxmlformats.org/drawingml/2006/spreadsheetDrawing" xmlns:a="http://schemas.openxmlformats.org/drawingml/2006/main">
  <xdr:oneCellAnchor>
    <xdr:from>
      <xdr:col>0</xdr:col>
      <xdr:colOff>47625</xdr:colOff>
      <xdr:row>0</xdr:row>
      <xdr:rowOff>28575</xdr:rowOff>
    </xdr:from>
    <xdr:ext cx="523876" cy="685800"/>
    <xdr:sp macro="" textlink="">
      <xdr:nvSpPr>
        <xdr:cNvPr id="2" name="Rectangle 1">
          <a:hlinkClick xmlns:r="http://schemas.openxmlformats.org/officeDocument/2006/relationships" r:id="rId1"/>
        </xdr:cNvPr>
        <xdr:cNvSpPr/>
      </xdr:nvSpPr>
      <xdr:spPr>
        <a:xfrm>
          <a:off x="47625" y="28575"/>
          <a:ext cx="523876"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23876" cy="685800"/>
    <xdr:sp macro="" textlink="">
      <xdr:nvSpPr>
        <xdr:cNvPr id="3" name="Rectangle 2">
          <a:hlinkClick xmlns:r="http://schemas.openxmlformats.org/officeDocument/2006/relationships" r:id="rId2"/>
        </xdr:cNvPr>
        <xdr:cNvSpPr/>
      </xdr:nvSpPr>
      <xdr:spPr>
        <a:xfrm>
          <a:off x="638175" y="28575"/>
          <a:ext cx="523876"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6" cy="676275"/>
    <xdr:sp macro="" textlink="">
      <xdr:nvSpPr>
        <xdr:cNvPr id="2" name="Rectangle 1">
          <a:hlinkClick xmlns:r="http://schemas.openxmlformats.org/officeDocument/2006/relationships" r:id="rId1"/>
        </xdr:cNvPr>
        <xdr:cNvSpPr/>
      </xdr:nvSpPr>
      <xdr:spPr>
        <a:xfrm>
          <a:off x="47625" y="28575"/>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542926" cy="676275"/>
    <xdr:sp macro="" textlink="">
      <xdr:nvSpPr>
        <xdr:cNvPr id="3" name="Rectangle 2">
          <a:hlinkClick xmlns:r="http://schemas.openxmlformats.org/officeDocument/2006/relationships" r:id="rId2"/>
        </xdr:cNvPr>
        <xdr:cNvSpPr/>
      </xdr:nvSpPr>
      <xdr:spPr>
        <a:xfrm>
          <a:off x="638175" y="19050"/>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2.xml><?xml version="1.0" encoding="utf-8"?>
<xdr:wsDr xmlns:xdr="http://schemas.openxmlformats.org/drawingml/2006/spreadsheetDrawing" xmlns:a="http://schemas.openxmlformats.org/drawingml/2006/main">
  <xdr:oneCellAnchor>
    <xdr:from>
      <xdr:col>0</xdr:col>
      <xdr:colOff>57150</xdr:colOff>
      <xdr:row>0</xdr:row>
      <xdr:rowOff>28574</xdr:rowOff>
    </xdr:from>
    <xdr:ext cx="504826" cy="657225"/>
    <xdr:sp macro="" textlink="">
      <xdr:nvSpPr>
        <xdr:cNvPr id="2" name="Rectangle 1">
          <a:hlinkClick xmlns:r="http://schemas.openxmlformats.org/officeDocument/2006/relationships" r:id="rId1"/>
        </xdr:cNvPr>
        <xdr:cNvSpPr/>
      </xdr:nvSpPr>
      <xdr:spPr>
        <a:xfrm>
          <a:off x="57150" y="28574"/>
          <a:ext cx="50482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04826" cy="657225"/>
    <xdr:sp macro="" textlink="">
      <xdr:nvSpPr>
        <xdr:cNvPr id="3" name="Rectangle 2">
          <a:hlinkClick xmlns:r="http://schemas.openxmlformats.org/officeDocument/2006/relationships" r:id="rId2"/>
        </xdr:cNvPr>
        <xdr:cNvSpPr/>
      </xdr:nvSpPr>
      <xdr:spPr>
        <a:xfrm>
          <a:off x="638175" y="28574"/>
          <a:ext cx="50482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0</xdr:col>
      <xdr:colOff>47625</xdr:colOff>
      <xdr:row>0</xdr:row>
      <xdr:rowOff>28575</xdr:rowOff>
    </xdr:from>
    <xdr:ext cx="485776" cy="657225"/>
    <xdr:sp macro="" textlink="">
      <xdr:nvSpPr>
        <xdr:cNvPr id="2" name="Rectangle 1">
          <a:hlinkClick xmlns:r="http://schemas.openxmlformats.org/officeDocument/2006/relationships" r:id="rId1"/>
        </xdr:cNvPr>
        <xdr:cNvSpPr/>
      </xdr:nvSpPr>
      <xdr:spPr>
        <a:xfrm>
          <a:off x="47625" y="28575"/>
          <a:ext cx="4857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47625</xdr:rowOff>
    </xdr:from>
    <xdr:ext cx="485776" cy="657225"/>
    <xdr:sp macro="" textlink="">
      <xdr:nvSpPr>
        <xdr:cNvPr id="3" name="Rectangle 2">
          <a:hlinkClick xmlns:r="http://schemas.openxmlformats.org/officeDocument/2006/relationships" r:id="rId2"/>
        </xdr:cNvPr>
        <xdr:cNvSpPr/>
      </xdr:nvSpPr>
      <xdr:spPr>
        <a:xfrm>
          <a:off x="600075" y="47625"/>
          <a:ext cx="4857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28650"/>
    <xdr:sp macro="" textlink="">
      <xdr:nvSpPr>
        <xdr:cNvPr id="2" name="Rectangle 1">
          <a:hlinkClick xmlns:r="http://schemas.openxmlformats.org/officeDocument/2006/relationships" r:id="rId1"/>
        </xdr:cNvPr>
        <xdr:cNvSpPr/>
      </xdr:nvSpPr>
      <xdr:spPr>
        <a:xfrm>
          <a:off x="38099" y="19050"/>
          <a:ext cx="53340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33401" cy="628650"/>
    <xdr:sp macro="" textlink="">
      <xdr:nvSpPr>
        <xdr:cNvPr id="3" name="Rectangle 2">
          <a:hlinkClick xmlns:r="http://schemas.openxmlformats.org/officeDocument/2006/relationships" r:id="rId2"/>
        </xdr:cNvPr>
        <xdr:cNvSpPr/>
      </xdr:nvSpPr>
      <xdr:spPr>
        <a:xfrm>
          <a:off x="619124" y="19050"/>
          <a:ext cx="53340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28573</xdr:rowOff>
    </xdr:from>
    <xdr:ext cx="561975" cy="704851"/>
    <xdr:sp macro="" textlink="">
      <xdr:nvSpPr>
        <xdr:cNvPr id="3" name="Rectangle 2">
          <a:hlinkClick xmlns:r="http://schemas.openxmlformats.org/officeDocument/2006/relationships" r:id="rId2"/>
        </xdr:cNvPr>
        <xdr:cNvSpPr/>
      </xdr:nvSpPr>
      <xdr:spPr>
        <a:xfrm>
          <a:off x="657225" y="28573"/>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Elec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19048</xdr:rowOff>
    </xdr:from>
    <xdr:ext cx="561975" cy="704851"/>
    <xdr:sp macro="" textlink="">
      <xdr:nvSpPr>
        <xdr:cNvPr id="3" name="Rectangle 2">
          <a:hlinkClick xmlns:r="http://schemas.openxmlformats.org/officeDocument/2006/relationships" r:id="rId2"/>
        </xdr:cNvPr>
        <xdr:cNvSpPr/>
      </xdr:nvSpPr>
      <xdr:spPr>
        <a:xfrm>
          <a:off x="638175" y="19048"/>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7.xml><?xml version="1.0" encoding="utf-8"?>
<xdr:wsDr xmlns:xdr="http://schemas.openxmlformats.org/drawingml/2006/spreadsheetDrawing" xmlns:a="http://schemas.openxmlformats.org/drawingml/2006/main">
  <xdr:twoCellAnchor>
    <xdr:from>
      <xdr:col>1</xdr:col>
      <xdr:colOff>571500</xdr:colOff>
      <xdr:row>8</xdr:row>
      <xdr:rowOff>9525</xdr:rowOff>
    </xdr:from>
    <xdr:to>
      <xdr:col>3</xdr:col>
      <xdr:colOff>504825</xdr:colOff>
      <xdr:row>10</xdr:row>
      <xdr:rowOff>133350</xdr:rowOff>
    </xdr:to>
    <xdr:sp macro="" textlink="">
      <xdr:nvSpPr>
        <xdr:cNvPr id="2" name="Rectangle 1">
          <a:hlinkClick xmlns:r="http://schemas.openxmlformats.org/officeDocument/2006/relationships" r:id="rId1"/>
        </xdr:cNvPr>
        <xdr:cNvSpPr/>
      </xdr:nvSpPr>
      <xdr:spPr>
        <a:xfrm>
          <a:off x="1181100" y="1304925"/>
          <a:ext cx="1152525" cy="447675"/>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 2-year Portfolio View</a:t>
          </a:r>
        </a:p>
      </xdr:txBody>
    </xdr:sp>
    <xdr:clientData/>
  </xdr:twoCellAnchor>
  <xdr:twoCellAnchor>
    <xdr:from>
      <xdr:col>1</xdr:col>
      <xdr:colOff>581025</xdr:colOff>
      <xdr:row>12</xdr:row>
      <xdr:rowOff>76200</xdr:rowOff>
    </xdr:from>
    <xdr:to>
      <xdr:col>3</xdr:col>
      <xdr:colOff>533400</xdr:colOff>
      <xdr:row>15</xdr:row>
      <xdr:rowOff>114300</xdr:rowOff>
    </xdr:to>
    <xdr:sp macro="" textlink="">
      <xdr:nvSpPr>
        <xdr:cNvPr id="3" name="Rectangle 2">
          <a:hlinkClick xmlns:r="http://schemas.openxmlformats.org/officeDocument/2006/relationships" r:id="rId2"/>
        </xdr:cNvPr>
        <xdr:cNvSpPr/>
      </xdr:nvSpPr>
      <xdr:spPr>
        <a:xfrm>
          <a:off x="1190625" y="2019300"/>
          <a:ext cx="1171575"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114300</xdr:colOff>
      <xdr:row>12</xdr:row>
      <xdr:rowOff>95250</xdr:rowOff>
    </xdr:from>
    <xdr:to>
      <xdr:col>6</xdr:col>
      <xdr:colOff>66675</xdr:colOff>
      <xdr:row>15</xdr:row>
      <xdr:rowOff>133350</xdr:rowOff>
    </xdr:to>
    <xdr:sp macro="" textlink="">
      <xdr:nvSpPr>
        <xdr:cNvPr id="4" name="Rectangle 3">
          <a:hlinkClick xmlns:r="http://schemas.openxmlformats.org/officeDocument/2006/relationships" r:id="rId3"/>
        </xdr:cNvPr>
        <xdr:cNvSpPr/>
      </xdr:nvSpPr>
      <xdr:spPr>
        <a:xfrm>
          <a:off x="2552700" y="2038350"/>
          <a:ext cx="1171575" cy="5238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 to 2-year Electric </a:t>
          </a:r>
          <a:r>
            <a:rPr lang="en-US" sz="1100" baseline="0">
              <a:solidFill>
                <a:schemeClr val="tx1"/>
              </a:solidFill>
            </a:rPr>
            <a:t>Sector View</a:t>
          </a:r>
          <a:endParaRPr lang="en-US" sz="1100">
            <a:solidFill>
              <a:schemeClr val="tx1"/>
            </a:solidFill>
          </a:endParaRP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0</xdr:col>
      <xdr:colOff>28575</xdr:colOff>
      <xdr:row>0</xdr:row>
      <xdr:rowOff>28575</xdr:rowOff>
    </xdr:from>
    <xdr:ext cx="542925" cy="647700"/>
    <xdr:sp macro="" textlink="">
      <xdr:nvSpPr>
        <xdr:cNvPr id="2" name="Rectangle 1">
          <a:hlinkClick xmlns:r="http://schemas.openxmlformats.org/officeDocument/2006/relationships" r:id="rId1"/>
        </xdr:cNvPr>
        <xdr:cNvSpPr/>
      </xdr:nvSpPr>
      <xdr:spPr>
        <a:xfrm>
          <a:off x="28575" y="28575"/>
          <a:ext cx="542925"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42925" cy="647700"/>
    <xdr:sp macro="" textlink="">
      <xdr:nvSpPr>
        <xdr:cNvPr id="3" name="Rectangle 2">
          <a:hlinkClick xmlns:r="http://schemas.openxmlformats.org/officeDocument/2006/relationships" r:id="rId2"/>
        </xdr:cNvPr>
        <xdr:cNvSpPr/>
      </xdr:nvSpPr>
      <xdr:spPr>
        <a:xfrm>
          <a:off x="609600" y="28575"/>
          <a:ext cx="542925"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28574</xdr:colOff>
      <xdr:row>0</xdr:row>
      <xdr:rowOff>38099</xdr:rowOff>
    </xdr:from>
    <xdr:ext cx="552451" cy="638176"/>
    <xdr:sp macro="" textlink="">
      <xdr:nvSpPr>
        <xdr:cNvPr id="2" name="Rectangle 1">
          <a:hlinkClick xmlns:r="http://schemas.openxmlformats.org/officeDocument/2006/relationships" r:id="rId1"/>
        </xdr:cNvPr>
        <xdr:cNvSpPr/>
      </xdr:nvSpPr>
      <xdr:spPr>
        <a:xfrm>
          <a:off x="28574" y="38099"/>
          <a:ext cx="552451"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2-Year Gas</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47624</xdr:rowOff>
    </xdr:from>
    <xdr:ext cx="552451" cy="638176"/>
    <xdr:sp macro="" textlink="">
      <xdr:nvSpPr>
        <xdr:cNvPr id="3" name="Rectangle 2">
          <a:hlinkClick xmlns:r="http://schemas.openxmlformats.org/officeDocument/2006/relationships" r:id="rId2"/>
        </xdr:cNvPr>
        <xdr:cNvSpPr/>
      </xdr:nvSpPr>
      <xdr:spPr>
        <a:xfrm>
          <a:off x="619124" y="47624"/>
          <a:ext cx="552451"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2015%20ACP/Exhibit%201/Exhibit%201_Replacement%20filing%20to%20correct%20Rebate%20Processing%20error_Ver2.50__0403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QNMTTVLL\2016-7%20Biennium%20Budget%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8">
          <cell r="T8">
            <v>3009000</v>
          </cell>
        </row>
        <row r="9">
          <cell r="T9">
            <v>634500</v>
          </cell>
        </row>
        <row r="10">
          <cell r="T10">
            <v>2315958.7099999995</v>
          </cell>
        </row>
        <row r="11">
          <cell r="T11">
            <v>294000</v>
          </cell>
        </row>
        <row r="12">
          <cell r="T12">
            <v>7841910</v>
          </cell>
        </row>
        <row r="14">
          <cell r="T14">
            <v>11386446</v>
          </cell>
        </row>
        <row r="15">
          <cell r="T15">
            <v>4138680</v>
          </cell>
        </row>
        <row r="16">
          <cell r="T16">
            <v>66609297.258661754</v>
          </cell>
        </row>
        <row r="17">
          <cell r="T17">
            <v>4665981</v>
          </cell>
        </row>
        <row r="18">
          <cell r="T18">
            <v>472500</v>
          </cell>
        </row>
        <row r="19">
          <cell r="T19">
            <v>0</v>
          </cell>
        </row>
        <row r="21">
          <cell r="T21">
            <v>2062500</v>
          </cell>
        </row>
        <row r="22">
          <cell r="T22">
            <v>25861860</v>
          </cell>
        </row>
        <row r="23">
          <cell r="T23">
            <v>1057398.7120000001</v>
          </cell>
        </row>
        <row r="64">
          <cell r="S64">
            <v>1060385.3394399998</v>
          </cell>
        </row>
        <row r="65">
          <cell r="S65">
            <v>530378.69305</v>
          </cell>
        </row>
        <row r="66">
          <cell r="S66">
            <v>80222.005000000005</v>
          </cell>
        </row>
        <row r="67">
          <cell r="S67">
            <v>81135.196939999994</v>
          </cell>
        </row>
        <row r="69">
          <cell r="S69">
            <v>562455</v>
          </cell>
        </row>
        <row r="70">
          <cell r="S70">
            <v>298797.19500000001</v>
          </cell>
        </row>
        <row r="71">
          <cell r="S71">
            <v>67586</v>
          </cell>
        </row>
        <row r="72">
          <cell r="S72">
            <v>825839.83129999996</v>
          </cell>
        </row>
        <row r="73">
          <cell r="S73">
            <v>453835.93251999997</v>
          </cell>
        </row>
        <row r="74">
          <cell r="S74">
            <v>740193.16032000002</v>
          </cell>
        </row>
        <row r="75">
          <cell r="S75">
            <v>814515.85100000002</v>
          </cell>
        </row>
        <row r="76">
          <cell r="S76">
            <v>60333</v>
          </cell>
        </row>
        <row r="77">
          <cell r="S77">
            <v>5575677.2045699991</v>
          </cell>
        </row>
        <row r="93">
          <cell r="S93">
            <v>760196.40487241256</v>
          </cell>
        </row>
        <row r="94">
          <cell r="S94">
            <v>2878145.7829999998</v>
          </cell>
        </row>
        <row r="96">
          <cell r="S96">
            <v>0</v>
          </cell>
        </row>
        <row r="97">
          <cell r="S97">
            <v>0</v>
          </cell>
        </row>
        <row r="98">
          <cell r="S98">
            <v>3638342.1878724126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cell r="F6">
            <v>1</v>
          </cell>
          <cell r="H6" t="str">
            <v>Energy Advisor</v>
          </cell>
        </row>
        <row r="7">
          <cell r="D7" t="str">
            <v>per home</v>
          </cell>
          <cell r="F7">
            <v>2</v>
          </cell>
          <cell r="H7" t="str">
            <v>Energy Management Engineer</v>
          </cell>
        </row>
        <row r="8">
          <cell r="D8" t="str">
            <v>per unit</v>
          </cell>
          <cell r="F8">
            <v>3</v>
          </cell>
          <cell r="H8" t="str">
            <v>Market Analyst</v>
          </cell>
        </row>
        <row r="9">
          <cell r="D9" t="str">
            <v>per ton</v>
          </cell>
          <cell r="F9">
            <v>4</v>
          </cell>
          <cell r="H9" t="str">
            <v>Market Manager</v>
          </cell>
        </row>
        <row r="10">
          <cell r="D10" t="str">
            <v>linear foot</v>
          </cell>
          <cell r="F10">
            <v>5</v>
          </cell>
          <cell r="H10" t="str">
            <v>Program Coordinator</v>
          </cell>
        </row>
        <row r="11">
          <cell r="D11" t="str">
            <v>square foot</v>
          </cell>
          <cell r="F11">
            <v>6</v>
          </cell>
          <cell r="H11" t="str">
            <v>Program Implementer</v>
          </cell>
        </row>
        <row r="12">
          <cell r="F12">
            <v>7</v>
          </cell>
          <cell r="H12" t="str">
            <v>Program Manager</v>
          </cell>
        </row>
        <row r="13">
          <cell r="F13">
            <v>8</v>
          </cell>
          <cell r="H13" t="str">
            <v>Quality Assurance Specialist</v>
          </cell>
        </row>
        <row r="14">
          <cell r="F14">
            <v>9</v>
          </cell>
          <cell r="H14" t="str">
            <v>Rebate Processor</v>
          </cell>
        </row>
        <row r="15">
          <cell r="F15">
            <v>10</v>
          </cell>
          <cell r="H15" t="str">
            <v>Senior Evaluation Analyst</v>
          </cell>
        </row>
        <row r="16">
          <cell r="F16">
            <v>11</v>
          </cell>
          <cell r="H16" t="str">
            <v xml:space="preserve">Senior Market Analyst </v>
          </cell>
        </row>
        <row r="17">
          <cell r="F17">
            <v>12</v>
          </cell>
          <cell r="H17" t="str">
            <v>Supervisor</v>
          </cell>
        </row>
        <row r="18">
          <cell r="F18">
            <v>13</v>
          </cell>
          <cell r="H18" t="str">
            <v>Other</v>
          </cell>
        </row>
        <row r="19">
          <cell r="F19">
            <v>14</v>
          </cell>
        </row>
        <row r="20">
          <cell r="F20">
            <v>15</v>
          </cell>
        </row>
        <row r="21">
          <cell r="F21">
            <v>16</v>
          </cell>
        </row>
        <row r="22">
          <cell r="F22">
            <v>17</v>
          </cell>
        </row>
        <row r="23">
          <cell r="F23">
            <v>18</v>
          </cell>
        </row>
        <row r="24">
          <cell r="F24">
            <v>19</v>
          </cell>
        </row>
        <row r="25">
          <cell r="F25">
            <v>20</v>
          </cell>
        </row>
        <row r="26">
          <cell r="F26">
            <v>21</v>
          </cell>
        </row>
        <row r="27">
          <cell r="F27">
            <v>22</v>
          </cell>
        </row>
        <row r="28">
          <cell r="F28">
            <v>23</v>
          </cell>
        </row>
        <row r="29">
          <cell r="F29">
            <v>24</v>
          </cell>
        </row>
        <row r="30">
          <cell r="F30">
            <v>25</v>
          </cell>
        </row>
        <row r="31">
          <cell r="F31">
            <v>26</v>
          </cell>
        </row>
        <row r="32">
          <cell r="F32">
            <v>27</v>
          </cell>
        </row>
        <row r="33">
          <cell r="F33">
            <v>28</v>
          </cell>
        </row>
        <row r="34">
          <cell r="F34">
            <v>29</v>
          </cell>
        </row>
        <row r="35">
          <cell r="F35">
            <v>30</v>
          </cell>
        </row>
      </sheetData>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Electric sector"/>
      <sheetName val="Gas sector"/>
      <sheetName val="Showing the math behind the #s"/>
    </sheetNames>
    <sheetDataSet>
      <sheetData sheetId="0">
        <row r="41">
          <cell r="D41">
            <v>1450</v>
          </cell>
          <cell r="E41">
            <v>1450</v>
          </cell>
        </row>
        <row r="42">
          <cell r="D42">
            <v>1450</v>
          </cell>
          <cell r="E42">
            <v>1450</v>
          </cell>
        </row>
        <row r="43">
          <cell r="D43">
            <v>290</v>
          </cell>
          <cell r="E43">
            <v>290</v>
          </cell>
        </row>
        <row r="44">
          <cell r="D44">
            <v>1150</v>
          </cell>
          <cell r="E44">
            <v>1150</v>
          </cell>
        </row>
        <row r="45">
          <cell r="D45">
            <v>550</v>
          </cell>
          <cell r="E45">
            <v>550</v>
          </cell>
        </row>
        <row r="48">
          <cell r="D48">
            <v>0</v>
          </cell>
          <cell r="E48">
            <v>0</v>
          </cell>
        </row>
        <row r="50">
          <cell r="D50">
            <v>14250</v>
          </cell>
          <cell r="E50">
            <v>14962.5</v>
          </cell>
        </row>
        <row r="53">
          <cell r="D53">
            <v>2000</v>
          </cell>
          <cell r="E53">
            <v>2060</v>
          </cell>
        </row>
        <row r="55">
          <cell r="D55">
            <v>1550</v>
          </cell>
          <cell r="E55">
            <v>1550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4"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4"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4"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4"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4"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comments" Target="../comments4.xml"/><Relationship Id="rId5" Type="http://schemas.openxmlformats.org/officeDocument/2006/relationships/vmlDrawing" Target="../drawings/vmlDrawing7.vml"/><Relationship Id="rId4"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4"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266.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 Id="rId4"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4"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4"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4"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4"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284.bin"/><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4"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4"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4"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4"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4"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4"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4"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4"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4"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omments" Target="../comments1.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4"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4"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4"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4:C17"/>
  <sheetViews>
    <sheetView workbookViewId="0">
      <selection activeCell="D35" sqref="D35"/>
    </sheetView>
  </sheetViews>
  <sheetFormatPr defaultRowHeight="12.75"/>
  <cols>
    <col min="2" max="2" width="6.140625" customWidth="1"/>
  </cols>
  <sheetData>
    <row r="4" spans="1:3">
      <c r="A4">
        <v>1</v>
      </c>
      <c r="B4" s="2177" t="s">
        <v>1761</v>
      </c>
    </row>
    <row r="5" spans="1:3">
      <c r="A5">
        <v>2</v>
      </c>
      <c r="B5" s="2177" t="s">
        <v>589</v>
      </c>
    </row>
    <row r="6" spans="1:3">
      <c r="A6">
        <v>3</v>
      </c>
      <c r="B6" s="2177" t="s">
        <v>1671</v>
      </c>
    </row>
    <row r="7" spans="1:3">
      <c r="A7">
        <v>4</v>
      </c>
      <c r="B7" s="2177" t="s">
        <v>1786</v>
      </c>
    </row>
    <row r="8" spans="1:3" s="2177" customFormat="1">
      <c r="B8" s="2177" t="s">
        <v>1787</v>
      </c>
    </row>
    <row r="9" spans="1:3">
      <c r="C9" s="2177" t="s">
        <v>590</v>
      </c>
    </row>
    <row r="10" spans="1:3">
      <c r="A10">
        <v>5</v>
      </c>
      <c r="B10" s="2177" t="s">
        <v>1770</v>
      </c>
    </row>
    <row r="11" spans="1:3">
      <c r="A11">
        <v>6</v>
      </c>
      <c r="B11" s="2177" t="s">
        <v>1672</v>
      </c>
    </row>
    <row r="12" spans="1:3">
      <c r="B12" s="2177" t="s">
        <v>616</v>
      </c>
    </row>
    <row r="13" spans="1:3">
      <c r="A13">
        <v>7</v>
      </c>
      <c r="B13" t="s">
        <v>1677</v>
      </c>
    </row>
    <row r="14" spans="1:3">
      <c r="B14" t="s">
        <v>1721</v>
      </c>
    </row>
    <row r="15" spans="1:3">
      <c r="B15" t="s">
        <v>1722</v>
      </c>
    </row>
    <row r="16" spans="1:3">
      <c r="A16">
        <v>8</v>
      </c>
      <c r="B16" t="s">
        <v>1736</v>
      </c>
    </row>
    <row r="17" spans="2:2">
      <c r="B17" t="s">
        <v>1737</v>
      </c>
    </row>
  </sheetData>
  <customSheetViews>
    <customSheetView guid="{074EB09C-6289-46D7-9513-012B68BCA7BF}">
      <selection activeCell="B20" sqref="B20"/>
      <pageMargins left="0.7" right="0.7" top="0.75" bottom="0.75" header="0.3" footer="0.3"/>
    </customSheetView>
    <customSheetView guid="{D9EFFE19-D14B-4C6F-BDF4-FF696F73968D}">
      <selection activeCell="B26" sqref="B26"/>
      <pageMargins left="0.7" right="0.7" top="0.75" bottom="0.75" header="0.3" footer="0.3"/>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V98"/>
  <sheetViews>
    <sheetView workbookViewId="0">
      <pane xSplit="7" ySplit="5" topLeftCell="H6" activePane="bottomRight" state="frozen"/>
      <selection pane="topRight" activeCell="H1" sqref="H1"/>
      <selection pane="bottomLeft" activeCell="A6" sqref="A6"/>
      <selection pane="bottomRight" activeCell="V95" sqref="V95"/>
    </sheetView>
  </sheetViews>
  <sheetFormatPr defaultColWidth="10.7109375" defaultRowHeight="12.75"/>
  <cols>
    <col min="1" max="1" width="1.28515625" style="1866" customWidth="1"/>
    <col min="2" max="2" width="20.5703125" style="1867" customWidth="1"/>
    <col min="3" max="3" width="9.7109375" style="1866" customWidth="1"/>
    <col min="4" max="4" width="16.42578125" style="2177" customWidth="1"/>
    <col min="5" max="5" width="3.42578125" style="1866" customWidth="1"/>
    <col min="6" max="6" width="3.42578125" style="2007" customWidth="1"/>
    <col min="7" max="7" width="31.42578125" style="2007" customWidth="1"/>
    <col min="8" max="8" width="21.5703125" style="1866" customWidth="1"/>
    <col min="9" max="19" width="15.85546875" style="1605" customWidth="1"/>
    <col min="20" max="20" width="15.7109375" style="600" customWidth="1"/>
    <col min="21" max="21" width="2" style="1866" customWidth="1"/>
    <col min="22" max="22" width="50.85546875" style="1866" customWidth="1"/>
    <col min="23" max="16384" width="10.7109375" style="1866"/>
  </cols>
  <sheetData>
    <row r="2" spans="2:22" ht="18">
      <c r="C2" s="551" t="s">
        <v>663</v>
      </c>
      <c r="D2" s="551"/>
    </row>
    <row r="3" spans="2:22" ht="15">
      <c r="C3" s="552" t="s">
        <v>172</v>
      </c>
      <c r="D3" s="552"/>
      <c r="H3" s="1451"/>
      <c r="I3" s="2728" t="s">
        <v>623</v>
      </c>
      <c r="J3" s="2728"/>
    </row>
    <row r="4" spans="2:22" ht="36.75" customHeight="1" thickBot="1">
      <c r="H4" s="67"/>
      <c r="I4" s="2012" t="s">
        <v>45</v>
      </c>
    </row>
    <row r="5" spans="2:22" s="2192" customFormat="1" ht="36" thickBot="1">
      <c r="B5" s="1844" t="s">
        <v>366</v>
      </c>
      <c r="C5" s="2192" t="s">
        <v>79</v>
      </c>
      <c r="D5" s="2192" t="s">
        <v>614</v>
      </c>
      <c r="E5" s="3593" t="s">
        <v>727</v>
      </c>
      <c r="F5" s="3593"/>
      <c r="G5" s="3593"/>
      <c r="H5" s="2192" t="s">
        <v>253</v>
      </c>
      <c r="I5" s="2309" t="s">
        <v>8</v>
      </c>
      <c r="J5" s="2310" t="s">
        <v>9</v>
      </c>
      <c r="K5" s="2310" t="s">
        <v>10</v>
      </c>
      <c r="L5" s="2310" t="s">
        <v>11</v>
      </c>
      <c r="M5" s="2310" t="s">
        <v>504</v>
      </c>
      <c r="N5" s="2310" t="s">
        <v>12</v>
      </c>
      <c r="O5" s="2310" t="s">
        <v>13</v>
      </c>
      <c r="P5" s="2310" t="s">
        <v>14</v>
      </c>
      <c r="Q5" s="2310" t="s">
        <v>38</v>
      </c>
      <c r="R5" s="2310" t="s">
        <v>39</v>
      </c>
      <c r="S5" s="2311" t="s">
        <v>16</v>
      </c>
      <c r="T5" s="1873" t="s">
        <v>173</v>
      </c>
      <c r="V5" s="2312" t="s">
        <v>174</v>
      </c>
    </row>
    <row r="6" spans="2:22">
      <c r="C6" s="1866" t="s">
        <v>78</v>
      </c>
    </row>
    <row r="7" spans="2:22">
      <c r="B7" s="2259" t="s">
        <v>367</v>
      </c>
      <c r="C7" s="1866" t="s">
        <v>67</v>
      </c>
      <c r="E7" s="1229" t="s">
        <v>175</v>
      </c>
      <c r="H7" s="1340">
        <v>18230611</v>
      </c>
      <c r="I7" s="1605">
        <f>' LowIncWx Detail_REM E201_Elec'!H5</f>
        <v>127736.469</v>
      </c>
      <c r="J7" s="1605">
        <f>' LowIncWx Detail_REM E201_Elec'!I5</f>
        <v>14400</v>
      </c>
      <c r="K7" s="1605">
        <f>' LowIncWx Detail_REM E201_Elec'!J5</f>
        <v>94805.024823</v>
      </c>
      <c r="L7" s="1605">
        <f>' LowIncWx Detail_REM E201_Elec'!K5</f>
        <v>45000</v>
      </c>
      <c r="M7" s="1605">
        <f>' LowIncWx Detail_REM E201_Elec'!L5</f>
        <v>4000</v>
      </c>
      <c r="N7" s="1605">
        <f>' LowIncWx Detail_REM E201_Elec'!M5</f>
        <v>25000</v>
      </c>
      <c r="O7" s="1605">
        <f>' LowIncWx Detail_REM E201_Elec'!N5</f>
        <v>1000</v>
      </c>
      <c r="P7" s="1605">
        <f>' LowIncWx Detail_REM E201_Elec'!O5</f>
        <v>1000</v>
      </c>
      <c r="Q7" s="1605">
        <f>' LowIncWx Detail_REM E201_Elec'!P5</f>
        <v>3073683.9994999999</v>
      </c>
      <c r="R7" s="1605">
        <f>' LowIncWx Detail_REM E201_Elec'!Q5</f>
        <v>0</v>
      </c>
      <c r="S7" s="1605">
        <f>' LowIncWx Detail_REM E201_Elec'!R5</f>
        <v>3386625.4933230001</v>
      </c>
      <c r="T7" s="2144">
        <f>' LowIncWx Detail_REM E201_Elec'!S5</f>
        <v>1560346.06</v>
      </c>
    </row>
    <row r="8" spans="2:22">
      <c r="B8" s="2259" t="s">
        <v>368</v>
      </c>
      <c r="C8" s="1866" t="s">
        <v>66</v>
      </c>
      <c r="E8" s="2177" t="s">
        <v>1656</v>
      </c>
      <c r="H8" s="1340">
        <v>18230625</v>
      </c>
      <c r="I8" s="1605">
        <f>'HmEnrgAsmt Detail_REM_E214 Elec'!H5</f>
        <v>49847.990000000005</v>
      </c>
      <c r="J8" s="1605">
        <f>'HmEnrgAsmt Detail_REM_E214 Elec'!I5</f>
        <v>22011</v>
      </c>
      <c r="K8" s="1605">
        <f>'HmEnrgAsmt Detail_REM_E214 Elec'!J5</f>
        <v>47929.946330000006</v>
      </c>
      <c r="L8" s="1605">
        <f>'HmEnrgAsmt Detail_REM_E214 Elec'!K5</f>
        <v>134200</v>
      </c>
      <c r="M8" s="1605">
        <f>'HmEnrgAsmt Detail_REM_E214 Elec'!L5</f>
        <v>3000</v>
      </c>
      <c r="N8" s="1605">
        <f>'HmEnrgAsmt Detail_REM_E214 Elec'!M5</f>
        <v>65000</v>
      </c>
      <c r="O8" s="1605">
        <f>'HmEnrgAsmt Detail_REM_E214 Elec'!N5</f>
        <v>1000</v>
      </c>
      <c r="P8" s="1605">
        <f>'HmEnrgAsmt Detail_REM_E214 Elec'!O5</f>
        <v>2000</v>
      </c>
      <c r="Q8" s="1605">
        <f>'HmEnrgAsmt Detail_REM_E214 Elec'!P5</f>
        <v>1867488</v>
      </c>
      <c r="R8" s="1605">
        <f>'HmEnrgAsmt Detail_REM_E214 Elec'!Q5</f>
        <v>0</v>
      </c>
      <c r="S8" s="1605">
        <f>'HmEnrgAsmt Detail_REM_E214 Elec'!R5</f>
        <v>2192476.9363299999</v>
      </c>
      <c r="T8" s="2144">
        <f>'HmEnrgAsmt Detail_REM_E214 Elec'!S5</f>
        <v>3423202</v>
      </c>
    </row>
    <row r="9" spans="2:22">
      <c r="B9" s="2259" t="s">
        <v>369</v>
      </c>
      <c r="C9" s="1866" t="s">
        <v>66</v>
      </c>
      <c r="E9" s="2177" t="s">
        <v>296</v>
      </c>
      <c r="H9" s="1340">
        <v>18230626</v>
      </c>
      <c r="I9" s="1605">
        <f>'WaterHea_Detail_REM_E214 Elec'!H5</f>
        <v>12688.58</v>
      </c>
      <c r="J9" s="1605">
        <f>'WaterHea_Detail_REM_E214 Elec'!I5</f>
        <v>6003</v>
      </c>
      <c r="K9" s="1605">
        <f>'WaterHea_Detail_REM_E214 Elec'!J5</f>
        <v>12467.283860000001</v>
      </c>
      <c r="L9" s="1605">
        <f>'WaterHea_Detail_REM_E214 Elec'!K5</f>
        <v>78750</v>
      </c>
      <c r="M9" s="1605">
        <f>'WaterHea_Detail_REM_E214 Elec'!L5</f>
        <v>1200</v>
      </c>
      <c r="N9" s="1605">
        <f>'WaterHea_Detail_REM_E214 Elec'!M5</f>
        <v>0</v>
      </c>
      <c r="O9" s="1605">
        <f>'WaterHea_Detail_REM_E214 Elec'!N5</f>
        <v>5000</v>
      </c>
      <c r="P9" s="1605">
        <f>'WaterHea_Detail_REM_E214 Elec'!O5</f>
        <v>2400</v>
      </c>
      <c r="Q9" s="1605">
        <f>'WaterHea_Detail_REM_E214 Elec'!P5</f>
        <v>290000</v>
      </c>
      <c r="R9" s="1605">
        <f>'WaterHea_Detail_REM_E214 Elec'!Q5</f>
        <v>0</v>
      </c>
      <c r="S9" s="1605">
        <f>'WaterHea_Detail_REM_E214 Elec'!R5</f>
        <v>408508.86386000004</v>
      </c>
      <c r="T9" s="2144">
        <f>'WaterHea_Detail_REM_E214 Elec'!S5</f>
        <v>571300</v>
      </c>
    </row>
    <row r="10" spans="2:22">
      <c r="B10" s="2259" t="s">
        <v>370</v>
      </c>
      <c r="C10" s="1866" t="s">
        <v>66</v>
      </c>
      <c r="E10" s="2177" t="s">
        <v>303</v>
      </c>
      <c r="H10" s="1340">
        <v>18230627</v>
      </c>
      <c r="I10" s="1605">
        <f>'Wx_Detail_REM E214 Elec'!H5</f>
        <v>54379.8</v>
      </c>
      <c r="J10" s="1605">
        <f>'Wx_Detail_REM E214 Elec'!I5</f>
        <v>24012</v>
      </c>
      <c r="K10" s="1605">
        <f>'Wx_Detail_REM E214 Elec'!J5</f>
        <v>52287.330600000008</v>
      </c>
      <c r="L10" s="1605">
        <f>'Wx_Detail_REM E214 Elec'!K5</f>
        <v>150545</v>
      </c>
      <c r="M10" s="1605">
        <f>'Wx_Detail_REM E214 Elec'!L5</f>
        <v>5302</v>
      </c>
      <c r="N10" s="1605">
        <f>'Wx_Detail_REM E214 Elec'!M5</f>
        <v>85000</v>
      </c>
      <c r="O10" s="1605">
        <f>'Wx_Detail_REM E214 Elec'!N5</f>
        <v>0</v>
      </c>
      <c r="P10" s="1605">
        <f>'Wx_Detail_REM E214 Elec'!O5</f>
        <v>0</v>
      </c>
      <c r="Q10" s="1605">
        <f>'Wx_Detail_REM E214 Elec'!P5</f>
        <v>907047.99999999988</v>
      </c>
      <c r="R10" s="1605">
        <f>'Wx_Detail_REM E214 Elec'!Q5</f>
        <v>0</v>
      </c>
      <c r="S10" s="1605">
        <f>'Wx_Detail_REM E214 Elec'!R5</f>
        <v>1278574.1305999998</v>
      </c>
      <c r="T10" s="2144">
        <f>'Wx_Detail_REM E214 Elec'!S5</f>
        <v>3221386.38</v>
      </c>
    </row>
    <row r="11" spans="2:22">
      <c r="B11" s="2259" t="s">
        <v>371</v>
      </c>
      <c r="C11" s="1866" t="s">
        <v>66</v>
      </c>
      <c r="E11" s="2177" t="s">
        <v>302</v>
      </c>
      <c r="H11" s="1340">
        <v>18230628</v>
      </c>
      <c r="I11" s="1605">
        <f>'SpcHeat Detail_REM_E214 Elec'!H5</f>
        <v>55386.680000000008</v>
      </c>
      <c r="J11" s="1605">
        <f>'SpcHeat Detail_REM_E214 Elec'!I5</f>
        <v>22011</v>
      </c>
      <c r="K11" s="1605">
        <f>'SpcHeat Detail_REM_E214 Elec'!J5</f>
        <v>51624.252560000008</v>
      </c>
      <c r="L11" s="1605">
        <f>'SpcHeat Detail_REM_E214 Elec'!K5</f>
        <v>228000</v>
      </c>
      <c r="M11" s="1605">
        <f>'SpcHeat Detail_REM_E214 Elec'!L5</f>
        <v>7200</v>
      </c>
      <c r="N11" s="1605">
        <f>'SpcHeat Detail_REM_E214 Elec'!M5</f>
        <v>0</v>
      </c>
      <c r="O11" s="1605">
        <f>'SpcHeat Detail_REM_E214 Elec'!N5</f>
        <v>17200</v>
      </c>
      <c r="P11" s="1605">
        <f>'SpcHeat Detail_REM_E214 Elec'!O5</f>
        <v>4000</v>
      </c>
      <c r="Q11" s="1605">
        <f>'SpcHeat Detail_REM_E214 Elec'!P5</f>
        <v>3722000</v>
      </c>
      <c r="R11" s="1605">
        <f>'SpcHeat Detail_REM_E214 Elec'!Q5</f>
        <v>0</v>
      </c>
      <c r="S11" s="1605">
        <f>'SpcHeat Detail_REM_E214 Elec'!R5</f>
        <v>4107421.9325600001</v>
      </c>
      <c r="T11" s="2144">
        <f>'SpcHeat Detail_REM_E214 Elec'!S5</f>
        <v>7283690</v>
      </c>
    </row>
    <row r="12" spans="2:22">
      <c r="B12" s="2259" t="s">
        <v>372</v>
      </c>
      <c r="C12" s="1866" t="s">
        <v>66</v>
      </c>
      <c r="E12" s="1866" t="s">
        <v>68</v>
      </c>
      <c r="H12" s="1340">
        <v>18230432</v>
      </c>
      <c r="I12" s="1605">
        <f>'HmAppplc_Detail_REM_E214 Elec'!H5</f>
        <v>103776.95999999999</v>
      </c>
      <c r="J12" s="1605">
        <f>'HmAppplc_Detail_REM_E214 Elec'!I5</f>
        <v>40000</v>
      </c>
      <c r="K12" s="1605">
        <f>'HmAppplc_Detail_REM_E214 Elec'!J5</f>
        <v>95899.232319999996</v>
      </c>
      <c r="L12" s="1605">
        <f>'HmAppplc_Detail_REM_E214 Elec'!K5</f>
        <v>388869.36</v>
      </c>
      <c r="M12" s="1605">
        <f>'HmAppplc_Detail_REM_E214 Elec'!L5</f>
        <v>6000</v>
      </c>
      <c r="N12" s="1605">
        <f>'HmAppplc_Detail_REM_E214 Elec'!M5</f>
        <v>550000</v>
      </c>
      <c r="O12" s="1605">
        <f>'HmAppplc_Detail_REM_E214 Elec'!N5</f>
        <v>28000</v>
      </c>
      <c r="P12" s="1605">
        <f>'HmAppplc_Detail_REM_E214 Elec'!O5</f>
        <v>7500</v>
      </c>
      <c r="Q12" s="1605">
        <f>'HmAppplc_Detail_REM_E214 Elec'!P5</f>
        <v>4572765</v>
      </c>
      <c r="R12" s="1605">
        <f>'HmAppplc_Detail_REM_E214 Elec'!Q5</f>
        <v>0</v>
      </c>
      <c r="S12" s="1605">
        <f>'HmAppplc_Detail_REM_E214 Elec'!R5</f>
        <v>5792810.5523199998</v>
      </c>
      <c r="T12" s="2144">
        <f>'HmAppplc_Detail_REM_E214 Elec'!S5</f>
        <v>10290500</v>
      </c>
    </row>
    <row r="13" spans="2:22">
      <c r="B13" s="2259" t="s">
        <v>373</v>
      </c>
      <c r="C13" s="1866" t="s">
        <v>66</v>
      </c>
      <c r="E13" s="2177" t="s">
        <v>293</v>
      </c>
      <c r="H13" s="1340">
        <v>18230435</v>
      </c>
      <c r="I13" s="1605">
        <f>'ShwrHead_Detail_REM_E214  Elec'!H5</f>
        <v>32430.300000000003</v>
      </c>
      <c r="J13" s="1605">
        <f>'ShwrHead_Detail_REM_E214  Elec'!I5</f>
        <v>4800</v>
      </c>
      <c r="K13" s="1605">
        <f>'ShwrHead_Detail_REM_E214  Elec'!J5</f>
        <v>24832.610100000005</v>
      </c>
      <c r="L13" s="1605">
        <f>'ShwrHead_Detail_REM_E214  Elec'!K5</f>
        <v>83990.93</v>
      </c>
      <c r="M13" s="1605">
        <f>'ShwrHead_Detail_REM_E214  Elec'!L5</f>
        <v>1000</v>
      </c>
      <c r="N13" s="1605">
        <f>'ShwrHead_Detail_REM_E214  Elec'!M5</f>
        <v>40000</v>
      </c>
      <c r="O13" s="1605">
        <f>'ShwrHead_Detail_REM_E214  Elec'!N5</f>
        <v>1000</v>
      </c>
      <c r="P13" s="1605">
        <f>'ShwrHead_Detail_REM_E214  Elec'!O5</f>
        <v>500</v>
      </c>
      <c r="Q13" s="1605">
        <f>'ShwrHead_Detail_REM_E214  Elec'!P5</f>
        <v>463575</v>
      </c>
      <c r="R13" s="1605">
        <f>'ShwrHead_Detail_REM_E214  Elec'!Q5</f>
        <v>0</v>
      </c>
      <c r="S13" s="1605">
        <f>'ShwrHead_Detail_REM_E214  Elec'!R5</f>
        <v>652128.84010000003</v>
      </c>
      <c r="T13" s="2144">
        <f>'ShwrHead_Detail_REM_E214  Elec'!S5</f>
        <v>4775738</v>
      </c>
    </row>
    <row r="14" spans="2:22">
      <c r="B14" s="2259" t="s">
        <v>374</v>
      </c>
      <c r="C14" s="1866" t="s">
        <v>66</v>
      </c>
      <c r="E14" s="1866" t="s">
        <v>80</v>
      </c>
      <c r="H14" s="1340">
        <v>18230440</v>
      </c>
      <c r="I14" s="1605">
        <f>'Lighting Detail_REM_E214 Elec'!H5</f>
        <v>217686.30000000002</v>
      </c>
      <c r="J14" s="1605">
        <f>'Lighting Detail_REM_E214 Elec'!I5</f>
        <v>104000</v>
      </c>
      <c r="K14" s="1605">
        <f>'Lighting Detail_REM_E214 Elec'!J5</f>
        <v>214564.76210000002</v>
      </c>
      <c r="L14" s="1605">
        <f>'Lighting Detail_REM_E214 Elec'!K5</f>
        <v>1847506.07</v>
      </c>
      <c r="M14" s="1605">
        <f>'Lighting Detail_REM_E214 Elec'!L5</f>
        <v>11000</v>
      </c>
      <c r="N14" s="1605">
        <f>'Lighting Detail_REM_E214 Elec'!M5</f>
        <v>1550000</v>
      </c>
      <c r="O14" s="1605">
        <f>'Lighting Detail_REM_E214 Elec'!N5</f>
        <v>8250</v>
      </c>
      <c r="P14" s="1605">
        <f>'Lighting Detail_REM_E214 Elec'!O5</f>
        <v>20000</v>
      </c>
      <c r="Q14" s="1605">
        <f>'Lighting Detail_REM_E214 Elec'!P5</f>
        <v>10242000</v>
      </c>
      <c r="R14" s="1605">
        <f>'Lighting Detail_REM_E214 Elec'!Q5</f>
        <v>0</v>
      </c>
      <c r="S14" s="1605">
        <f>'Lighting Detail_REM_E214 Elec'!R5</f>
        <v>14215007.132100001</v>
      </c>
      <c r="T14" s="2144">
        <f>'Lighting Detail_REM_E214 Elec'!S5</f>
        <v>71294280</v>
      </c>
    </row>
    <row r="15" spans="2:22" s="2177" customFormat="1">
      <c r="B15" s="2259" t="s">
        <v>583</v>
      </c>
      <c r="C15" s="2177" t="s">
        <v>66</v>
      </c>
      <c r="E15" s="2177" t="s">
        <v>292</v>
      </c>
      <c r="H15" s="2263">
        <v>18230634</v>
      </c>
      <c r="I15" s="2142">
        <f>'MHDS Detail_REM_E214 Elec.'!H5</f>
        <v>38972.19</v>
      </c>
      <c r="J15" s="2142">
        <f>'MHDS Detail_REM_E214 Elec.'!I5</f>
        <v>1600.8</v>
      </c>
      <c r="K15" s="2142">
        <f>'MHDS Detail_REM_E214 Elec.'!J5</f>
        <v>27062.184330000004</v>
      </c>
      <c r="L15" s="2142">
        <f>'MHDS Detail_REM_E214 Elec.'!K5</f>
        <v>25000</v>
      </c>
      <c r="M15" s="2142">
        <f>'MHDS Detail_REM_E214 Elec.'!L5</f>
        <v>402</v>
      </c>
      <c r="N15" s="2142">
        <f>'MHDS Detail_REM_E214 Elec.'!M5</f>
        <v>125000</v>
      </c>
      <c r="O15" s="2142">
        <f>'MHDS Detail_REM_E214 Elec.'!N5</f>
        <v>525</v>
      </c>
      <c r="P15" s="2142">
        <f>'MHDS Detail_REM_E214 Elec.'!O5</f>
        <v>600</v>
      </c>
      <c r="Q15" s="2142">
        <f>'MHDS Detail_REM_E214 Elec.'!P5</f>
        <v>1236875</v>
      </c>
      <c r="R15" s="2142">
        <f>'MHDS Detail_REM_E214 Elec.'!Q5</f>
        <v>0</v>
      </c>
      <c r="S15" s="2142">
        <f>'MHDS Detail_REM_E214 Elec.'!R5</f>
        <v>1456037.1743300001</v>
      </c>
      <c r="T15" s="2144">
        <f>'MHDS Detail_REM_E214 Elec.'!S5</f>
        <v>2971700</v>
      </c>
    </row>
    <row r="16" spans="2:22">
      <c r="B16" s="2259" t="s">
        <v>375</v>
      </c>
      <c r="C16" s="1866" t="s">
        <v>66</v>
      </c>
      <c r="E16" s="2177" t="s">
        <v>290</v>
      </c>
      <c r="H16" s="1340">
        <v>18230461</v>
      </c>
      <c r="I16" s="1605">
        <f>'HER Detail_REM_E214 elec.'!H5</f>
        <v>7412.75</v>
      </c>
      <c r="J16" s="1605">
        <f>'HER Detail_REM_E214 elec.'!I5</f>
        <v>0</v>
      </c>
      <c r="K16" s="1605">
        <f>'HER Detail_REM_E214 elec.'!J5</f>
        <v>4944.3042500000001</v>
      </c>
      <c r="L16" s="1605">
        <f>'HER Detail_REM_E214 elec.'!K5</f>
        <v>15381.33</v>
      </c>
      <c r="M16" s="1605">
        <f>'HER Detail_REM_E214 elec.'!L5</f>
        <v>500</v>
      </c>
      <c r="N16" s="1605">
        <f>'HER Detail_REM_E214 elec.'!M5</f>
        <v>100250</v>
      </c>
      <c r="O16" s="1605">
        <f>'HER Detail_REM_E214 elec.'!N5</f>
        <v>250</v>
      </c>
      <c r="P16" s="1605">
        <f>'HER Detail_REM_E214 elec.'!O5</f>
        <v>250</v>
      </c>
      <c r="Q16" s="1605">
        <f>'HER Detail_REM_E214 elec.'!P5</f>
        <v>100232.37</v>
      </c>
      <c r="R16" s="1605">
        <f>'HER Detail_REM_E214 elec.'!Q5</f>
        <v>0</v>
      </c>
      <c r="S16" s="1605">
        <f>'HER Detail_REM_E214 elec.'!R5</f>
        <v>229220.75425</v>
      </c>
      <c r="T16" s="2144">
        <f>'HER Detail_REM_E214 elec.'!S5</f>
        <v>5722290</v>
      </c>
    </row>
    <row r="17" spans="2:20" s="2177" customFormat="1">
      <c r="B17" s="2872" t="s">
        <v>1611</v>
      </c>
      <c r="C17" s="2177" t="s">
        <v>66</v>
      </c>
      <c r="E17" s="2177" t="s">
        <v>1083</v>
      </c>
      <c r="H17" s="3116" t="s">
        <v>1494</v>
      </c>
      <c r="I17" s="2142">
        <f>'Web Tstat Detail_REM E214 Elec'!H5</f>
        <v>23164.5</v>
      </c>
      <c r="J17" s="2142">
        <f>'Web Tstat Detail_REM E214 Elec'!I5</f>
        <v>2500</v>
      </c>
      <c r="K17" s="2142">
        <f>'Web Tstat Detail_REM E214 Elec'!J5</f>
        <v>17118.2215</v>
      </c>
      <c r="L17" s="2142">
        <f>'Web Tstat Detail_REM E214 Elec'!K5</f>
        <v>41371</v>
      </c>
      <c r="M17" s="2142">
        <f>'Web Tstat Detail_REM E214 Elec'!L5</f>
        <v>500</v>
      </c>
      <c r="N17" s="2142">
        <f>'Web Tstat Detail_REM E214 Elec'!M5</f>
        <v>120000</v>
      </c>
      <c r="O17" s="2142">
        <f>'Web Tstat Detail_REM E214 Elec'!N5</f>
        <v>500</v>
      </c>
      <c r="P17" s="2142">
        <f>'Web Tstat Detail_REM E214 Elec'!O5</f>
        <v>500</v>
      </c>
      <c r="Q17" s="2142">
        <f>'Web Tstat Detail_REM E214 Elec'!P5</f>
        <v>150000</v>
      </c>
      <c r="R17" s="2142">
        <f>'Web Tstat Detail_REM E214 Elec'!Q5</f>
        <v>0</v>
      </c>
      <c r="S17" s="2142">
        <f>'Web Tstat Detail_REM E214 Elec'!R5</f>
        <v>355653.72149999999</v>
      </c>
      <c r="T17" s="2144">
        <f>'Web Tstat Detail_REM E214 Elec'!S5</f>
        <v>848000</v>
      </c>
    </row>
    <row r="18" spans="2:20">
      <c r="B18" s="2259" t="s">
        <v>376</v>
      </c>
      <c r="C18" s="1866" t="s">
        <v>71</v>
      </c>
      <c r="D18" s="2828" t="s">
        <v>591</v>
      </c>
      <c r="E18" s="2177" t="s">
        <v>189</v>
      </c>
      <c r="H18" s="1340">
        <v>18230405</v>
      </c>
      <c r="I18" s="1605">
        <f>'SFNC Detail_REM E215 Elec'!H5</f>
        <v>13500</v>
      </c>
      <c r="J18" s="1605">
        <f>'SFNC Detail_REM E215 Elec'!I5</f>
        <v>10984.2</v>
      </c>
      <c r="K18" s="1605">
        <f>'SFNC Detail_REM E215 Elec'!J5</f>
        <v>16330.9614</v>
      </c>
      <c r="L18" s="1605">
        <f>'SFNC Detail_REM E215 Elec'!K5</f>
        <v>26000</v>
      </c>
      <c r="M18" s="1605">
        <f>'SFNC Detail_REM E215 Elec'!L5</f>
        <v>1000</v>
      </c>
      <c r="N18" s="1605">
        <f>'SFNC Detail_REM E215 Elec'!M5</f>
        <v>2500</v>
      </c>
      <c r="O18" s="1605">
        <f>'SFNC Detail_REM E215 Elec'!N5</f>
        <v>2000</v>
      </c>
      <c r="P18" s="1605">
        <f>'SFNC Detail_REM E215 Elec'!O5</f>
        <v>0</v>
      </c>
      <c r="Q18" s="1605">
        <f>'SFNC Detail_REM E215 Elec'!P5</f>
        <v>0</v>
      </c>
      <c r="R18" s="1605">
        <f>'SFNC Detail_REM E215 Elec'!Q5</f>
        <v>0</v>
      </c>
      <c r="S18" s="1605">
        <f>'SFNC Detail_REM E215 Elec'!R5</f>
        <v>72315.161399999997</v>
      </c>
      <c r="T18" s="2144">
        <f>'SFNC Detail_REM E215 Elec'!S5</f>
        <v>0</v>
      </c>
    </row>
    <row r="19" spans="2:20">
      <c r="B19" s="2259" t="s">
        <v>377</v>
      </c>
      <c r="C19" s="1866" t="s">
        <v>71</v>
      </c>
      <c r="D19" s="2828" t="s">
        <v>591</v>
      </c>
      <c r="E19" s="2177" t="s">
        <v>288</v>
      </c>
      <c r="H19" s="1340">
        <v>18230433</v>
      </c>
      <c r="I19" s="1605">
        <f>'NCMfgHome Detail_REM E215 Elec'!H5</f>
        <v>0</v>
      </c>
      <c r="J19" s="1605">
        <f>'NCMfgHome Detail_REM E215 Elec'!I5</f>
        <v>0</v>
      </c>
      <c r="K19" s="1605">
        <f>'NCMfgHome Detail_REM E215 Elec'!J5</f>
        <v>0</v>
      </c>
      <c r="L19" s="1605">
        <f>'NCMfgHome Detail_REM E215 Elec'!K5</f>
        <v>0</v>
      </c>
      <c r="M19" s="1605">
        <f>'NCMfgHome Detail_REM E215 Elec'!L5</f>
        <v>0</v>
      </c>
      <c r="N19" s="1605">
        <f>'NCMfgHome Detail_REM E215 Elec'!M5</f>
        <v>0</v>
      </c>
      <c r="O19" s="1605">
        <f>'NCMfgHome Detail_REM E215 Elec'!N5</f>
        <v>0</v>
      </c>
      <c r="P19" s="1605">
        <f>'NCMfgHome Detail_REM E215 Elec'!O5</f>
        <v>0</v>
      </c>
      <c r="Q19" s="1605">
        <f>'NCMfgHome Detail_REM E215 Elec'!P5</f>
        <v>0</v>
      </c>
      <c r="R19" s="1605">
        <f>'NCMfgHome Detail_REM E215 Elec'!Q5</f>
        <v>0</v>
      </c>
      <c r="S19" s="1605">
        <f>'NCMfgHome Detail_REM E215 Elec'!R5</f>
        <v>0</v>
      </c>
      <c r="T19" s="2144">
        <f>'NCMfgHome Detail_REM E215 Elec'!S5</f>
        <v>0</v>
      </c>
    </row>
    <row r="20" spans="2:20">
      <c r="B20" s="2259" t="s">
        <v>378</v>
      </c>
      <c r="C20" s="1866" t="s">
        <v>72</v>
      </c>
      <c r="D20" s="2829"/>
      <c r="E20" s="1866" t="s">
        <v>73</v>
      </c>
      <c r="H20" s="1340">
        <v>18230612</v>
      </c>
      <c r="I20" s="1605">
        <f>'FuelConv Detail_REM E216 Elec'!H5</f>
        <v>49848.15</v>
      </c>
      <c r="J20" s="1605">
        <f>'FuelConv Detail_REM E216 Elec'!I5</f>
        <v>16008</v>
      </c>
      <c r="K20" s="1605">
        <f>'FuelConv Detail_REM E216 Elec'!J5</f>
        <v>43926.052050000006</v>
      </c>
      <c r="L20" s="1605">
        <f>'FuelConv Detail_REM E216 Elec'!K5</f>
        <v>85000</v>
      </c>
      <c r="M20" s="1605">
        <f>'FuelConv Detail_REM E216 Elec'!L5</f>
        <v>2000</v>
      </c>
      <c r="N20" s="1605">
        <f>'FuelConv Detail_REM E216 Elec'!M5</f>
        <v>2000</v>
      </c>
      <c r="O20" s="1605">
        <f>'FuelConv Detail_REM E216 Elec'!N5</f>
        <v>1000</v>
      </c>
      <c r="P20" s="1605">
        <f>'FuelConv Detail_REM E216 Elec'!O5</f>
        <v>3000</v>
      </c>
      <c r="Q20" s="1605">
        <f>'FuelConv Detail_REM E216 Elec'!P5</f>
        <v>630500</v>
      </c>
      <c r="R20" s="1605">
        <f>'FuelConv Detail_REM E216 Elec'!Q5</f>
        <v>0</v>
      </c>
      <c r="S20" s="1605">
        <f>'FuelConv Detail_REM E216 Elec'!R5</f>
        <v>833282.20204999996</v>
      </c>
      <c r="T20" s="2144">
        <f>'FuelConv Detail_REM E216 Elec'!S5</f>
        <v>1896700</v>
      </c>
    </row>
    <row r="21" spans="2:20">
      <c r="B21" s="2259" t="s">
        <v>379</v>
      </c>
      <c r="C21" s="1866" t="s">
        <v>74</v>
      </c>
      <c r="D21" s="2829"/>
      <c r="E21" s="2177" t="s">
        <v>350</v>
      </c>
      <c r="H21" s="1340">
        <v>18230407</v>
      </c>
      <c r="I21" s="1605">
        <f>'MF Retr Detail_REM E217 Elec'!H5</f>
        <v>192344.1</v>
      </c>
      <c r="J21" s="1605">
        <f>'MF Retr Detail_REM E217 Elec'!I5</f>
        <v>40000</v>
      </c>
      <c r="K21" s="1605">
        <f>'MF Retr Detail_REM E217 Elec'!J5</f>
        <v>154973.5147</v>
      </c>
      <c r="L21" s="1605">
        <f>'MF Retr Detail_REM E217 Elec'!K5</f>
        <v>75000</v>
      </c>
      <c r="M21" s="1605">
        <f>'MF Retr Detail_REM E217 Elec'!L5</f>
        <v>4000</v>
      </c>
      <c r="N21" s="1605">
        <f>'MF Retr Detail_REM E217 Elec'!M5</f>
        <v>1150000</v>
      </c>
      <c r="O21" s="1605">
        <f>'MF Retr Detail_REM E217 Elec'!N5</f>
        <v>1000</v>
      </c>
      <c r="P21" s="1605">
        <f>'MF Retr Detail_REM E217 Elec'!O5</f>
        <v>1000</v>
      </c>
      <c r="Q21" s="1605">
        <f>'MF Retr Detail_REM E217 Elec'!P5</f>
        <v>8157682</v>
      </c>
      <c r="R21" s="1605">
        <f>'MF Retr Detail_REM E217 Elec'!Q5</f>
        <v>0</v>
      </c>
      <c r="S21" s="1605">
        <f>'MF Retr Detail_REM E217 Elec'!R5</f>
        <v>9775999.6147000007</v>
      </c>
      <c r="T21" s="2144">
        <f>'MF Retr Detail_REM E217 Elec'!S5</f>
        <v>17190284</v>
      </c>
    </row>
    <row r="22" spans="2:20">
      <c r="B22" s="2259" t="s">
        <v>380</v>
      </c>
      <c r="C22" s="1866" t="s">
        <v>75</v>
      </c>
      <c r="D22" s="2828" t="s">
        <v>591</v>
      </c>
      <c r="E22" s="2177" t="s">
        <v>298</v>
      </c>
      <c r="H22" s="1340">
        <v>18230486</v>
      </c>
      <c r="I22" s="1605">
        <f>'MFNC Detail_REM E218 Elec'!H5</f>
        <v>179031</v>
      </c>
      <c r="J22" s="1605">
        <f>'MFNC Detail_REM E218 Elec'!I5</f>
        <v>12000</v>
      </c>
      <c r="K22" s="1605">
        <f>'MFNC Detail_REM E218 Elec'!J5</f>
        <v>127417.67700000001</v>
      </c>
      <c r="L22" s="1605">
        <f>'MFNC Detail_REM E218 Elec'!K5</f>
        <v>30000</v>
      </c>
      <c r="M22" s="1605">
        <f>'MFNC Detail_REM E218 Elec'!L5</f>
        <v>4000</v>
      </c>
      <c r="N22" s="1605">
        <f>'MFNC Detail_REM E218 Elec'!M5</f>
        <v>0</v>
      </c>
      <c r="O22" s="1605">
        <f>'MFNC Detail_REM E218 Elec'!N5</f>
        <v>500</v>
      </c>
      <c r="P22" s="1605">
        <f>'MFNC Detail_REM E218 Elec'!O5</f>
        <v>500</v>
      </c>
      <c r="Q22" s="1605">
        <f>'MFNC Detail_REM E218 Elec'!P5</f>
        <v>366454.74</v>
      </c>
      <c r="R22" s="1605">
        <f>'MFNC Detail_REM E218 Elec'!Q5</f>
        <v>0</v>
      </c>
      <c r="S22" s="1605">
        <f>'MFNC Detail_REM E218 Elec'!R5</f>
        <v>719903.41700000002</v>
      </c>
      <c r="T22" s="2144">
        <f>'MFNC Detail_REM E218 Elec'!S5</f>
        <v>2000000.0788</v>
      </c>
    </row>
    <row r="23" spans="2:20" s="1737" customFormat="1">
      <c r="B23" s="2011"/>
      <c r="D23" s="2064"/>
      <c r="F23" s="2010"/>
      <c r="H23" s="245" t="s">
        <v>155</v>
      </c>
      <c r="I23" s="603">
        <f t="shared" ref="I23:T23" si="0">SUM(I7:I22)</f>
        <v>1158205.7689999999</v>
      </c>
      <c r="J23" s="2012">
        <f t="shared" si="0"/>
        <v>320330</v>
      </c>
      <c r="K23" s="2012">
        <f t="shared" si="0"/>
        <v>986183.35792300024</v>
      </c>
      <c r="L23" s="2012">
        <f t="shared" si="0"/>
        <v>3254613.6900000004</v>
      </c>
      <c r="M23" s="2012">
        <f t="shared" si="0"/>
        <v>51104</v>
      </c>
      <c r="N23" s="2012">
        <f t="shared" si="0"/>
        <v>3814750</v>
      </c>
      <c r="O23" s="2012">
        <f t="shared" si="0"/>
        <v>67225</v>
      </c>
      <c r="P23" s="2012">
        <f t="shared" si="0"/>
        <v>43250</v>
      </c>
      <c r="Q23" s="2012">
        <f t="shared" si="0"/>
        <v>35780304.109499998</v>
      </c>
      <c r="R23" s="2012">
        <f t="shared" si="0"/>
        <v>0</v>
      </c>
      <c r="S23" s="2012">
        <f t="shared" si="0"/>
        <v>45475965.926423006</v>
      </c>
      <c r="T23" s="2013">
        <f t="shared" si="0"/>
        <v>133049416.51879999</v>
      </c>
    </row>
    <row r="24" spans="2:20">
      <c r="B24" s="2193"/>
      <c r="H24" s="246"/>
      <c r="T24" s="2144"/>
    </row>
    <row r="25" spans="2:20">
      <c r="B25" s="2193"/>
      <c r="T25" s="2144"/>
    </row>
    <row r="26" spans="2:20">
      <c r="B26" s="2193"/>
      <c r="C26" s="1866" t="s">
        <v>140</v>
      </c>
      <c r="T26" s="2144"/>
    </row>
    <row r="27" spans="2:20">
      <c r="B27" s="2259" t="s">
        <v>381</v>
      </c>
      <c r="C27" s="1866" t="s">
        <v>194</v>
      </c>
      <c r="E27" s="1866" t="s">
        <v>146</v>
      </c>
      <c r="H27" s="1340">
        <v>18230711</v>
      </c>
      <c r="I27" s="1605">
        <f>'CI Retr Detail_BEM E250 Elec'!H5</f>
        <v>479585.94267861627</v>
      </c>
      <c r="J27" s="1605">
        <f>'CI Retr Detail_BEM E250 Elec'!I5</f>
        <v>11339</v>
      </c>
      <c r="K27" s="1605">
        <f>'CI Retr Detail_BEM E250 Elec'!J5</f>
        <v>325134.63239404804</v>
      </c>
      <c r="L27" s="1605">
        <f>'CI Retr Detail_BEM E250 Elec'!K5</f>
        <v>0</v>
      </c>
      <c r="M27" s="1605">
        <f>'CI Retr Detail_BEM E250 Elec'!L5</f>
        <v>25000</v>
      </c>
      <c r="N27" s="1605">
        <f>'CI Retr Detail_BEM E250 Elec'!M5</f>
        <v>1770000</v>
      </c>
      <c r="O27" s="1605">
        <f>'CI Retr Detail_BEM E250 Elec'!N5</f>
        <v>8500</v>
      </c>
      <c r="P27" s="1605">
        <f>'CI Retr Detail_BEM E250 Elec'!O5</f>
        <v>0</v>
      </c>
      <c r="Q27" s="1605">
        <f>'CI Retr Detail_BEM E250 Elec'!P5</f>
        <v>5500000</v>
      </c>
      <c r="S27" s="1605">
        <f>'CI Retr Detail_BEM E250 Elec'!R5</f>
        <v>8119559.5750726648</v>
      </c>
      <c r="T27" s="2144">
        <f>'CI Retr Detail_BEM E250 Elec'!S5</f>
        <v>27500000</v>
      </c>
    </row>
    <row r="28" spans="2:20" s="1761" customFormat="1">
      <c r="B28" s="2259" t="s">
        <v>735</v>
      </c>
      <c r="E28" s="1761" t="s">
        <v>698</v>
      </c>
      <c r="H28" s="3212">
        <v>18230724</v>
      </c>
      <c r="I28" s="2142">
        <f>'BusLgtGrants_BEM E250 Elect'!H5</f>
        <v>1500000</v>
      </c>
      <c r="J28" s="2142">
        <f>'BusLgtGrants_BEM E250 Elect'!I5</f>
        <v>16683</v>
      </c>
      <c r="K28" s="2142">
        <f>'BusLgtGrants_BEM E250 Elect'!J5</f>
        <v>1000500</v>
      </c>
      <c r="L28" s="2142">
        <f>'BusLgtGrants_BEM E250 Elect'!K5</f>
        <v>35785</v>
      </c>
      <c r="M28" s="2142">
        <f>'BusLgtGrants_BEM E250 Elect'!L5</f>
        <v>72362</v>
      </c>
      <c r="N28" s="2142">
        <f>'BusLgtGrants_BEM E250 Elect'!M5</f>
        <v>40000</v>
      </c>
      <c r="O28" s="2142">
        <f>'BusLgtGrants_BEM E250 Elect'!N5</f>
        <v>20193</v>
      </c>
      <c r="P28" s="2142">
        <f>'BusLgtGrants_BEM E250 Elect'!O5</f>
        <v>12000</v>
      </c>
      <c r="Q28" s="2142">
        <f>'BusLgtGrants_BEM E250 Elect'!P5</f>
        <v>8040000</v>
      </c>
      <c r="S28" s="2142">
        <f>'BusLgtGrants_BEM E250 Elect'!R5</f>
        <v>10737523</v>
      </c>
      <c r="T28" s="2144">
        <f>'BusLgtGrants_BEM E250 Elect'!S5</f>
        <v>40300000</v>
      </c>
    </row>
    <row r="29" spans="2:20">
      <c r="B29" s="2259" t="s">
        <v>382</v>
      </c>
      <c r="C29" s="1866" t="s">
        <v>141</v>
      </c>
      <c r="E29" s="1866" t="s">
        <v>147</v>
      </c>
      <c r="H29" s="1340">
        <v>18230715</v>
      </c>
      <c r="I29" s="1605">
        <f>'CI NC Detail_BEM E251 Elec'!H5</f>
        <v>158400</v>
      </c>
      <c r="J29" s="1605">
        <f>'CI NC Detail_BEM E251 Elec'!I5</f>
        <v>10672</v>
      </c>
      <c r="K29" s="1605">
        <f>'CI NC Detail_BEM E251 Elec'!J5</f>
        <v>105652.8</v>
      </c>
      <c r="L29" s="1605">
        <f>'CI NC Detail_BEM E251 Elec'!K5</f>
        <v>22000</v>
      </c>
      <c r="M29" s="1605">
        <f>'CI NC Detail_BEM E251 Elec'!L5</f>
        <v>3000</v>
      </c>
      <c r="N29" s="1605">
        <f>'CI NC Detail_BEM E251 Elec'!M5</f>
        <v>110000</v>
      </c>
      <c r="O29" s="1605">
        <f>'CI NC Detail_BEM E251 Elec'!N5</f>
        <v>4000</v>
      </c>
      <c r="P29" s="1605">
        <f>'CI NC Detail_BEM E251 Elec'!O5</f>
        <v>4000</v>
      </c>
      <c r="Q29" s="1605">
        <f>'CI NC Detail_BEM E251 Elec'!P5</f>
        <v>2225000</v>
      </c>
      <c r="S29" s="1605">
        <f>'CI NC Detail_BEM E251 Elec'!R5</f>
        <v>2642724.7999999998</v>
      </c>
      <c r="T29" s="2144">
        <f>'CI NC Detail_BEM E251 Elec'!S5</f>
        <v>10108435</v>
      </c>
    </row>
    <row r="30" spans="2:20">
      <c r="B30" s="1866"/>
      <c r="E30" s="2177" t="s">
        <v>748</v>
      </c>
      <c r="I30" s="25">
        <f>SUM(I31:I33)</f>
        <v>442205.22</v>
      </c>
      <c r="J30" s="25">
        <f t="shared" ref="J30:T30" si="1">SUM(J31:J33)</f>
        <v>667</v>
      </c>
      <c r="K30" s="25">
        <f>SUM(K31:K33)</f>
        <v>295395.77074000001</v>
      </c>
      <c r="L30" s="25">
        <f t="shared" si="1"/>
        <v>10000</v>
      </c>
      <c r="M30" s="25">
        <f t="shared" si="1"/>
        <v>16500</v>
      </c>
      <c r="N30" s="25">
        <f t="shared" si="1"/>
        <v>1319750</v>
      </c>
      <c r="O30" s="25">
        <f t="shared" si="1"/>
        <v>4000</v>
      </c>
      <c r="P30" s="25">
        <f t="shared" si="1"/>
        <v>10000</v>
      </c>
      <c r="Q30" s="25">
        <f t="shared" si="1"/>
        <v>480000</v>
      </c>
      <c r="R30" s="25">
        <f t="shared" si="1"/>
        <v>0</v>
      </c>
      <c r="S30" s="25">
        <f t="shared" si="1"/>
        <v>2578517.9907399998</v>
      </c>
      <c r="T30" s="2144">
        <f t="shared" si="1"/>
        <v>14250000</v>
      </c>
    </row>
    <row r="31" spans="2:20" s="2822" customFormat="1">
      <c r="B31" s="2821" t="s">
        <v>383</v>
      </c>
      <c r="C31" s="2822" t="s">
        <v>142</v>
      </c>
      <c r="E31" s="3366" t="s">
        <v>542</v>
      </c>
      <c r="H31" s="2825">
        <v>18230723</v>
      </c>
      <c r="I31" s="2824">
        <f>'RCM Detail_BEM E253 Elec'!H5</f>
        <v>375900</v>
      </c>
      <c r="J31" s="2824">
        <f>'RCM Detail_BEM E253 Elec'!I5</f>
        <v>0</v>
      </c>
      <c r="K31" s="2824">
        <f>'RCM Detail_BEM E253 Elec'!J5</f>
        <v>250725.30000000002</v>
      </c>
      <c r="L31" s="2824">
        <f>'RCM Detail_BEM E253 Elec'!K5</f>
        <v>10000</v>
      </c>
      <c r="M31" s="2824">
        <f>'RCM Detail_BEM E253 Elec'!L5</f>
        <v>15000</v>
      </c>
      <c r="N31" s="2824">
        <f>'RCM Detail_BEM E253 Elec'!M5</f>
        <v>278000</v>
      </c>
      <c r="O31" s="2824">
        <f>'RCM Detail_BEM E253 Elec'!N5</f>
        <v>4000</v>
      </c>
      <c r="P31" s="2824">
        <f>'RCM Detail_BEM E253 Elec'!O5</f>
        <v>10000</v>
      </c>
      <c r="Q31" s="2824">
        <f>'RCM Detail_BEM E253 Elec'!P5</f>
        <v>480000</v>
      </c>
      <c r="R31" s="2824"/>
      <c r="S31" s="2824">
        <f>'RCM Detail_BEM E253 Elec'!R5</f>
        <v>1423625.3</v>
      </c>
      <c r="T31" s="2826">
        <f>'RCM Detail_BEM E253 Elec'!S5</f>
        <v>14250000</v>
      </c>
    </row>
    <row r="32" spans="2:20" s="2822" customFormat="1">
      <c r="B32" s="2821" t="s">
        <v>1633</v>
      </c>
      <c r="C32" s="2822" t="s">
        <v>142</v>
      </c>
      <c r="E32" s="3366" t="s">
        <v>1627</v>
      </c>
      <c r="H32" s="3116" t="s">
        <v>1615</v>
      </c>
      <c r="I32" s="2824">
        <f>'RCM B-U-S Detail_E253 Elec'!H5</f>
        <v>0</v>
      </c>
      <c r="J32" s="2824">
        <f>'RCM B-U-S Detail_E253 Elec'!I5</f>
        <v>0</v>
      </c>
      <c r="K32" s="2824">
        <f>'RCM B-U-S Detail_E253 Elec'!J5</f>
        <v>0</v>
      </c>
      <c r="L32" s="2824">
        <f>'RCM B-U-S Detail_E253 Elec'!K5</f>
        <v>0</v>
      </c>
      <c r="M32" s="2824">
        <f>'RCM B-U-S Detail_E253 Elec'!L5</f>
        <v>0</v>
      </c>
      <c r="N32" s="2824">
        <f>'RCM B-U-S Detail_E253 Elec'!M5</f>
        <v>1020000</v>
      </c>
      <c r="O32" s="2824">
        <f>'RCM B-U-S Detail_E253 Elec'!N5</f>
        <v>0</v>
      </c>
      <c r="P32" s="2824">
        <f>'RCM B-U-S Detail_E253 Elec'!O5</f>
        <v>0</v>
      </c>
      <c r="Q32" s="2824">
        <f>'RCM B-U-S Detail_E253 Elec'!P5</f>
        <v>0</v>
      </c>
      <c r="R32" s="2824">
        <f>'RCM B-U-S Detail_E253 Elec'!Q5</f>
        <v>0</v>
      </c>
      <c r="S32" s="2824">
        <f>'RCM B-U-S Detail_E253 Elec'!R5</f>
        <v>1020000</v>
      </c>
      <c r="T32" s="2826">
        <f>'RCM B-U-S Detail_E253 Elec'!S5</f>
        <v>0</v>
      </c>
    </row>
    <row r="33" spans="2:20" s="2822" customFormat="1">
      <c r="B33" s="2821" t="s">
        <v>1637</v>
      </c>
      <c r="E33" s="3366" t="s">
        <v>1639</v>
      </c>
      <c r="H33" s="3116" t="s">
        <v>1619</v>
      </c>
      <c r="I33" s="2824">
        <f>'ResAcctSW Detail_PSWE_Elec'!H5</f>
        <v>66305.22</v>
      </c>
      <c r="J33" s="2824">
        <f>'ResAcctSW Detail_PSWE_Elec'!I5</f>
        <v>667</v>
      </c>
      <c r="K33" s="2824">
        <f>'ResAcctSW Detail_PSWE_Elec'!J5</f>
        <v>44670.470740000004</v>
      </c>
      <c r="L33" s="2824">
        <f>'ResAcctSW Detail_PSWE_Elec'!K5</f>
        <v>0</v>
      </c>
      <c r="M33" s="2824">
        <f>'ResAcctSW Detail_PSWE_Elec'!L5</f>
        <v>1500</v>
      </c>
      <c r="N33" s="2824">
        <f>'ResAcctSW Detail_PSWE_Elec'!M5</f>
        <v>21750</v>
      </c>
      <c r="O33" s="2824">
        <f>'ResAcctSW Detail_PSWE_Elec'!N5</f>
        <v>0</v>
      </c>
      <c r="P33" s="2824">
        <f>'ResAcctSW Detail_PSWE_Elec'!O5</f>
        <v>0</v>
      </c>
      <c r="Q33" s="2824">
        <f>'ResAcctSW Detail_PSWE_Elec'!P5</f>
        <v>0</v>
      </c>
      <c r="R33" s="2824">
        <f>'ResAcctSW Detail_PSWE_Elec'!Q5</f>
        <v>0</v>
      </c>
      <c r="S33" s="2824">
        <f>'ResAcctSW Detail_PSWE_Elec'!R5</f>
        <v>134892.69073999999</v>
      </c>
      <c r="T33" s="2826"/>
    </row>
    <row r="34" spans="2:20" s="1761" customFormat="1">
      <c r="B34" s="2259"/>
      <c r="E34" s="1761" t="s">
        <v>149</v>
      </c>
      <c r="H34" s="3157"/>
      <c r="I34" s="2142">
        <f>SUM(I35:I36)</f>
        <v>359414.05732138373</v>
      </c>
      <c r="J34" s="2142">
        <f t="shared" ref="J34:T34" si="2">SUM(J35:J36)</f>
        <v>0</v>
      </c>
      <c r="K34" s="2142">
        <f t="shared" si="2"/>
        <v>242065.36760595196</v>
      </c>
      <c r="L34" s="2142">
        <f t="shared" si="2"/>
        <v>0</v>
      </c>
      <c r="M34" s="2142">
        <f t="shared" si="2"/>
        <v>0</v>
      </c>
      <c r="N34" s="2142">
        <f t="shared" si="2"/>
        <v>0</v>
      </c>
      <c r="O34" s="2142">
        <f t="shared" si="2"/>
        <v>0</v>
      </c>
      <c r="P34" s="2142">
        <f t="shared" si="2"/>
        <v>0</v>
      </c>
      <c r="Q34" s="2142">
        <f t="shared" si="2"/>
        <v>4366662.5815630779</v>
      </c>
      <c r="R34" s="2142">
        <f t="shared" si="2"/>
        <v>0</v>
      </c>
      <c r="S34" s="2142">
        <f t="shared" si="2"/>
        <v>4968142.006490414</v>
      </c>
      <c r="T34" s="2144">
        <f t="shared" si="2"/>
        <v>13145801</v>
      </c>
    </row>
    <row r="35" spans="2:20" s="2822" customFormat="1">
      <c r="B35" s="2821" t="s">
        <v>1626</v>
      </c>
      <c r="C35" s="2822" t="s">
        <v>143</v>
      </c>
      <c r="E35" s="3366" t="s">
        <v>1623</v>
      </c>
      <c r="H35" s="3152">
        <v>18230720</v>
      </c>
      <c r="I35" s="2824">
        <f>LPSD_Detail_449_Elec!H5</f>
        <v>97183.947518559013</v>
      </c>
      <c r="J35" s="2824">
        <f>LPSD_Detail_449_Elec!I5</f>
        <v>0</v>
      </c>
      <c r="K35" s="2824">
        <f>LPSD_Detail_449_Elec!J5</f>
        <v>65453.388653749498</v>
      </c>
      <c r="L35" s="2824">
        <f>LPSD_Detail_449_Elec!K5</f>
        <v>0</v>
      </c>
      <c r="M35" s="2824">
        <f>LPSD_Detail_449_Elec!L5</f>
        <v>0</v>
      </c>
      <c r="N35" s="2824">
        <f>LPSD_Detail_449_Elec!M5</f>
        <v>0</v>
      </c>
      <c r="O35" s="2824">
        <f>LPSD_Detail_449_Elec!N5</f>
        <v>0</v>
      </c>
      <c r="P35" s="2824">
        <f>LPSD_Detail_449_Elec!O5</f>
        <v>0</v>
      </c>
      <c r="Q35" s="2824">
        <f>LPSD_Detail_449_Elec!P5</f>
        <v>1178979.7815630781</v>
      </c>
      <c r="R35" s="2824">
        <f>LPSD_Detail_449_Elec!Q5</f>
        <v>0</v>
      </c>
      <c r="S35" s="2824">
        <f>LPSD_Detail_449_Elec!R5</f>
        <v>1341617.1177353866</v>
      </c>
      <c r="T35" s="2826">
        <f>LPSD_Detail_449_Elec!S5</f>
        <v>3548127</v>
      </c>
    </row>
    <row r="36" spans="2:20" s="2822" customFormat="1">
      <c r="B36" s="2821" t="s">
        <v>1625</v>
      </c>
      <c r="C36" s="2822" t="s">
        <v>143</v>
      </c>
      <c r="E36" s="3366" t="s">
        <v>1624</v>
      </c>
      <c r="H36" s="3152">
        <v>18230721</v>
      </c>
      <c r="I36" s="2824">
        <f>'LPSD_Detail_Non-449 Elec'!H5</f>
        <v>262230.10980282474</v>
      </c>
      <c r="J36" s="2824">
        <f>'LPSD_Detail_Non-449 Elec'!I5</f>
        <v>0</v>
      </c>
      <c r="K36" s="2824">
        <f>'LPSD_Detail_Non-449 Elec'!J5</f>
        <v>176611.97895220248</v>
      </c>
      <c r="L36" s="2824">
        <f>'LPSD_Detail_Non-449 Elec'!K5</f>
        <v>0</v>
      </c>
      <c r="M36" s="2824">
        <f>'LPSD_Detail_Non-449 Elec'!L5</f>
        <v>0</v>
      </c>
      <c r="N36" s="2824">
        <f>'LPSD_Detail_Non-449 Elec'!M5</f>
        <v>0</v>
      </c>
      <c r="O36" s="2824">
        <f>'LPSD_Detail_Non-449 Elec'!N5</f>
        <v>0</v>
      </c>
      <c r="P36" s="2824">
        <f>'LPSD_Detail_Non-449 Elec'!O5</f>
        <v>0</v>
      </c>
      <c r="Q36" s="2824">
        <f>'LPSD_Detail_Non-449 Elec'!P5</f>
        <v>3187682.8</v>
      </c>
      <c r="R36" s="2824"/>
      <c r="S36" s="2824">
        <f>'LPSD_Detail_Non-449 Elec'!R5</f>
        <v>3626524.8887550272</v>
      </c>
      <c r="T36" s="2826">
        <f>'LPSD_Detail_Non-449 Elec'!S5</f>
        <v>9597674</v>
      </c>
    </row>
    <row r="37" spans="2:20">
      <c r="B37" s="2259" t="s">
        <v>384</v>
      </c>
      <c r="C37" s="1866" t="s">
        <v>144</v>
      </c>
      <c r="E37" s="1866" t="s">
        <v>150</v>
      </c>
      <c r="H37" s="1340">
        <v>18230448</v>
      </c>
      <c r="I37" s="1605">
        <f>'TechEval Detail_BEM E261 Elec'!H5</f>
        <v>0</v>
      </c>
      <c r="J37" s="1605">
        <f>'TechEval Detail_BEM E261 Elec'!I5</f>
        <v>0</v>
      </c>
      <c r="K37" s="1605">
        <f>'TechEval Detail_BEM E261 Elec'!J5</f>
        <v>0</v>
      </c>
      <c r="L37" s="1605">
        <f>'TechEval Detail_BEM E261 Elec'!K5</f>
        <v>0</v>
      </c>
      <c r="M37" s="1605">
        <f>'TechEval Detail_BEM E261 Elec'!L5</f>
        <v>0</v>
      </c>
      <c r="N37" s="1605">
        <f>'TechEval Detail_BEM E261 Elec'!M5</f>
        <v>0</v>
      </c>
      <c r="O37" s="1605">
        <f>'TechEval Detail_BEM E261 Elec'!N5</f>
        <v>0</v>
      </c>
      <c r="P37" s="1605">
        <f>'TechEval Detail_BEM E261 Elec'!O5</f>
        <v>0</v>
      </c>
      <c r="Q37" s="1605">
        <f>'TechEval Detail_BEM E261 Elec'!P5</f>
        <v>0</v>
      </c>
      <c r="S37" s="1605">
        <f>'TechEval Detail_BEM E261 Elec'!R5</f>
        <v>0</v>
      </c>
      <c r="T37" s="2144">
        <f>'TechEval Detail_BEM E261 Elec'!S5</f>
        <v>0</v>
      </c>
    </row>
    <row r="38" spans="2:20">
      <c r="B38" s="2259"/>
      <c r="C38" s="1866" t="s">
        <v>145</v>
      </c>
      <c r="E38" s="1866" t="s">
        <v>151</v>
      </c>
      <c r="H38" s="1340"/>
      <c r="I38" s="1605">
        <f>SUM(I39:I46)</f>
        <v>340693.59</v>
      </c>
      <c r="J38" s="2142">
        <f>SUM(J39:J46)</f>
        <v>55200</v>
      </c>
      <c r="K38" s="2142">
        <f t="shared" ref="K38:T38" si="3">SUM(K39:K46)</f>
        <v>264061.02453000005</v>
      </c>
      <c r="L38" s="2142">
        <f t="shared" si="3"/>
        <v>157500</v>
      </c>
      <c r="M38" s="2142">
        <f t="shared" si="3"/>
        <v>26475</v>
      </c>
      <c r="N38" s="2142">
        <f t="shared" si="3"/>
        <v>366304</v>
      </c>
      <c r="O38" s="2142">
        <f t="shared" si="3"/>
        <v>11540</v>
      </c>
      <c r="P38" s="2142">
        <f t="shared" si="3"/>
        <v>1004695.5</v>
      </c>
      <c r="Q38" s="2142">
        <f t="shared" si="3"/>
        <v>4657397.5827099998</v>
      </c>
      <c r="R38" s="2142">
        <f t="shared" si="3"/>
        <v>0</v>
      </c>
      <c r="S38" s="2142">
        <f t="shared" si="3"/>
        <v>6883866.6972400006</v>
      </c>
      <c r="T38" s="2144">
        <f t="shared" si="3"/>
        <v>28265343.5</v>
      </c>
    </row>
    <row r="39" spans="2:20" s="2822" customFormat="1">
      <c r="B39" s="2821" t="s">
        <v>729</v>
      </c>
      <c r="C39" s="2822" t="s">
        <v>145</v>
      </c>
      <c r="E39" s="3366" t="s">
        <v>657</v>
      </c>
      <c r="H39" s="246">
        <v>18230714</v>
      </c>
      <c r="I39" s="2824">
        <f>'Comm Lgt Mkdn_E262 Elect'!H5</f>
        <v>120455.4</v>
      </c>
      <c r="J39" s="2824">
        <f>'Comm Lgt Mkdn_E262 Elect'!I5</f>
        <v>20000</v>
      </c>
      <c r="K39" s="2824">
        <f>'Comm Lgt Mkdn_E262 Elect'!J5</f>
        <v>93683.751799999998</v>
      </c>
      <c r="L39" s="2824">
        <f>'Comm Lgt Mkdn_E262 Elect'!K5</f>
        <v>50000</v>
      </c>
      <c r="M39" s="2824">
        <f>'Comm Lgt Mkdn_E262 Elect'!L5</f>
        <v>2750</v>
      </c>
      <c r="N39" s="2824">
        <f>'Comm Lgt Mkdn_E262 Elect'!M5</f>
        <v>180000</v>
      </c>
      <c r="O39" s="2824">
        <f>'Comm Lgt Mkdn_E262 Elect'!N5</f>
        <v>2800</v>
      </c>
      <c r="P39" s="2824">
        <f>'Comm Lgt Mkdn_E262 Elect'!O5</f>
        <v>500</v>
      </c>
      <c r="Q39" s="2824">
        <f>'Comm Lgt Mkdn_E262 Elect'!P5</f>
        <v>745533</v>
      </c>
      <c r="R39" s="2824">
        <f>'Comm Lgt Mkdn_E262 Elect'!Q5</f>
        <v>0</v>
      </c>
      <c r="S39" s="2824">
        <f>'Comm Lgt Mkdn_E262 Elect'!R5</f>
        <v>1215722.1518000001</v>
      </c>
      <c r="T39" s="2826">
        <f>'Comm Lgt Mkdn_E262 Elect'!S5</f>
        <v>9083978</v>
      </c>
    </row>
    <row r="40" spans="2:20" s="2822" customFormat="1">
      <c r="B40" s="2821" t="s">
        <v>730</v>
      </c>
      <c r="C40" s="2822" t="s">
        <v>145</v>
      </c>
      <c r="E40" s="3366" t="s">
        <v>658</v>
      </c>
      <c r="H40" s="246">
        <v>18230716</v>
      </c>
      <c r="I40" s="2824">
        <f>'Comm Kit-Laund_E262 Elect'!H5</f>
        <v>34440.54</v>
      </c>
      <c r="J40" s="2824">
        <f>'Comm Kit-Laund_E262 Elect'!I5</f>
        <v>6400</v>
      </c>
      <c r="K40" s="2824">
        <f>'Comm Kit-Laund_E262 Elect'!J5</f>
        <v>27240.640180000002</v>
      </c>
      <c r="L40" s="2824">
        <f>'Comm Kit-Laund_E262 Elect'!K5</f>
        <v>15000</v>
      </c>
      <c r="M40" s="2824">
        <f>'Comm Kit-Laund_E262 Elect'!L5</f>
        <v>5225</v>
      </c>
      <c r="N40" s="2824">
        <f>'Comm Kit-Laund_E262 Elect'!M5</f>
        <v>1200</v>
      </c>
      <c r="O40" s="2824">
        <f>'Comm Kit-Laund_E262 Elect'!N5</f>
        <v>240</v>
      </c>
      <c r="P40" s="2824">
        <f>'Comm Kit-Laund_E262 Elect'!O5</f>
        <v>0</v>
      </c>
      <c r="Q40" s="2824">
        <f>'Comm Kit-Laund_E262 Elect'!P5</f>
        <v>137700</v>
      </c>
      <c r="R40" s="2824">
        <f>'Comm Kit-Laund_E262 Elect'!Q5</f>
        <v>0</v>
      </c>
      <c r="S40" s="2824">
        <f>'Comm Kit-Laund_E262 Elect'!R5</f>
        <v>227446.18018</v>
      </c>
      <c r="T40" s="2826">
        <f>'Comm Kit-Laund_E262 Elect'!S5</f>
        <v>1011436</v>
      </c>
    </row>
    <row r="41" spans="2:20" s="2822" customFormat="1" hidden="1">
      <c r="B41" s="2821" t="s">
        <v>731</v>
      </c>
      <c r="C41" s="2822" t="s">
        <v>145</v>
      </c>
      <c r="E41" s="3366" t="s">
        <v>659</v>
      </c>
      <c r="H41" s="246">
        <v>18230717</v>
      </c>
      <c r="I41" s="2824">
        <f>'Comm DI_E262 Elect'!H5</f>
        <v>0</v>
      </c>
      <c r="J41" s="2824">
        <f>'Comm DI_E262 Elect'!I5</f>
        <v>0</v>
      </c>
      <c r="K41" s="2824">
        <f>'Comm DI_E262 Elect'!J5</f>
        <v>0</v>
      </c>
      <c r="L41" s="2824">
        <f>'Comm DI_E262 Elect'!K5</f>
        <v>0</v>
      </c>
      <c r="M41" s="2824">
        <f>'Comm DI_E262 Elect'!L5</f>
        <v>0</v>
      </c>
      <c r="N41" s="2824">
        <f>'Comm DI_E262 Elect'!M5</f>
        <v>0</v>
      </c>
      <c r="O41" s="2824">
        <f>'Comm DI_E262 Elect'!N5</f>
        <v>0</v>
      </c>
      <c r="P41" s="2824">
        <f>'Comm DI_E262 Elect'!O5</f>
        <v>0</v>
      </c>
      <c r="Q41" s="2824">
        <f>'Comm DI_E262 Elect'!P5</f>
        <v>0</v>
      </c>
      <c r="R41" s="2824">
        <f>'Comm DI_E262 Elect'!Q5</f>
        <v>0</v>
      </c>
      <c r="S41" s="2824">
        <f>'Comm DI_E262 Elect'!R5</f>
        <v>0</v>
      </c>
      <c r="T41" s="2826">
        <f>'Comm DI_E262 Elect'!S5</f>
        <v>0</v>
      </c>
    </row>
    <row r="42" spans="2:20" s="2822" customFormat="1">
      <c r="B42" s="2821" t="s">
        <v>732</v>
      </c>
      <c r="C42" s="2822" t="s">
        <v>145</v>
      </c>
      <c r="E42" s="3366" t="s">
        <v>660</v>
      </c>
      <c r="H42" s="246">
        <v>18230718</v>
      </c>
      <c r="I42" s="2824">
        <f>'Comm HVAC_E262 Elect'!H5</f>
        <v>58911.450000000004</v>
      </c>
      <c r="J42" s="2824">
        <f>'Comm HVAC_E262 Elect'!I5</f>
        <v>4000</v>
      </c>
      <c r="K42" s="2824">
        <f>'Comm HVAC_E262 Elect'!J5</f>
        <v>41961.937150000005</v>
      </c>
      <c r="L42" s="2824">
        <f>'Comm HVAC_E262 Elect'!K5</f>
        <v>42500</v>
      </c>
      <c r="M42" s="2824">
        <f>'Comm HVAC_E262 Elect'!L5</f>
        <v>5000</v>
      </c>
      <c r="N42" s="2824">
        <f>'Comm HVAC_E262 Elect'!M5</f>
        <v>60919</v>
      </c>
      <c r="O42" s="2824">
        <f>'Comm HVAC_E262 Elect'!N5</f>
        <v>5000</v>
      </c>
      <c r="P42" s="2824">
        <f>'Comm HVAC_E262 Elect'!O5</f>
        <v>1000</v>
      </c>
      <c r="Q42" s="2824">
        <f>'Comm HVAC_E262 Elect'!P5</f>
        <v>509250</v>
      </c>
      <c r="R42" s="2824">
        <f>'Comm HVAC_E262 Elect'!Q5</f>
        <v>0</v>
      </c>
      <c r="S42" s="2824">
        <f>'Comm HVAC_E262 Elect'!R5</f>
        <v>728542.38715000008</v>
      </c>
      <c r="T42" s="2826">
        <f>'Comm HVAC_E262 Elect'!S5</f>
        <v>2975025</v>
      </c>
    </row>
    <row r="43" spans="2:20" s="2822" customFormat="1">
      <c r="B43" s="2821" t="s">
        <v>733</v>
      </c>
      <c r="C43" s="2822" t="s">
        <v>145</v>
      </c>
      <c r="E43" s="3366" t="s">
        <v>661</v>
      </c>
      <c r="H43" s="246">
        <v>18230722</v>
      </c>
      <c r="I43" s="2824">
        <f>'Comm ExpLgt_E262 Elect'!H5</f>
        <v>0</v>
      </c>
      <c r="J43" s="2824">
        <f>'Comm ExpLgt_E262 Elect'!I5</f>
        <v>0</v>
      </c>
      <c r="K43" s="2824">
        <f>'Comm ExpLgt_E262 Elect'!J5</f>
        <v>0</v>
      </c>
      <c r="L43" s="2824">
        <f>'Comm ExpLgt_E262 Elect'!K5</f>
        <v>0</v>
      </c>
      <c r="M43" s="2824">
        <f>'Comm ExpLgt_E262 Elect'!L5</f>
        <v>0</v>
      </c>
      <c r="N43" s="2824">
        <f>'Comm ExpLgt_E262 Elect'!M5</f>
        <v>0</v>
      </c>
      <c r="O43" s="2824">
        <f>'Comm ExpLgt_E262 Elect'!N5</f>
        <v>0</v>
      </c>
      <c r="P43" s="2824">
        <f>'Comm ExpLgt_E262 Elect'!O5</f>
        <v>0</v>
      </c>
      <c r="Q43" s="2824">
        <f>'Comm ExpLgt_E262 Elect'!P5</f>
        <v>0</v>
      </c>
      <c r="R43" s="2824">
        <f>'Comm ExpLgt_E262 Elect'!Q5</f>
        <v>0</v>
      </c>
      <c r="S43" s="2824">
        <f>'Comm ExpLgt_E262 Elect'!R5</f>
        <v>0</v>
      </c>
      <c r="T43" s="2826">
        <f>'Comm ExpLgt_E262 Elect'!S5</f>
        <v>0</v>
      </c>
    </row>
    <row r="44" spans="2:20" s="2822" customFormat="1">
      <c r="B44" s="3117" t="s">
        <v>1613</v>
      </c>
      <c r="C44" s="3118" t="s">
        <v>145</v>
      </c>
      <c r="D44" s="3118"/>
      <c r="E44" s="3367" t="s">
        <v>1491</v>
      </c>
      <c r="G44" s="3118"/>
      <c r="H44" s="246" t="s">
        <v>1494</v>
      </c>
      <c r="I44" s="2824">
        <f>'Sm Agr DI_E262 Elect'!H5</f>
        <v>19939.260000000002</v>
      </c>
      <c r="J44" s="2824">
        <f>'Sm Agr DI_E262 Elect'!I5</f>
        <v>0</v>
      </c>
      <c r="K44" s="2824">
        <f>'Sm Agr DI_E262 Elect'!J5</f>
        <v>13299.486420000003</v>
      </c>
      <c r="L44" s="2824">
        <f>'Sm Agr DI_E262 Elect'!K5</f>
        <v>0</v>
      </c>
      <c r="M44" s="2824">
        <f>'Sm Agr DI_E262 Elect'!L5</f>
        <v>0</v>
      </c>
      <c r="N44" s="2824">
        <f>'Sm Agr DI_E262 Elect'!M5</f>
        <v>10185</v>
      </c>
      <c r="O44" s="2824">
        <f>'Sm Agr DI_E262 Elect'!N5</f>
        <v>0</v>
      </c>
      <c r="P44" s="2824">
        <f>'Sm Agr DI_E262 Elect'!O5</f>
        <v>152775</v>
      </c>
      <c r="Q44" s="2824">
        <f>'Sm Agr DI_E262 Elect'!P5</f>
        <v>175731.375</v>
      </c>
      <c r="R44" s="2824">
        <f>'Sm Agr DI_E262 Elect'!Q5</f>
        <v>0</v>
      </c>
      <c r="S44" s="2824">
        <f>'Sm Agr DI_E262 Elect'!R5</f>
        <v>371930.12141999998</v>
      </c>
      <c r="T44" s="2826">
        <f>'Sm Agr DI_E262 Elect'!S5</f>
        <v>1082872.5</v>
      </c>
    </row>
    <row r="45" spans="2:20" s="2822" customFormat="1">
      <c r="B45" s="3117" t="s">
        <v>1612</v>
      </c>
      <c r="C45" s="3118" t="s">
        <v>145</v>
      </c>
      <c r="D45" s="3118"/>
      <c r="E45" s="3367" t="s">
        <v>1492</v>
      </c>
      <c r="G45" s="3118"/>
      <c r="H45" s="246" t="s">
        <v>1494</v>
      </c>
      <c r="I45" s="2824">
        <f>'Lodging DI_E262 Elec'!H5</f>
        <v>27189.899999999998</v>
      </c>
      <c r="J45" s="2824">
        <f>'Lodging DI_E262 Elec'!I5</f>
        <v>20000</v>
      </c>
      <c r="K45" s="2824">
        <f>'Lodging DI_E262 Elec'!J5</f>
        <v>31475.6633</v>
      </c>
      <c r="L45" s="2824">
        <f>'Lodging DI_E262 Elec'!K5</f>
        <v>10000</v>
      </c>
      <c r="M45" s="2824">
        <f>'Lodging DI_E262 Elec'!L5</f>
        <v>10000</v>
      </c>
      <c r="N45" s="2824">
        <f>'Lodging DI_E262 Elec'!M5</f>
        <v>60000</v>
      </c>
      <c r="O45" s="2824">
        <f>'Lodging DI_E262 Elec'!N5</f>
        <v>1000</v>
      </c>
      <c r="P45" s="2824">
        <f>'Lodging DI_E262 Elec'!O5</f>
        <v>240000</v>
      </c>
      <c r="Q45" s="2824">
        <f>'Lodging DI_E262 Elec'!P5</f>
        <v>746489.46771000011</v>
      </c>
      <c r="R45" s="2824">
        <f>'Lodging DI_E262 Elec'!Q5</f>
        <v>0</v>
      </c>
      <c r="S45" s="2824">
        <f>'Lodging DI_E262 Elec'!R5</f>
        <v>1146155.03101</v>
      </c>
      <c r="T45" s="2826">
        <f>'Lodging DI_E262 Elec'!S5</f>
        <v>3090940.5</v>
      </c>
    </row>
    <row r="46" spans="2:20" s="2822" customFormat="1">
      <c r="B46" s="2821" t="s">
        <v>734</v>
      </c>
      <c r="C46" s="2822" t="s">
        <v>145</v>
      </c>
      <c r="E46" s="3366" t="s">
        <v>553</v>
      </c>
      <c r="H46" s="246">
        <v>18231134</v>
      </c>
      <c r="I46" s="2824">
        <f>'Sm Bus DI_E262 Elect'!H5</f>
        <v>79757.040000000008</v>
      </c>
      <c r="J46" s="2824">
        <f>'Sm Bus DI_E262 Elect'!I5</f>
        <v>4800</v>
      </c>
      <c r="K46" s="2824">
        <f>'Sm Bus DI_E262 Elect'!J5</f>
        <v>56399.54568000001</v>
      </c>
      <c r="L46" s="2824">
        <f>'Sm Bus DI_E262 Elect'!K5</f>
        <v>40000</v>
      </c>
      <c r="M46" s="2824">
        <f>'Sm Bus DI_E262 Elect'!L5</f>
        <v>3500</v>
      </c>
      <c r="N46" s="2824">
        <f>'Sm Bus DI_E262 Elect'!M5</f>
        <v>54000</v>
      </c>
      <c r="O46" s="2824">
        <f>'Sm Bus DI_E262 Elect'!N5</f>
        <v>2500</v>
      </c>
      <c r="P46" s="2824">
        <f>'Sm Bus DI_E262 Elect'!O5</f>
        <v>610420.5</v>
      </c>
      <c r="Q46" s="2824">
        <f>'Sm Bus DI_E262 Elect'!P5</f>
        <v>2342693.7400000002</v>
      </c>
      <c r="R46" s="2824">
        <f>'Sm Bus DI_E262 Elect'!Q5</f>
        <v>0</v>
      </c>
      <c r="S46" s="2824">
        <f>'Sm Bus DI_E262 Elect'!R5</f>
        <v>3194070.8256800002</v>
      </c>
      <c r="T46" s="2826">
        <f>'Sm Bus DI_E262 Elect'!S5</f>
        <v>11021091.5</v>
      </c>
    </row>
    <row r="47" spans="2:20" s="1737" customFormat="1">
      <c r="B47" s="2011"/>
      <c r="D47" s="2064"/>
      <c r="F47" s="2010"/>
      <c r="H47" s="245" t="s">
        <v>156</v>
      </c>
      <c r="I47" s="603">
        <f>SUM(I27:I30)+I34+I37+I38</f>
        <v>3280298.8099999996</v>
      </c>
      <c r="J47" s="2012">
        <f t="shared" ref="J47:S47" si="4">SUM(J27:J30)+J34+J37+J38</f>
        <v>94561</v>
      </c>
      <c r="K47" s="2012">
        <f t="shared" si="4"/>
        <v>2232809.5952699999</v>
      </c>
      <c r="L47" s="2012">
        <f t="shared" si="4"/>
        <v>225285</v>
      </c>
      <c r="M47" s="2012">
        <f t="shared" si="4"/>
        <v>143337</v>
      </c>
      <c r="N47" s="2012">
        <f t="shared" si="4"/>
        <v>3606054</v>
      </c>
      <c r="O47" s="2012">
        <f t="shared" si="4"/>
        <v>48233</v>
      </c>
      <c r="P47" s="2012">
        <f t="shared" si="4"/>
        <v>1030695.5</v>
      </c>
      <c r="Q47" s="2012">
        <f t="shared" si="4"/>
        <v>25269060.164273076</v>
      </c>
      <c r="R47" s="2012">
        <f t="shared" si="4"/>
        <v>0</v>
      </c>
      <c r="S47" s="2012">
        <f t="shared" si="4"/>
        <v>35930334.069543079</v>
      </c>
      <c r="T47" s="2013">
        <f>SUM(T27:T30)+T34+T37+T38</f>
        <v>133569579.5</v>
      </c>
    </row>
    <row r="48" spans="2:20">
      <c r="B48" s="2011"/>
      <c r="T48" s="2144"/>
    </row>
    <row r="49" spans="2:20" s="2177" customFormat="1">
      <c r="B49" s="2193"/>
      <c r="C49" s="2177" t="s">
        <v>77</v>
      </c>
      <c r="I49" s="2142"/>
      <c r="J49" s="2142"/>
      <c r="K49" s="2142"/>
      <c r="L49" s="2142"/>
      <c r="M49" s="2142"/>
      <c r="N49" s="2142"/>
      <c r="O49" s="2142"/>
      <c r="P49" s="2142"/>
      <c r="Q49" s="2142"/>
      <c r="R49" s="2142"/>
      <c r="S49" s="2142"/>
      <c r="T49" s="2144"/>
    </row>
    <row r="50" spans="2:20" s="2177" customFormat="1">
      <c r="B50" s="2259" t="s">
        <v>596</v>
      </c>
      <c r="C50" s="2177" t="s">
        <v>76</v>
      </c>
      <c r="E50" s="2177" t="s">
        <v>597</v>
      </c>
      <c r="H50" s="2711">
        <v>18230522</v>
      </c>
      <c r="I50" s="2142">
        <f>'REM Pilots E249 Elec'!H5</f>
        <v>55594.8</v>
      </c>
      <c r="J50" s="2142">
        <f>'REM Pilots E249 Elec'!I5</f>
        <v>8000.04</v>
      </c>
      <c r="K50" s="2142">
        <f>'REM Pilots E249 Elec'!J5</f>
        <v>42417.758280000009</v>
      </c>
      <c r="L50" s="2142">
        <f>'REM Pilots E249 Elec'!K5</f>
        <v>18827.400000000001</v>
      </c>
      <c r="M50" s="2142">
        <f>'REM Pilots E249 Elec'!L5</f>
        <v>4000</v>
      </c>
      <c r="N50" s="2142">
        <f>'REM Pilots E249 Elec'!M5</f>
        <v>422538</v>
      </c>
      <c r="O50" s="2142">
        <f>'REM Pilots E249 Elec'!N5</f>
        <v>1000</v>
      </c>
      <c r="P50" s="2142">
        <f>'REM Pilots E249 Elec'!O5</f>
        <v>2000</v>
      </c>
      <c r="Q50" s="2142">
        <f>'REM Pilots E249 Elec'!P5</f>
        <v>422521</v>
      </c>
      <c r="R50" s="2142">
        <f>'REM Pilots E249 Elec'!Q5</f>
        <v>0</v>
      </c>
      <c r="S50" s="2142">
        <f>'REM Pilots E249 Elec'!R5</f>
        <v>976898.99827999994</v>
      </c>
      <c r="T50" s="2144">
        <f>'REM Pilots E249 Elec'!S5</f>
        <v>17346930</v>
      </c>
    </row>
    <row r="51" spans="2:20" s="2177" customFormat="1">
      <c r="B51" s="2259" t="s">
        <v>595</v>
      </c>
      <c r="C51" s="2177" t="s">
        <v>76</v>
      </c>
      <c r="E51" s="2177" t="s">
        <v>621</v>
      </c>
      <c r="H51" s="1340">
        <v>18230629</v>
      </c>
      <c r="I51" s="2142">
        <f>'BEM Pilots E249 Elec'!H5</f>
        <v>0</v>
      </c>
      <c r="J51" s="2142">
        <f>'BEM Pilots E249 Elec'!I5</f>
        <v>0</v>
      </c>
      <c r="K51" s="2142">
        <f>'BEM Pilots E249 Elec'!J5</f>
        <v>0</v>
      </c>
      <c r="L51" s="2142">
        <f>'BEM Pilots E249 Elec'!K5</f>
        <v>0</v>
      </c>
      <c r="M51" s="2142">
        <f>'BEM Pilots E249 Elec'!L5</f>
        <v>0</v>
      </c>
      <c r="N51" s="2142">
        <f>'BEM Pilots E249 Elec'!M5</f>
        <v>0</v>
      </c>
      <c r="O51" s="2142">
        <f>'BEM Pilots E249 Elec'!N5</f>
        <v>0</v>
      </c>
      <c r="P51" s="2142">
        <f>'BEM Pilots E249 Elec'!O5</f>
        <v>0</v>
      </c>
      <c r="Q51" s="2142">
        <f>'BEM Pilots E249 Elec'!P5</f>
        <v>0</v>
      </c>
      <c r="R51" s="2142">
        <f>'BEM Pilots E249 Elec'!Q5</f>
        <v>0</v>
      </c>
      <c r="S51" s="2142">
        <f>'BEM Pilots E249 Elec'!R5</f>
        <v>0</v>
      </c>
      <c r="T51" s="2144">
        <f>'BEM Pilots E249 Elec'!S5</f>
        <v>0</v>
      </c>
    </row>
    <row r="52" spans="2:20" s="2177" customFormat="1">
      <c r="B52" s="2011"/>
      <c r="H52" s="2010" t="s">
        <v>601</v>
      </c>
      <c r="I52" s="2012">
        <f>SUM(I50:I51)</f>
        <v>55594.8</v>
      </c>
      <c r="J52" s="2012">
        <f t="shared" ref="J52:T52" si="5">SUM(J50:J51)</f>
        <v>8000.04</v>
      </c>
      <c r="K52" s="2012">
        <f t="shared" si="5"/>
        <v>42417.758280000009</v>
      </c>
      <c r="L52" s="2012">
        <f t="shared" si="5"/>
        <v>18827.400000000001</v>
      </c>
      <c r="M52" s="2012">
        <f t="shared" si="5"/>
        <v>4000</v>
      </c>
      <c r="N52" s="2012">
        <f t="shared" si="5"/>
        <v>422538</v>
      </c>
      <c r="O52" s="2012">
        <f t="shared" si="5"/>
        <v>1000</v>
      </c>
      <c r="P52" s="2012">
        <f t="shared" si="5"/>
        <v>2000</v>
      </c>
      <c r="Q52" s="2012">
        <f t="shared" si="5"/>
        <v>422521</v>
      </c>
      <c r="R52" s="2012">
        <f t="shared" si="5"/>
        <v>0</v>
      </c>
      <c r="S52" s="2012">
        <f t="shared" si="5"/>
        <v>976898.99827999994</v>
      </c>
      <c r="T52" s="2013">
        <f t="shared" si="5"/>
        <v>17346930</v>
      </c>
    </row>
    <row r="53" spans="2:20" s="2177" customFormat="1">
      <c r="B53" s="2011"/>
      <c r="I53" s="2142"/>
      <c r="J53" s="2142"/>
      <c r="K53" s="2142"/>
      <c r="L53" s="2142"/>
      <c r="M53" s="2142"/>
      <c r="N53" s="2142"/>
      <c r="O53" s="2142"/>
      <c r="P53" s="2142"/>
      <c r="Q53" s="2142"/>
      <c r="R53" s="2142"/>
      <c r="S53" s="2142"/>
      <c r="T53" s="2144"/>
    </row>
    <row r="54" spans="2:20">
      <c r="B54" s="2011"/>
      <c r="C54" s="1866" t="s">
        <v>158</v>
      </c>
      <c r="T54" s="2144"/>
    </row>
    <row r="55" spans="2:20">
      <c r="B55" s="2259" t="s">
        <v>385</v>
      </c>
      <c r="C55" s="1866" t="s">
        <v>161</v>
      </c>
      <c r="E55" s="1866" t="s">
        <v>159</v>
      </c>
      <c r="H55" s="1340">
        <v>18230421</v>
      </c>
      <c r="I55" s="1605">
        <f>'NEEA Detail_E254 elec'!H5</f>
        <v>0</v>
      </c>
      <c r="J55" s="1605">
        <f>'NEEA Detail_E254 elec'!I5</f>
        <v>0</v>
      </c>
      <c r="K55" s="1605">
        <f>'NEEA Detail_E254 elec'!J5</f>
        <v>0</v>
      </c>
      <c r="L55" s="1605">
        <f>'NEEA Detail_E254 elec'!K5</f>
        <v>0</v>
      </c>
      <c r="M55" s="1605">
        <f>'NEEA Detail_E254 elec'!L5</f>
        <v>0</v>
      </c>
      <c r="N55" s="1605">
        <f>'NEEA Detail_E254 elec'!M5</f>
        <v>1560000</v>
      </c>
      <c r="O55" s="1605">
        <f>'NEEA Detail_E254 elec'!N5</f>
        <v>0</v>
      </c>
      <c r="P55" s="1605">
        <f>'NEEA Detail_E254 elec'!O5</f>
        <v>0</v>
      </c>
      <c r="Q55" s="1605">
        <f>'NEEA Detail_E254 elec'!P5</f>
        <v>3640000</v>
      </c>
      <c r="S55" s="1605">
        <f>'NEEA Detail_E254 elec'!R5</f>
        <v>5200000</v>
      </c>
      <c r="T55" s="2144">
        <f>'NEEA Detail_E254 elec'!S5</f>
        <v>8760000</v>
      </c>
    </row>
    <row r="56" spans="2:20">
      <c r="B56" s="2259" t="s">
        <v>386</v>
      </c>
      <c r="C56" s="2140" t="s">
        <v>331</v>
      </c>
      <c r="E56" s="1866" t="s">
        <v>160</v>
      </c>
      <c r="H56" s="1340">
        <v>18230711</v>
      </c>
      <c r="I56" s="1605">
        <f>'T&amp;D Detail_Reg E292 elec'!H5</f>
        <v>0</v>
      </c>
      <c r="J56" s="1605">
        <f>'T&amp;D Detail_Reg E292 elec'!I5</f>
        <v>0</v>
      </c>
      <c r="K56" s="1605">
        <f>'T&amp;D Detail_Reg E292 elec'!J5</f>
        <v>0</v>
      </c>
      <c r="L56" s="1605">
        <f>'T&amp;D Detail_Reg E292 elec'!K5</f>
        <v>0</v>
      </c>
      <c r="M56" s="1605">
        <f>'T&amp;D Detail_Reg E292 elec'!L5</f>
        <v>0</v>
      </c>
      <c r="N56" s="1605">
        <f>'T&amp;D Detail_Reg E292 elec'!M5</f>
        <v>0</v>
      </c>
      <c r="O56" s="1605">
        <f>'T&amp;D Detail_Reg E292 elec'!N5</f>
        <v>0</v>
      </c>
      <c r="P56" s="1605">
        <f>'T&amp;D Detail_Reg E292 elec'!O5</f>
        <v>0</v>
      </c>
      <c r="Q56" s="1605">
        <f>'T&amp;D Detail_Reg E292 elec'!P5</f>
        <v>0</v>
      </c>
      <c r="S56" s="1605">
        <f>'T&amp;D Detail_Reg E292 elec'!R5</f>
        <v>0</v>
      </c>
      <c r="T56" s="2144">
        <f>'T&amp;D Detail_Reg E292 elec'!S5</f>
        <v>1781325</v>
      </c>
    </row>
    <row r="57" spans="2:20">
      <c r="F57" s="2010"/>
      <c r="H57" s="245" t="s">
        <v>162</v>
      </c>
      <c r="I57" s="603">
        <f t="shared" ref="I57:R57" si="6">SUM(I55:I56)</f>
        <v>0</v>
      </c>
      <c r="J57" s="603">
        <f t="shared" si="6"/>
        <v>0</v>
      </c>
      <c r="K57" s="603">
        <f t="shared" si="6"/>
        <v>0</v>
      </c>
      <c r="L57" s="603">
        <f t="shared" si="6"/>
        <v>0</v>
      </c>
      <c r="M57" s="603">
        <f t="shared" si="6"/>
        <v>0</v>
      </c>
      <c r="N57" s="603">
        <f t="shared" si="6"/>
        <v>1560000</v>
      </c>
      <c r="O57" s="603">
        <f t="shared" si="6"/>
        <v>0</v>
      </c>
      <c r="P57" s="603">
        <f t="shared" si="6"/>
        <v>0</v>
      </c>
      <c r="Q57" s="603">
        <f t="shared" si="6"/>
        <v>3640000</v>
      </c>
      <c r="R57" s="603">
        <f t="shared" si="6"/>
        <v>0</v>
      </c>
      <c r="S57" s="603">
        <f>SUM(S55:S56)</f>
        <v>5200000</v>
      </c>
      <c r="T57" s="2013">
        <f>SUM(T55:T56)</f>
        <v>10541325</v>
      </c>
    </row>
    <row r="58" spans="2:20">
      <c r="T58" s="2144"/>
    </row>
    <row r="59" spans="2:20">
      <c r="B59" s="2193"/>
      <c r="C59" s="2177" t="s">
        <v>335</v>
      </c>
      <c r="T59" s="2144"/>
    </row>
    <row r="60" spans="2:20">
      <c r="B60" s="2259"/>
      <c r="C60" s="1866" t="s">
        <v>252</v>
      </c>
      <c r="E60" s="1866" t="s">
        <v>163</v>
      </c>
      <c r="H60" s="2194"/>
      <c r="I60" s="1605">
        <f>SUM(I61:I64)</f>
        <v>990772.55599999998</v>
      </c>
      <c r="J60" s="2142">
        <f t="shared" ref="J60:S60" si="7">SUM(J61:J64)</f>
        <v>15396.6</v>
      </c>
      <c r="K60" s="2142">
        <f t="shared" si="7"/>
        <v>671114.82705199998</v>
      </c>
      <c r="L60" s="2142">
        <f t="shared" si="7"/>
        <v>23440</v>
      </c>
      <c r="M60" s="2142">
        <f t="shared" si="7"/>
        <v>52720</v>
      </c>
      <c r="N60" s="2142">
        <f t="shared" si="7"/>
        <v>107185</v>
      </c>
      <c r="O60" s="2142">
        <f t="shared" si="7"/>
        <v>31705</v>
      </c>
      <c r="P60" s="2142">
        <f t="shared" si="7"/>
        <v>1350</v>
      </c>
      <c r="Q60" s="2142">
        <f t="shared" si="7"/>
        <v>0</v>
      </c>
      <c r="R60" s="2142">
        <f t="shared" si="7"/>
        <v>0</v>
      </c>
      <c r="S60" s="2142">
        <f t="shared" si="7"/>
        <v>1893683.9830519999</v>
      </c>
      <c r="T60" s="2144"/>
    </row>
    <row r="61" spans="2:20" s="2822" customFormat="1">
      <c r="B61" s="2821" t="s">
        <v>387</v>
      </c>
      <c r="E61" s="3366" t="s">
        <v>203</v>
      </c>
      <c r="H61" s="2825">
        <v>18230610</v>
      </c>
      <c r="I61" s="2824">
        <f>'Engy Adv Detail_PSCE  Elec'!H5</f>
        <v>646787.81999999995</v>
      </c>
      <c r="J61" s="2824">
        <f>'Engy Adv Detail_PSCE  Elec'!I5</f>
        <v>0</v>
      </c>
      <c r="K61" s="2824">
        <f>'Engy Adv Detail_PSCE  Elec'!J5</f>
        <v>431407.47593999997</v>
      </c>
      <c r="L61" s="2824">
        <f>'Engy Adv Detail_PSCE  Elec'!K5</f>
        <v>0</v>
      </c>
      <c r="M61" s="2824">
        <f>'Engy Adv Detail_PSCE  Elec'!L5</f>
        <v>44000</v>
      </c>
      <c r="N61" s="2824">
        <f>'Engy Adv Detail_PSCE  Elec'!M5</f>
        <v>1000</v>
      </c>
      <c r="O61" s="2824">
        <f>'Engy Adv Detail_PSCE  Elec'!N5</f>
        <v>3000</v>
      </c>
      <c r="P61" s="2824">
        <f>'Engy Adv Detail_PSCE  Elec'!O5</f>
        <v>1350</v>
      </c>
      <c r="Q61" s="2824">
        <f>'Engy Adv Detail_PSCE  Elec'!P5</f>
        <v>0</v>
      </c>
      <c r="R61" s="2824"/>
      <c r="S61" s="2824">
        <f>'Engy Adv Detail_PSCE  Elec'!R5</f>
        <v>1127545.2959399999</v>
      </c>
      <c r="T61" s="2826"/>
    </row>
    <row r="62" spans="2:20" s="2822" customFormat="1">
      <c r="B62" s="2821" t="s">
        <v>388</v>
      </c>
      <c r="E62" s="3366" t="s">
        <v>204</v>
      </c>
      <c r="H62" s="2825">
        <v>18230602</v>
      </c>
      <c r="I62" s="2824">
        <f>'Events Detail_PSCE Elec'!H5</f>
        <v>327715.86599999998</v>
      </c>
      <c r="J62" s="2824">
        <f>'Events Detail_PSCE Elec'!I5</f>
        <v>2331.6</v>
      </c>
      <c r="K62" s="2824">
        <f>'Events Detail_PSCE Elec'!J5</f>
        <v>220141.65982200002</v>
      </c>
      <c r="L62" s="2824">
        <f>'Events Detail_PSCE Elec'!K5</f>
        <v>10440</v>
      </c>
      <c r="M62" s="2824">
        <f>'Events Detail_PSCE Elec'!L5</f>
        <v>8720</v>
      </c>
      <c r="N62" s="2824">
        <f>'Events Detail_PSCE Elec'!M5</f>
        <v>94775</v>
      </c>
      <c r="O62" s="2824">
        <f>'Events Detail_PSCE Elec'!N5</f>
        <v>4785</v>
      </c>
      <c r="P62" s="2824">
        <f>'Events Detail_PSCE Elec'!O5</f>
        <v>0</v>
      </c>
      <c r="Q62" s="2824">
        <f>'Events Detail_PSCE Elec'!P5</f>
        <v>0</v>
      </c>
      <c r="R62" s="2824"/>
      <c r="S62" s="2824">
        <f>'Events Detail_PSCE Elec'!R5</f>
        <v>668909.12582199997</v>
      </c>
      <c r="T62" s="2826"/>
    </row>
    <row r="63" spans="2:20" s="2822" customFormat="1">
      <c r="B63" s="2821" t="s">
        <v>389</v>
      </c>
      <c r="E63" s="3366" t="s">
        <v>357</v>
      </c>
      <c r="H63" s="2825">
        <v>18230482</v>
      </c>
      <c r="I63" s="2824">
        <f>'Brochures Detail_PSCE Elec'!H5</f>
        <v>16268.87</v>
      </c>
      <c r="J63" s="2824">
        <f>'Brochures Detail_PSCE Elec'!I5</f>
        <v>13065</v>
      </c>
      <c r="K63" s="2824">
        <f>'Brochures Detail_PSCE Elec'!J5</f>
        <v>19565.691290000002</v>
      </c>
      <c r="L63" s="2824">
        <f>'Brochures Detail_PSCE Elec'!K5</f>
        <v>13000</v>
      </c>
      <c r="M63" s="2824">
        <f>'Brochures Detail_PSCE Elec'!L5</f>
        <v>0</v>
      </c>
      <c r="N63" s="2824">
        <f>'Brochures Detail_PSCE Elec'!M5</f>
        <v>2610</v>
      </c>
      <c r="O63" s="2824">
        <f>'Brochures Detail_PSCE Elec'!N5</f>
        <v>23920</v>
      </c>
      <c r="P63" s="2824">
        <f>'Brochures Detail_PSCE Elec'!O5</f>
        <v>0</v>
      </c>
      <c r="Q63" s="2824">
        <f>'Brochures Detail_PSCE Elec'!P5</f>
        <v>0</v>
      </c>
      <c r="R63" s="2824"/>
      <c r="S63" s="2824">
        <f>'Brochures Detail_PSCE Elec'!R5</f>
        <v>88429.561290000012</v>
      </c>
      <c r="T63" s="2826"/>
    </row>
    <row r="64" spans="2:20" s="2822" customFormat="1">
      <c r="B64" s="2821" t="s">
        <v>390</v>
      </c>
      <c r="C64" s="2822" t="s">
        <v>355</v>
      </c>
      <c r="E64" s="3366" t="s">
        <v>205</v>
      </c>
      <c r="H64" s="2825">
        <v>18230621</v>
      </c>
      <c r="I64" s="2824">
        <f>'Educatn Detail_PSCE E202 Elec'!H5</f>
        <v>0</v>
      </c>
      <c r="J64" s="2824">
        <f>'Educatn Detail_PSCE E202 Elec'!I5</f>
        <v>0</v>
      </c>
      <c r="K64" s="2824">
        <f>'Educatn Detail_PSCE E202 Elec'!J5</f>
        <v>0</v>
      </c>
      <c r="L64" s="2824">
        <f>'Educatn Detail_PSCE E202 Elec'!K5</f>
        <v>0</v>
      </c>
      <c r="M64" s="2824">
        <f>'Educatn Detail_PSCE E202 Elec'!L5</f>
        <v>0</v>
      </c>
      <c r="N64" s="2824">
        <f>'Educatn Detail_PSCE E202 Elec'!M5</f>
        <v>8800</v>
      </c>
      <c r="O64" s="2824">
        <f>'Educatn Detail_PSCE E202 Elec'!N5</f>
        <v>0</v>
      </c>
      <c r="P64" s="2824">
        <f>'Educatn Detail_PSCE E202 Elec'!O5</f>
        <v>0</v>
      </c>
      <c r="Q64" s="2824">
        <f>'Educatn Detail_PSCE E202 Elec'!P5</f>
        <v>0</v>
      </c>
      <c r="R64" s="2824"/>
      <c r="S64" s="2824">
        <f>'Educatn Detail_PSCE E202 Elec'!R5</f>
        <v>8800</v>
      </c>
      <c r="T64" s="2826"/>
    </row>
    <row r="65" spans="2:20">
      <c r="B65" s="2259"/>
      <c r="C65" s="1866" t="s">
        <v>252</v>
      </c>
      <c r="E65" s="2708" t="s">
        <v>756</v>
      </c>
      <c r="H65" s="1340"/>
      <c r="I65" s="1605">
        <f>SUM(I66:I68)</f>
        <v>242825.46</v>
      </c>
      <c r="J65" s="2142">
        <f t="shared" ref="J65:S65" si="8">SUM(J66:J68)</f>
        <v>1000</v>
      </c>
      <c r="K65" s="2142">
        <f t="shared" si="8"/>
        <v>162631.58182000002</v>
      </c>
      <c r="L65" s="2142">
        <f t="shared" si="8"/>
        <v>0</v>
      </c>
      <c r="M65" s="2142">
        <f t="shared" si="8"/>
        <v>10200</v>
      </c>
      <c r="N65" s="2142">
        <f t="shared" si="8"/>
        <v>620310</v>
      </c>
      <c r="O65" s="2142">
        <f t="shared" si="8"/>
        <v>0</v>
      </c>
      <c r="P65" s="2142">
        <f t="shared" si="8"/>
        <v>0</v>
      </c>
      <c r="Q65" s="2142">
        <f t="shared" si="8"/>
        <v>0</v>
      </c>
      <c r="R65" s="2142">
        <f t="shared" si="8"/>
        <v>0</v>
      </c>
      <c r="S65" s="2142">
        <f t="shared" si="8"/>
        <v>1036967.04182</v>
      </c>
      <c r="T65" s="2144"/>
    </row>
    <row r="66" spans="2:20" s="2822" customFormat="1">
      <c r="B66" s="2821" t="s">
        <v>391</v>
      </c>
      <c r="E66" s="3366" t="s">
        <v>786</v>
      </c>
      <c r="H66" s="2825">
        <v>18230408</v>
      </c>
      <c r="I66" s="2824">
        <f>'CustOnline Detail_PSWE_Elec'!H5</f>
        <v>0</v>
      </c>
      <c r="J66" s="2824">
        <f>'CustOnline Detail_PSWE_Elec'!I5</f>
        <v>0</v>
      </c>
      <c r="K66" s="2824">
        <f>'CustOnline Detail_PSWE_Elec'!J5</f>
        <v>0</v>
      </c>
      <c r="L66" s="2824">
        <f>'CustOnline Detail_PSWE_Elec'!K5</f>
        <v>0</v>
      </c>
      <c r="M66" s="2824">
        <f>'CustOnline Detail_PSWE_Elec'!L5</f>
        <v>0</v>
      </c>
      <c r="N66" s="2824">
        <f>'CustOnline Detail_PSWE_Elec'!M5</f>
        <v>588990</v>
      </c>
      <c r="O66" s="2824">
        <f>'CustOnline Detail_PSWE_Elec'!N5</f>
        <v>0</v>
      </c>
      <c r="P66" s="2824">
        <f>'CustOnline Detail_PSWE_Elec'!O5</f>
        <v>0</v>
      </c>
      <c r="Q66" s="2824">
        <f>'CustOnline Detail_PSWE_Elec'!P5</f>
        <v>0</v>
      </c>
      <c r="R66" s="2824"/>
      <c r="S66" s="2824">
        <f>'CustOnline Detail_PSWE_Elec'!R5</f>
        <v>588990</v>
      </c>
      <c r="T66" s="2826"/>
    </row>
    <row r="67" spans="2:20" s="2822" customFormat="1">
      <c r="B67" s="2821" t="s">
        <v>392</v>
      </c>
      <c r="E67" s="3366" t="s">
        <v>341</v>
      </c>
      <c r="H67" s="2825">
        <v>18230466</v>
      </c>
      <c r="I67" s="2824">
        <f>'Mkt Intgn Detail_PSWE_Elec'!H5</f>
        <v>180400</v>
      </c>
      <c r="J67" s="2824">
        <f>'Mkt Intgn Detail_PSWE_Elec'!I5</f>
        <v>0</v>
      </c>
      <c r="K67" s="2824">
        <f>'Mkt Intgn Detail_PSWE_Elec'!J5</f>
        <v>120326.8</v>
      </c>
      <c r="L67" s="2824">
        <f>'Mkt Intgn Detail_PSWE_Elec'!K5</f>
        <v>0</v>
      </c>
      <c r="M67" s="2824">
        <f>'Mkt Intgn Detail_PSWE_Elec'!L5</f>
        <v>8700</v>
      </c>
      <c r="N67" s="2824">
        <f>'Mkt Intgn Detail_PSWE_Elec'!M5</f>
        <v>13920</v>
      </c>
      <c r="O67" s="2824">
        <f>'Mkt Intgn Detail_PSWE_Elec'!N5</f>
        <v>0</v>
      </c>
      <c r="P67" s="2824">
        <f>'Mkt Intgn Detail_PSWE_Elec'!O5</f>
        <v>0</v>
      </c>
      <c r="Q67" s="2824">
        <f>'Mkt Intgn Detail_PSWE_Elec'!P5</f>
        <v>0</v>
      </c>
      <c r="R67" s="2824"/>
      <c r="S67" s="2824">
        <f>'Mkt Intgn Detail_PSWE_Elec'!R5</f>
        <v>323346.8</v>
      </c>
      <c r="T67" s="2826"/>
    </row>
    <row r="68" spans="2:20" s="2822" customFormat="1">
      <c r="B68" s="2821" t="s">
        <v>1638</v>
      </c>
      <c r="E68" s="3366" t="s">
        <v>1636</v>
      </c>
      <c r="H68" s="3156">
        <v>18230411</v>
      </c>
      <c r="I68" s="2824">
        <f>'ABS Detail_PSWE_Elec'!H5</f>
        <v>62425.46</v>
      </c>
      <c r="J68" s="2824">
        <f>'ABS Detail_PSWE_Elec'!I5</f>
        <v>1000</v>
      </c>
      <c r="K68" s="2824">
        <f>'ABS Detail_PSWE_Elec'!J5</f>
        <v>42304.781820000004</v>
      </c>
      <c r="L68" s="2824">
        <f>'ABS Detail_PSWE_Elec'!K5</f>
        <v>0</v>
      </c>
      <c r="M68" s="2824">
        <f>'ABS Detail_PSWE_Elec'!L5</f>
        <v>1500</v>
      </c>
      <c r="N68" s="2824">
        <f>'ABS Detail_PSWE_Elec'!M5</f>
        <v>17400</v>
      </c>
      <c r="O68" s="2824">
        <f>'ABS Detail_PSWE_Elec'!N5</f>
        <v>0</v>
      </c>
      <c r="P68" s="2824">
        <f>'ABS Detail_PSWE_Elec'!O5</f>
        <v>0</v>
      </c>
      <c r="Q68" s="2824">
        <f>'ABS Detail_PSWE_Elec'!P5</f>
        <v>0</v>
      </c>
      <c r="R68" s="2824">
        <f>'ABS Detail_PSWE_Elec'!P5</f>
        <v>0</v>
      </c>
      <c r="S68" s="2824">
        <f>'ABS Detail_PSWE_Elec'!R5</f>
        <v>124630.24182</v>
      </c>
      <c r="T68" s="2826"/>
    </row>
    <row r="69" spans="2:20" s="2177" customFormat="1">
      <c r="B69" s="2259" t="s">
        <v>736</v>
      </c>
      <c r="E69" s="2177" t="s">
        <v>1564</v>
      </c>
      <c r="H69" s="2263">
        <v>18230507</v>
      </c>
      <c r="I69" s="2142">
        <f>'Rebt Procg Detail_Elect'!H5</f>
        <v>382473.576</v>
      </c>
      <c r="J69" s="2142">
        <f>'Rebt Procg Detail_Elect'!I5</f>
        <v>0</v>
      </c>
      <c r="K69" s="2142">
        <f>'Rebt Procg Detail_Elect'!J5</f>
        <v>255109.87519200001</v>
      </c>
      <c r="L69" s="2142">
        <f>'Rebt Procg Detail_Elect'!K5</f>
        <v>0</v>
      </c>
      <c r="M69" s="2142">
        <f>'Rebt Procg Detail_Elect'!L5</f>
        <v>18096</v>
      </c>
      <c r="N69" s="2142">
        <f>'Rebt Procg Detail_Elect'!M5</f>
        <v>0</v>
      </c>
      <c r="O69" s="2142">
        <f>'Rebt Procg Detail_Elect'!N5</f>
        <v>4350</v>
      </c>
      <c r="P69" s="2142">
        <f>'Rebt Procg Detail_Elect'!O5</f>
        <v>0</v>
      </c>
      <c r="Q69" s="2142">
        <f>'Rebt Procg Detail_Elect'!P5</f>
        <v>0</v>
      </c>
      <c r="S69" s="2142">
        <f>'Rebt Procg Detail_Elect'!R5</f>
        <v>660029.45119199995</v>
      </c>
      <c r="T69" s="2144"/>
    </row>
    <row r="70" spans="2:20" s="2177" customFormat="1">
      <c r="B70" s="2259" t="s">
        <v>400</v>
      </c>
      <c r="E70" s="2195" t="s">
        <v>636</v>
      </c>
      <c r="F70" s="2194"/>
      <c r="G70" s="2194"/>
      <c r="H70" s="1340">
        <v>18230810</v>
      </c>
      <c r="I70" s="2142">
        <f>'Progs Supp Detail_PS_ Elec'!H5</f>
        <v>179468.95</v>
      </c>
      <c r="J70" s="2142">
        <f>'Progs Supp Detail_PS_ Elec'!I5</f>
        <v>0</v>
      </c>
      <c r="K70" s="2142">
        <f>'Progs Supp Detail_PS_ Elec'!J5</f>
        <v>119705.78965000002</v>
      </c>
      <c r="L70" s="2142">
        <f>'Progs Supp Detail_PS_ Elec'!K5</f>
        <v>0</v>
      </c>
      <c r="M70" s="2142">
        <f>'Progs Supp Detail_PS_ Elec'!L5</f>
        <v>12000</v>
      </c>
      <c r="N70" s="2142">
        <f>'Progs Supp Detail_PS_ Elec'!M5</f>
        <v>0</v>
      </c>
      <c r="O70" s="2142">
        <f>'Progs Supp Detail_PS_ Elec'!N5</f>
        <v>0</v>
      </c>
      <c r="P70" s="2142">
        <f>'Progs Supp Detail_PS_ Elec'!O5</f>
        <v>0</v>
      </c>
      <c r="Q70" s="2142">
        <f>'Progs Supp Detail_PS_ Elec'!P5</f>
        <v>0</v>
      </c>
      <c r="S70" s="2142">
        <f>'Progs Supp Detail_PS_ Elec'!R5</f>
        <v>311174.73965</v>
      </c>
      <c r="T70" s="2144"/>
    </row>
    <row r="71" spans="2:20" s="2177" customFormat="1">
      <c r="B71" s="2259" t="s">
        <v>737</v>
      </c>
      <c r="E71" s="2177" t="s">
        <v>637</v>
      </c>
      <c r="H71" s="2263">
        <v>18230745</v>
      </c>
      <c r="I71" s="2142">
        <f>'Data &amp; Systm Svcs_Elect'!H5</f>
        <v>433672.39999999997</v>
      </c>
      <c r="J71" s="2142">
        <f>'Data &amp; Systm Svcs_Elect'!I5</f>
        <v>0</v>
      </c>
      <c r="K71" s="2142">
        <f>'Data &amp; Systm Svcs_Elect'!J5</f>
        <v>289259.49079999997</v>
      </c>
      <c r="L71" s="2142">
        <f>'Data &amp; Systm Svcs_Elect'!K5</f>
        <v>0</v>
      </c>
      <c r="M71" s="2142">
        <f>'Data &amp; Systm Svcs_Elect'!L5</f>
        <v>12000</v>
      </c>
      <c r="N71" s="2142">
        <f>'Data &amp; Systm Svcs_Elect'!M5</f>
        <v>461100</v>
      </c>
      <c r="O71" s="2142">
        <f>'Data &amp; Systm Svcs_Elect'!N5</f>
        <v>0</v>
      </c>
      <c r="P71" s="2142">
        <f>'Data &amp; Systm Svcs_Elect'!O5</f>
        <v>0</v>
      </c>
      <c r="Q71" s="2142">
        <f>'Data &amp; Systm Svcs_Elect'!P5</f>
        <v>0</v>
      </c>
      <c r="S71" s="2142">
        <f>'Data &amp; Systm Svcs_Elect'!Q5</f>
        <v>1196031.8907999999</v>
      </c>
      <c r="T71" s="2144"/>
    </row>
    <row r="72" spans="2:20">
      <c r="B72" s="2259" t="s">
        <v>393</v>
      </c>
      <c r="E72" s="1866" t="s">
        <v>26</v>
      </c>
      <c r="H72" s="1340">
        <v>18230811</v>
      </c>
      <c r="I72" s="1605">
        <f>'EEC Detail_PS_Elec'!H5</f>
        <v>402285.54000000004</v>
      </c>
      <c r="J72" s="1605">
        <f>'EEC Detail_PS_Elec'!I5</f>
        <v>6586.1</v>
      </c>
      <c r="K72" s="1605">
        <f>'EEC Detail_PS_Elec'!J5</f>
        <v>272717.38388000004</v>
      </c>
      <c r="L72" s="1605">
        <f>'EEC Detail_PS_Elec'!K5</f>
        <v>93305</v>
      </c>
      <c r="M72" s="1605">
        <f>'EEC Detail_PS_Elec'!L5</f>
        <v>73515</v>
      </c>
      <c r="N72" s="1605">
        <f>'EEC Detail_PS_Elec'!M5</f>
        <v>28275</v>
      </c>
      <c r="O72" s="1605">
        <f>'EEC Detail_PS_Elec'!N5</f>
        <v>22615</v>
      </c>
      <c r="P72" s="1605">
        <f>'EEC Detail_PS_Elec'!O5</f>
        <v>0</v>
      </c>
      <c r="Q72" s="1605">
        <f>'EEC Detail_PS_Elec'!P5</f>
        <v>0</v>
      </c>
      <c r="S72" s="1605">
        <f>'EEC Detail_PS_Elec'!R5</f>
        <v>899299.02387999999</v>
      </c>
      <c r="T72" s="2144"/>
    </row>
    <row r="73" spans="2:20">
      <c r="B73" s="2259" t="s">
        <v>394</v>
      </c>
      <c r="E73" s="1862" t="s">
        <v>164</v>
      </c>
      <c r="F73" s="1862"/>
      <c r="G73" s="1862"/>
      <c r="H73" s="1340">
        <v>18230730</v>
      </c>
      <c r="I73" s="1605">
        <f>'TradeAlly Detail_PS_ Elec'!H5</f>
        <v>0</v>
      </c>
      <c r="J73" s="1605">
        <f>'TradeAlly Detail_PS_ Elec'!I5</f>
        <v>0</v>
      </c>
      <c r="K73" s="1605">
        <f>'TradeAlly Detail_PS_ Elec'!J5</f>
        <v>0</v>
      </c>
      <c r="L73" s="1605">
        <f>'TradeAlly Detail_PS_ Elec'!K5</f>
        <v>0</v>
      </c>
      <c r="M73" s="1605">
        <f>'TradeAlly Detail_PS_ Elec'!L5</f>
        <v>0</v>
      </c>
      <c r="N73" s="1605">
        <f>'TradeAlly Detail_PS_ Elec'!M5</f>
        <v>56550</v>
      </c>
      <c r="O73" s="1605">
        <f>'TradeAlly Detail_PS_ Elec'!N5</f>
        <v>0</v>
      </c>
      <c r="P73" s="1605">
        <f>'TradeAlly Detail_PS_ Elec'!O5</f>
        <v>61111</v>
      </c>
      <c r="Q73" s="1605">
        <f>'TradeAlly Detail_PS_ Elec'!P5</f>
        <v>0</v>
      </c>
      <c r="S73" s="1605">
        <f>'TradeAlly Detail_PS_ Elec'!R5</f>
        <v>117661</v>
      </c>
      <c r="T73" s="2144"/>
    </row>
    <row r="74" spans="2:20" s="2177" customFormat="1">
      <c r="B74" s="2259" t="s">
        <v>738</v>
      </c>
      <c r="E74" s="2194" t="s">
        <v>662</v>
      </c>
      <c r="F74" s="2194"/>
      <c r="G74" s="2194"/>
      <c r="H74" s="246">
        <v>18230746</v>
      </c>
      <c r="I74" s="2142">
        <f>CAN_Elect!H5</f>
        <v>150270.88</v>
      </c>
      <c r="J74" s="2142">
        <f>CAN_Elect!I5</f>
        <v>4000</v>
      </c>
      <c r="K74" s="2142">
        <f>CAN_Elect!J5</f>
        <v>102898.67696000001</v>
      </c>
      <c r="L74" s="2142">
        <f>CAN_Elect!K5</f>
        <v>14000</v>
      </c>
      <c r="M74" s="2142">
        <f>CAN_Elect!L5</f>
        <v>5000</v>
      </c>
      <c r="N74" s="2142">
        <f>CAN_Elect!M5</f>
        <v>16000</v>
      </c>
      <c r="O74" s="2142">
        <f>CAN_Elect!N5</f>
        <v>1500</v>
      </c>
      <c r="P74" s="2142">
        <f>CAN_Elect!O5</f>
        <v>0</v>
      </c>
      <c r="Q74" s="2142">
        <f>CAN_Elect!P5</f>
        <v>0</v>
      </c>
      <c r="R74" s="2142">
        <f>CAN_Elect!Q5</f>
        <v>-311785.46000000002</v>
      </c>
      <c r="S74" s="2142">
        <f>CAN_Elect!R5</f>
        <v>-18115.903040000005</v>
      </c>
      <c r="T74" s="2144"/>
    </row>
    <row r="75" spans="2:20" s="1737" customFormat="1">
      <c r="B75" s="2011"/>
      <c r="D75" s="2064"/>
      <c r="F75" s="2010"/>
      <c r="H75" s="245" t="s">
        <v>165</v>
      </c>
      <c r="I75" s="603">
        <f t="shared" ref="I75:S75" si="9">I60+I65+SUM(I69:I74)</f>
        <v>2781769.3619999997</v>
      </c>
      <c r="J75" s="2012">
        <f t="shared" si="9"/>
        <v>26982.699999999997</v>
      </c>
      <c r="K75" s="2012">
        <f t="shared" si="9"/>
        <v>1873437.6253540001</v>
      </c>
      <c r="L75" s="2012">
        <f t="shared" si="9"/>
        <v>130745</v>
      </c>
      <c r="M75" s="2012">
        <f t="shared" si="9"/>
        <v>183531</v>
      </c>
      <c r="N75" s="2012">
        <f t="shared" si="9"/>
        <v>1289420</v>
      </c>
      <c r="O75" s="2012">
        <f t="shared" si="9"/>
        <v>60170</v>
      </c>
      <c r="P75" s="2012">
        <f t="shared" si="9"/>
        <v>62461</v>
      </c>
      <c r="Q75" s="2012">
        <f t="shared" si="9"/>
        <v>0</v>
      </c>
      <c r="R75" s="2012">
        <f t="shared" si="9"/>
        <v>-311785.46000000002</v>
      </c>
      <c r="S75" s="2012">
        <f t="shared" si="9"/>
        <v>6096731.2273539994</v>
      </c>
      <c r="T75" s="2013"/>
    </row>
    <row r="76" spans="2:20">
      <c r="B76" s="2011"/>
      <c r="H76" s="1340"/>
      <c r="T76" s="2144"/>
    </row>
    <row r="77" spans="2:20">
      <c r="B77" s="2011"/>
      <c r="C77" s="2177" t="s">
        <v>334</v>
      </c>
      <c r="H77" s="1340"/>
      <c r="T77" s="2144"/>
    </row>
    <row r="78" spans="2:20">
      <c r="B78" s="2259" t="s">
        <v>395</v>
      </c>
      <c r="E78" s="1866" t="s">
        <v>27</v>
      </c>
      <c r="H78" s="1340">
        <v>18230809</v>
      </c>
      <c r="I78" s="1605">
        <f>'SuppCrv Detail_R&amp;C_Elec'!H5</f>
        <v>91546.79</v>
      </c>
      <c r="J78" s="1605">
        <f>'SuppCrv Detail_R&amp;C_Elec'!I5</f>
        <v>0</v>
      </c>
      <c r="K78" s="1605">
        <f>'SuppCrv Detail_R&amp;C_Elec'!J5</f>
        <v>61061.708930000001</v>
      </c>
      <c r="L78" s="1605">
        <f>'SuppCrv Detail_R&amp;C_Elec'!K5</f>
        <v>0</v>
      </c>
      <c r="M78" s="1605">
        <f>'SuppCrv Detail_R&amp;C_Elec'!L5</f>
        <v>1044</v>
      </c>
      <c r="N78" s="1605">
        <f>'SuppCrv Detail_R&amp;C_Elec'!M5</f>
        <v>287100</v>
      </c>
      <c r="O78" s="1605">
        <f>'SuppCrv Detail_R&amp;C_Elec'!N5</f>
        <v>0</v>
      </c>
      <c r="P78" s="1605">
        <f>'SuppCrv Detail_R&amp;C_Elec'!O5</f>
        <v>0</v>
      </c>
      <c r="Q78" s="1605">
        <f>'SuppCrv Detail_R&amp;C_Elec'!P5</f>
        <v>0</v>
      </c>
      <c r="S78" s="1605">
        <f>'SuppCrv Detail_R&amp;C_Elec'!R5</f>
        <v>440752.49893</v>
      </c>
      <c r="T78" s="2144"/>
    </row>
    <row r="79" spans="2:20">
      <c r="B79" s="2259" t="s">
        <v>396</v>
      </c>
      <c r="E79" s="1866" t="s">
        <v>32</v>
      </c>
      <c r="H79" s="1340">
        <v>18230469</v>
      </c>
      <c r="I79" s="1605">
        <f>'Strat Plan Detail_R&amp;C_Elec'!H5</f>
        <v>83917.24</v>
      </c>
      <c r="J79" s="1605">
        <f>'Strat Plan Detail_R&amp;C_Elec'!I5</f>
        <v>0</v>
      </c>
      <c r="K79" s="1605">
        <f>'Strat Plan Detail_R&amp;C_Elec'!J5</f>
        <v>55972.799080000004</v>
      </c>
      <c r="L79" s="1605">
        <f>'Strat Plan Detail_R&amp;C_Elec'!K5</f>
        <v>0</v>
      </c>
      <c r="M79" s="1605">
        <f>'Strat Plan Detail_R&amp;C_Elec'!L5</f>
        <v>1044</v>
      </c>
      <c r="N79" s="1605">
        <f>'Strat Plan Detail_R&amp;C_Elec'!M5</f>
        <v>0</v>
      </c>
      <c r="O79" s="1605">
        <f>'Strat Plan Detail_R&amp;C_Elec'!N5</f>
        <v>0</v>
      </c>
      <c r="P79" s="1605">
        <f>'Strat Plan Detail_R&amp;C_Elec'!O5</f>
        <v>0</v>
      </c>
      <c r="Q79" s="1605">
        <f>'Strat Plan Detail_R&amp;C_Elec'!P5</f>
        <v>0</v>
      </c>
      <c r="S79" s="1605">
        <f>'Strat Plan Detail_R&amp;C_Elec'!R5</f>
        <v>140934.03908000002</v>
      </c>
      <c r="T79" s="2144"/>
    </row>
    <row r="80" spans="2:20">
      <c r="B80" s="2259" t="s">
        <v>397</v>
      </c>
      <c r="E80" s="2177" t="s">
        <v>356</v>
      </c>
      <c r="H80" s="1340">
        <v>18230437</v>
      </c>
      <c r="I80" s="1605">
        <f>'Mktg Resch Detail_PS_ Elec'!H5</f>
        <v>146812.5</v>
      </c>
      <c r="J80" s="1605">
        <f>'Mktg Resch Detail_PS_ Elec'!I5</f>
        <v>0</v>
      </c>
      <c r="K80" s="1605">
        <f>'Mktg Resch Detail_PS_ Elec'!J5</f>
        <v>97923.9375</v>
      </c>
      <c r="L80" s="1605">
        <f>'Mktg Resch Detail_PS_ Elec'!K5</f>
        <v>0</v>
      </c>
      <c r="M80" s="1605">
        <f>'Mktg Resch Detail_PS_ Elec'!L5</f>
        <v>4254.3</v>
      </c>
      <c r="N80" s="1605">
        <f>'Mktg Resch Detail_PS_ Elec'!M5</f>
        <v>31363.5</v>
      </c>
      <c r="O80" s="1605">
        <f>'Mktg Resch Detail_PS_ Elec'!N5</f>
        <v>1348.5</v>
      </c>
      <c r="P80" s="1605">
        <f>'Mktg Resch Detail_PS_ Elec'!O5</f>
        <v>0</v>
      </c>
      <c r="Q80" s="1605">
        <f>'Mktg Resch Detail_PS_ Elec'!P5</f>
        <v>0</v>
      </c>
      <c r="S80" s="1605">
        <f>'Mktg Resch Detail_PS_ Elec'!R5</f>
        <v>281702.73749999999</v>
      </c>
      <c r="T80" s="2144"/>
    </row>
    <row r="81" spans="2:20">
      <c r="B81" s="2259" t="s">
        <v>398</v>
      </c>
      <c r="E81" s="1866" t="s">
        <v>28</v>
      </c>
      <c r="H81" s="1340">
        <v>18230802</v>
      </c>
      <c r="I81" s="1605">
        <f>'Eval Detail_R&amp;C_Elec'!H5</f>
        <v>156888.68</v>
      </c>
      <c r="J81" s="1605">
        <f>'Eval Detail_R&amp;C_Elec'!I5</f>
        <v>0</v>
      </c>
      <c r="K81" s="1605">
        <f>'Eval Detail_R&amp;C_Elec'!J5</f>
        <v>104644.74956</v>
      </c>
      <c r="L81" s="1605">
        <f>'Eval Detail_R&amp;C_Elec'!K5</f>
        <v>0</v>
      </c>
      <c r="M81" s="1605">
        <f>'Eval Detail_R&amp;C_Elec'!L5</f>
        <v>1000.5</v>
      </c>
      <c r="N81" s="1605">
        <f>'Eval Detail_R&amp;C_Elec'!M5</f>
        <v>1544250</v>
      </c>
      <c r="O81" s="1605">
        <f>'Eval Detail_R&amp;C_Elec'!N5</f>
        <v>0</v>
      </c>
      <c r="P81" s="1605">
        <f>'Eval Detail_R&amp;C_Elec'!O5</f>
        <v>3915</v>
      </c>
      <c r="Q81" s="1605">
        <f>'Eval Detail_R&amp;C_Elec'!P5</f>
        <v>0</v>
      </c>
      <c r="S81" s="1605">
        <f>'Eval Detail_R&amp;C_Elec'!R5</f>
        <v>1810698.9295600001</v>
      </c>
      <c r="T81" s="2144"/>
    </row>
    <row r="82" spans="2:20" s="2177" customFormat="1">
      <c r="B82" s="2259" t="s">
        <v>437</v>
      </c>
      <c r="E82" s="2177" t="s">
        <v>438</v>
      </c>
      <c r="H82" s="2263">
        <v>18230624</v>
      </c>
      <c r="I82" s="2142">
        <f>'BECAR Detail_R&amp;C Elec'!H6</f>
        <v>0</v>
      </c>
      <c r="J82" s="2142">
        <f>'BECAR Detail_R&amp;C Elec'!I6</f>
        <v>0</v>
      </c>
      <c r="K82" s="2142">
        <f>'BECAR Detail_R&amp;C Elec'!J6</f>
        <v>0</v>
      </c>
      <c r="L82" s="2142">
        <f>'BECAR Detail_R&amp;C Elec'!K6</f>
        <v>0</v>
      </c>
      <c r="M82" s="2142">
        <f>'BECAR Detail_R&amp;C Elec'!L6</f>
        <v>0</v>
      </c>
      <c r="N82" s="2142">
        <f>'BECAR Detail_R&amp;C Elec'!M5</f>
        <v>70000</v>
      </c>
      <c r="O82" s="2142">
        <f>'BECAR Detail_R&amp;C Elec'!N6</f>
        <v>0</v>
      </c>
      <c r="P82" s="2142">
        <f>'BECAR Detail_R&amp;C Elec'!O6</f>
        <v>0</v>
      </c>
      <c r="Q82" s="2142">
        <f>'BECAR Detail_R&amp;C Elec'!P6</f>
        <v>0</v>
      </c>
      <c r="S82" s="2142">
        <f>'BECAR Detail_R&amp;C Elec'!R5</f>
        <v>70000</v>
      </c>
      <c r="T82" s="2144"/>
    </row>
    <row r="83" spans="2:20" s="2140" customFormat="1">
      <c r="B83" s="2259" t="s">
        <v>399</v>
      </c>
      <c r="D83" s="2177"/>
      <c r="E83" s="2140" t="s">
        <v>267</v>
      </c>
      <c r="H83" s="2143">
        <v>18230418</v>
      </c>
      <c r="I83" s="2142">
        <f>'Verifctn Team Detail Elec'!H5</f>
        <v>191236.788</v>
      </c>
      <c r="J83" s="2142">
        <f>'Verifctn Team Detail Elec'!I5</f>
        <v>0</v>
      </c>
      <c r="K83" s="2142">
        <f>'Verifctn Team Detail Elec'!J5</f>
        <v>127554.937596</v>
      </c>
      <c r="L83" s="2142">
        <f>'Verifctn Team Detail Elec'!K5</f>
        <v>0</v>
      </c>
      <c r="M83" s="2142">
        <f>'Verifctn Team Detail Elec'!L5</f>
        <v>8526</v>
      </c>
      <c r="N83" s="2142">
        <f>'Verifctn Team Detail Elec'!M5</f>
        <v>78300</v>
      </c>
      <c r="O83" s="2142">
        <f>'Verifctn Team Detail Elec'!N5</f>
        <v>4785</v>
      </c>
      <c r="P83" s="2142">
        <f>'Verifctn Team Detail Elec'!O5</f>
        <v>0</v>
      </c>
      <c r="Q83" s="2142">
        <f>'Verifctn Team Detail Elec'!P5</f>
        <v>0</v>
      </c>
      <c r="S83" s="2142">
        <f>'Verifctn Team Detail Elec'!R5</f>
        <v>410402.72559599997</v>
      </c>
      <c r="T83" s="2144"/>
    </row>
    <row r="84" spans="2:20" s="1737" customFormat="1">
      <c r="D84" s="2064"/>
      <c r="F84" s="2010"/>
      <c r="H84" s="245" t="s">
        <v>167</v>
      </c>
      <c r="I84" s="603">
        <f t="shared" ref="I84:S84" si="10">SUM(I78:I83)</f>
        <v>670401.99800000002</v>
      </c>
      <c r="J84" s="603">
        <f t="shared" si="10"/>
        <v>0</v>
      </c>
      <c r="K84" s="603">
        <f t="shared" si="10"/>
        <v>447158.13266600005</v>
      </c>
      <c r="L84" s="603">
        <f t="shared" si="10"/>
        <v>0</v>
      </c>
      <c r="M84" s="603">
        <f t="shared" si="10"/>
        <v>15868.8</v>
      </c>
      <c r="N84" s="603">
        <f t="shared" si="10"/>
        <v>2011013.5</v>
      </c>
      <c r="O84" s="603">
        <f t="shared" si="10"/>
        <v>6133.5</v>
      </c>
      <c r="P84" s="603">
        <f t="shared" si="10"/>
        <v>3915</v>
      </c>
      <c r="Q84" s="603">
        <f t="shared" si="10"/>
        <v>0</v>
      </c>
      <c r="R84" s="603">
        <f t="shared" si="10"/>
        <v>0</v>
      </c>
      <c r="S84" s="603">
        <f t="shared" si="10"/>
        <v>3154490.9306660001</v>
      </c>
      <c r="T84" s="2013"/>
    </row>
    <row r="85" spans="2:20">
      <c r="H85" s="1340"/>
      <c r="T85" s="2144"/>
    </row>
    <row r="86" spans="2:20">
      <c r="C86" s="1866" t="s">
        <v>168</v>
      </c>
      <c r="H86" s="1340"/>
      <c r="T86" s="2144"/>
    </row>
    <row r="87" spans="2:20">
      <c r="B87" s="2259" t="s">
        <v>401</v>
      </c>
      <c r="C87" s="2177" t="s">
        <v>209</v>
      </c>
      <c r="E87" s="1866" t="s">
        <v>3</v>
      </c>
      <c r="H87" s="1340">
        <v>18230128</v>
      </c>
      <c r="I87" s="1605">
        <f>'Net Mtr Details_Oth Elec E150'!H5</f>
        <v>234027.87000000002</v>
      </c>
      <c r="J87" s="1605">
        <f>'Net Mtr Details_Oth Elec E150'!I5</f>
        <v>0</v>
      </c>
      <c r="K87" s="1605">
        <f>'Net Mtr Details_Oth Elec E150'!J5</f>
        <v>156096.58929000003</v>
      </c>
      <c r="L87" s="1605">
        <f>'Net Mtr Details_Oth Elec E150'!K5</f>
        <v>0</v>
      </c>
      <c r="M87" s="1605">
        <f>'Net Mtr Details_Oth Elec E150'!L5</f>
        <v>11780</v>
      </c>
      <c r="N87" s="1605">
        <f>'Net Mtr Details_Oth Elec E150'!M5</f>
        <v>50000</v>
      </c>
      <c r="O87" s="1605">
        <f>'Net Mtr Details_Oth Elec E150'!N5</f>
        <v>5000</v>
      </c>
      <c r="P87" s="1605">
        <f>'Net Mtr Details_Oth Elec E150'!O5</f>
        <v>455000</v>
      </c>
      <c r="Q87" s="1605">
        <f>'Net Mtr Details_Oth Elec E150'!P5</f>
        <v>0</v>
      </c>
      <c r="S87" s="1605">
        <f>'Net Mtr Details_Oth Elec E150'!R5</f>
        <v>911904.45929000003</v>
      </c>
      <c r="T87" s="2144"/>
    </row>
    <row r="88" spans="2:20" s="2177" customFormat="1">
      <c r="B88" s="2259" t="s">
        <v>739</v>
      </c>
      <c r="C88" s="2177" t="s">
        <v>210</v>
      </c>
      <c r="E88" s="2177" t="s">
        <v>641</v>
      </c>
      <c r="H88" s="1340">
        <v>18230613</v>
      </c>
      <c r="I88" s="2142">
        <f>'ElecVehcl Chg Inctv_E195 Elect'!H5</f>
        <v>127748.7</v>
      </c>
      <c r="J88" s="2142">
        <f>'ElecVehcl Chg Inctv_E195 Elect'!I5</f>
        <v>14400</v>
      </c>
      <c r="K88" s="2142">
        <f>'ElecVehcl Chg Inctv_E195 Elect'!J5</f>
        <v>94813.1829</v>
      </c>
      <c r="L88" s="2142">
        <f>'ElecVehcl Chg Inctv_E195 Elect'!K5</f>
        <v>0</v>
      </c>
      <c r="M88" s="2142">
        <f>'ElecVehcl Chg Inctv_E195 Elect'!L5</f>
        <v>12000</v>
      </c>
      <c r="N88" s="2142">
        <f>'ElecVehcl Chg Inctv_E195 Elect'!M5</f>
        <v>192220</v>
      </c>
      <c r="O88" s="2142">
        <f>'ElecVehcl Chg Inctv_E195 Elect'!N5</f>
        <v>0</v>
      </c>
      <c r="P88" s="2142">
        <f>'ElecVehcl Chg Inctv_E195 Elect'!O5</f>
        <v>0</v>
      </c>
      <c r="Q88" s="2142">
        <f>'ElecVehcl Chg Inctv_E195 Elect'!P5</f>
        <v>412500</v>
      </c>
      <c r="S88" s="2142">
        <f>'ElecVehcl Chg Inctv_E195 Elect'!R5</f>
        <v>853681.88290000008</v>
      </c>
      <c r="T88" s="2144"/>
    </row>
    <row r="89" spans="2:20">
      <c r="B89" s="2259"/>
      <c r="C89" s="2071"/>
      <c r="D89" s="2071"/>
      <c r="E89" s="2071"/>
      <c r="F89" s="2071"/>
      <c r="G89" s="2071"/>
      <c r="H89" s="2072"/>
      <c r="I89" s="2073"/>
      <c r="J89" s="2073"/>
      <c r="K89" s="2073"/>
      <c r="L89" s="2073"/>
      <c r="M89" s="2073"/>
      <c r="N89" s="2073"/>
      <c r="O89" s="2073"/>
      <c r="P89" s="2073"/>
      <c r="Q89" s="2073"/>
      <c r="R89" s="2073"/>
      <c r="S89" s="2073"/>
      <c r="T89" s="2144"/>
    </row>
    <row r="90" spans="2:20" s="2071" customFormat="1">
      <c r="B90" s="2260"/>
      <c r="H90" s="2072"/>
      <c r="I90" s="2073"/>
      <c r="J90" s="2073"/>
      <c r="K90" s="2073"/>
      <c r="L90" s="2073"/>
      <c r="M90" s="2073"/>
      <c r="N90" s="2073"/>
      <c r="O90" s="2073"/>
      <c r="P90" s="2073"/>
      <c r="Q90" s="2073"/>
      <c r="R90" s="2073"/>
      <c r="S90" s="2073"/>
      <c r="T90" s="2074"/>
    </row>
    <row r="91" spans="2:20" s="1737" customFormat="1">
      <c r="B91" s="2011"/>
      <c r="D91" s="2064"/>
      <c r="F91" s="2010"/>
      <c r="H91" s="245" t="s">
        <v>169</v>
      </c>
      <c r="I91" s="603">
        <f>SUM(I87:I90)</f>
        <v>361776.57</v>
      </c>
      <c r="J91" s="603">
        <f t="shared" ref="J91:S91" si="11">SUM(J87:J90)</f>
        <v>14400</v>
      </c>
      <c r="K91" s="603">
        <f t="shared" si="11"/>
        <v>250909.77219000005</v>
      </c>
      <c r="L91" s="603">
        <f t="shared" si="11"/>
        <v>0</v>
      </c>
      <c r="M91" s="603">
        <f t="shared" si="11"/>
        <v>23780</v>
      </c>
      <c r="N91" s="603">
        <f t="shared" si="11"/>
        <v>242220</v>
      </c>
      <c r="O91" s="603">
        <f t="shared" si="11"/>
        <v>5000</v>
      </c>
      <c r="P91" s="603">
        <f t="shared" si="11"/>
        <v>455000</v>
      </c>
      <c r="Q91" s="603">
        <f t="shared" si="11"/>
        <v>412500</v>
      </c>
      <c r="R91" s="603">
        <f t="shared" si="11"/>
        <v>0</v>
      </c>
      <c r="S91" s="603">
        <f t="shared" si="11"/>
        <v>1765586.3421900002</v>
      </c>
      <c r="T91" s="2013"/>
    </row>
    <row r="92" spans="2:20">
      <c r="B92" s="2011"/>
      <c r="T92" s="2144"/>
    </row>
    <row r="93" spans="2:20" s="2064" customFormat="1">
      <c r="B93" s="2011"/>
      <c r="F93" s="2010"/>
      <c r="H93" s="2010" t="s">
        <v>170</v>
      </c>
      <c r="I93" s="2012">
        <f t="shared" ref="I93:T93" si="12">I23+I47+I52+I57+I75+I84+I91</f>
        <v>8308047.3089999994</v>
      </c>
      <c r="J93" s="2012">
        <f t="shared" si="12"/>
        <v>464273.74</v>
      </c>
      <c r="K93" s="2012">
        <f t="shared" si="12"/>
        <v>5832916.2416830007</v>
      </c>
      <c r="L93" s="2012">
        <f t="shared" si="12"/>
        <v>3629471.0900000003</v>
      </c>
      <c r="M93" s="2012">
        <f t="shared" si="12"/>
        <v>421620.8</v>
      </c>
      <c r="N93" s="2012">
        <f t="shared" si="12"/>
        <v>12945995.5</v>
      </c>
      <c r="O93" s="2012">
        <f t="shared" si="12"/>
        <v>187761.5</v>
      </c>
      <c r="P93" s="2012">
        <f t="shared" si="12"/>
        <v>1597321.5</v>
      </c>
      <c r="Q93" s="2012">
        <f t="shared" si="12"/>
        <v>65524385.273773074</v>
      </c>
      <c r="R93" s="2012">
        <f t="shared" si="12"/>
        <v>-311785.46000000002</v>
      </c>
      <c r="S93" s="2012">
        <f t="shared" si="12"/>
        <v>98600007.494456083</v>
      </c>
      <c r="T93" s="2013">
        <f t="shared" si="12"/>
        <v>294507251.01880002</v>
      </c>
    </row>
    <row r="94" spans="2:20">
      <c r="B94" s="2193"/>
      <c r="T94" s="605">
        <f>T93/1000/8760</f>
        <v>33.619549203059364</v>
      </c>
    </row>
    <row r="95" spans="2:20" s="2316" customFormat="1" ht="202.5">
      <c r="B95" s="2315"/>
      <c r="F95" s="2317"/>
      <c r="G95" s="2321" t="s">
        <v>519</v>
      </c>
      <c r="H95" s="701" t="s">
        <v>217</v>
      </c>
      <c r="I95" s="2319" t="s">
        <v>496</v>
      </c>
      <c r="J95" s="2319" t="s">
        <v>494</v>
      </c>
      <c r="K95" s="2320" t="s">
        <v>497</v>
      </c>
      <c r="L95" s="2319" t="s">
        <v>495</v>
      </c>
      <c r="M95" s="2319" t="s">
        <v>498</v>
      </c>
      <c r="N95" s="2319" t="s">
        <v>499</v>
      </c>
      <c r="O95" s="2319" t="s">
        <v>500</v>
      </c>
      <c r="P95" s="2319" t="s">
        <v>501</v>
      </c>
      <c r="Q95" s="2319" t="s">
        <v>502</v>
      </c>
      <c r="R95" s="2319" t="s">
        <v>218</v>
      </c>
      <c r="S95" s="702"/>
      <c r="T95" s="2318"/>
    </row>
    <row r="98" spans="15:15">
      <c r="O98" s="703"/>
    </row>
  </sheetData>
  <customSheetViews>
    <customSheetView guid="{074EB09C-6289-46D7-9513-012B68BCA7BF}" hiddenRows="1">
      <pane xSplit="7" ySplit="5" topLeftCell="H24" activePane="bottomRight" state="frozen"/>
      <selection pane="bottomRight" activeCell="A41" sqref="A41:XFD41"/>
      <pageMargins left="0.7" right="0.7" top="0.44" bottom="0.34" header="0.3" footer="0.3"/>
      <pageSetup paperSize="17" scale="57" orientation="landscape" r:id="rId1"/>
    </customSheetView>
    <customSheetView guid="{D9EFFE19-D14B-4C6F-BDF4-FF696F73968D}">
      <pane xSplit="7" ySplit="5" topLeftCell="H48" activePane="bottomRight" state="frozen"/>
      <selection pane="bottomRight" activeCell="B64" sqref="B64"/>
      <pageMargins left="0.7" right="0.7" top="0.44" bottom="0.34" header="0.3" footer="0.3"/>
      <pageSetup paperSize="3" scale="57" orientation="landscape" r:id="rId2"/>
    </customSheetView>
  </customSheetViews>
  <mergeCells count="1">
    <mergeCell ref="E5:G5"/>
  </mergeCells>
  <hyperlinks>
    <hyperlink ref="H87" location="'Net Mtr Details_Oth Elec E150'!A1" display="'Net Mtr Details_Oth Elec E150'!A1"/>
    <hyperlink ref="H88" location="'ElecVehcl Chg Inctv_E195 Elect'!A1" display="'ElecVehcl Chg Inctv_E195 Elect'!A1"/>
    <hyperlink ref="H80" location="'Mktg Resch Detail_PS_ Elec'!A1" display="'Mktg Resch Detail_PS_ Elec'!A1"/>
    <hyperlink ref="H78" location="'SuppCrv Detail_R&amp;C_Elec'!A1" display="'SuppCrv Detail_R&amp;C_Elec'!A1"/>
    <hyperlink ref="H79" location="'Strat Plan Detail_R&amp;C_Elec'!A1" display="'Strat Plan Detail_R&amp;C_Elec'!A1"/>
    <hyperlink ref="H81" location="'Eval Detail_R&amp;C_Elec'!A1" display="'Eval Detail_R&amp;C_Elec'!A1"/>
    <hyperlink ref="H83" location="'Verifctn Team Detail Elec'!A1" display="'Verifctn Team Detail Elec'!A1"/>
    <hyperlink ref="H66" location="'CustOnline Detail_PSWE_Elec'!A1" display="'CustOnline Detail_PSWE_Elec'!A1"/>
    <hyperlink ref="H67" location="'Mkt Intgn Detail_PSWE_Elec'!A1" display="'Mkt Intgn Detail_PSWE_Elec'!A1"/>
    <hyperlink ref="H72" location="'EEC Detail_PS_Elec'!A1" display="'EEC Detail_PS_Elec'!A1"/>
    <hyperlink ref="H73" location="'TradeAlly Detail_PS_ Elec'!A1" display="'TradeAlly Detail_PS_ Elec'!A1"/>
    <hyperlink ref="H61" location="'Engy Adv Detail_PSCE  Elec'!A1" display="'Engy Adv Detail_PSCE  Elec'!A1"/>
    <hyperlink ref="H63" location="'Brochures Detail_PSCE Elec'!A1" display="'Brochures Detail_PSCE Elec'!A1"/>
    <hyperlink ref="H64" location="'Educatn Detail_PSCE E202 Elec'!A1" display="'Educatn Detail_PSCE E202 Elec'!A1"/>
    <hyperlink ref="H62" location="'Events Detail_PSCE Elec'!A1" display="'Events Detail_PSCE Elec'!A1"/>
    <hyperlink ref="H68" location="'ABS Detail_PSWE_Elec'!A1" display="'ABS Detail_PSWE_Elec'!A1"/>
    <hyperlink ref="H56" location="'T&amp;D Detail_Reg E292 elec'!A1" display="'T&amp;D Detail_Reg E292 elec'!A1"/>
    <hyperlink ref="H55"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omePrint Detail_REM_E214 Elec'!A1" display="'HomePrin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2" location="'BECAR Detail_R&amp;C Elec'!A1" display="18230tbd"/>
    <hyperlink ref="H15" location="'MHDS Detail_REM_E214 Elec.'!A1" display="'MHDS Detail_REM_E214 Elec.'!A1"/>
    <hyperlink ref="H51" location="'BEM Pilots E249 Elec'!A1" display="'BEM Pilots E249 Elec'!A1"/>
    <hyperlink ref="H50" location="'REM Pilots E249 Elec'!A1" display="18230nnn"/>
    <hyperlink ref="H70" location="'Progs Supp Detail_PS_ Elec'!A1" display="'Progs Supp Detail_PS_ Elec'!A1"/>
    <hyperlink ref="H39" location="'Comm Lgt Mkdn_E262 Elect'!A1" display="'Comm Lgt Mkdn_E262 Elect'!A1"/>
    <hyperlink ref="H40" location="'Comm Kit-Laund_G262 Gas'!A1" display="'Comm Kit-Laund_G262 Gas'!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69" location="'Rebt Procg Detail_Elect'!A1" display="'Rebt Procg Detail_Elect'!A1"/>
    <hyperlink ref="H71" location="'Data &amp; Systm Svcs_Elect'!A1" display="'Data &amp; Systm Svcs_Elect'!A1"/>
    <hyperlink ref="H74"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s>
  <pageMargins left="0.7" right="0.7" top="0.44" bottom="0.34" header="0.3" footer="0.3"/>
  <pageSetup paperSize="3" scale="57" orientation="landscape" r:id="rId3"/>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C000"/>
    <pageSetUpPr fitToPage="1"/>
  </sheetPr>
  <dimension ref="A1:T69"/>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RowHeight="12.75"/>
  <cols>
    <col min="1" max="1" width="18" style="1164" customWidth="1"/>
    <col min="2" max="2" width="15.7109375" style="1866" customWidth="1"/>
    <col min="3" max="3" width="28.140625" customWidth="1"/>
    <col min="4" max="5" width="20.28515625" customWidth="1"/>
    <col min="6" max="7" width="18.140625" customWidth="1"/>
    <col min="8" max="8" width="17.5703125" customWidth="1"/>
    <col min="9" max="18" width="15.85546875" customWidth="1"/>
  </cols>
  <sheetData>
    <row r="1" spans="1:19" ht="56.25" customHeight="1">
      <c r="C1" s="1301"/>
      <c r="D1" s="1812" t="s">
        <v>204</v>
      </c>
      <c r="E1" s="1984" t="s">
        <v>6</v>
      </c>
      <c r="F1" s="1984">
        <v>18230653</v>
      </c>
      <c r="G1" s="1977" t="s">
        <v>31</v>
      </c>
      <c r="J1" s="595"/>
      <c r="K1" s="593"/>
      <c r="L1" s="593"/>
      <c r="M1" s="1812" t="s">
        <v>204</v>
      </c>
      <c r="N1" s="1984" t="s">
        <v>6</v>
      </c>
      <c r="O1" s="1984">
        <v>18230653</v>
      </c>
      <c r="P1" s="1977" t="s">
        <v>31</v>
      </c>
      <c r="Q1" s="593"/>
      <c r="R1" s="593"/>
    </row>
    <row r="2" spans="1:19" ht="16.5" customHeight="1" thickBot="1">
      <c r="C2" s="1783"/>
      <c r="D2" s="1827"/>
      <c r="E2" s="1227"/>
      <c r="F2" s="1227"/>
      <c r="G2" s="1227"/>
      <c r="H2" s="1576" t="s">
        <v>674</v>
      </c>
      <c r="I2" s="593"/>
      <c r="J2" s="593"/>
      <c r="K2" s="593"/>
      <c r="L2" s="593"/>
      <c r="M2" s="593"/>
      <c r="N2" s="593"/>
      <c r="O2" s="593"/>
      <c r="P2" s="593"/>
      <c r="Q2" s="593"/>
      <c r="R2" s="1869"/>
    </row>
    <row r="3" spans="1:19" ht="26.25" thickBot="1">
      <c r="A3" s="1808" t="s">
        <v>204</v>
      </c>
      <c r="B3" s="1808"/>
      <c r="C3" s="1762"/>
      <c r="D3" s="1762"/>
      <c r="F3" s="593"/>
      <c r="G3" s="593"/>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23" t="s">
        <v>6</v>
      </c>
      <c r="B4" s="1808"/>
      <c r="C4" s="1828"/>
      <c r="D4" s="1495"/>
      <c r="E4" s="593"/>
      <c r="F4" s="593"/>
      <c r="G4" s="1704" t="s">
        <v>668</v>
      </c>
      <c r="H4" s="2003">
        <v>37144</v>
      </c>
      <c r="I4" s="2002">
        <v>0</v>
      </c>
      <c r="J4" s="2002">
        <v>26261</v>
      </c>
      <c r="K4" s="2002">
        <v>1950</v>
      </c>
      <c r="L4" s="2002">
        <v>1126</v>
      </c>
      <c r="M4" s="2002">
        <v>14352</v>
      </c>
      <c r="N4" s="2002">
        <v>65</v>
      </c>
      <c r="O4" s="2002">
        <v>650</v>
      </c>
      <c r="P4" s="2002">
        <v>0</v>
      </c>
      <c r="Q4" s="2002">
        <v>0</v>
      </c>
      <c r="R4" s="2000">
        <v>81547</v>
      </c>
      <c r="S4" s="1998"/>
    </row>
    <row r="5" spans="1:19" ht="15.75">
      <c r="A5" s="1823">
        <v>18230653</v>
      </c>
      <c r="B5" s="1823"/>
      <c r="C5" s="1783"/>
      <c r="D5" s="1782"/>
      <c r="E5" s="593"/>
      <c r="F5" s="593"/>
      <c r="G5" s="595">
        <v>2016</v>
      </c>
      <c r="H5" s="1582">
        <f>D15</f>
        <v>58797.859999999993</v>
      </c>
      <c r="I5" s="1549">
        <f>D23</f>
        <v>0</v>
      </c>
      <c r="J5" s="1549">
        <f>D29</f>
        <v>39218.172619999998</v>
      </c>
      <c r="K5" s="1549">
        <f>D36</f>
        <v>1180</v>
      </c>
      <c r="L5" s="1549">
        <f>D42</f>
        <v>1280</v>
      </c>
      <c r="M5" s="1549">
        <f>D48</f>
        <v>14225</v>
      </c>
      <c r="N5" s="1549">
        <f>D54</f>
        <v>715</v>
      </c>
      <c r="O5" s="1549">
        <f>D60</f>
        <v>0</v>
      </c>
      <c r="P5" s="1549">
        <v>0</v>
      </c>
      <c r="Q5" s="1549">
        <v>0</v>
      </c>
      <c r="R5" s="2001">
        <f>SUM(H5:Q5)</f>
        <v>115416.03261999998</v>
      </c>
      <c r="S5" s="1999"/>
    </row>
    <row r="6" spans="1:19" ht="16.5" thickBot="1">
      <c r="A6" s="1808" t="s">
        <v>31</v>
      </c>
      <c r="B6" s="1823"/>
      <c r="C6" s="1782"/>
      <c r="D6" s="1783"/>
      <c r="E6" s="593"/>
      <c r="F6" s="593"/>
      <c r="G6" s="595">
        <v>2017</v>
      </c>
      <c r="H6" s="57">
        <f>E15</f>
        <v>60272.306499999992</v>
      </c>
      <c r="I6" s="1990">
        <f>E23</f>
        <v>0</v>
      </c>
      <c r="J6" s="1989">
        <f>E29</f>
        <v>40985.168419999995</v>
      </c>
      <c r="K6" s="58">
        <f>E36</f>
        <v>530</v>
      </c>
      <c r="L6" s="58">
        <f>E42</f>
        <v>1280</v>
      </c>
      <c r="M6" s="58">
        <f>E48</f>
        <v>8525</v>
      </c>
      <c r="N6" s="58">
        <f>E54</f>
        <v>715</v>
      </c>
      <c r="O6" s="58">
        <f>E60</f>
        <v>0</v>
      </c>
      <c r="P6" s="58">
        <v>0</v>
      </c>
      <c r="Q6" s="58">
        <v>0</v>
      </c>
      <c r="R6" s="1997">
        <f>SUM(H6:Q6)</f>
        <v>112307.47491999998</v>
      </c>
      <c r="S6" s="1996"/>
    </row>
    <row r="7" spans="1:19" ht="16.5" thickBot="1">
      <c r="B7" s="1808"/>
      <c r="C7" s="1782"/>
      <c r="D7" s="1783"/>
      <c r="E7" s="1805"/>
      <c r="F7" s="1805"/>
      <c r="G7" s="598" t="s">
        <v>55</v>
      </c>
      <c r="H7" s="1564">
        <f>SUM(H5:H6)</f>
        <v>119070.16649999999</v>
      </c>
      <c r="I7" s="1991">
        <f t="shared" ref="I7:R7" si="0">SUM(I5:I6)</f>
        <v>0</v>
      </c>
      <c r="J7" s="1992">
        <f t="shared" si="0"/>
        <v>80203.341039999999</v>
      </c>
      <c r="K7" s="1993">
        <f t="shared" si="0"/>
        <v>1710</v>
      </c>
      <c r="L7" s="1991">
        <f t="shared" si="0"/>
        <v>2560</v>
      </c>
      <c r="M7" s="1992">
        <f t="shared" si="0"/>
        <v>22750</v>
      </c>
      <c r="N7" s="1991">
        <f t="shared" si="0"/>
        <v>1430</v>
      </c>
      <c r="O7" s="1992">
        <f t="shared" si="0"/>
        <v>0</v>
      </c>
      <c r="P7" s="1993">
        <f t="shared" si="0"/>
        <v>0</v>
      </c>
      <c r="Q7" s="1991">
        <f t="shared" si="0"/>
        <v>0</v>
      </c>
      <c r="R7" s="1993">
        <f t="shared" si="0"/>
        <v>227723.50753999996</v>
      </c>
      <c r="S7" s="1994"/>
    </row>
    <row r="8" spans="1:19" ht="15.75">
      <c r="B8" s="1808"/>
      <c r="C8" s="1782"/>
      <c r="D8" s="1783"/>
      <c r="E8" s="1805"/>
      <c r="F8" s="1805"/>
      <c r="Q8" s="655"/>
      <c r="R8" s="25"/>
    </row>
    <row r="9" spans="1:19" s="650" customFormat="1" ht="15.75">
      <c r="A9" s="1808"/>
      <c r="B9" s="1808"/>
      <c r="C9" s="1782"/>
      <c r="D9" s="1783"/>
      <c r="E9" s="1805"/>
      <c r="F9" s="1805"/>
      <c r="Q9" s="655"/>
    </row>
    <row r="10" spans="1:19">
      <c r="A10" s="1808"/>
      <c r="B10" s="1808"/>
      <c r="C10" s="1915" t="s">
        <v>329</v>
      </c>
      <c r="D10" s="1915"/>
      <c r="E10" s="1915"/>
      <c r="F10" s="1915"/>
      <c r="H10" s="593"/>
      <c r="I10" s="593"/>
      <c r="J10" s="3635"/>
      <c r="K10" s="3635"/>
      <c r="L10" s="3635"/>
      <c r="M10" s="3635"/>
      <c r="N10" s="3636"/>
      <c r="O10" s="3636"/>
      <c r="P10" s="1771"/>
      <c r="Q10" s="1771"/>
      <c r="R10" s="1771"/>
    </row>
    <row r="11" spans="1:19" ht="15.75">
      <c r="A11" s="1808"/>
      <c r="B11" s="1808"/>
      <c r="C11" s="1866"/>
      <c r="D11" s="1866"/>
      <c r="E11" s="1867"/>
      <c r="F11" s="1866"/>
      <c r="H11" s="593"/>
      <c r="I11" s="593"/>
      <c r="J11" s="3634"/>
      <c r="K11" s="3634"/>
      <c r="L11" s="3634"/>
      <c r="M11" s="3634"/>
      <c r="N11" s="3634"/>
      <c r="O11" s="3634"/>
      <c r="P11" s="3634"/>
      <c r="Q11" s="3634"/>
      <c r="R11" s="3634"/>
    </row>
    <row r="12" spans="1:19">
      <c r="C12" s="1887" t="s">
        <v>314</v>
      </c>
      <c r="D12" s="1924">
        <f>D15+D23+D29+D36+D42+D48+D54+D60</f>
        <v>115416.03261999998</v>
      </c>
      <c r="E12" s="1948">
        <f>E15+E23+E29+E36+E42+E48+E54+E60</f>
        <v>112307.47491999998</v>
      </c>
      <c r="F12" s="1924">
        <f>D12+E12</f>
        <v>227723.50753999996</v>
      </c>
      <c r="H12" s="593"/>
      <c r="I12" s="596"/>
      <c r="J12" s="1771"/>
      <c r="K12" s="1771"/>
      <c r="L12" s="1771"/>
      <c r="M12" s="1730"/>
      <c r="N12" s="1771"/>
      <c r="O12" s="1771"/>
      <c r="P12" s="1770"/>
      <c r="Q12" s="1709"/>
      <c r="R12" s="1709"/>
    </row>
    <row r="13" spans="1:19">
      <c r="C13" s="1947"/>
      <c r="D13" s="1866"/>
      <c r="E13" s="1787"/>
      <c r="F13" s="1866"/>
      <c r="H13" s="593"/>
      <c r="I13" s="596"/>
      <c r="J13" s="1771"/>
      <c r="K13" s="1771"/>
      <c r="L13" s="1771"/>
      <c r="M13" s="1730"/>
      <c r="N13" s="1771"/>
      <c r="O13" s="1771"/>
      <c r="P13" s="1770"/>
      <c r="Q13" s="1709"/>
      <c r="R13" s="1709"/>
    </row>
    <row r="14" spans="1:19" ht="15.75">
      <c r="C14" s="1888" t="s">
        <v>45</v>
      </c>
      <c r="D14" s="1969">
        <v>2016</v>
      </c>
      <c r="E14" s="1970">
        <v>2017</v>
      </c>
      <c r="F14" s="1950" t="s">
        <v>23</v>
      </c>
      <c r="H14" s="593"/>
      <c r="I14" s="596"/>
      <c r="J14" s="1771"/>
      <c r="K14" s="1771"/>
      <c r="L14" s="1771"/>
      <c r="M14" s="1730"/>
      <c r="N14" s="1771"/>
      <c r="O14" s="1771"/>
      <c r="P14" s="1770"/>
      <c r="Q14" s="1709"/>
      <c r="R14" s="1709"/>
    </row>
    <row r="15" spans="1:19">
      <c r="B15" s="1886" t="s">
        <v>312</v>
      </c>
      <c r="C15" s="1910" t="s">
        <v>46</v>
      </c>
      <c r="D15" s="1911">
        <f>SUM(D16:D21)</f>
        <v>58797.859999999993</v>
      </c>
      <c r="E15" s="1926">
        <f>SUM(E16:E21)</f>
        <v>60272.306499999992</v>
      </c>
      <c r="F15" s="1924">
        <f t="shared" ref="F15:F50" si="1">SUM(D15:E15)</f>
        <v>119070.16649999999</v>
      </c>
      <c r="H15" s="593"/>
      <c r="I15" s="596"/>
      <c r="J15" s="1771"/>
      <c r="K15" s="1771"/>
      <c r="L15" s="1771"/>
      <c r="M15" s="1730"/>
      <c r="N15" s="1771"/>
      <c r="O15" s="1771"/>
      <c r="P15" s="1770"/>
      <c r="Q15" s="1709"/>
      <c r="R15" s="1709"/>
    </row>
    <row r="16" spans="1:19">
      <c r="B16" s="2610">
        <v>0.05</v>
      </c>
      <c r="C16" s="2197" t="s">
        <v>344</v>
      </c>
      <c r="D16" s="2201">
        <v>4108.3</v>
      </c>
      <c r="E16" s="2200">
        <f>D16*1.025</f>
        <v>4211.0074999999997</v>
      </c>
      <c r="F16" s="1879">
        <f t="shared" si="1"/>
        <v>8319.307499999999</v>
      </c>
      <c r="H16" s="593"/>
      <c r="I16" s="596"/>
      <c r="J16" s="1771"/>
      <c r="K16" s="1771"/>
      <c r="L16" s="1771"/>
      <c r="M16" s="1730"/>
      <c r="N16" s="1771"/>
      <c r="O16" s="1771"/>
      <c r="P16" s="1770"/>
      <c r="Q16" s="1709"/>
      <c r="R16" s="1709"/>
    </row>
    <row r="17" spans="2:18" s="2177" customFormat="1">
      <c r="B17" s="2610">
        <v>0.1</v>
      </c>
      <c r="C17" s="2197" t="s">
        <v>791</v>
      </c>
      <c r="D17" s="2201">
        <v>8216.6</v>
      </c>
      <c r="E17" s="2200">
        <f>D17*1.025</f>
        <v>8422.0149999999994</v>
      </c>
      <c r="F17" s="1879">
        <f t="shared" si="1"/>
        <v>16638.614999999998</v>
      </c>
      <c r="H17" s="1805"/>
      <c r="I17" s="1782"/>
      <c r="J17" s="1782"/>
      <c r="K17" s="1782"/>
      <c r="L17" s="1782"/>
      <c r="M17" s="1730"/>
      <c r="N17" s="1782"/>
      <c r="O17" s="1782"/>
      <c r="P17" s="1781"/>
      <c r="Q17" s="1709"/>
      <c r="R17" s="1709"/>
    </row>
    <row r="18" spans="2:18" s="2177" customFormat="1">
      <c r="B18" s="2610">
        <v>0.1</v>
      </c>
      <c r="C18" s="2197" t="s">
        <v>853</v>
      </c>
      <c r="D18" s="2199">
        <v>8216.6</v>
      </c>
      <c r="E18" s="2198">
        <f>D18*1.025</f>
        <v>8422.0149999999994</v>
      </c>
      <c r="F18" s="1879">
        <f t="shared" si="1"/>
        <v>16638.614999999998</v>
      </c>
      <c r="H18" s="1805"/>
      <c r="I18" s="1782"/>
      <c r="J18" s="1782"/>
      <c r="K18" s="1782"/>
      <c r="L18" s="1782"/>
      <c r="M18" s="1730"/>
      <c r="N18" s="1782"/>
      <c r="O18" s="1782"/>
      <c r="P18" s="1781"/>
      <c r="Q18" s="1709"/>
      <c r="R18" s="1709"/>
    </row>
    <row r="19" spans="2:18">
      <c r="B19" s="2610">
        <v>0.36</v>
      </c>
      <c r="C19" s="2197" t="s">
        <v>854</v>
      </c>
      <c r="D19" s="2199">
        <v>29579.759999999998</v>
      </c>
      <c r="E19" s="2198">
        <f>D19*1.025</f>
        <v>30319.253999999997</v>
      </c>
      <c r="F19" s="1879">
        <f t="shared" si="1"/>
        <v>59899.013999999996</v>
      </c>
      <c r="H19" s="593"/>
      <c r="I19" s="596"/>
      <c r="J19" s="1771"/>
      <c r="K19" s="1771"/>
      <c r="L19" s="1771"/>
      <c r="M19" s="1730"/>
      <c r="N19" s="1771"/>
      <c r="O19" s="1771"/>
      <c r="P19" s="1770"/>
      <c r="Q19" s="1709"/>
      <c r="R19" s="1709"/>
    </row>
    <row r="20" spans="2:18">
      <c r="B20" s="2610">
        <v>0.1</v>
      </c>
      <c r="C20" s="2197" t="s">
        <v>840</v>
      </c>
      <c r="D20" s="2199">
        <v>8216.6</v>
      </c>
      <c r="E20" s="2198">
        <f>D20*1.025</f>
        <v>8422.0149999999994</v>
      </c>
      <c r="F20" s="1879">
        <f t="shared" si="1"/>
        <v>16638.614999999998</v>
      </c>
      <c r="H20" s="593"/>
      <c r="I20" s="596"/>
      <c r="J20" s="1771"/>
      <c r="K20" s="1771"/>
      <c r="L20" s="1771"/>
      <c r="M20" s="1730"/>
      <c r="N20" s="1771"/>
      <c r="O20" s="1771"/>
      <c r="P20" s="1770"/>
      <c r="Q20" s="1709"/>
      <c r="R20" s="1709"/>
    </row>
    <row r="21" spans="2:18">
      <c r="B21" s="2610"/>
      <c r="C21" s="2197" t="s">
        <v>855</v>
      </c>
      <c r="D21" s="2201">
        <v>460</v>
      </c>
      <c r="E21" s="2201">
        <v>476</v>
      </c>
      <c r="F21" s="1879">
        <f t="shared" si="1"/>
        <v>936</v>
      </c>
      <c r="H21" s="593"/>
      <c r="I21" s="596"/>
      <c r="J21" s="1771"/>
      <c r="K21" s="1771"/>
      <c r="L21" s="1771"/>
      <c r="M21" s="1730"/>
      <c r="N21" s="1771"/>
      <c r="O21" s="1771"/>
      <c r="P21" s="1770"/>
      <c r="Q21" s="1709"/>
      <c r="R21" s="1709"/>
    </row>
    <row r="22" spans="2:18">
      <c r="B22" s="1908">
        <f>SUM(B16:B21)</f>
        <v>0.71</v>
      </c>
      <c r="C22" s="1952"/>
      <c r="D22" s="1954"/>
      <c r="E22" s="1955"/>
      <c r="F22" s="1957"/>
      <c r="H22" s="593"/>
      <c r="I22" s="596"/>
      <c r="J22" s="1771"/>
      <c r="K22" s="1771"/>
      <c r="L22" s="1771"/>
      <c r="M22" s="1730"/>
      <c r="N22" s="1771"/>
      <c r="O22" s="1771"/>
      <c r="P22" s="1770"/>
      <c r="Q22" s="1709"/>
      <c r="R22" s="1709"/>
    </row>
    <row r="23" spans="2:18">
      <c r="C23" s="1910" t="s">
        <v>47</v>
      </c>
      <c r="D23" s="1911">
        <f>SUM(D24:D27)</f>
        <v>0</v>
      </c>
      <c r="E23" s="1926">
        <f>SUM(E24:E27)</f>
        <v>0</v>
      </c>
      <c r="F23" s="1924">
        <f t="shared" si="1"/>
        <v>0</v>
      </c>
      <c r="H23" s="593"/>
      <c r="I23" s="596"/>
      <c r="J23" s="1771"/>
      <c r="K23" s="1771"/>
      <c r="L23" s="1771"/>
      <c r="M23" s="1730"/>
      <c r="N23" s="1771"/>
      <c r="O23" s="1771"/>
      <c r="P23" s="1770"/>
      <c r="Q23" s="1709"/>
      <c r="R23" s="1709"/>
    </row>
    <row r="24" spans="2:18">
      <c r="C24" s="1876"/>
      <c r="D24" s="1907"/>
      <c r="E24" s="1906"/>
      <c r="F24" s="1879">
        <f t="shared" si="1"/>
        <v>0</v>
      </c>
      <c r="H24" s="594"/>
      <c r="I24" s="596"/>
      <c r="J24" s="1771"/>
      <c r="K24" s="1771"/>
      <c r="L24" s="1771"/>
      <c r="M24" s="1730"/>
      <c r="N24" s="1771"/>
      <c r="O24" s="1771"/>
      <c r="P24" s="1770"/>
      <c r="Q24" s="1709"/>
      <c r="R24" s="1709"/>
    </row>
    <row r="25" spans="2:18">
      <c r="C25" s="1876"/>
      <c r="D25" s="1900"/>
      <c r="E25" s="1899"/>
      <c r="F25" s="1891">
        <f t="shared" si="1"/>
        <v>0</v>
      </c>
      <c r="H25" s="593"/>
      <c r="I25" s="596"/>
      <c r="J25" s="1771"/>
      <c r="K25" s="1771"/>
      <c r="L25" s="1771"/>
      <c r="M25" s="1730"/>
      <c r="N25" s="1771"/>
      <c r="O25" s="1771"/>
      <c r="P25" s="1770"/>
      <c r="Q25" s="1709"/>
      <c r="R25" s="1709"/>
    </row>
    <row r="26" spans="2:18">
      <c r="C26" s="1876"/>
      <c r="D26" s="1898"/>
      <c r="E26" s="1897"/>
      <c r="F26" s="1891">
        <f t="shared" si="1"/>
        <v>0</v>
      </c>
      <c r="H26" s="593"/>
      <c r="I26" s="596"/>
      <c r="J26" s="1771"/>
      <c r="K26" s="1771"/>
      <c r="L26" s="1771"/>
      <c r="M26" s="1730"/>
      <c r="N26" s="1771"/>
      <c r="O26" s="1771"/>
      <c r="P26" s="1770"/>
      <c r="Q26" s="1709"/>
      <c r="R26" s="1709"/>
    </row>
    <row r="27" spans="2:18">
      <c r="C27" s="1876"/>
      <c r="D27" s="1896"/>
      <c r="E27" s="1899"/>
      <c r="F27" s="1891">
        <f t="shared" si="1"/>
        <v>0</v>
      </c>
      <c r="H27" s="593"/>
      <c r="I27" s="596"/>
      <c r="J27" s="1771"/>
      <c r="K27" s="1771"/>
      <c r="L27" s="1771"/>
      <c r="M27" s="1730"/>
      <c r="N27" s="1771"/>
      <c r="O27" s="1771"/>
      <c r="P27" s="1770"/>
      <c r="Q27" s="1709"/>
      <c r="R27" s="1709"/>
    </row>
    <row r="28" spans="2:18">
      <c r="C28" s="1877"/>
      <c r="D28" s="1892"/>
      <c r="E28" s="1884"/>
      <c r="F28" s="1892"/>
      <c r="H28" s="593"/>
      <c r="I28" s="596"/>
      <c r="J28" s="1771"/>
      <c r="K28" s="1771"/>
      <c r="L28" s="1771"/>
      <c r="M28" s="1730"/>
      <c r="N28" s="1771"/>
      <c r="O28" s="1771"/>
      <c r="P28" s="1770"/>
      <c r="Q28" s="1709"/>
      <c r="R28" s="1709"/>
    </row>
    <row r="29" spans="2:18">
      <c r="C29" s="1910" t="s">
        <v>48</v>
      </c>
      <c r="D29" s="1911">
        <f>SUM(D31:D34)</f>
        <v>39218.172619999998</v>
      </c>
      <c r="E29" s="1926">
        <f>SUM(E31:E34)</f>
        <v>40985.168419999995</v>
      </c>
      <c r="F29" s="1924">
        <f t="shared" si="1"/>
        <v>80203.341039999999</v>
      </c>
      <c r="H29" s="593"/>
      <c r="I29" s="596"/>
      <c r="J29" s="1771"/>
      <c r="K29" s="1771"/>
      <c r="L29" s="1771"/>
      <c r="M29" s="1730"/>
      <c r="N29" s="1771"/>
      <c r="O29" s="1771"/>
      <c r="P29" s="1770"/>
      <c r="Q29" s="1709"/>
      <c r="R29" s="1709"/>
    </row>
    <row r="30" spans="2:18">
      <c r="C30" s="1909" t="s">
        <v>315</v>
      </c>
      <c r="D30" s="1912">
        <v>0.66700000000000004</v>
      </c>
      <c r="E30" s="1913">
        <v>0.68</v>
      </c>
      <c r="F30" s="1949"/>
      <c r="H30" s="593"/>
      <c r="I30" s="596"/>
      <c r="J30" s="1771"/>
      <c r="K30" s="1771"/>
      <c r="L30" s="1771"/>
      <c r="M30" s="1730"/>
      <c r="N30" s="1771"/>
      <c r="O30" s="1771"/>
      <c r="P30" s="1770"/>
      <c r="Q30" s="1709"/>
      <c r="R30" s="1709"/>
    </row>
    <row r="31" spans="2:18">
      <c r="C31" s="1876" t="s">
        <v>778</v>
      </c>
      <c r="D31" s="1971">
        <f>D15*D30</f>
        <v>39218.172619999998</v>
      </c>
      <c r="E31" s="1972">
        <f>E15*E30</f>
        <v>40985.168419999995</v>
      </c>
      <c r="F31" s="1891">
        <f t="shared" si="1"/>
        <v>80203.341039999999</v>
      </c>
      <c r="H31" s="593"/>
      <c r="I31" s="596"/>
      <c r="J31" s="1771"/>
      <c r="K31" s="1771"/>
      <c r="L31" s="1771"/>
      <c r="M31" s="1730"/>
      <c r="N31" s="1771"/>
      <c r="O31" s="1771"/>
      <c r="P31" s="1770"/>
      <c r="Q31" s="1709"/>
      <c r="R31" s="1709"/>
    </row>
    <row r="32" spans="2:18">
      <c r="C32" s="1876" t="s">
        <v>779</v>
      </c>
      <c r="D32" s="1973">
        <f>D23*D30</f>
        <v>0</v>
      </c>
      <c r="E32" s="1972">
        <f>E23*E30</f>
        <v>0</v>
      </c>
      <c r="F32" s="2191">
        <f t="shared" si="1"/>
        <v>0</v>
      </c>
      <c r="H32" s="593"/>
      <c r="I32" s="596"/>
      <c r="J32" s="1771"/>
      <c r="K32" s="1771"/>
      <c r="L32" s="1771"/>
      <c r="M32" s="1730"/>
      <c r="N32" s="1771"/>
      <c r="O32" s="1771"/>
      <c r="P32" s="1770"/>
      <c r="Q32" s="1709"/>
      <c r="R32" s="1709"/>
    </row>
    <row r="33" spans="1:18">
      <c r="C33" s="1901"/>
      <c r="D33" s="1898"/>
      <c r="E33" s="1897"/>
      <c r="F33" s="2191">
        <f t="shared" si="1"/>
        <v>0</v>
      </c>
      <c r="H33" s="593"/>
      <c r="I33" s="596"/>
      <c r="J33" s="1771"/>
      <c r="K33" s="1771"/>
      <c r="L33" s="1771"/>
      <c r="M33" s="1730"/>
      <c r="N33" s="1771"/>
      <c r="O33" s="1771"/>
      <c r="P33" s="1770"/>
      <c r="Q33" s="1709"/>
      <c r="R33" s="1709"/>
    </row>
    <row r="34" spans="1:18">
      <c r="C34" s="1901"/>
      <c r="D34" s="1896"/>
      <c r="E34" s="1899"/>
      <c r="F34" s="2191">
        <f t="shared" si="1"/>
        <v>0</v>
      </c>
      <c r="H34" s="593"/>
      <c r="I34" s="596"/>
      <c r="J34" s="1771"/>
      <c r="K34" s="1771"/>
      <c r="L34" s="1771"/>
      <c r="M34" s="1730"/>
      <c r="N34" s="1771"/>
      <c r="O34" s="1771"/>
      <c r="P34" s="1770"/>
      <c r="Q34" s="1709"/>
      <c r="R34" s="1709"/>
    </row>
    <row r="35" spans="1:18">
      <c r="C35" s="1952"/>
      <c r="D35" s="1958"/>
      <c r="E35" s="1955"/>
      <c r="F35" s="1958"/>
      <c r="H35" s="593"/>
      <c r="I35" s="596"/>
      <c r="J35" s="1771"/>
      <c r="K35" s="1771"/>
      <c r="L35" s="1771"/>
      <c r="M35" s="1730"/>
      <c r="N35" s="1771"/>
      <c r="O35" s="1771"/>
      <c r="P35" s="1770"/>
      <c r="Q35" s="1709"/>
      <c r="R35" s="1709"/>
    </row>
    <row r="36" spans="1:18">
      <c r="C36" s="1910" t="s">
        <v>49</v>
      </c>
      <c r="D36" s="1911">
        <f>SUM(D37:D40)</f>
        <v>1180</v>
      </c>
      <c r="E36" s="1926">
        <f>SUM(E37:E40)</f>
        <v>530</v>
      </c>
      <c r="F36" s="1924">
        <f t="shared" si="1"/>
        <v>1710</v>
      </c>
      <c r="H36" s="593"/>
      <c r="I36" s="596"/>
      <c r="J36" s="1771"/>
      <c r="K36" s="1771"/>
      <c r="L36" s="1771"/>
      <c r="M36" s="1730"/>
      <c r="N36" s="1771"/>
      <c r="O36" s="1771"/>
      <c r="P36" s="1770"/>
      <c r="Q36" s="1709"/>
      <c r="R36" s="1709"/>
    </row>
    <row r="37" spans="1:18">
      <c r="A37" s="1808" t="s">
        <v>204</v>
      </c>
      <c r="C37" s="2197" t="s">
        <v>856</v>
      </c>
      <c r="D37" s="2202">
        <v>780</v>
      </c>
      <c r="E37" s="2203">
        <v>400</v>
      </c>
      <c r="F37" s="1891">
        <f t="shared" si="1"/>
        <v>1180</v>
      </c>
      <c r="H37" s="593"/>
      <c r="I37" s="596"/>
      <c r="J37" s="1771"/>
      <c r="K37" s="1771"/>
      <c r="L37" s="1771"/>
      <c r="M37" s="1730"/>
      <c r="N37" s="1771"/>
      <c r="O37" s="1771"/>
      <c r="P37" s="1770"/>
      <c r="Q37" s="1709"/>
      <c r="R37" s="1709"/>
    </row>
    <row r="38" spans="1:18">
      <c r="A38" s="1823" t="s">
        <v>6</v>
      </c>
      <c r="C38" s="2197" t="s">
        <v>866</v>
      </c>
      <c r="D38" s="2202">
        <v>400</v>
      </c>
      <c r="E38" s="2203">
        <v>130</v>
      </c>
      <c r="F38" s="1891">
        <f t="shared" si="1"/>
        <v>530</v>
      </c>
      <c r="H38" s="593"/>
      <c r="I38" s="596"/>
      <c r="J38" s="1771"/>
      <c r="K38" s="1771"/>
      <c r="L38" s="1771"/>
      <c r="M38" s="1730"/>
      <c r="N38" s="1771"/>
      <c r="O38" s="1771"/>
      <c r="P38" s="1770"/>
      <c r="Q38" s="1709"/>
      <c r="R38" s="1709"/>
    </row>
    <row r="39" spans="1:18">
      <c r="A39" s="1823">
        <v>18230653</v>
      </c>
      <c r="C39" s="1876"/>
      <c r="D39" s="1971"/>
      <c r="E39" s="1988"/>
      <c r="F39" s="1891">
        <f t="shared" si="1"/>
        <v>0</v>
      </c>
      <c r="H39" s="593"/>
      <c r="I39" s="596"/>
      <c r="J39" s="1771"/>
      <c r="K39" s="1771"/>
      <c r="L39" s="1771"/>
      <c r="M39" s="1730"/>
      <c r="N39" s="1771"/>
      <c r="O39" s="1771"/>
      <c r="P39" s="1770"/>
      <c r="Q39" s="1709"/>
      <c r="R39" s="1709"/>
    </row>
    <row r="40" spans="1:18" ht="12.75" customHeight="1">
      <c r="A40" s="1808" t="s">
        <v>31</v>
      </c>
      <c r="C40" s="1876"/>
      <c r="D40" s="1971"/>
      <c r="E40" s="1988"/>
      <c r="F40" s="1891">
        <f t="shared" si="1"/>
        <v>0</v>
      </c>
      <c r="H40" s="593"/>
      <c r="I40" s="596"/>
      <c r="J40" s="1771"/>
      <c r="K40" s="1771"/>
      <c r="L40" s="1771"/>
      <c r="M40" s="1730"/>
      <c r="N40" s="1771"/>
      <c r="O40" s="1771"/>
      <c r="P40" s="1770"/>
      <c r="Q40" s="1709"/>
      <c r="R40" s="1709"/>
    </row>
    <row r="41" spans="1:18">
      <c r="C41" s="1952"/>
      <c r="D41" s="1958"/>
      <c r="E41" s="1955"/>
      <c r="F41" s="1958"/>
      <c r="H41" s="1453"/>
      <c r="I41" s="1454"/>
      <c r="J41" s="1771"/>
      <c r="K41" s="1771"/>
      <c r="L41" s="1771"/>
      <c r="M41" s="1730"/>
      <c r="N41" s="1771"/>
      <c r="O41" s="1771"/>
      <c r="P41" s="1770"/>
      <c r="Q41" s="1709"/>
      <c r="R41" s="1709"/>
    </row>
    <row r="42" spans="1:18">
      <c r="C42" s="2106" t="s">
        <v>506</v>
      </c>
      <c r="D42" s="1911">
        <f>SUM(D43:D46)</f>
        <v>1280</v>
      </c>
      <c r="E42" s="1926">
        <f>SUM(E43:E46)</f>
        <v>1280</v>
      </c>
      <c r="F42" s="1924">
        <f t="shared" si="1"/>
        <v>2560</v>
      </c>
      <c r="H42" s="593"/>
      <c r="I42" s="596"/>
      <c r="J42" s="1771"/>
      <c r="K42" s="1771"/>
      <c r="L42" s="1771"/>
      <c r="M42" s="1730"/>
      <c r="N42" s="1771"/>
      <c r="O42" s="1771"/>
      <c r="P42" s="1770"/>
      <c r="Q42" s="1709"/>
      <c r="R42" s="1709"/>
    </row>
    <row r="43" spans="1:18">
      <c r="C43" s="2197" t="s">
        <v>846</v>
      </c>
      <c r="D43" s="2202">
        <v>500</v>
      </c>
      <c r="E43" s="2203">
        <v>500</v>
      </c>
      <c r="F43" s="1891">
        <f t="shared" si="1"/>
        <v>1000</v>
      </c>
      <c r="H43" s="593"/>
      <c r="I43" s="596"/>
      <c r="J43" s="1771"/>
      <c r="K43" s="1771"/>
      <c r="L43" s="1771"/>
      <c r="M43" s="1730"/>
      <c r="N43" s="1771"/>
      <c r="O43" s="1771"/>
      <c r="P43" s="1770"/>
      <c r="Q43" s="1709"/>
      <c r="R43" s="1709"/>
    </row>
    <row r="44" spans="1:18">
      <c r="C44" s="2197" t="s">
        <v>858</v>
      </c>
      <c r="D44" s="2202">
        <v>130</v>
      </c>
      <c r="E44" s="2203">
        <v>130</v>
      </c>
      <c r="F44" s="1891">
        <f t="shared" si="1"/>
        <v>260</v>
      </c>
      <c r="H44" s="593"/>
      <c r="I44" s="596"/>
      <c r="J44" s="1771"/>
      <c r="K44" s="1771"/>
      <c r="L44" s="1771"/>
      <c r="M44" s="1730"/>
      <c r="N44" s="1771"/>
      <c r="O44" s="1771"/>
      <c r="P44" s="1770"/>
      <c r="Q44" s="1709"/>
      <c r="R44" s="1709"/>
    </row>
    <row r="45" spans="1:18">
      <c r="C45" s="2197" t="s">
        <v>859</v>
      </c>
      <c r="D45" s="2202">
        <v>650</v>
      </c>
      <c r="E45" s="2163">
        <v>650</v>
      </c>
      <c r="F45" s="1891">
        <f t="shared" si="1"/>
        <v>1300</v>
      </c>
      <c r="H45" s="593"/>
      <c r="I45" s="596"/>
      <c r="J45" s="1771"/>
      <c r="K45" s="1771"/>
      <c r="L45" s="1771"/>
      <c r="M45" s="1730"/>
      <c r="N45" s="1771"/>
      <c r="O45" s="1771"/>
      <c r="P45" s="1770"/>
      <c r="Q45" s="1709"/>
      <c r="R45" s="1709"/>
    </row>
    <row r="46" spans="1:18">
      <c r="C46" s="1876"/>
      <c r="D46" s="1971"/>
      <c r="E46" s="1988"/>
      <c r="F46" s="1891">
        <f t="shared" si="1"/>
        <v>0</v>
      </c>
      <c r="H46" s="593"/>
      <c r="I46" s="596"/>
      <c r="J46" s="1771"/>
      <c r="K46" s="1771"/>
      <c r="L46" s="1771"/>
      <c r="M46" s="1730"/>
      <c r="N46" s="1771"/>
      <c r="O46" s="1771"/>
      <c r="P46" s="1770"/>
      <c r="Q46" s="1709"/>
      <c r="R46" s="1709"/>
    </row>
    <row r="47" spans="1:18">
      <c r="C47" s="1952"/>
      <c r="D47" s="1958"/>
      <c r="E47" s="1955"/>
      <c r="F47" s="1958"/>
      <c r="H47" s="593"/>
      <c r="I47" s="596"/>
      <c r="J47" s="1771"/>
      <c r="K47" s="1771"/>
      <c r="L47" s="1771"/>
      <c r="M47" s="1730"/>
      <c r="N47" s="1771"/>
      <c r="O47" s="1771"/>
      <c r="P47" s="1770"/>
      <c r="Q47" s="1709"/>
      <c r="R47" s="1709"/>
    </row>
    <row r="48" spans="1:18">
      <c r="C48" s="1910" t="s">
        <v>50</v>
      </c>
      <c r="D48" s="1911">
        <f>SUM(D49:D52)</f>
        <v>14225</v>
      </c>
      <c r="E48" s="1926">
        <f>SUM(E49:E52)</f>
        <v>8525</v>
      </c>
      <c r="F48" s="1924">
        <f t="shared" si="1"/>
        <v>22750</v>
      </c>
      <c r="H48" s="593"/>
      <c r="I48" s="596"/>
      <c r="J48" s="1771"/>
      <c r="K48" s="1771"/>
      <c r="L48" s="1771"/>
      <c r="M48" s="1730"/>
      <c r="N48" s="1771"/>
      <c r="O48" s="1771"/>
      <c r="P48" s="1770"/>
      <c r="Q48" s="1709"/>
      <c r="R48" s="1709"/>
    </row>
    <row r="49" spans="3:20">
      <c r="C49" s="2197" t="s">
        <v>860</v>
      </c>
      <c r="D49" s="2202">
        <v>4225</v>
      </c>
      <c r="E49" s="2203">
        <v>4225</v>
      </c>
      <c r="F49" s="1891">
        <f t="shared" si="1"/>
        <v>8450</v>
      </c>
      <c r="H49" s="593"/>
      <c r="I49" s="596"/>
      <c r="J49" s="1771"/>
      <c r="K49" s="1771"/>
      <c r="L49" s="1771"/>
      <c r="M49" s="1730"/>
      <c r="N49" s="1771"/>
      <c r="O49" s="1771"/>
      <c r="P49" s="1770"/>
      <c r="Q49" s="1709"/>
      <c r="R49" s="1709"/>
    </row>
    <row r="50" spans="3:20">
      <c r="C50" s="2197" t="s">
        <v>861</v>
      </c>
      <c r="D50" s="2202">
        <v>3000</v>
      </c>
      <c r="E50" s="2203">
        <v>3000</v>
      </c>
      <c r="F50" s="2191">
        <f t="shared" si="1"/>
        <v>6000</v>
      </c>
      <c r="H50" s="593"/>
      <c r="I50" s="596"/>
      <c r="J50" s="1771"/>
      <c r="K50" s="1771"/>
      <c r="L50" s="1771"/>
      <c r="M50" s="1730"/>
      <c r="N50" s="1771"/>
      <c r="O50" s="1771"/>
      <c r="P50" s="1770"/>
      <c r="Q50" s="1709"/>
      <c r="R50" s="1709"/>
    </row>
    <row r="51" spans="3:20">
      <c r="C51" s="2197" t="s">
        <v>862</v>
      </c>
      <c r="D51" s="2202">
        <v>7000</v>
      </c>
      <c r="E51" s="2203">
        <v>1300</v>
      </c>
      <c r="F51" s="1891">
        <f t="shared" ref="F51:F64" si="2">SUM(D51:E51)</f>
        <v>8300</v>
      </c>
      <c r="H51" s="593"/>
      <c r="I51" s="596"/>
      <c r="J51" s="1771"/>
      <c r="K51" s="1771"/>
      <c r="L51" s="1771"/>
      <c r="M51" s="1730"/>
      <c r="N51" s="1771"/>
      <c r="O51" s="1771"/>
      <c r="P51" s="1770"/>
      <c r="Q51" s="1709"/>
      <c r="R51" s="1709"/>
      <c r="S51" s="593"/>
      <c r="T51" s="593"/>
    </row>
    <row r="52" spans="3:20">
      <c r="C52" s="1876"/>
      <c r="D52" s="1971"/>
      <c r="E52" s="1988"/>
      <c r="F52" s="1891">
        <f t="shared" si="2"/>
        <v>0</v>
      </c>
      <c r="H52" s="593"/>
      <c r="I52" s="593"/>
      <c r="J52" s="1771"/>
      <c r="K52" s="1771"/>
      <c r="L52" s="1771"/>
      <c r="M52" s="1730"/>
      <c r="N52" s="1771"/>
      <c r="O52" s="1771"/>
      <c r="P52" s="1770"/>
      <c r="Q52" s="1709"/>
      <c r="R52" s="1709"/>
      <c r="S52" s="593"/>
      <c r="T52" s="593"/>
    </row>
    <row r="53" spans="3:20">
      <c r="C53" s="1952"/>
      <c r="D53" s="1958"/>
      <c r="E53" s="1955"/>
      <c r="F53" s="1958"/>
      <c r="H53" s="593"/>
      <c r="I53" s="593"/>
      <c r="J53" s="1771"/>
      <c r="K53" s="1771"/>
      <c r="L53" s="1771"/>
      <c r="M53" s="1730"/>
      <c r="N53" s="1771"/>
      <c r="O53" s="1771"/>
      <c r="P53" s="1770"/>
      <c r="Q53" s="1709"/>
      <c r="R53" s="1709"/>
      <c r="S53" s="593"/>
      <c r="T53" s="593"/>
    </row>
    <row r="54" spans="3:20">
      <c r="C54" s="1910" t="s">
        <v>51</v>
      </c>
      <c r="D54" s="1911">
        <f>SUM(D55:D58)</f>
        <v>715</v>
      </c>
      <c r="E54" s="1926">
        <f>SUM(E55:E58)</f>
        <v>715</v>
      </c>
      <c r="F54" s="1924">
        <f t="shared" si="2"/>
        <v>1430</v>
      </c>
      <c r="H54" s="597"/>
      <c r="I54" s="593"/>
      <c r="J54" s="1771"/>
      <c r="K54" s="1771"/>
      <c r="L54" s="1771"/>
      <c r="M54" s="1730"/>
      <c r="N54" s="1771"/>
      <c r="O54" s="1771"/>
      <c r="P54" s="1770"/>
      <c r="Q54" s="1709"/>
      <c r="R54" s="1709"/>
      <c r="S54" s="593"/>
      <c r="T54" s="593"/>
    </row>
    <row r="55" spans="3:20">
      <c r="C55" s="2197" t="s">
        <v>863</v>
      </c>
      <c r="D55" s="2202">
        <v>200</v>
      </c>
      <c r="E55" s="2203">
        <v>200</v>
      </c>
      <c r="F55" s="1891">
        <f t="shared" si="2"/>
        <v>400</v>
      </c>
      <c r="H55" s="593"/>
      <c r="I55" s="593"/>
      <c r="J55" s="1771"/>
      <c r="K55" s="1771"/>
      <c r="L55" s="1771"/>
      <c r="M55" s="1771"/>
      <c r="N55" s="1771"/>
      <c r="O55" s="1771"/>
      <c r="P55" s="1771"/>
      <c r="Q55" s="1774"/>
      <c r="R55" s="1774"/>
      <c r="S55" s="593"/>
      <c r="T55" s="593"/>
    </row>
    <row r="56" spans="3:20">
      <c r="C56" s="2197" t="s">
        <v>864</v>
      </c>
      <c r="D56" s="2202">
        <v>450</v>
      </c>
      <c r="E56" s="2203">
        <v>450</v>
      </c>
      <c r="F56" s="1891">
        <f t="shared" si="2"/>
        <v>900</v>
      </c>
      <c r="H56" s="593"/>
      <c r="I56" s="593"/>
      <c r="J56" s="593"/>
      <c r="K56" s="593"/>
      <c r="L56" s="593"/>
      <c r="M56" s="593"/>
      <c r="N56" s="593"/>
      <c r="O56" s="593"/>
      <c r="P56" s="593"/>
      <c r="Q56" s="593"/>
      <c r="R56" s="593"/>
      <c r="S56" s="593"/>
      <c r="T56" s="593"/>
    </row>
    <row r="57" spans="3:20">
      <c r="C57" s="2197" t="s">
        <v>865</v>
      </c>
      <c r="D57" s="2202">
        <v>65</v>
      </c>
      <c r="E57" s="2203">
        <v>65</v>
      </c>
      <c r="F57" s="1891">
        <f t="shared" si="2"/>
        <v>130</v>
      </c>
      <c r="H57" s="593"/>
      <c r="I57" s="593"/>
      <c r="J57" s="593"/>
      <c r="K57" s="593"/>
      <c r="L57" s="593"/>
      <c r="M57" s="593"/>
      <c r="N57" s="593"/>
      <c r="O57" s="593"/>
      <c r="P57" s="593"/>
      <c r="Q57" s="593"/>
      <c r="R57" s="593"/>
      <c r="S57" s="593"/>
      <c r="T57" s="593"/>
    </row>
    <row r="58" spans="3:20">
      <c r="C58" s="1876"/>
      <c r="D58" s="1971"/>
      <c r="E58" s="1972"/>
      <c r="F58" s="1891">
        <f t="shared" si="2"/>
        <v>0</v>
      </c>
      <c r="H58" s="593"/>
      <c r="I58" s="593"/>
      <c r="J58" s="593"/>
      <c r="K58" s="593"/>
      <c r="L58" s="593"/>
      <c r="M58" s="593"/>
      <c r="N58" s="593"/>
      <c r="O58" s="593"/>
      <c r="P58" s="593"/>
      <c r="Q58" s="593"/>
      <c r="R58" s="593"/>
      <c r="S58" s="593"/>
      <c r="T58" s="593"/>
    </row>
    <row r="59" spans="3:20">
      <c r="C59" s="1952"/>
      <c r="D59" s="1958"/>
      <c r="E59" s="1955"/>
      <c r="F59" s="1958"/>
      <c r="H59" s="1766"/>
      <c r="I59" s="1765"/>
      <c r="J59" s="593"/>
      <c r="K59" s="593"/>
      <c r="L59" s="593"/>
      <c r="M59" s="593"/>
      <c r="N59" s="593"/>
      <c r="O59" s="593"/>
      <c r="P59" s="593"/>
      <c r="Q59" s="593"/>
      <c r="R59" s="593"/>
      <c r="S59" s="593"/>
      <c r="T59" s="593"/>
    </row>
    <row r="60" spans="3:20">
      <c r="C60" s="1910" t="s">
        <v>52</v>
      </c>
      <c r="D60" s="1911">
        <f>SUM(D61:D64)</f>
        <v>0</v>
      </c>
      <c r="E60" s="1926">
        <f>SUM(E61:E64)</f>
        <v>0</v>
      </c>
      <c r="F60" s="1924">
        <f t="shared" si="2"/>
        <v>0</v>
      </c>
      <c r="G60" s="593"/>
      <c r="H60" s="593"/>
      <c r="I60" s="593"/>
      <c r="J60" s="593"/>
      <c r="K60" s="593"/>
      <c r="L60" s="1227"/>
      <c r="M60" s="593"/>
      <c r="N60" s="593"/>
      <c r="O60" s="593"/>
      <c r="P60" s="593"/>
      <c r="Q60" s="593"/>
      <c r="R60" s="593"/>
      <c r="S60" s="593"/>
      <c r="T60" s="593"/>
    </row>
    <row r="61" spans="3:20">
      <c r="C61" s="2197"/>
      <c r="D61" s="2202"/>
      <c r="E61" s="2203"/>
      <c r="F61" s="1891">
        <f t="shared" si="2"/>
        <v>0</v>
      </c>
    </row>
    <row r="62" spans="3:20">
      <c r="C62" s="2197"/>
      <c r="D62" s="2202"/>
      <c r="E62" s="2203"/>
      <c r="F62" s="1891">
        <f t="shared" si="2"/>
        <v>0</v>
      </c>
    </row>
    <row r="63" spans="3:20">
      <c r="C63" s="2116"/>
      <c r="D63" s="2125"/>
      <c r="E63" s="2126"/>
      <c r="F63" s="1890">
        <f t="shared" si="2"/>
        <v>0</v>
      </c>
    </row>
    <row r="64" spans="3:20">
      <c r="C64" s="1876"/>
      <c r="D64" s="1971"/>
      <c r="E64" s="1988"/>
      <c r="F64" s="1891">
        <f t="shared" si="2"/>
        <v>0</v>
      </c>
    </row>
    <row r="65" spans="3:6">
      <c r="C65" s="1952"/>
      <c r="D65" s="1958"/>
      <c r="E65" s="1955"/>
      <c r="F65" s="1958"/>
    </row>
    <row r="66" spans="3:6">
      <c r="C66" s="1910"/>
      <c r="D66" s="1911"/>
      <c r="E66" s="1926"/>
      <c r="F66" s="1924"/>
    </row>
    <row r="67" spans="3:6">
      <c r="C67" s="1967"/>
      <c r="D67" s="1961"/>
      <c r="E67" s="1962"/>
      <c r="F67" s="1966"/>
    </row>
    <row r="68" spans="3:6">
      <c r="C68" s="1968"/>
      <c r="D68" s="1963"/>
      <c r="E68" s="1964"/>
      <c r="F68" s="1965"/>
    </row>
    <row r="69" spans="3:6">
      <c r="C69" s="1959"/>
      <c r="D69" s="1971"/>
      <c r="E69" s="1971"/>
      <c r="F69" s="1956"/>
    </row>
  </sheetData>
  <customSheetViews>
    <customSheetView guid="{074EB09C-6289-46D7-9513-012B68BCA7BF}" showGridLines="0" fitToPage="1">
      <pane xSplit="1" ySplit="1" topLeftCell="B2" activePane="bottomRight" state="frozen"/>
      <selection pane="bottomRight" activeCell="I19" sqref="I19"/>
      <pageMargins left="0.23" right="0.25" top="0.35" bottom="0.46" header="0.3" footer="0.3"/>
      <pageSetup paperSize="17" scale="66" orientation="landscape" r:id="rId1"/>
    </customSheetView>
    <customSheetView guid="{D9EFFE19-D14B-4C6F-BDF4-FF696F73968D}" showGridLines="0" fitToPage="1">
      <pane xSplit="1" ySplit="1" topLeftCell="B5" activePane="bottomRight" state="frozen"/>
      <selection pane="bottomRight" activeCell="H52" sqref="H52"/>
      <pageMargins left="0.23" right="0.25" top="0.35" bottom="0.46" header="0.3" footer="0.3"/>
      <pageSetup paperSize="17" scale="66" orientation="landscape" r:id="rId2"/>
    </customSheetView>
  </customSheetViews>
  <mergeCells count="5">
    <mergeCell ref="Q11:R11"/>
    <mergeCell ref="J11:M11"/>
    <mergeCell ref="J10:M10"/>
    <mergeCell ref="N10:O10"/>
    <mergeCell ref="N11:P11"/>
  </mergeCells>
  <pageMargins left="0.23" right="0.25" top="0.35" bottom="0.46" header="0.3" footer="0.3"/>
  <pageSetup paperSize="17" scale="66" orientation="landscape"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A1:T67"/>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 style="1164" customWidth="1"/>
    <col min="2" max="2" width="16" style="1866" customWidth="1"/>
    <col min="3" max="3" width="32.7109375" customWidth="1"/>
    <col min="4" max="5" width="19.5703125" customWidth="1"/>
    <col min="6" max="7" width="18.5703125" customWidth="1"/>
    <col min="8" max="8" width="12.7109375" customWidth="1"/>
    <col min="9" max="9" width="14.28515625" customWidth="1"/>
    <col min="10" max="11" width="13" customWidth="1"/>
    <col min="12" max="12" width="15.7109375" customWidth="1"/>
    <col min="13" max="13" width="17.5703125" customWidth="1"/>
    <col min="14" max="16" width="13" customWidth="1"/>
    <col min="17" max="18" width="15.7109375" customWidth="1"/>
  </cols>
  <sheetData>
    <row r="1" spans="1:19" ht="55.5" customHeight="1">
      <c r="D1" s="1831" t="s">
        <v>349</v>
      </c>
      <c r="E1" s="1984" t="s">
        <v>6</v>
      </c>
      <c r="F1" s="1984">
        <v>18230685</v>
      </c>
      <c r="G1" s="1977" t="s">
        <v>31</v>
      </c>
      <c r="M1" s="1831" t="s">
        <v>349</v>
      </c>
      <c r="N1" s="1984" t="s">
        <v>6</v>
      </c>
      <c r="O1" s="1984">
        <v>18230685</v>
      </c>
      <c r="P1" s="1977" t="s">
        <v>31</v>
      </c>
    </row>
    <row r="2" spans="1:19" ht="13.5" thickBot="1">
      <c r="E2" s="1607"/>
      <c r="F2" s="1607"/>
      <c r="G2" s="1227"/>
      <c r="H2" s="1576" t="s">
        <v>674</v>
      </c>
      <c r="I2" s="1805"/>
      <c r="J2" s="1805"/>
      <c r="K2" s="1805"/>
      <c r="L2" s="1805"/>
      <c r="M2" s="1805"/>
      <c r="N2" s="1805"/>
      <c r="O2" s="1805"/>
      <c r="P2" s="1805"/>
      <c r="Q2" s="1805"/>
      <c r="R2" s="1851"/>
    </row>
    <row r="3" spans="1:19" ht="26.25" thickBot="1">
      <c r="A3" s="1844" t="s">
        <v>507</v>
      </c>
      <c r="B3" s="1808"/>
      <c r="G3" s="1805"/>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3" t="s">
        <v>24</v>
      </c>
      <c r="B4" s="1808"/>
      <c r="C4" s="1301"/>
      <c r="D4" s="573"/>
      <c r="E4" s="573"/>
      <c r="F4" s="573"/>
      <c r="G4" s="1804" t="s">
        <v>668</v>
      </c>
      <c r="H4" s="2003">
        <v>2685</v>
      </c>
      <c r="I4" s="2002">
        <v>0</v>
      </c>
      <c r="J4" s="2002">
        <v>1898</v>
      </c>
      <c r="K4" s="2002">
        <v>4139</v>
      </c>
      <c r="L4" s="2002">
        <v>0</v>
      </c>
      <c r="M4" s="2002">
        <v>325</v>
      </c>
      <c r="N4" s="2002">
        <v>3705</v>
      </c>
      <c r="O4" s="2002">
        <v>0</v>
      </c>
      <c r="P4" s="2002">
        <v>0</v>
      </c>
      <c r="Q4" s="2002">
        <v>0</v>
      </c>
      <c r="R4" s="2000">
        <v>12752</v>
      </c>
      <c r="S4" s="1998"/>
    </row>
    <row r="5" spans="1:19" ht="16.5" customHeight="1">
      <c r="A5" s="1823" t="s">
        <v>6</v>
      </c>
      <c r="B5" s="1823"/>
      <c r="C5" s="575"/>
      <c r="D5" s="1456"/>
      <c r="E5" s="573"/>
      <c r="F5" s="573"/>
      <c r="G5" s="1228">
        <v>2016</v>
      </c>
      <c r="H5" s="1582">
        <f>D15</f>
        <v>2218.482</v>
      </c>
      <c r="I5" s="1549">
        <f>D21</f>
        <v>1989.9</v>
      </c>
      <c r="J5" s="1549">
        <f>D27</f>
        <v>2806.9907940000003</v>
      </c>
      <c r="K5" s="1549">
        <f>D34</f>
        <v>2000</v>
      </c>
      <c r="L5" s="1549">
        <f>D40</f>
        <v>0</v>
      </c>
      <c r="M5" s="1549">
        <f>D46</f>
        <v>390</v>
      </c>
      <c r="N5" s="1549">
        <f>D52</f>
        <v>4810</v>
      </c>
      <c r="O5" s="1549">
        <f>D58</f>
        <v>0</v>
      </c>
      <c r="P5" s="1549">
        <v>0</v>
      </c>
      <c r="Q5" s="1549">
        <v>0</v>
      </c>
      <c r="R5" s="2001">
        <f>SUM(H5:Q5)</f>
        <v>14215.372793999999</v>
      </c>
      <c r="S5" s="1999"/>
    </row>
    <row r="6" spans="1:19" ht="16.5" thickBot="1">
      <c r="A6" s="1823">
        <v>18230685</v>
      </c>
      <c r="B6" s="1823"/>
      <c r="E6" s="573"/>
      <c r="F6" s="573"/>
      <c r="G6" s="575">
        <v>2017</v>
      </c>
      <c r="H6" s="57">
        <f>E15</f>
        <v>2273.9440499999996</v>
      </c>
      <c r="I6" s="1990">
        <f>E21</f>
        <v>2970</v>
      </c>
      <c r="J6" s="1989">
        <f>E27</f>
        <v>3565.881954</v>
      </c>
      <c r="K6" s="58">
        <f>E34</f>
        <v>2000</v>
      </c>
      <c r="L6" s="58">
        <f>E40</f>
        <v>0</v>
      </c>
      <c r="M6" s="58">
        <f>E46</f>
        <v>390</v>
      </c>
      <c r="N6" s="58">
        <f>E52</f>
        <v>4810</v>
      </c>
      <c r="O6" s="58">
        <f>E58</f>
        <v>0</v>
      </c>
      <c r="P6" s="58">
        <v>0</v>
      </c>
      <c r="Q6" s="58">
        <v>0</v>
      </c>
      <c r="R6" s="1997">
        <f>SUM(H6:Q6)</f>
        <v>16009.826004</v>
      </c>
      <c r="S6" s="1996"/>
    </row>
    <row r="7" spans="1:19" ht="16.5" thickBot="1">
      <c r="A7" s="1808" t="s">
        <v>31</v>
      </c>
      <c r="B7" s="1808"/>
      <c r="C7" s="578"/>
      <c r="D7" s="1455"/>
      <c r="E7" s="573"/>
      <c r="F7" s="573"/>
      <c r="G7" s="579" t="s">
        <v>55</v>
      </c>
      <c r="H7" s="1564">
        <f>SUM(H5:H6)</f>
        <v>4492.42605</v>
      </c>
      <c r="I7" s="1991">
        <f t="shared" ref="I7:R7" si="0">SUM(I5:I6)</f>
        <v>4959.8999999999996</v>
      </c>
      <c r="J7" s="1992">
        <f t="shared" si="0"/>
        <v>6372.8727479999998</v>
      </c>
      <c r="K7" s="1993">
        <f t="shared" si="0"/>
        <v>4000</v>
      </c>
      <c r="L7" s="1991">
        <f t="shared" si="0"/>
        <v>0</v>
      </c>
      <c r="M7" s="1992">
        <f t="shared" si="0"/>
        <v>780</v>
      </c>
      <c r="N7" s="1991">
        <f t="shared" si="0"/>
        <v>9620</v>
      </c>
      <c r="O7" s="1992">
        <f t="shared" si="0"/>
        <v>0</v>
      </c>
      <c r="P7" s="1993">
        <f t="shared" si="0"/>
        <v>0</v>
      </c>
      <c r="Q7" s="1991">
        <f t="shared" si="0"/>
        <v>0</v>
      </c>
      <c r="R7" s="1993">
        <f t="shared" si="0"/>
        <v>30225.198797999998</v>
      </c>
      <c r="S7" s="1994"/>
    </row>
    <row r="8" spans="1:19" ht="15.75">
      <c r="B8" s="1808"/>
      <c r="C8" s="575"/>
      <c r="D8" s="573"/>
      <c r="E8" s="573"/>
      <c r="F8" s="573"/>
    </row>
    <row r="9" spans="1:19" ht="15.75">
      <c r="A9" s="1808"/>
      <c r="B9" s="1808"/>
      <c r="C9" s="573"/>
      <c r="D9" s="575"/>
      <c r="E9" s="573"/>
      <c r="F9" s="573"/>
    </row>
    <row r="10" spans="1:19">
      <c r="A10" s="1808"/>
      <c r="B10" s="1808"/>
      <c r="C10" s="1915" t="s">
        <v>329</v>
      </c>
      <c r="D10" s="1915"/>
      <c r="E10" s="1915"/>
      <c r="F10" s="1915"/>
    </row>
    <row r="11" spans="1:19">
      <c r="A11" s="1808"/>
      <c r="B11" s="1808"/>
      <c r="C11" s="1866"/>
      <c r="D11" s="1866"/>
      <c r="E11" s="1867"/>
      <c r="F11" s="1866"/>
      <c r="Q11" s="655"/>
      <c r="R11" s="25"/>
    </row>
    <row r="12" spans="1:19" s="650" customFormat="1">
      <c r="A12" s="1808"/>
      <c r="B12" s="1808"/>
      <c r="C12" s="1887" t="s">
        <v>314</v>
      </c>
      <c r="D12" s="1924">
        <f>D15+D21+D27+D34+D40+D46+D52+D58</f>
        <v>14215.372793999999</v>
      </c>
      <c r="E12" s="1948">
        <f>E15+E21+E27+E34+E40+E46+E52+E58</f>
        <v>16009.826004</v>
      </c>
      <c r="F12" s="1924">
        <f>D12+E12</f>
        <v>30225.198797999998</v>
      </c>
      <c r="Q12" s="655"/>
    </row>
    <row r="13" spans="1:19">
      <c r="C13" s="1947"/>
      <c r="D13" s="1866"/>
      <c r="E13" s="1787"/>
      <c r="F13" s="1866"/>
      <c r="H13" s="573"/>
      <c r="I13" s="573"/>
      <c r="J13" s="3635"/>
      <c r="K13" s="3635"/>
      <c r="L13" s="3635"/>
      <c r="M13" s="3635"/>
      <c r="N13" s="3636"/>
      <c r="O13" s="3636"/>
      <c r="P13" s="1777"/>
      <c r="Q13" s="1777"/>
      <c r="R13" s="1777"/>
    </row>
    <row r="14" spans="1:19" ht="15.75">
      <c r="C14" s="1888" t="s">
        <v>45</v>
      </c>
      <c r="D14" s="1969">
        <v>2016</v>
      </c>
      <c r="E14" s="1970">
        <v>2017</v>
      </c>
      <c r="F14" s="1950" t="s">
        <v>23</v>
      </c>
      <c r="H14" s="573"/>
      <c r="I14" s="573"/>
      <c r="J14" s="3634"/>
      <c r="K14" s="3634"/>
      <c r="L14" s="3634"/>
      <c r="M14" s="3634"/>
      <c r="N14" s="3634"/>
      <c r="O14" s="3634"/>
      <c r="P14" s="3634"/>
      <c r="Q14" s="3634"/>
      <c r="R14" s="3634"/>
    </row>
    <row r="15" spans="1:19">
      <c r="B15" s="1886" t="s">
        <v>312</v>
      </c>
      <c r="C15" s="1910" t="s">
        <v>46</v>
      </c>
      <c r="D15" s="1911">
        <f>SUM(D16:D19)</f>
        <v>2218.482</v>
      </c>
      <c r="E15" s="1926">
        <f>SUM(E16:E19)</f>
        <v>2273.9440499999996</v>
      </c>
      <c r="F15" s="1924">
        <f t="shared" ref="F15:F62" si="1">SUM(D15:E15)</f>
        <v>4492.42605</v>
      </c>
      <c r="H15" s="573"/>
      <c r="I15" s="576"/>
      <c r="J15" s="1777"/>
      <c r="K15" s="1777"/>
      <c r="L15" s="1777"/>
      <c r="M15" s="1730"/>
      <c r="N15" s="1777"/>
      <c r="O15" s="1777"/>
      <c r="P15" s="1776"/>
      <c r="Q15" s="1709"/>
      <c r="R15" s="1709"/>
    </row>
    <row r="16" spans="1:19" ht="13.5" thickBot="1">
      <c r="B16" s="2610">
        <v>0.03</v>
      </c>
      <c r="C16" s="2197" t="s">
        <v>794</v>
      </c>
      <c r="D16" s="3164">
        <v>2218.482</v>
      </c>
      <c r="E16" s="3165">
        <f>D16*1.025</f>
        <v>2273.9440499999996</v>
      </c>
      <c r="F16" s="1879">
        <f t="shared" si="1"/>
        <v>4492.42605</v>
      </c>
      <c r="H16" s="573"/>
      <c r="I16" s="576"/>
      <c r="J16" s="1777"/>
      <c r="K16" s="1777"/>
      <c r="L16" s="1777"/>
      <c r="M16" s="1730"/>
      <c r="N16" s="1777"/>
      <c r="O16" s="1777"/>
      <c r="P16" s="1776"/>
      <c r="Q16" s="1709"/>
      <c r="R16" s="1709"/>
    </row>
    <row r="17" spans="2:18">
      <c r="B17" s="1885"/>
      <c r="C17" s="2154"/>
      <c r="D17" s="1905"/>
      <c r="E17" s="1904"/>
      <c r="F17" s="1891">
        <f t="shared" si="1"/>
        <v>0</v>
      </c>
      <c r="H17" s="573"/>
      <c r="I17" s="576"/>
      <c r="J17" s="1777"/>
      <c r="K17" s="1777"/>
      <c r="L17" s="1777"/>
      <c r="M17" s="1730"/>
      <c r="N17" s="1777"/>
      <c r="O17" s="1777"/>
      <c r="P17" s="1776"/>
      <c r="Q17" s="1709"/>
      <c r="R17" s="1709"/>
    </row>
    <row r="18" spans="2:18">
      <c r="B18" s="1885"/>
      <c r="C18" s="2154"/>
      <c r="D18" s="1905"/>
      <c r="E18" s="1904"/>
      <c r="F18" s="1891">
        <f t="shared" si="1"/>
        <v>0</v>
      </c>
      <c r="H18" s="573"/>
      <c r="I18" s="576"/>
      <c r="J18" s="1777"/>
      <c r="K18" s="1777"/>
      <c r="L18" s="1777"/>
      <c r="M18" s="1730"/>
      <c r="N18" s="1777"/>
      <c r="O18" s="1777"/>
      <c r="P18" s="1776"/>
      <c r="Q18" s="1709"/>
      <c r="R18" s="1709"/>
    </row>
    <row r="19" spans="2:18">
      <c r="B19" s="1885"/>
      <c r="C19" s="2154"/>
      <c r="D19" s="1903"/>
      <c r="E19" s="1902"/>
      <c r="F19" s="1891">
        <f t="shared" si="1"/>
        <v>0</v>
      </c>
      <c r="H19" s="573"/>
      <c r="I19" s="576"/>
      <c r="J19" s="1777"/>
      <c r="K19" s="1777"/>
      <c r="L19" s="1777"/>
      <c r="M19" s="1730"/>
      <c r="N19" s="1777"/>
      <c r="O19" s="1777"/>
      <c r="P19" s="1776"/>
      <c r="Q19" s="1709"/>
      <c r="R19" s="1709"/>
    </row>
    <row r="20" spans="2:18">
      <c r="B20" s="1908">
        <f>SUM(B16:B19)</f>
        <v>0.03</v>
      </c>
      <c r="C20" s="1952"/>
      <c r="D20" s="1954"/>
      <c r="E20" s="1955"/>
      <c r="F20" s="1957"/>
      <c r="H20" s="573"/>
      <c r="I20" s="576"/>
      <c r="J20" s="1777"/>
      <c r="K20" s="1777"/>
      <c r="L20" s="1777"/>
      <c r="M20" s="1730"/>
      <c r="N20" s="1777"/>
      <c r="O20" s="1777"/>
      <c r="P20" s="1776"/>
      <c r="Q20" s="1709"/>
      <c r="R20" s="1709"/>
    </row>
    <row r="21" spans="2:18">
      <c r="C21" s="1910" t="s">
        <v>47</v>
      </c>
      <c r="D21" s="1911">
        <f>SUM(D22:D25)</f>
        <v>1989.9</v>
      </c>
      <c r="E21" s="1926">
        <f>SUM(E22:E25)</f>
        <v>2970</v>
      </c>
      <c r="F21" s="1924">
        <f t="shared" si="1"/>
        <v>4959.8999999999996</v>
      </c>
      <c r="H21" s="573"/>
      <c r="I21" s="576"/>
      <c r="J21" s="1777"/>
      <c r="K21" s="1777"/>
      <c r="L21" s="1777"/>
      <c r="M21" s="1730"/>
      <c r="N21" s="1777"/>
      <c r="O21" s="1777"/>
      <c r="P21" s="1776"/>
      <c r="Q21" s="1709"/>
      <c r="R21" s="1709"/>
    </row>
    <row r="22" spans="2:18">
      <c r="C22" s="2197" t="s">
        <v>872</v>
      </c>
      <c r="D22" s="2202">
        <v>649.9</v>
      </c>
      <c r="E22" s="2203">
        <v>970</v>
      </c>
      <c r="F22" s="1879">
        <f t="shared" si="1"/>
        <v>1619.9</v>
      </c>
      <c r="H22" s="573"/>
      <c r="I22" s="576"/>
      <c r="J22" s="1777"/>
      <c r="K22" s="1777"/>
      <c r="L22" s="1777"/>
      <c r="M22" s="1730"/>
      <c r="N22" s="1777"/>
      <c r="O22" s="1777"/>
      <c r="P22" s="1776"/>
      <c r="Q22" s="1709"/>
      <c r="R22" s="1709"/>
    </row>
    <row r="23" spans="2:18">
      <c r="C23" s="2197" t="s">
        <v>873</v>
      </c>
      <c r="D23" s="2202">
        <v>1340</v>
      </c>
      <c r="E23" s="2203">
        <v>2000</v>
      </c>
      <c r="F23" s="1891">
        <f t="shared" si="1"/>
        <v>3340</v>
      </c>
      <c r="H23" s="573"/>
      <c r="I23" s="576"/>
      <c r="J23" s="1777"/>
      <c r="K23" s="1777"/>
      <c r="L23" s="1777"/>
      <c r="M23" s="1730"/>
      <c r="N23" s="1777"/>
      <c r="O23" s="1777"/>
      <c r="P23" s="1776"/>
      <c r="Q23" s="1709"/>
      <c r="R23" s="1709"/>
    </row>
    <row r="24" spans="2:18">
      <c r="C24" s="1876"/>
      <c r="D24" s="1898"/>
      <c r="E24" s="1897"/>
      <c r="F24" s="1891">
        <f t="shared" si="1"/>
        <v>0</v>
      </c>
      <c r="H24" s="573"/>
      <c r="I24" s="576"/>
      <c r="J24" s="1777"/>
      <c r="K24" s="1777"/>
      <c r="L24" s="1777"/>
      <c r="M24" s="1730"/>
      <c r="N24" s="1777"/>
      <c r="O24" s="1777"/>
      <c r="P24" s="1776"/>
      <c r="Q24" s="1709"/>
      <c r="R24" s="1709"/>
    </row>
    <row r="25" spans="2:18">
      <c r="C25" s="1876"/>
      <c r="D25" s="1896"/>
      <c r="E25" s="1899"/>
      <c r="F25" s="1891">
        <f t="shared" si="1"/>
        <v>0</v>
      </c>
      <c r="H25" s="574"/>
      <c r="I25" s="576"/>
      <c r="J25" s="1777"/>
      <c r="K25" s="1777"/>
      <c r="L25" s="1777"/>
      <c r="M25" s="1730"/>
      <c r="N25" s="1777"/>
      <c r="O25" s="1777"/>
      <c r="P25" s="1776"/>
      <c r="Q25" s="1709"/>
      <c r="R25" s="1709"/>
    </row>
    <row r="26" spans="2:18">
      <c r="C26" s="1877"/>
      <c r="D26" s="1892"/>
      <c r="E26" s="1884"/>
      <c r="F26" s="1892"/>
      <c r="H26" s="573"/>
      <c r="I26" s="576"/>
      <c r="J26" s="1777"/>
      <c r="K26" s="1777"/>
      <c r="L26" s="1777"/>
      <c r="M26" s="1730"/>
      <c r="N26" s="1777"/>
      <c r="O26" s="1777"/>
      <c r="P26" s="1776"/>
      <c r="Q26" s="1709"/>
      <c r="R26" s="1709"/>
    </row>
    <row r="27" spans="2:18">
      <c r="C27" s="1910" t="s">
        <v>48</v>
      </c>
      <c r="D27" s="1911">
        <f>SUM(D29:D32)</f>
        <v>2806.9907940000003</v>
      </c>
      <c r="E27" s="1926">
        <f>SUM(E29:E32)</f>
        <v>3565.881954</v>
      </c>
      <c r="F27" s="1924">
        <f t="shared" si="1"/>
        <v>6372.8727479999998</v>
      </c>
      <c r="H27" s="573"/>
      <c r="I27" s="576"/>
      <c r="J27" s="1777"/>
      <c r="K27" s="1777"/>
      <c r="L27" s="1777"/>
      <c r="M27" s="1730"/>
      <c r="N27" s="1777"/>
      <c r="O27" s="1777"/>
      <c r="P27" s="1776"/>
      <c r="Q27" s="1709"/>
      <c r="R27" s="1709"/>
    </row>
    <row r="28" spans="2:18">
      <c r="C28" s="1909" t="s">
        <v>315</v>
      </c>
      <c r="D28" s="1912">
        <v>0.66700000000000004</v>
      </c>
      <c r="E28" s="1913">
        <v>0.68</v>
      </c>
      <c r="F28" s="1949"/>
      <c r="H28" s="573"/>
      <c r="I28" s="576"/>
      <c r="J28" s="1777"/>
      <c r="K28" s="1777"/>
      <c r="L28" s="1777"/>
      <c r="M28" s="1730"/>
      <c r="N28" s="1777"/>
      <c r="O28" s="1777"/>
      <c r="P28" s="1776"/>
      <c r="Q28" s="1709"/>
      <c r="R28" s="1709"/>
    </row>
    <row r="29" spans="2:18">
      <c r="C29" s="1876" t="s">
        <v>778</v>
      </c>
      <c r="D29" s="1971">
        <f>D15*D28</f>
        <v>1479.727494</v>
      </c>
      <c r="E29" s="1972">
        <f>E15*E28</f>
        <v>1546.2819539999998</v>
      </c>
      <c r="F29" s="1891">
        <f t="shared" si="1"/>
        <v>3026.0094479999998</v>
      </c>
      <c r="H29" s="573"/>
      <c r="I29" s="576"/>
      <c r="J29" s="1777"/>
      <c r="K29" s="1777"/>
      <c r="L29" s="1777"/>
      <c r="M29" s="1730"/>
      <c r="N29" s="1777"/>
      <c r="O29" s="1777"/>
      <c r="P29" s="1776"/>
      <c r="Q29" s="1709"/>
      <c r="R29" s="1709"/>
    </row>
    <row r="30" spans="2:18">
      <c r="C30" s="1876" t="s">
        <v>779</v>
      </c>
      <c r="D30" s="1973">
        <f>D21*D28</f>
        <v>1327.2633000000001</v>
      </c>
      <c r="E30" s="1972">
        <f>E21*E28</f>
        <v>2019.6000000000001</v>
      </c>
      <c r="F30" s="2191">
        <f t="shared" si="1"/>
        <v>3346.8633</v>
      </c>
      <c r="H30" s="573"/>
      <c r="I30" s="576"/>
      <c r="J30" s="1777"/>
      <c r="K30" s="1777"/>
      <c r="L30" s="1777"/>
      <c r="M30" s="1730"/>
      <c r="N30" s="1777"/>
      <c r="O30" s="1777"/>
      <c r="P30" s="1776"/>
      <c r="Q30" s="1709"/>
      <c r="R30" s="1709"/>
    </row>
    <row r="31" spans="2:18">
      <c r="C31" s="1901"/>
      <c r="D31" s="1898"/>
      <c r="E31" s="1897"/>
      <c r="F31" s="2191">
        <f t="shared" si="1"/>
        <v>0</v>
      </c>
      <c r="H31" s="573"/>
      <c r="I31" s="576"/>
      <c r="J31" s="1777"/>
      <c r="K31" s="1777"/>
      <c r="L31" s="1777"/>
      <c r="M31" s="1730"/>
      <c r="N31" s="1777"/>
      <c r="O31" s="1777"/>
      <c r="P31" s="1776"/>
      <c r="Q31" s="1709"/>
      <c r="R31" s="1709"/>
    </row>
    <row r="32" spans="2:18">
      <c r="C32" s="1901"/>
      <c r="D32" s="1896"/>
      <c r="E32" s="1899"/>
      <c r="F32" s="2191">
        <f t="shared" si="1"/>
        <v>0</v>
      </c>
      <c r="H32" s="573"/>
      <c r="I32" s="576"/>
      <c r="J32" s="1777"/>
      <c r="K32" s="1777"/>
      <c r="L32" s="1777"/>
      <c r="M32" s="1730"/>
      <c r="N32" s="1777"/>
      <c r="O32" s="1777"/>
      <c r="P32" s="1776"/>
      <c r="Q32" s="1709"/>
      <c r="R32" s="1709"/>
    </row>
    <row r="33" spans="1:18">
      <c r="C33" s="1952"/>
      <c r="D33" s="1958"/>
      <c r="E33" s="1955"/>
      <c r="F33" s="1958"/>
      <c r="H33" s="573"/>
      <c r="I33" s="576"/>
      <c r="J33" s="1777"/>
      <c r="K33" s="1777"/>
      <c r="L33" s="1777"/>
      <c r="M33" s="1730"/>
      <c r="N33" s="1777"/>
      <c r="O33" s="1777"/>
      <c r="P33" s="1776"/>
      <c r="Q33" s="1709"/>
      <c r="R33" s="1709"/>
    </row>
    <row r="34" spans="1:18">
      <c r="C34" s="1910" t="s">
        <v>49</v>
      </c>
      <c r="D34" s="1911">
        <f>SUM(D35:D38)</f>
        <v>2000</v>
      </c>
      <c r="E34" s="1926">
        <f>SUM(E35:E38)</f>
        <v>2000</v>
      </c>
      <c r="F34" s="1924">
        <f t="shared" si="1"/>
        <v>4000</v>
      </c>
      <c r="H34" s="573"/>
      <c r="I34" s="576"/>
      <c r="J34" s="1777"/>
      <c r="K34" s="1777"/>
      <c r="L34" s="1777"/>
      <c r="M34" s="1730"/>
      <c r="N34" s="1777"/>
      <c r="O34" s="1777"/>
      <c r="P34" s="1776"/>
      <c r="Q34" s="1709"/>
      <c r="R34" s="1709"/>
    </row>
    <row r="35" spans="1:18">
      <c r="A35" s="1844" t="s">
        <v>507</v>
      </c>
      <c r="C35" s="2197" t="s">
        <v>874</v>
      </c>
      <c r="D35" s="2202">
        <v>2000</v>
      </c>
      <c r="E35" s="2203">
        <v>2000</v>
      </c>
      <c r="F35" s="1891">
        <f t="shared" si="1"/>
        <v>4000</v>
      </c>
      <c r="H35" s="573"/>
      <c r="I35" s="576"/>
      <c r="J35" s="1777"/>
      <c r="K35" s="1777"/>
      <c r="L35" s="1777"/>
      <c r="M35" s="1730"/>
      <c r="N35" s="1777"/>
      <c r="O35" s="1777"/>
      <c r="P35" s="1776"/>
      <c r="Q35" s="1709"/>
      <c r="R35" s="1709"/>
    </row>
    <row r="36" spans="1:18">
      <c r="A36" s="2193" t="s">
        <v>24</v>
      </c>
      <c r="C36" s="1876"/>
      <c r="D36" s="1971"/>
      <c r="E36" s="1988"/>
      <c r="F36" s="1891">
        <f t="shared" si="1"/>
        <v>0</v>
      </c>
      <c r="H36" s="573"/>
      <c r="I36" s="576"/>
      <c r="J36" s="1777"/>
      <c r="K36" s="1777"/>
      <c r="L36" s="1777"/>
      <c r="M36" s="1730"/>
      <c r="N36" s="1777"/>
      <c r="O36" s="1777"/>
      <c r="P36" s="1776"/>
      <c r="Q36" s="1709"/>
      <c r="R36" s="1709"/>
    </row>
    <row r="37" spans="1:18">
      <c r="A37" s="1823" t="s">
        <v>6</v>
      </c>
      <c r="C37" s="1876"/>
      <c r="D37" s="1971"/>
      <c r="E37" s="1988"/>
      <c r="F37" s="1891">
        <f t="shared" si="1"/>
        <v>0</v>
      </c>
      <c r="H37" s="573"/>
      <c r="I37" s="576"/>
      <c r="J37" s="1777"/>
      <c r="K37" s="1777"/>
      <c r="L37" s="1777"/>
      <c r="M37" s="1730"/>
      <c r="N37" s="1777"/>
      <c r="O37" s="1777"/>
      <c r="P37" s="1776"/>
      <c r="Q37" s="1709"/>
      <c r="R37" s="1709"/>
    </row>
    <row r="38" spans="1:18">
      <c r="A38" s="1823">
        <v>18230685</v>
      </c>
      <c r="C38" s="1876"/>
      <c r="D38" s="1971"/>
      <c r="E38" s="1988"/>
      <c r="F38" s="1891">
        <f t="shared" si="1"/>
        <v>0</v>
      </c>
      <c r="H38" s="573"/>
      <c r="I38" s="576"/>
      <c r="J38" s="1777"/>
      <c r="K38" s="1777"/>
      <c r="L38" s="1777"/>
      <c r="M38" s="1730"/>
      <c r="N38" s="1777"/>
      <c r="O38" s="1777"/>
      <c r="P38" s="1776"/>
      <c r="Q38" s="1709"/>
      <c r="R38" s="1709"/>
    </row>
    <row r="39" spans="1:18">
      <c r="A39" s="1808" t="s">
        <v>31</v>
      </c>
      <c r="C39" s="1952"/>
      <c r="D39" s="1958"/>
      <c r="E39" s="1955"/>
      <c r="F39" s="1958"/>
      <c r="H39" s="573"/>
      <c r="I39" s="576"/>
      <c r="J39" s="1777"/>
      <c r="K39" s="1777"/>
      <c r="L39" s="1777"/>
      <c r="M39" s="1730"/>
      <c r="N39" s="1777"/>
      <c r="O39" s="1777"/>
      <c r="P39" s="1776"/>
      <c r="Q39" s="1709"/>
      <c r="R39" s="1709"/>
    </row>
    <row r="40" spans="1:18">
      <c r="C40" s="2106" t="s">
        <v>506</v>
      </c>
      <c r="D40" s="1911">
        <f>SUM(D41:D44)</f>
        <v>0</v>
      </c>
      <c r="E40" s="1926">
        <f>SUM(E41:E44)</f>
        <v>0</v>
      </c>
      <c r="F40" s="1924">
        <f t="shared" si="1"/>
        <v>0</v>
      </c>
      <c r="H40" s="573"/>
      <c r="I40" s="576"/>
      <c r="J40" s="1777"/>
      <c r="K40" s="1777"/>
      <c r="L40" s="1777"/>
      <c r="M40" s="1730"/>
      <c r="N40" s="1777"/>
      <c r="O40" s="1777"/>
      <c r="P40" s="1776"/>
      <c r="Q40" s="1709"/>
      <c r="R40" s="1709"/>
    </row>
    <row r="41" spans="1:18">
      <c r="C41" s="1876"/>
      <c r="D41" s="1971"/>
      <c r="E41" s="1988"/>
      <c r="F41" s="1891">
        <f t="shared" si="1"/>
        <v>0</v>
      </c>
      <c r="H41" s="573"/>
      <c r="I41" s="576"/>
      <c r="J41" s="1777"/>
      <c r="K41" s="1777"/>
      <c r="L41" s="1777"/>
      <c r="M41" s="1730"/>
      <c r="N41" s="1777"/>
      <c r="O41" s="1777"/>
      <c r="P41" s="1776"/>
      <c r="Q41" s="1709"/>
      <c r="R41" s="1709"/>
    </row>
    <row r="42" spans="1:18">
      <c r="C42" s="1876"/>
      <c r="D42" s="1971"/>
      <c r="E42" s="1988"/>
      <c r="F42" s="1891">
        <f t="shared" si="1"/>
        <v>0</v>
      </c>
      <c r="H42" s="573"/>
      <c r="I42" s="576"/>
      <c r="J42" s="1777"/>
      <c r="K42" s="1777"/>
      <c r="L42" s="1777"/>
      <c r="M42" s="1730"/>
      <c r="N42" s="1777"/>
      <c r="O42" s="1777"/>
      <c r="P42" s="1776"/>
      <c r="Q42" s="1709"/>
      <c r="R42" s="1709"/>
    </row>
    <row r="43" spans="1:18">
      <c r="C43" s="1876"/>
      <c r="D43" s="1971"/>
      <c r="E43" s="1988"/>
      <c r="F43" s="1891">
        <f t="shared" si="1"/>
        <v>0</v>
      </c>
      <c r="H43" s="573"/>
      <c r="I43" s="576"/>
      <c r="J43" s="1777"/>
      <c r="K43" s="1777"/>
      <c r="L43" s="1777"/>
      <c r="M43" s="1730"/>
      <c r="N43" s="1777"/>
      <c r="O43" s="1777"/>
      <c r="P43" s="1776"/>
      <c r="Q43" s="1709"/>
      <c r="R43" s="1709"/>
    </row>
    <row r="44" spans="1:18">
      <c r="C44" s="1876"/>
      <c r="D44" s="1971"/>
      <c r="E44" s="1988"/>
      <c r="F44" s="1891">
        <f t="shared" si="1"/>
        <v>0</v>
      </c>
      <c r="H44" s="573"/>
      <c r="I44" s="576"/>
      <c r="J44" s="1777"/>
      <c r="K44" s="1777"/>
      <c r="L44" s="1777"/>
      <c r="M44" s="1730"/>
      <c r="N44" s="1777"/>
      <c r="O44" s="1777"/>
      <c r="P44" s="1776"/>
      <c r="Q44" s="1709"/>
      <c r="R44" s="1709"/>
    </row>
    <row r="45" spans="1:18">
      <c r="C45" s="1952"/>
      <c r="D45" s="1958"/>
      <c r="E45" s="1955"/>
      <c r="F45" s="1958"/>
      <c r="H45" s="573"/>
      <c r="I45" s="576"/>
      <c r="J45" s="1777"/>
      <c r="K45" s="1777"/>
      <c r="L45" s="1777"/>
      <c r="M45" s="1730"/>
      <c r="N45" s="1777"/>
      <c r="O45" s="1777"/>
      <c r="P45" s="1776"/>
      <c r="Q45" s="1709"/>
      <c r="R45" s="1709"/>
    </row>
    <row r="46" spans="1:18">
      <c r="C46" s="1910" t="s">
        <v>50</v>
      </c>
      <c r="D46" s="1911">
        <f>SUM(D47:D50)</f>
        <v>390</v>
      </c>
      <c r="E46" s="1926">
        <f>SUM(E47:E50)</f>
        <v>390</v>
      </c>
      <c r="F46" s="1924">
        <f t="shared" si="1"/>
        <v>780</v>
      </c>
      <c r="H46" s="573"/>
      <c r="I46" s="576"/>
      <c r="J46" s="1777"/>
      <c r="K46" s="1777"/>
      <c r="L46" s="1777"/>
      <c r="M46" s="1730"/>
      <c r="N46" s="1777"/>
      <c r="O46" s="1777"/>
      <c r="P46" s="1776"/>
      <c r="Q46" s="1709"/>
      <c r="R46" s="1709"/>
    </row>
    <row r="47" spans="1:18">
      <c r="C47" s="2197" t="s">
        <v>875</v>
      </c>
      <c r="D47" s="2202">
        <v>260</v>
      </c>
      <c r="E47" s="2203">
        <v>260</v>
      </c>
      <c r="F47" s="1891">
        <f t="shared" si="1"/>
        <v>520</v>
      </c>
      <c r="H47" s="573"/>
      <c r="I47" s="576"/>
      <c r="J47" s="1777"/>
      <c r="K47" s="1777"/>
      <c r="L47" s="1777"/>
      <c r="M47" s="1730"/>
      <c r="N47" s="1777"/>
      <c r="O47" s="1777"/>
      <c r="P47" s="1776"/>
      <c r="Q47" s="1709"/>
      <c r="R47" s="1709"/>
    </row>
    <row r="48" spans="1:18">
      <c r="C48" s="2197" t="s">
        <v>876</v>
      </c>
      <c r="D48" s="2202">
        <v>130</v>
      </c>
      <c r="E48" s="2203">
        <v>130</v>
      </c>
      <c r="F48" s="1891">
        <f t="shared" si="1"/>
        <v>260</v>
      </c>
      <c r="H48" s="573"/>
      <c r="I48" s="576"/>
      <c r="J48" s="1777"/>
      <c r="K48" s="1777"/>
      <c r="L48" s="1777"/>
      <c r="M48" s="1730"/>
      <c r="N48" s="1777"/>
      <c r="O48" s="1777"/>
      <c r="P48" s="1776"/>
      <c r="Q48" s="1709"/>
      <c r="R48" s="1709"/>
    </row>
    <row r="49" spans="3:20">
      <c r="C49" s="1876"/>
      <c r="D49" s="1971"/>
      <c r="E49" s="1988"/>
      <c r="F49" s="1891">
        <f t="shared" si="1"/>
        <v>0</v>
      </c>
      <c r="H49" s="573"/>
      <c r="I49" s="576"/>
      <c r="J49" s="1777"/>
      <c r="K49" s="1777"/>
      <c r="L49" s="1777"/>
      <c r="M49" s="1730"/>
      <c r="N49" s="1777"/>
      <c r="O49" s="1777"/>
      <c r="P49" s="1776"/>
      <c r="Q49" s="1709"/>
      <c r="R49" s="1709"/>
    </row>
    <row r="50" spans="3:20">
      <c r="C50" s="1876"/>
      <c r="D50" s="1971"/>
      <c r="E50" s="1988"/>
      <c r="F50" s="1891">
        <f t="shared" si="1"/>
        <v>0</v>
      </c>
      <c r="H50" s="573"/>
      <c r="I50" s="576"/>
      <c r="J50" s="1777"/>
      <c r="K50" s="1777"/>
      <c r="L50" s="1777"/>
      <c r="M50" s="1730"/>
      <c r="N50" s="1777"/>
      <c r="O50" s="1777"/>
      <c r="P50" s="1776"/>
      <c r="Q50" s="1709"/>
      <c r="R50" s="1709"/>
    </row>
    <row r="51" spans="3:20">
      <c r="C51" s="1952"/>
      <c r="D51" s="1958"/>
      <c r="E51" s="1955"/>
      <c r="F51" s="1958"/>
      <c r="H51" s="573"/>
      <c r="I51" s="576"/>
      <c r="J51" s="1777"/>
      <c r="K51" s="1777"/>
      <c r="L51" s="1777"/>
      <c r="M51" s="1730"/>
      <c r="N51" s="1777"/>
      <c r="O51" s="1777"/>
      <c r="P51" s="1776"/>
      <c r="Q51" s="1709"/>
      <c r="R51" s="1709"/>
    </row>
    <row r="52" spans="3:20">
      <c r="C52" s="1910" t="s">
        <v>51</v>
      </c>
      <c r="D52" s="1911">
        <f>SUM(D53:D56)</f>
        <v>4810</v>
      </c>
      <c r="E52" s="1926">
        <f>SUM(E53:E56)</f>
        <v>4810</v>
      </c>
      <c r="F52" s="1924">
        <f t="shared" si="1"/>
        <v>9620</v>
      </c>
      <c r="H52" s="573"/>
      <c r="I52" s="573"/>
      <c r="J52" s="1777"/>
      <c r="K52" s="1777"/>
      <c r="L52" s="1777"/>
      <c r="M52" s="1730"/>
      <c r="N52" s="1777"/>
      <c r="O52" s="1777"/>
      <c r="P52" s="1776"/>
      <c r="Q52" s="1709"/>
      <c r="R52" s="1709"/>
      <c r="S52" s="573"/>
      <c r="T52" s="573"/>
    </row>
    <row r="53" spans="3:20">
      <c r="C53" s="2197" t="s">
        <v>877</v>
      </c>
      <c r="D53" s="2202">
        <v>1300</v>
      </c>
      <c r="E53" s="2163">
        <v>1300</v>
      </c>
      <c r="F53" s="1891">
        <f t="shared" si="1"/>
        <v>2600</v>
      </c>
      <c r="H53" s="573"/>
      <c r="I53" s="573"/>
      <c r="J53" s="1777"/>
      <c r="K53" s="1777"/>
      <c r="L53" s="1777"/>
      <c r="M53" s="1730"/>
      <c r="N53" s="1777"/>
      <c r="O53" s="1777"/>
      <c r="P53" s="1776"/>
      <c r="Q53" s="1709"/>
      <c r="R53" s="1709"/>
      <c r="S53" s="573"/>
      <c r="T53" s="573"/>
    </row>
    <row r="54" spans="3:20" s="2140" customFormat="1">
      <c r="C54" s="2197" t="s">
        <v>878</v>
      </c>
      <c r="D54" s="2202">
        <v>650</v>
      </c>
      <c r="E54" s="2163">
        <v>650</v>
      </c>
      <c r="F54" s="2122">
        <f t="shared" si="1"/>
        <v>1300</v>
      </c>
      <c r="H54" s="1805"/>
      <c r="I54" s="1805"/>
      <c r="J54" s="1782"/>
      <c r="K54" s="1782"/>
      <c r="L54" s="1782"/>
      <c r="M54" s="1730"/>
      <c r="N54" s="1782"/>
      <c r="O54" s="1782"/>
      <c r="P54" s="1781"/>
      <c r="Q54" s="1709"/>
      <c r="R54" s="1709"/>
      <c r="S54" s="1805"/>
      <c r="T54" s="1805"/>
    </row>
    <row r="55" spans="3:20">
      <c r="C55" s="2197" t="s">
        <v>879</v>
      </c>
      <c r="D55" s="2202">
        <v>130</v>
      </c>
      <c r="E55" s="2163">
        <v>130</v>
      </c>
      <c r="F55" s="1891">
        <f t="shared" si="1"/>
        <v>260</v>
      </c>
      <c r="H55" s="577"/>
      <c r="I55" s="573"/>
      <c r="J55" s="1777"/>
      <c r="K55" s="1777"/>
      <c r="L55" s="1777"/>
      <c r="M55" s="1730"/>
      <c r="N55" s="1777"/>
      <c r="O55" s="1777"/>
      <c r="P55" s="1776"/>
      <c r="Q55" s="1709"/>
      <c r="R55" s="1709"/>
      <c r="S55" s="573"/>
      <c r="T55" s="573"/>
    </row>
    <row r="56" spans="3:20">
      <c r="C56" s="2197" t="s">
        <v>880</v>
      </c>
      <c r="D56" s="2202">
        <v>2730</v>
      </c>
      <c r="E56" s="2163">
        <v>2730</v>
      </c>
      <c r="F56" s="1891">
        <f t="shared" si="1"/>
        <v>5460</v>
      </c>
      <c r="H56" s="573"/>
      <c r="I56" s="573"/>
      <c r="J56" s="1777"/>
      <c r="K56" s="1777"/>
      <c r="L56" s="1777"/>
      <c r="M56" s="1777"/>
      <c r="N56" s="1777"/>
      <c r="O56" s="1777"/>
      <c r="P56" s="1777"/>
      <c r="Q56" s="1780"/>
      <c r="R56" s="1780"/>
      <c r="S56" s="573"/>
      <c r="T56" s="573"/>
    </row>
    <row r="57" spans="3:20">
      <c r="C57" s="1952"/>
      <c r="D57" s="1958"/>
      <c r="E57" s="1955"/>
      <c r="F57" s="1958"/>
      <c r="H57" s="573"/>
      <c r="I57" s="573"/>
      <c r="J57" s="1777"/>
      <c r="K57" s="1777"/>
      <c r="L57" s="1777"/>
      <c r="M57" s="1777"/>
      <c r="N57" s="1777"/>
      <c r="O57" s="1777"/>
      <c r="P57" s="1777"/>
      <c r="Q57" s="1777"/>
      <c r="R57" s="1777"/>
      <c r="S57" s="573"/>
      <c r="T57" s="573"/>
    </row>
    <row r="58" spans="3:20">
      <c r="C58" s="1910" t="s">
        <v>52</v>
      </c>
      <c r="D58" s="1911">
        <f>SUM(D59:D62)</f>
        <v>0</v>
      </c>
      <c r="E58" s="1926">
        <f>SUM(E59:E62)</f>
        <v>0</v>
      </c>
      <c r="F58" s="1924">
        <f t="shared" si="1"/>
        <v>0</v>
      </c>
      <c r="H58" s="573"/>
      <c r="I58" s="573"/>
      <c r="J58" s="573"/>
      <c r="K58" s="573"/>
      <c r="L58" s="573"/>
      <c r="M58" s="573"/>
      <c r="N58" s="573"/>
      <c r="O58" s="573"/>
      <c r="P58" s="573"/>
      <c r="Q58" s="573"/>
      <c r="R58" s="573"/>
      <c r="S58" s="573"/>
      <c r="T58" s="573"/>
    </row>
    <row r="59" spans="3:20">
      <c r="C59" s="1876"/>
      <c r="D59" s="1971"/>
      <c r="E59" s="1988"/>
      <c r="F59" s="1891">
        <f t="shared" si="1"/>
        <v>0</v>
      </c>
      <c r="H59" s="1773"/>
      <c r="I59" s="1772"/>
      <c r="J59" s="573"/>
      <c r="K59" s="573"/>
      <c r="L59" s="573"/>
      <c r="M59" s="573"/>
      <c r="N59" s="573"/>
      <c r="O59" s="573"/>
      <c r="P59" s="573"/>
      <c r="Q59" s="573"/>
      <c r="R59" s="573"/>
      <c r="S59" s="573"/>
      <c r="T59" s="573"/>
    </row>
    <row r="60" spans="3:20">
      <c r="C60" s="1876"/>
      <c r="D60" s="1971"/>
      <c r="E60" s="1988"/>
      <c r="F60" s="1891">
        <f t="shared" si="1"/>
        <v>0</v>
      </c>
      <c r="H60" s="573"/>
      <c r="I60" s="573"/>
      <c r="J60" s="573"/>
      <c r="K60" s="573"/>
      <c r="L60" s="573"/>
      <c r="M60" s="573"/>
      <c r="N60" s="573"/>
      <c r="O60" s="573"/>
      <c r="P60" s="573"/>
      <c r="Q60" s="573"/>
      <c r="R60" s="573"/>
      <c r="S60" s="573"/>
      <c r="T60" s="573"/>
    </row>
    <row r="61" spans="3:20">
      <c r="C61" s="1876"/>
      <c r="D61" s="1971"/>
      <c r="E61" s="1988"/>
      <c r="F61" s="1890">
        <f t="shared" si="1"/>
        <v>0</v>
      </c>
      <c r="G61" s="573"/>
      <c r="H61" s="1224"/>
      <c r="I61" s="1224"/>
      <c r="J61" s="1227"/>
      <c r="K61" s="1227"/>
      <c r="L61" s="1227"/>
      <c r="M61" s="573"/>
      <c r="N61" s="573"/>
      <c r="O61" s="573"/>
      <c r="P61" s="573"/>
      <c r="Q61" s="573"/>
      <c r="R61" s="573"/>
      <c r="S61" s="573"/>
      <c r="T61" s="573"/>
    </row>
    <row r="62" spans="3:20">
      <c r="C62" s="1876"/>
      <c r="D62" s="1971"/>
      <c r="E62" s="1988"/>
      <c r="F62" s="1891">
        <f t="shared" si="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J32" sqref="J32"/>
      <pageMargins left="0.21" right="0.21" top="0.32" bottom="0.39" header="0.3" footer="0.3"/>
      <pageSetup paperSize="17" scale="70" orientation="landscape" r:id="rId1"/>
    </customSheetView>
    <customSheetView guid="{D9EFFE19-D14B-4C6F-BDF4-FF696F73968D}" showGridLines="0" fitToPage="1">
      <pane xSplit="1" ySplit="1" topLeftCell="B2" activePane="bottomRight" state="frozen"/>
      <selection pane="bottomRight" activeCell="G54" sqref="G54"/>
      <pageMargins left="0.21" right="0.21" top="0.32" bottom="0.39" header="0.3" footer="0.3"/>
      <pageSetup paperSize="17" scale="70" orientation="landscape" r:id="rId2"/>
    </customSheetView>
  </customSheetViews>
  <mergeCells count="5">
    <mergeCell ref="Q14:R14"/>
    <mergeCell ref="J14:M14"/>
    <mergeCell ref="J13:M13"/>
    <mergeCell ref="N13:O13"/>
    <mergeCell ref="N14:P14"/>
  </mergeCells>
  <pageMargins left="0.21" right="0.21" top="0.32" bottom="0.39" header="0.3" footer="0.3"/>
  <pageSetup paperSize="17" scale="70" orientation="landscape"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A1:T67"/>
  <sheetViews>
    <sheetView showGridLines="0" workbookViewId="0">
      <pane xSplit="1" ySplit="1" topLeftCell="B29" activePane="bottomRight" state="frozen"/>
      <selection pane="topRight" activeCell="B1" sqref="B1"/>
      <selection pane="bottomLeft" activeCell="A2" sqref="A2"/>
      <selection pane="bottomRight"/>
    </sheetView>
  </sheetViews>
  <sheetFormatPr defaultRowHeight="12.75"/>
  <cols>
    <col min="1" max="1" width="17.5703125" style="1164" customWidth="1"/>
    <col min="2" max="2" width="15.42578125" style="1866" customWidth="1"/>
    <col min="3" max="3" width="29.85546875" customWidth="1"/>
    <col min="4" max="4" width="18.5703125" customWidth="1"/>
    <col min="5" max="7" width="17.85546875" customWidth="1"/>
    <col min="8" max="8" width="14.5703125" customWidth="1"/>
    <col min="9" max="9" width="13.42578125" customWidth="1"/>
    <col min="10" max="11" width="12.42578125" customWidth="1"/>
    <col min="12" max="12" width="16" customWidth="1"/>
    <col min="13" max="16" width="12.42578125" customWidth="1"/>
    <col min="17" max="18" width="13.140625" customWidth="1"/>
  </cols>
  <sheetData>
    <row r="1" spans="1:19" ht="54" customHeight="1">
      <c r="D1" s="2232" t="s">
        <v>346</v>
      </c>
      <c r="E1" s="1831" t="s">
        <v>622</v>
      </c>
      <c r="F1" s="1824" t="s">
        <v>6</v>
      </c>
      <c r="G1" s="1824">
        <v>18230671</v>
      </c>
      <c r="H1" s="1812" t="s">
        <v>31</v>
      </c>
      <c r="J1" s="582"/>
      <c r="K1" s="580"/>
      <c r="L1" s="580"/>
      <c r="M1" s="2232" t="s">
        <v>348</v>
      </c>
      <c r="N1" s="1831" t="s">
        <v>622</v>
      </c>
      <c r="O1" s="1824" t="s">
        <v>6</v>
      </c>
      <c r="P1" s="1824">
        <v>18230671</v>
      </c>
      <c r="Q1" s="1812" t="s">
        <v>31</v>
      </c>
      <c r="R1" s="580"/>
    </row>
    <row r="2" spans="1:19" ht="16.5" customHeight="1" thickBot="1">
      <c r="C2" s="582"/>
      <c r="D2" s="1456"/>
      <c r="E2" s="580"/>
      <c r="F2" s="580"/>
      <c r="G2" s="580"/>
      <c r="H2" s="1576" t="s">
        <v>674</v>
      </c>
      <c r="I2" s="580"/>
      <c r="J2" s="580"/>
      <c r="K2" s="580"/>
      <c r="L2" s="580"/>
      <c r="M2" s="580"/>
      <c r="N2" s="580"/>
      <c r="O2" s="580"/>
      <c r="P2" s="580"/>
      <c r="Q2" s="580"/>
      <c r="R2" s="1869"/>
    </row>
    <row r="3" spans="1:19" ht="26.25" thickBot="1">
      <c r="A3" s="2233" t="s">
        <v>507</v>
      </c>
      <c r="B3" s="1823"/>
      <c r="C3" s="2725"/>
      <c r="D3" s="2725"/>
      <c r="E3" s="580"/>
      <c r="F3" s="580"/>
      <c r="G3" s="580"/>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3" t="s">
        <v>205</v>
      </c>
      <c r="B4" s="1844"/>
      <c r="C4" s="2726"/>
      <c r="D4" s="2726"/>
      <c r="E4" s="1454"/>
      <c r="F4" s="1454"/>
      <c r="G4" s="1704" t="s">
        <v>668</v>
      </c>
      <c r="H4" s="2003">
        <v>5370</v>
      </c>
      <c r="I4" s="2002">
        <v>0</v>
      </c>
      <c r="J4" s="2002">
        <v>3797</v>
      </c>
      <c r="K4" s="2002">
        <v>0</v>
      </c>
      <c r="L4" s="2002">
        <v>185</v>
      </c>
      <c r="M4" s="2002">
        <v>975</v>
      </c>
      <c r="N4" s="2002">
        <v>1300</v>
      </c>
      <c r="O4" s="2002">
        <v>0</v>
      </c>
      <c r="P4" s="2002">
        <v>0</v>
      </c>
      <c r="Q4" s="2002">
        <v>0</v>
      </c>
      <c r="R4" s="2000">
        <v>11627</v>
      </c>
      <c r="S4" s="1998"/>
    </row>
    <row r="5" spans="1:19" ht="15.75">
      <c r="A5" s="1844" t="s">
        <v>622</v>
      </c>
      <c r="B5" s="1823"/>
      <c r="C5" s="582"/>
      <c r="D5" s="580"/>
      <c r="E5" s="580"/>
      <c r="F5" s="580"/>
      <c r="G5" s="582">
        <v>2016</v>
      </c>
      <c r="H5" s="1582">
        <f>D15</f>
        <v>0</v>
      </c>
      <c r="I5" s="1549">
        <f>D21</f>
        <v>0</v>
      </c>
      <c r="J5" s="1549">
        <f>D27</f>
        <v>0</v>
      </c>
      <c r="K5" s="1549">
        <f>D34</f>
        <v>0</v>
      </c>
      <c r="L5" s="1549">
        <f>D40</f>
        <v>0</v>
      </c>
      <c r="M5" s="1549">
        <f>D46</f>
        <v>975</v>
      </c>
      <c r="N5" s="1549">
        <f>D52</f>
        <v>0</v>
      </c>
      <c r="O5" s="1549">
        <f>D58</f>
        <v>0</v>
      </c>
      <c r="P5" s="1549">
        <v>0</v>
      </c>
      <c r="Q5" s="1549">
        <v>0</v>
      </c>
      <c r="R5" s="2001">
        <f>SUM(H5:Q5)</f>
        <v>975</v>
      </c>
      <c r="S5" s="1999"/>
    </row>
    <row r="6" spans="1:19" ht="16.5" thickBot="1">
      <c r="A6" s="1823" t="s">
        <v>6</v>
      </c>
      <c r="B6" s="1823"/>
      <c r="C6" s="580"/>
      <c r="D6" s="582"/>
      <c r="E6" s="580"/>
      <c r="F6" s="580"/>
      <c r="G6" s="582">
        <v>2017</v>
      </c>
      <c r="H6" s="57">
        <f>E15</f>
        <v>0</v>
      </c>
      <c r="I6" s="1990">
        <f>E21</f>
        <v>0</v>
      </c>
      <c r="J6" s="1989">
        <f>E27</f>
        <v>0</v>
      </c>
      <c r="K6" s="58">
        <f>E34</f>
        <v>0</v>
      </c>
      <c r="L6" s="58">
        <f>E40</f>
        <v>0</v>
      </c>
      <c r="M6" s="58">
        <f>E46</f>
        <v>975</v>
      </c>
      <c r="N6" s="58">
        <f>E52</f>
        <v>0</v>
      </c>
      <c r="O6" s="58">
        <f>E58</f>
        <v>0</v>
      </c>
      <c r="P6" s="58">
        <v>0</v>
      </c>
      <c r="Q6" s="58">
        <v>0</v>
      </c>
      <c r="R6" s="1997">
        <f>SUM(H6:Q6)</f>
        <v>975</v>
      </c>
      <c r="S6" s="1996"/>
    </row>
    <row r="7" spans="1:19" ht="16.5" thickBot="1">
      <c r="A7" s="1823">
        <v>18230671</v>
      </c>
      <c r="B7" s="1823"/>
      <c r="C7" s="1805"/>
      <c r="D7" s="1228"/>
      <c r="E7" s="1805"/>
      <c r="F7" s="1805"/>
      <c r="G7" s="585" t="s">
        <v>55</v>
      </c>
      <c r="H7" s="1564">
        <f>SUM(H5:H6)</f>
        <v>0</v>
      </c>
      <c r="I7" s="1991">
        <f t="shared" ref="I7:R7" si="0">SUM(I5:I6)</f>
        <v>0</v>
      </c>
      <c r="J7" s="1992">
        <f t="shared" si="0"/>
        <v>0</v>
      </c>
      <c r="K7" s="1993">
        <f t="shared" si="0"/>
        <v>0</v>
      </c>
      <c r="L7" s="1991">
        <f t="shared" si="0"/>
        <v>0</v>
      </c>
      <c r="M7" s="1992">
        <f t="shared" si="0"/>
        <v>1950</v>
      </c>
      <c r="N7" s="1991">
        <f t="shared" si="0"/>
        <v>0</v>
      </c>
      <c r="O7" s="1992">
        <f t="shared" si="0"/>
        <v>0</v>
      </c>
      <c r="P7" s="1993">
        <f t="shared" si="0"/>
        <v>0</v>
      </c>
      <c r="Q7" s="1991">
        <f t="shared" si="0"/>
        <v>0</v>
      </c>
      <c r="R7" s="1993">
        <f t="shared" si="0"/>
        <v>1950</v>
      </c>
      <c r="S7" s="1994"/>
    </row>
    <row r="8" spans="1:19" ht="15.75">
      <c r="A8" s="1808" t="s">
        <v>31</v>
      </c>
      <c r="B8" s="1823"/>
      <c r="C8" s="1805"/>
      <c r="D8" s="1228"/>
      <c r="E8" s="1805"/>
      <c r="F8" s="1805"/>
    </row>
    <row r="9" spans="1:19" ht="15.75">
      <c r="A9" s="1808"/>
      <c r="B9" s="1823"/>
      <c r="C9" s="1805"/>
      <c r="D9" s="1228"/>
      <c r="E9" s="1805"/>
      <c r="F9" s="1805"/>
      <c r="H9" s="580"/>
      <c r="I9" s="580"/>
      <c r="J9" s="3635"/>
      <c r="K9" s="3635"/>
      <c r="L9" s="3635"/>
      <c r="M9" s="3635"/>
      <c r="N9" s="3636"/>
      <c r="O9" s="3636"/>
      <c r="P9" s="1782"/>
      <c r="Q9" s="1782"/>
      <c r="R9" s="1782"/>
    </row>
    <row r="10" spans="1:19" ht="15.75">
      <c r="A10" s="1808"/>
      <c r="B10" s="1808"/>
      <c r="C10" s="1915" t="s">
        <v>329</v>
      </c>
      <c r="D10" s="1915"/>
      <c r="E10" s="1915"/>
      <c r="F10" s="1915"/>
      <c r="H10" s="580"/>
      <c r="I10" s="580"/>
      <c r="J10" s="3634"/>
      <c r="K10" s="3634"/>
      <c r="L10" s="3634"/>
      <c r="M10" s="3634"/>
      <c r="N10" s="3634"/>
      <c r="O10" s="3634"/>
      <c r="P10" s="3634"/>
      <c r="Q10" s="3634"/>
      <c r="R10" s="3634"/>
    </row>
    <row r="11" spans="1:19" ht="15.75">
      <c r="A11" s="1808"/>
      <c r="B11" s="1808"/>
      <c r="C11" s="1866"/>
      <c r="D11" s="1866"/>
      <c r="E11" s="1867"/>
      <c r="F11" s="1866"/>
      <c r="H11" s="580"/>
      <c r="I11" s="583"/>
      <c r="J11" s="3634"/>
      <c r="K11" s="3634"/>
      <c r="L11" s="3634"/>
      <c r="M11" s="1783"/>
      <c r="N11" s="1784"/>
      <c r="O11" s="1784"/>
      <c r="P11" s="1784"/>
      <c r="Q11" s="1784"/>
      <c r="R11" s="1784"/>
    </row>
    <row r="12" spans="1:19">
      <c r="A12" s="1808"/>
      <c r="B12" s="1808"/>
      <c r="C12" s="1887" t="s">
        <v>314</v>
      </c>
      <c r="D12" s="1924">
        <f>D15+D21+D27+D34+D40+D46+D52+D58</f>
        <v>975</v>
      </c>
      <c r="E12" s="1948">
        <f>E15+E21+E27+E34+E40+E46+E52+E58</f>
        <v>975</v>
      </c>
      <c r="F12" s="1924">
        <f>D12+E12</f>
        <v>1950</v>
      </c>
      <c r="H12" s="580"/>
      <c r="I12" s="584"/>
      <c r="J12" s="1782"/>
      <c r="K12" s="1782"/>
      <c r="L12" s="1782"/>
      <c r="M12" s="1730"/>
      <c r="N12" s="1782"/>
      <c r="O12" s="1782"/>
      <c r="P12" s="1781"/>
      <c r="Q12" s="1709"/>
      <c r="R12" s="1709"/>
    </row>
    <row r="13" spans="1:19">
      <c r="B13" s="1808"/>
      <c r="C13" s="1947"/>
      <c r="D13" s="1866"/>
      <c r="E13" s="1787"/>
      <c r="F13" s="1866"/>
      <c r="H13" s="580"/>
      <c r="I13" s="584"/>
      <c r="J13" s="1782"/>
      <c r="K13" s="1782"/>
      <c r="L13" s="1782"/>
      <c r="M13" s="1730"/>
      <c r="N13" s="1782"/>
      <c r="O13" s="1782"/>
      <c r="P13" s="1781"/>
      <c r="Q13" s="1709"/>
      <c r="R13" s="1709"/>
    </row>
    <row r="14" spans="1:19" ht="15.75">
      <c r="B14" s="1808"/>
      <c r="C14" s="1888" t="s">
        <v>45</v>
      </c>
      <c r="D14" s="1969">
        <v>2016</v>
      </c>
      <c r="E14" s="1970">
        <v>2017</v>
      </c>
      <c r="F14" s="1950" t="s">
        <v>23</v>
      </c>
      <c r="H14" s="580"/>
      <c r="I14" s="584"/>
      <c r="J14" s="1782"/>
      <c r="K14" s="1782"/>
      <c r="L14" s="1782"/>
      <c r="M14" s="1730"/>
      <c r="N14" s="1782"/>
      <c r="O14" s="1782"/>
      <c r="P14" s="1781"/>
      <c r="Q14" s="1709"/>
      <c r="R14" s="1709"/>
    </row>
    <row r="15" spans="1:19">
      <c r="B15" s="1886" t="s">
        <v>312</v>
      </c>
      <c r="C15" s="1910" t="s">
        <v>46</v>
      </c>
      <c r="D15" s="1911">
        <f>SUM(D16:D19)</f>
        <v>0</v>
      </c>
      <c r="E15" s="1926">
        <f>SUM(E16:E19)</f>
        <v>0</v>
      </c>
      <c r="F15" s="1924">
        <f>SUM(F16:F19)</f>
        <v>0</v>
      </c>
      <c r="H15" s="580"/>
      <c r="I15" s="584"/>
      <c r="J15" s="1782"/>
      <c r="K15" s="1782"/>
      <c r="L15" s="1782"/>
      <c r="M15" s="1730"/>
      <c r="N15" s="1782"/>
      <c r="O15" s="1782"/>
      <c r="P15" s="1781"/>
      <c r="Q15" s="1709"/>
      <c r="R15" s="1709"/>
    </row>
    <row r="16" spans="1:19">
      <c r="B16" s="2610"/>
      <c r="C16" s="2197"/>
      <c r="D16" s="2201"/>
      <c r="E16" s="2200"/>
      <c r="F16" s="1879">
        <f>SUM(D16:E16)</f>
        <v>0</v>
      </c>
      <c r="H16" s="580"/>
      <c r="I16" s="584"/>
      <c r="J16" s="1782"/>
      <c r="K16" s="1782"/>
      <c r="L16" s="1782"/>
      <c r="M16" s="1730"/>
      <c r="N16" s="1782"/>
      <c r="O16" s="1782"/>
      <c r="P16" s="1781"/>
      <c r="Q16" s="1709"/>
      <c r="R16" s="1709"/>
    </row>
    <row r="17" spans="2:18">
      <c r="B17" s="2610"/>
      <c r="C17" s="2197"/>
      <c r="D17" s="2199"/>
      <c r="E17" s="2198"/>
      <c r="F17" s="1891">
        <f>SUM(D17:E17)</f>
        <v>0</v>
      </c>
      <c r="H17" s="580"/>
      <c r="I17" s="584"/>
      <c r="J17" s="1782"/>
      <c r="K17" s="1782"/>
      <c r="L17" s="1782"/>
      <c r="M17" s="1730"/>
      <c r="N17" s="1782"/>
      <c r="O17" s="1782"/>
      <c r="P17" s="1781"/>
      <c r="Q17" s="1709"/>
      <c r="R17" s="1709"/>
    </row>
    <row r="18" spans="2:18">
      <c r="B18" s="2610"/>
      <c r="C18" s="2197"/>
      <c r="D18" s="2199"/>
      <c r="E18" s="2198"/>
      <c r="F18" s="1891">
        <f>SUM(D18:E18)</f>
        <v>0</v>
      </c>
      <c r="H18" s="580"/>
      <c r="I18" s="584"/>
      <c r="J18" s="1782"/>
      <c r="K18" s="1782"/>
      <c r="L18" s="1782"/>
      <c r="M18" s="1730"/>
      <c r="N18" s="1782"/>
      <c r="O18" s="1782"/>
      <c r="P18" s="1781"/>
      <c r="Q18" s="1709"/>
      <c r="R18" s="1709"/>
    </row>
    <row r="19" spans="2:18">
      <c r="B19" s="1885"/>
      <c r="C19" s="1876"/>
      <c r="D19" s="1903"/>
      <c r="E19" s="1902"/>
      <c r="F19" s="1891">
        <f>SUM(D19:E19)</f>
        <v>0</v>
      </c>
      <c r="H19" s="580"/>
      <c r="I19" s="584"/>
      <c r="J19" s="1782"/>
      <c r="K19" s="1782"/>
      <c r="L19" s="1782"/>
      <c r="M19" s="1730"/>
      <c r="N19" s="1782"/>
      <c r="O19" s="1782"/>
      <c r="P19" s="1781"/>
      <c r="Q19" s="1709"/>
      <c r="R19" s="1709"/>
    </row>
    <row r="20" spans="2:18">
      <c r="B20" s="1908">
        <f>SUM(B16:B19)</f>
        <v>0</v>
      </c>
      <c r="C20" s="1952"/>
      <c r="D20" s="1954"/>
      <c r="E20" s="1955"/>
      <c r="F20" s="1957"/>
      <c r="H20" s="580"/>
      <c r="I20" s="584"/>
      <c r="J20" s="1782"/>
      <c r="K20" s="1782"/>
      <c r="L20" s="1782"/>
      <c r="M20" s="1730"/>
      <c r="N20" s="1782"/>
      <c r="O20" s="1782"/>
      <c r="P20" s="1781"/>
      <c r="Q20" s="1709"/>
      <c r="R20" s="1709"/>
    </row>
    <row r="21" spans="2:18">
      <c r="C21" s="1910" t="s">
        <v>47</v>
      </c>
      <c r="D21" s="1911">
        <f>SUM(D22:D25)</f>
        <v>0</v>
      </c>
      <c r="E21" s="1926">
        <f>SUM(E22:E25)</f>
        <v>0</v>
      </c>
      <c r="F21" s="1924">
        <f>SUM(F22:F25)</f>
        <v>0</v>
      </c>
      <c r="H21" s="580"/>
      <c r="I21" s="584"/>
      <c r="J21" s="1782"/>
      <c r="K21" s="1782"/>
      <c r="L21" s="1782"/>
      <c r="M21" s="1730"/>
      <c r="N21" s="1782"/>
      <c r="O21" s="1782"/>
      <c r="P21" s="1781"/>
      <c r="Q21" s="1709"/>
      <c r="R21" s="1709"/>
    </row>
    <row r="22" spans="2:18">
      <c r="C22" s="2197"/>
      <c r="D22" s="2201"/>
      <c r="E22" s="2200"/>
      <c r="F22" s="1879">
        <f>SUM(D22:E22)</f>
        <v>0</v>
      </c>
      <c r="H22" s="581"/>
      <c r="I22" s="584"/>
      <c r="J22" s="1782"/>
      <c r="K22" s="1782"/>
      <c r="L22" s="1782"/>
      <c r="M22" s="1730"/>
      <c r="N22" s="1782"/>
      <c r="O22" s="1782"/>
      <c r="P22" s="1781"/>
      <c r="Q22" s="1709"/>
      <c r="R22" s="1709"/>
    </row>
    <row r="23" spans="2:18">
      <c r="C23" s="2197"/>
      <c r="D23" s="1900"/>
      <c r="E23" s="1899"/>
      <c r="F23" s="1891">
        <f>SUM(D23:E23)</f>
        <v>0</v>
      </c>
      <c r="H23" s="580"/>
      <c r="I23" s="584"/>
      <c r="J23" s="1782"/>
      <c r="K23" s="1782"/>
      <c r="L23" s="1782"/>
      <c r="M23" s="1730"/>
      <c r="N23" s="1782"/>
      <c r="O23" s="1782"/>
      <c r="P23" s="1781"/>
      <c r="Q23" s="1709"/>
      <c r="R23" s="1709"/>
    </row>
    <row r="24" spans="2:18">
      <c r="C24" s="1876"/>
      <c r="D24" s="1898"/>
      <c r="E24" s="1897"/>
      <c r="F24" s="1891">
        <f>SUM(D24:E24)</f>
        <v>0</v>
      </c>
      <c r="H24" s="580"/>
      <c r="I24" s="584"/>
      <c r="J24" s="1782"/>
      <c r="K24" s="1782"/>
      <c r="L24" s="1782"/>
      <c r="M24" s="1730"/>
      <c r="N24" s="1782"/>
      <c r="O24" s="1782"/>
      <c r="P24" s="1781"/>
      <c r="Q24" s="1709"/>
      <c r="R24" s="1709"/>
    </row>
    <row r="25" spans="2:18">
      <c r="C25" s="1876"/>
      <c r="D25" s="1896"/>
      <c r="E25" s="1899"/>
      <c r="F25" s="1891">
        <f>SUM(D25:E25)</f>
        <v>0</v>
      </c>
      <c r="H25" s="580"/>
      <c r="I25" s="584"/>
      <c r="J25" s="1782"/>
      <c r="K25" s="1782"/>
      <c r="L25" s="1782"/>
      <c r="M25" s="1730"/>
      <c r="N25" s="1782"/>
      <c r="O25" s="1782"/>
      <c r="P25" s="1781"/>
      <c r="Q25" s="1709"/>
      <c r="R25" s="1709"/>
    </row>
    <row r="26" spans="2:18">
      <c r="C26" s="1877"/>
      <c r="D26" s="1892"/>
      <c r="E26" s="1884"/>
      <c r="F26" s="1892"/>
      <c r="H26" s="580"/>
      <c r="I26" s="584"/>
      <c r="J26" s="1782"/>
      <c r="K26" s="1782"/>
      <c r="L26" s="1782"/>
      <c r="M26" s="1730"/>
      <c r="N26" s="1782"/>
      <c r="O26" s="1782"/>
      <c r="P26" s="1781"/>
      <c r="Q26" s="1709"/>
      <c r="R26" s="1709"/>
    </row>
    <row r="27" spans="2:18">
      <c r="C27" s="1910" t="s">
        <v>48</v>
      </c>
      <c r="D27" s="1911">
        <f>SUM(D29:D32)</f>
        <v>0</v>
      </c>
      <c r="E27" s="1926">
        <f>SUM(E29:E32)</f>
        <v>0</v>
      </c>
      <c r="F27" s="1924">
        <f>SUM(F29:F32)</f>
        <v>0</v>
      </c>
      <c r="H27" s="580"/>
      <c r="I27" s="584"/>
      <c r="J27" s="1782"/>
      <c r="K27" s="1782"/>
      <c r="L27" s="1782"/>
      <c r="M27" s="1730"/>
      <c r="N27" s="1782"/>
      <c r="O27" s="1782"/>
      <c r="P27" s="1781"/>
      <c r="Q27" s="1709"/>
      <c r="R27" s="1709"/>
    </row>
    <row r="28" spans="2:18">
      <c r="C28" s="1909" t="s">
        <v>315</v>
      </c>
      <c r="D28" s="1912">
        <v>0.66700000000000004</v>
      </c>
      <c r="E28" s="1913">
        <v>0.68</v>
      </c>
      <c r="F28" s="1949"/>
      <c r="H28" s="580"/>
      <c r="I28" s="584"/>
      <c r="J28" s="1782"/>
      <c r="K28" s="1782"/>
      <c r="L28" s="1782"/>
      <c r="M28" s="1730"/>
      <c r="N28" s="1782"/>
      <c r="O28" s="1782"/>
      <c r="P28" s="1781"/>
      <c r="Q28" s="1709"/>
      <c r="R28" s="1709"/>
    </row>
    <row r="29" spans="2:18">
      <c r="C29" s="2190" t="s">
        <v>778</v>
      </c>
      <c r="D29" s="1971">
        <f>D15*D28</f>
        <v>0</v>
      </c>
      <c r="E29" s="1972">
        <f>E15*E28</f>
        <v>0</v>
      </c>
      <c r="F29" s="1891">
        <f>SUM(D29:E29)</f>
        <v>0</v>
      </c>
      <c r="H29" s="580"/>
      <c r="I29" s="584"/>
      <c r="J29" s="1782"/>
      <c r="K29" s="1782"/>
      <c r="L29" s="1782"/>
      <c r="M29" s="1730"/>
      <c r="N29" s="1782"/>
      <c r="O29" s="1782"/>
      <c r="P29" s="1781"/>
      <c r="Q29" s="1709"/>
      <c r="R29" s="1709"/>
    </row>
    <row r="30" spans="2:18">
      <c r="C30" s="2190" t="s">
        <v>779</v>
      </c>
      <c r="D30" s="1973">
        <f>D21*D28</f>
        <v>0</v>
      </c>
      <c r="E30" s="1972">
        <f>E21*E28</f>
        <v>0</v>
      </c>
      <c r="F30" s="2191">
        <f>SUM(D30:E30)</f>
        <v>0</v>
      </c>
      <c r="H30" s="580"/>
      <c r="I30" s="584"/>
      <c r="J30" s="1782"/>
      <c r="K30" s="1782"/>
      <c r="L30" s="1782"/>
      <c r="M30" s="1730"/>
      <c r="N30" s="1782"/>
      <c r="O30" s="1782"/>
      <c r="P30" s="1781"/>
      <c r="Q30" s="1709"/>
      <c r="R30" s="1709"/>
    </row>
    <row r="31" spans="2:18">
      <c r="C31" s="1901"/>
      <c r="D31" s="1898"/>
      <c r="E31" s="1897"/>
      <c r="F31" s="2191">
        <f>SUM(D31:E31)</f>
        <v>0</v>
      </c>
      <c r="H31" s="580"/>
      <c r="I31" s="584"/>
      <c r="J31" s="1782"/>
      <c r="K31" s="1782"/>
      <c r="L31" s="1782"/>
      <c r="M31" s="1730"/>
      <c r="N31" s="1782"/>
      <c r="O31" s="1782"/>
      <c r="P31" s="1781"/>
      <c r="Q31" s="1709"/>
      <c r="R31" s="1709"/>
    </row>
    <row r="32" spans="2:18">
      <c r="C32" s="1901"/>
      <c r="D32" s="1896"/>
      <c r="E32" s="1899"/>
      <c r="F32" s="2191">
        <f>SUM(D32:E32)</f>
        <v>0</v>
      </c>
      <c r="H32" s="580"/>
      <c r="I32" s="584"/>
      <c r="J32" s="1782"/>
      <c r="K32" s="1782"/>
      <c r="L32" s="1782"/>
      <c r="M32" s="1730"/>
      <c r="N32" s="1782"/>
      <c r="O32" s="1782"/>
      <c r="P32" s="1781"/>
      <c r="Q32" s="1709"/>
      <c r="R32" s="1709"/>
    </row>
    <row r="33" spans="1:18">
      <c r="C33" s="1952"/>
      <c r="D33" s="1958"/>
      <c r="E33" s="1955"/>
      <c r="F33" s="1958"/>
      <c r="H33" s="580"/>
      <c r="I33" s="584"/>
      <c r="J33" s="1782"/>
      <c r="K33" s="1782"/>
      <c r="L33" s="1782"/>
      <c r="M33" s="1730"/>
      <c r="N33" s="1782"/>
      <c r="O33" s="1782"/>
      <c r="P33" s="1781"/>
      <c r="Q33" s="1709"/>
      <c r="R33" s="1709"/>
    </row>
    <row r="34" spans="1:18">
      <c r="C34" s="1910" t="s">
        <v>49</v>
      </c>
      <c r="D34" s="2183">
        <f>SUM(D35:D38)</f>
        <v>0</v>
      </c>
      <c r="E34" s="2184">
        <f>SUM(E35:E38)</f>
        <v>0</v>
      </c>
      <c r="F34" s="1924">
        <v>0</v>
      </c>
      <c r="H34" s="580"/>
      <c r="I34" s="584"/>
      <c r="J34" s="1782"/>
      <c r="K34" s="1782"/>
      <c r="L34" s="1782"/>
      <c r="M34" s="1730"/>
      <c r="N34" s="1782"/>
      <c r="O34" s="1782"/>
      <c r="P34" s="1781"/>
      <c r="Q34" s="1709"/>
      <c r="R34" s="1709"/>
    </row>
    <row r="35" spans="1:18" ht="16.5" customHeight="1">
      <c r="A35" s="2233" t="s">
        <v>507</v>
      </c>
      <c r="C35" s="2197"/>
      <c r="D35" s="2202"/>
      <c r="E35" s="2203"/>
      <c r="F35" s="1891">
        <v>0</v>
      </c>
      <c r="H35" s="580"/>
      <c r="I35" s="584"/>
      <c r="J35" s="1782"/>
      <c r="K35" s="1782"/>
      <c r="L35" s="1782"/>
      <c r="M35" s="1730"/>
      <c r="N35" s="1782"/>
      <c r="O35" s="1782"/>
      <c r="P35" s="1781"/>
      <c r="Q35" s="1709"/>
      <c r="R35" s="1709"/>
    </row>
    <row r="36" spans="1:18">
      <c r="A36" s="2193" t="s">
        <v>205</v>
      </c>
      <c r="C36" s="2197"/>
      <c r="D36" s="2202"/>
      <c r="E36" s="2203"/>
      <c r="F36" s="1891">
        <v>0</v>
      </c>
      <c r="H36" s="580"/>
      <c r="I36" s="584"/>
      <c r="J36" s="1782"/>
      <c r="K36" s="1782"/>
      <c r="L36" s="1782"/>
      <c r="M36" s="1730"/>
      <c r="N36" s="1782"/>
      <c r="O36" s="1782"/>
      <c r="P36" s="1781"/>
      <c r="Q36" s="1709"/>
      <c r="R36" s="1709"/>
    </row>
    <row r="37" spans="1:18">
      <c r="A37" s="1844" t="s">
        <v>622</v>
      </c>
      <c r="C37" s="1876"/>
      <c r="D37" s="1971"/>
      <c r="E37" s="1988"/>
      <c r="F37" s="1891">
        <v>0</v>
      </c>
      <c r="H37" s="580"/>
      <c r="I37" s="584"/>
      <c r="J37" s="1782"/>
      <c r="K37" s="1782"/>
      <c r="L37" s="1782"/>
      <c r="M37" s="1730"/>
      <c r="N37" s="1782"/>
      <c r="O37" s="1782"/>
      <c r="P37" s="1781"/>
      <c r="Q37" s="1709"/>
      <c r="R37" s="1709"/>
    </row>
    <row r="38" spans="1:18">
      <c r="A38" s="1823" t="s">
        <v>6</v>
      </c>
      <c r="C38" s="1876"/>
      <c r="D38" s="1971"/>
      <c r="E38" s="1988"/>
      <c r="F38" s="1891">
        <v>0</v>
      </c>
      <c r="H38" s="580"/>
      <c r="I38" s="584"/>
      <c r="J38" s="1782"/>
      <c r="K38" s="1782"/>
      <c r="L38" s="1782"/>
      <c r="M38" s="1730"/>
      <c r="N38" s="1782"/>
      <c r="O38" s="1782"/>
      <c r="P38" s="1781"/>
      <c r="Q38" s="1709"/>
      <c r="R38" s="1709"/>
    </row>
    <row r="39" spans="1:18">
      <c r="A39" s="1823">
        <v>18230671</v>
      </c>
      <c r="C39" s="1952"/>
      <c r="D39" s="1958"/>
      <c r="E39" s="1955"/>
      <c r="F39" s="1958"/>
      <c r="H39" s="580"/>
      <c r="I39" s="584"/>
      <c r="J39" s="1782"/>
      <c r="K39" s="1782"/>
      <c r="L39" s="1782"/>
      <c r="M39" s="1730"/>
      <c r="N39" s="1782"/>
      <c r="O39" s="1782"/>
      <c r="P39" s="1781"/>
      <c r="Q39" s="1709"/>
      <c r="R39" s="1709"/>
    </row>
    <row r="40" spans="1:18">
      <c r="A40" s="1808" t="s">
        <v>31</v>
      </c>
      <c r="C40" s="2106" t="s">
        <v>506</v>
      </c>
      <c r="D40" s="1911">
        <f>SUM(D41:D44)</f>
        <v>0</v>
      </c>
      <c r="E40" s="1926">
        <f>SUM(E41:E44)</f>
        <v>0</v>
      </c>
      <c r="F40" s="1924">
        <f t="shared" ref="F40:F56" si="1">SUM(D40:E40)</f>
        <v>0</v>
      </c>
      <c r="H40" s="580"/>
      <c r="I40" s="584"/>
      <c r="J40" s="1782"/>
      <c r="K40" s="1782"/>
      <c r="L40" s="1782"/>
      <c r="M40" s="1730"/>
      <c r="N40" s="1782"/>
      <c r="O40" s="1782"/>
      <c r="P40" s="1781"/>
      <c r="Q40" s="1709"/>
      <c r="R40" s="1709"/>
    </row>
    <row r="41" spans="1:18">
      <c r="C41" s="2197"/>
      <c r="D41" s="2202"/>
      <c r="E41" s="2203"/>
      <c r="F41" s="1891">
        <f t="shared" si="1"/>
        <v>0</v>
      </c>
      <c r="H41" s="580"/>
      <c r="I41" s="584"/>
      <c r="J41" s="1782"/>
      <c r="K41" s="1782"/>
      <c r="L41" s="1782"/>
      <c r="M41" s="1730"/>
      <c r="N41" s="1782"/>
      <c r="O41" s="1782"/>
      <c r="P41" s="1781"/>
      <c r="Q41" s="1709"/>
      <c r="R41" s="1709"/>
    </row>
    <row r="42" spans="1:18">
      <c r="C42" s="2197"/>
      <c r="D42" s="2202"/>
      <c r="E42" s="2203"/>
      <c r="F42" s="1891">
        <f t="shared" si="1"/>
        <v>0</v>
      </c>
      <c r="H42" s="580"/>
      <c r="I42" s="584"/>
      <c r="J42" s="1782"/>
      <c r="K42" s="1782"/>
      <c r="L42" s="1782"/>
      <c r="M42" s="1730"/>
      <c r="N42" s="1782"/>
      <c r="O42" s="1782"/>
      <c r="P42" s="1781"/>
      <c r="Q42" s="1709"/>
      <c r="R42" s="1709"/>
    </row>
    <row r="43" spans="1:18">
      <c r="C43" s="2197"/>
      <c r="D43" s="2202"/>
      <c r="E43" s="2203"/>
      <c r="F43" s="1891">
        <f t="shared" si="1"/>
        <v>0</v>
      </c>
      <c r="H43" s="580"/>
      <c r="I43" s="584"/>
      <c r="J43" s="1782"/>
      <c r="K43" s="1782"/>
      <c r="L43" s="1782"/>
      <c r="M43" s="1730"/>
      <c r="N43" s="1782"/>
      <c r="O43" s="1782"/>
      <c r="P43" s="1781"/>
      <c r="Q43" s="1709"/>
      <c r="R43" s="1709"/>
    </row>
    <row r="44" spans="1:18">
      <c r="C44" s="2197"/>
      <c r="D44" s="2202"/>
      <c r="E44" s="2203"/>
      <c r="F44" s="1891">
        <f t="shared" si="1"/>
        <v>0</v>
      </c>
      <c r="H44" s="580"/>
      <c r="I44" s="584"/>
      <c r="J44" s="1782"/>
      <c r="K44" s="1782"/>
      <c r="L44" s="1782"/>
      <c r="M44" s="1730"/>
      <c r="N44" s="1782"/>
      <c r="O44" s="1782"/>
      <c r="P44" s="1781"/>
      <c r="Q44" s="1709"/>
      <c r="R44" s="1709"/>
    </row>
    <row r="45" spans="1:18">
      <c r="C45" s="1952"/>
      <c r="D45" s="1958"/>
      <c r="E45" s="1955"/>
      <c r="F45" s="1958"/>
      <c r="H45" s="580"/>
      <c r="I45" s="584"/>
      <c r="J45" s="1782"/>
      <c r="K45" s="1782"/>
      <c r="L45" s="1782"/>
      <c r="M45" s="1730"/>
      <c r="N45" s="1782"/>
      <c r="O45" s="1782"/>
      <c r="P45" s="1781"/>
      <c r="Q45" s="1709"/>
      <c r="R45" s="1709"/>
    </row>
    <row r="46" spans="1:18">
      <c r="C46" s="1910" t="s">
        <v>50</v>
      </c>
      <c r="D46" s="1911">
        <f>SUM(D47:D50)</f>
        <v>975</v>
      </c>
      <c r="E46" s="1926">
        <f>SUM(E47:E50)</f>
        <v>975</v>
      </c>
      <c r="F46" s="1924">
        <f t="shared" si="1"/>
        <v>1950</v>
      </c>
      <c r="H46" s="580"/>
      <c r="I46" s="584"/>
      <c r="J46" s="1782"/>
      <c r="K46" s="1782"/>
      <c r="L46" s="1782"/>
      <c r="M46" s="1730"/>
      <c r="N46" s="1782"/>
      <c r="O46" s="1782"/>
      <c r="P46" s="1781"/>
      <c r="Q46" s="1709"/>
      <c r="R46" s="1709"/>
    </row>
    <row r="47" spans="1:18">
      <c r="C47" s="2197" t="s">
        <v>871</v>
      </c>
      <c r="D47" s="2202">
        <v>975</v>
      </c>
      <c r="E47" s="2203">
        <v>975</v>
      </c>
      <c r="F47" s="1891">
        <f t="shared" si="1"/>
        <v>1950</v>
      </c>
      <c r="H47" s="580"/>
      <c r="I47" s="584"/>
      <c r="J47" s="1782"/>
      <c r="K47" s="1782"/>
      <c r="L47" s="1782"/>
      <c r="M47" s="1730"/>
      <c r="N47" s="1782"/>
      <c r="O47" s="1782"/>
      <c r="P47" s="1781"/>
      <c r="Q47" s="1709"/>
      <c r="R47" s="1709"/>
    </row>
    <row r="48" spans="1:18">
      <c r="C48" s="2197"/>
      <c r="D48" s="2202"/>
      <c r="E48" s="2203"/>
      <c r="F48" s="1891">
        <f t="shared" si="1"/>
        <v>0</v>
      </c>
      <c r="H48" s="580"/>
      <c r="I48" s="584"/>
      <c r="J48" s="1782"/>
      <c r="K48" s="1782"/>
      <c r="L48" s="1782"/>
      <c r="M48" s="1730"/>
      <c r="N48" s="1782"/>
      <c r="O48" s="1782"/>
      <c r="P48" s="1781"/>
      <c r="Q48" s="1709"/>
      <c r="R48" s="1709"/>
    </row>
    <row r="49" spans="3:20">
      <c r="C49" s="1876"/>
      <c r="D49" s="1971"/>
      <c r="E49" s="1988"/>
      <c r="F49" s="1891">
        <f t="shared" si="1"/>
        <v>0</v>
      </c>
      <c r="H49" s="580"/>
      <c r="I49" s="580"/>
      <c r="J49" s="1782"/>
      <c r="K49" s="1782"/>
      <c r="L49" s="1782"/>
      <c r="M49" s="1730"/>
      <c r="N49" s="1782"/>
      <c r="O49" s="1782"/>
      <c r="P49" s="1781"/>
      <c r="Q49" s="1709"/>
      <c r="R49" s="1709"/>
      <c r="S49" s="580"/>
      <c r="T49" s="580"/>
    </row>
    <row r="50" spans="3:20">
      <c r="C50" s="1876"/>
      <c r="D50" s="1971"/>
      <c r="E50" s="1988"/>
      <c r="F50" s="1891">
        <f t="shared" si="1"/>
        <v>0</v>
      </c>
      <c r="H50" s="580"/>
      <c r="I50" s="580"/>
      <c r="J50" s="1782"/>
      <c r="K50" s="1782"/>
      <c r="L50" s="1782"/>
      <c r="M50" s="1730"/>
      <c r="N50" s="1782"/>
      <c r="O50" s="1782"/>
      <c r="P50" s="1781"/>
      <c r="Q50" s="1709"/>
      <c r="R50" s="1709"/>
      <c r="S50" s="580"/>
      <c r="T50" s="580"/>
    </row>
    <row r="51" spans="3:20">
      <c r="C51" s="1952"/>
      <c r="D51" s="1958"/>
      <c r="E51" s="1955"/>
      <c r="F51" s="1958"/>
      <c r="H51" s="580"/>
      <c r="I51" s="580"/>
      <c r="J51" s="1782"/>
      <c r="K51" s="1782"/>
      <c r="L51" s="1782"/>
      <c r="M51" s="1730"/>
      <c r="N51" s="1782"/>
      <c r="O51" s="1782"/>
      <c r="P51" s="1781"/>
      <c r="Q51" s="1709"/>
      <c r="R51" s="1709"/>
      <c r="S51" s="580"/>
      <c r="T51" s="580"/>
    </row>
    <row r="52" spans="3:20">
      <c r="C52" s="1910" t="s">
        <v>51</v>
      </c>
      <c r="D52" s="1911">
        <f>SUM(D53:D56)</f>
        <v>0</v>
      </c>
      <c r="E52" s="1926">
        <f>SUM(E53:E56)</f>
        <v>0</v>
      </c>
      <c r="F52" s="1924">
        <f t="shared" si="1"/>
        <v>0</v>
      </c>
      <c r="H52" s="1716"/>
      <c r="I52" s="1775"/>
      <c r="J52" s="1782"/>
      <c r="K52" s="1782"/>
      <c r="L52" s="1782"/>
      <c r="M52" s="1730"/>
      <c r="N52" s="1782"/>
      <c r="O52" s="1782"/>
      <c r="P52" s="1781"/>
      <c r="Q52" s="1709"/>
      <c r="R52" s="1709"/>
      <c r="S52" s="580"/>
      <c r="T52" s="580"/>
    </row>
    <row r="53" spans="3:20">
      <c r="C53" s="2197"/>
      <c r="D53" s="2202"/>
      <c r="E53" s="2163"/>
      <c r="F53" s="1891">
        <f t="shared" si="1"/>
        <v>0</v>
      </c>
      <c r="H53" s="1775"/>
      <c r="I53" s="1775"/>
      <c r="J53" s="1782"/>
      <c r="K53" s="1782"/>
      <c r="L53" s="1782"/>
      <c r="M53" s="1730"/>
      <c r="N53" s="1782"/>
      <c r="O53" s="1782"/>
      <c r="P53" s="1781"/>
      <c r="Q53" s="1709"/>
      <c r="R53" s="1709"/>
      <c r="S53" s="580"/>
      <c r="T53" s="580"/>
    </row>
    <row r="54" spans="3:20">
      <c r="C54" s="2197"/>
      <c r="D54" s="2202"/>
      <c r="E54" s="2163"/>
      <c r="F54" s="1891">
        <f t="shared" si="1"/>
        <v>0</v>
      </c>
      <c r="H54" s="1775"/>
      <c r="I54" s="1775"/>
      <c r="J54" s="1782"/>
      <c r="K54" s="1782"/>
      <c r="L54" s="1782"/>
      <c r="M54" s="1782"/>
      <c r="N54" s="1782"/>
      <c r="O54" s="1782"/>
      <c r="P54" s="1782"/>
      <c r="Q54" s="1785"/>
      <c r="R54" s="1785"/>
      <c r="S54" s="580"/>
      <c r="T54" s="580"/>
    </row>
    <row r="55" spans="3:20">
      <c r="C55" s="2197"/>
      <c r="D55" s="2202"/>
      <c r="E55" s="2163"/>
      <c r="F55" s="1891">
        <f t="shared" si="1"/>
        <v>0</v>
      </c>
      <c r="H55" s="1775"/>
      <c r="I55" s="1775"/>
      <c r="J55" s="580"/>
      <c r="K55" s="580"/>
      <c r="L55" s="580"/>
      <c r="M55" s="580"/>
      <c r="N55" s="580"/>
      <c r="O55" s="580"/>
      <c r="P55" s="580"/>
      <c r="Q55" s="580"/>
      <c r="R55" s="580"/>
      <c r="S55" s="580"/>
      <c r="T55" s="580"/>
    </row>
    <row r="56" spans="3:20">
      <c r="C56" s="2197"/>
      <c r="D56" s="2202"/>
      <c r="E56" s="2163"/>
      <c r="F56" s="1891">
        <f t="shared" si="1"/>
        <v>0</v>
      </c>
      <c r="H56" s="1775"/>
      <c r="I56" s="1775"/>
      <c r="J56" s="580"/>
      <c r="K56" s="580"/>
      <c r="L56" s="580"/>
      <c r="M56" s="580"/>
      <c r="N56" s="580"/>
      <c r="O56" s="580"/>
      <c r="P56" s="580"/>
      <c r="Q56" s="580"/>
      <c r="R56" s="580"/>
      <c r="S56" s="580"/>
      <c r="T56" s="580"/>
    </row>
    <row r="57" spans="3:20">
      <c r="C57" s="1952"/>
      <c r="D57" s="1958"/>
      <c r="E57" s="1955"/>
      <c r="F57" s="1958"/>
      <c r="H57" s="1779"/>
      <c r="I57" s="1778"/>
      <c r="J57" s="580"/>
      <c r="K57" s="580"/>
      <c r="L57" s="580"/>
      <c r="M57" s="580"/>
      <c r="N57" s="580"/>
      <c r="O57" s="580"/>
      <c r="P57" s="580"/>
      <c r="Q57" s="580"/>
      <c r="R57" s="580"/>
      <c r="S57" s="580"/>
      <c r="T57" s="580"/>
    </row>
    <row r="58" spans="3:20">
      <c r="C58" s="1910" t="s">
        <v>52</v>
      </c>
      <c r="D58" s="1911">
        <f>SUM(D59:D60)</f>
        <v>0</v>
      </c>
      <c r="E58" s="1926">
        <f>SUM(E59:E60)</f>
        <v>0</v>
      </c>
      <c r="F58" s="1924">
        <f>SUM(F59:F60)</f>
        <v>0</v>
      </c>
      <c r="G58" s="580"/>
      <c r="H58" s="580"/>
      <c r="I58" s="580"/>
      <c r="J58" s="580"/>
      <c r="K58" s="580"/>
      <c r="L58" s="580"/>
      <c r="M58" s="580"/>
      <c r="N58" s="580"/>
      <c r="O58" s="580"/>
      <c r="P58" s="580"/>
      <c r="Q58" s="580"/>
      <c r="R58" s="580"/>
      <c r="S58" s="580"/>
      <c r="T58" s="580"/>
    </row>
    <row r="59" spans="3:20">
      <c r="C59" s="1876"/>
      <c r="D59" s="1971"/>
      <c r="E59" s="1988"/>
      <c r="F59" s="1891">
        <f>SUM(D59:E59)</f>
        <v>0</v>
      </c>
    </row>
    <row r="60" spans="3:20">
      <c r="C60" s="1876"/>
      <c r="D60" s="1971"/>
      <c r="E60" s="1988"/>
      <c r="F60" s="1891">
        <f>SUM(D60:E60)</f>
        <v>0</v>
      </c>
    </row>
    <row r="61" spans="3:20">
      <c r="C61" s="1876"/>
      <c r="D61" s="1971"/>
      <c r="E61" s="1988"/>
      <c r="F61" s="1890">
        <v>0</v>
      </c>
    </row>
    <row r="62" spans="3:20">
      <c r="C62" s="1876"/>
      <c r="D62" s="1971"/>
      <c r="E62" s="1988"/>
      <c r="F62" s="189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3" activePane="bottomRight" state="frozen"/>
      <selection pane="bottomRight" activeCell="C53" sqref="C53:E55"/>
      <pageMargins left="0.17" right="0.22" top="0.28000000000000003" bottom="0.39" header="0.3" footer="0.3"/>
      <pageSetup paperSize="17" scale="75" orientation="landscape" r:id="rId1"/>
    </customSheetView>
    <customSheetView guid="{D9EFFE19-D14B-4C6F-BDF4-FF696F73968D}" showGridLines="0" fitToPage="1">
      <pane xSplit="1" ySplit="1" topLeftCell="B2" activePane="bottomRight" state="frozen"/>
      <selection pane="bottomRight" activeCell="G14" sqref="G14"/>
      <pageMargins left="0.17" right="0.22" top="0.28000000000000003" bottom="0.39" header="0.3" footer="0.3"/>
      <pageSetup paperSize="17" scale="75" orientation="landscape" r:id="rId2"/>
    </customSheetView>
  </customSheetViews>
  <mergeCells count="6">
    <mergeCell ref="J11:L11"/>
    <mergeCell ref="Q10:R10"/>
    <mergeCell ref="J10:M10"/>
    <mergeCell ref="J9:M9"/>
    <mergeCell ref="N9:O9"/>
    <mergeCell ref="N10:P10"/>
  </mergeCells>
  <pageMargins left="0.17" right="0.22" top="0.28000000000000003" bottom="0.39" header="0.3" footer="0.3"/>
  <pageSetup paperSize="17" scale="75" orientation="landscape" r:id="rId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C18"/>
  <sheetViews>
    <sheetView showGridLines="0" workbookViewId="0">
      <selection activeCell="H31" sqref="H31"/>
    </sheetView>
  </sheetViews>
  <sheetFormatPr defaultRowHeight="12.75"/>
  <sheetData>
    <row r="1" spans="1:3">
      <c r="A1" t="s">
        <v>0</v>
      </c>
    </row>
    <row r="13" spans="1:3">
      <c r="A13" t="s">
        <v>2</v>
      </c>
    </row>
    <row r="15" spans="1:3">
      <c r="B15" s="2177" t="s">
        <v>364</v>
      </c>
    </row>
    <row r="16" spans="1:3">
      <c r="B16" s="2177" t="s">
        <v>358</v>
      </c>
      <c r="C16" s="2177" t="s">
        <v>359</v>
      </c>
    </row>
    <row r="17" spans="2:3">
      <c r="B17" s="2177" t="s">
        <v>360</v>
      </c>
      <c r="C17" s="2177" t="s">
        <v>361</v>
      </c>
    </row>
    <row r="18" spans="2:3">
      <c r="B18" s="2177" t="s">
        <v>362</v>
      </c>
      <c r="C18" s="2177" t="s">
        <v>363</v>
      </c>
    </row>
  </sheetData>
  <customSheetViews>
    <customSheetView guid="{074EB09C-6289-46D7-9513-012B68BCA7BF}" showGridLines="0">
      <selection activeCell="D29" sqref="D29"/>
      <pageMargins left="0.7" right="0.7" top="0.75" bottom="0.75" header="0.3" footer="0.3"/>
      <pageSetup paperSize="3" orientation="landscape" r:id="rId1"/>
    </customSheetView>
    <customSheetView guid="{D9EFFE19-D14B-4C6F-BDF4-FF696F73968D}" showGridLines="0">
      <selection activeCell="D29" sqref="D2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ABF8F"/>
    <pageSetUpPr fitToPage="1"/>
  </sheetPr>
  <dimension ref="A1:S71"/>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7109375" customWidth="1"/>
    <col min="2" max="2" width="15.28515625" style="1866" customWidth="1"/>
    <col min="3" max="3" width="33.140625" customWidth="1"/>
    <col min="4" max="4" width="22.5703125" style="1" customWidth="1"/>
    <col min="5" max="5" width="22.5703125" style="2" customWidth="1"/>
    <col min="6" max="10" width="18.85546875" customWidth="1"/>
    <col min="11" max="11" width="17.5703125" customWidth="1"/>
    <col min="12" max="12" width="20.28515625" customWidth="1"/>
    <col min="13" max="13" width="24.42578125" customWidth="1"/>
    <col min="14" max="14" width="19.42578125" customWidth="1"/>
    <col min="15" max="15" width="13.85546875" customWidth="1"/>
    <col min="16" max="16" width="17.28515625" customWidth="1"/>
    <col min="17" max="17" width="16.28515625" customWidth="1"/>
  </cols>
  <sheetData>
    <row r="1" spans="1:19" ht="58.5" customHeight="1">
      <c r="D1" s="1831" t="s">
        <v>1738</v>
      </c>
      <c r="E1" s="1977" t="s">
        <v>25</v>
      </c>
      <c r="F1" s="1880">
        <v>18230737</v>
      </c>
      <c r="G1" s="1977" t="s">
        <v>31</v>
      </c>
      <c r="M1" s="1831" t="s">
        <v>1738</v>
      </c>
      <c r="N1" s="1977" t="s">
        <v>25</v>
      </c>
      <c r="O1" s="1880">
        <v>18230737</v>
      </c>
      <c r="P1" s="1977" t="s">
        <v>31</v>
      </c>
    </row>
    <row r="2" spans="1:19" s="43" customFormat="1" ht="18.75" customHeight="1" thickBot="1">
      <c r="D2" s="39"/>
      <c r="E2" s="1800"/>
      <c r="F2" s="1800"/>
      <c r="G2" s="1805"/>
      <c r="H2" s="1576" t="s">
        <v>674</v>
      </c>
      <c r="I2" s="1805"/>
      <c r="J2" s="1805"/>
      <c r="K2" s="1805"/>
      <c r="L2" s="1805"/>
      <c r="M2" s="1805"/>
      <c r="N2" s="1805"/>
      <c r="O2" s="1805"/>
      <c r="P2" s="1805"/>
      <c r="Q2" s="1805"/>
    </row>
    <row r="3" spans="1:19" ht="28.5" customHeight="1" thickBot="1">
      <c r="A3" s="3644" t="s">
        <v>1738</v>
      </c>
      <c r="B3" s="1808"/>
      <c r="D3" s="40"/>
      <c r="E3" s="1791"/>
      <c r="F3" s="1791"/>
      <c r="G3" s="1805"/>
      <c r="H3" s="1577" t="s">
        <v>8</v>
      </c>
      <c r="I3" s="1538" t="s">
        <v>9</v>
      </c>
      <c r="J3" s="1538" t="s">
        <v>10</v>
      </c>
      <c r="K3" s="1538" t="s">
        <v>11</v>
      </c>
      <c r="L3" s="2037" t="s">
        <v>504</v>
      </c>
      <c r="M3" s="1538" t="s">
        <v>12</v>
      </c>
      <c r="N3" s="1538" t="s">
        <v>13</v>
      </c>
      <c r="O3" s="1538" t="s">
        <v>14</v>
      </c>
      <c r="P3" s="2037" t="s">
        <v>15</v>
      </c>
      <c r="Q3" s="2038"/>
      <c r="R3" s="2037" t="s">
        <v>16</v>
      </c>
      <c r="S3" s="2039"/>
    </row>
    <row r="4" spans="1:19" ht="15.75">
      <c r="A4" s="3644"/>
      <c r="B4" s="1976"/>
      <c r="E4" s="1806"/>
      <c r="F4" s="1806"/>
      <c r="G4" s="1804" t="s">
        <v>668</v>
      </c>
      <c r="H4" s="2003">
        <v>0</v>
      </c>
      <c r="I4" s="2002">
        <v>0</v>
      </c>
      <c r="J4" s="2002">
        <v>0</v>
      </c>
      <c r="K4" s="2002">
        <v>0</v>
      </c>
      <c r="L4" s="2002">
        <v>0</v>
      </c>
      <c r="M4" s="2002">
        <v>84045</v>
      </c>
      <c r="N4" s="2002">
        <v>0</v>
      </c>
      <c r="O4" s="2002">
        <v>0</v>
      </c>
      <c r="P4" s="2002"/>
      <c r="Q4" s="2000"/>
      <c r="R4" s="2002">
        <v>84045</v>
      </c>
      <c r="S4" s="1998"/>
    </row>
    <row r="5" spans="1:19" ht="15.75">
      <c r="A5" s="1976" t="s">
        <v>25</v>
      </c>
      <c r="B5" s="1976"/>
      <c r="D5"/>
      <c r="E5" s="1866"/>
      <c r="F5" s="1866"/>
      <c r="G5" s="1228">
        <v>2016</v>
      </c>
      <c r="H5" s="1582">
        <f>D15</f>
        <v>0</v>
      </c>
      <c r="I5" s="1549">
        <f>D21</f>
        <v>0</v>
      </c>
      <c r="J5" s="1549">
        <f>D27</f>
        <v>0</v>
      </c>
      <c r="K5" s="1549">
        <f>D34</f>
        <v>0</v>
      </c>
      <c r="L5" s="1549">
        <f>D40</f>
        <v>0</v>
      </c>
      <c r="M5" s="1549">
        <f>D46</f>
        <v>88010</v>
      </c>
      <c r="N5" s="1549">
        <f>D53</f>
        <v>0</v>
      </c>
      <c r="O5" s="1549">
        <f>D59</f>
        <v>0</v>
      </c>
      <c r="P5" s="1549">
        <v>0</v>
      </c>
      <c r="Q5" s="2001"/>
      <c r="R5" s="1549">
        <f>SUM(H5:P5)</f>
        <v>88010</v>
      </c>
      <c r="S5" s="1999"/>
    </row>
    <row r="6" spans="1:19" ht="16.5" thickBot="1">
      <c r="A6" s="1880">
        <v>18230737</v>
      </c>
      <c r="B6" s="1880"/>
      <c r="C6" s="1302"/>
      <c r="D6"/>
      <c r="E6" s="1866"/>
      <c r="F6" s="1866"/>
      <c r="G6" s="1228">
        <v>2017</v>
      </c>
      <c r="H6" s="57">
        <f>E15</f>
        <v>0</v>
      </c>
      <c r="I6" s="1990">
        <f>E21</f>
        <v>0</v>
      </c>
      <c r="J6" s="1989">
        <f>E27</f>
        <v>0</v>
      </c>
      <c r="K6" s="58">
        <f>E34</f>
        <v>0</v>
      </c>
      <c r="L6" s="58">
        <f>E40</f>
        <v>0</v>
      </c>
      <c r="M6" s="58">
        <f>E46</f>
        <v>88010</v>
      </c>
      <c r="N6" s="58">
        <f>E53</f>
        <v>0</v>
      </c>
      <c r="O6" s="58">
        <f>E59</f>
        <v>0</v>
      </c>
      <c r="P6" s="58">
        <v>0</v>
      </c>
      <c r="Q6" s="1997"/>
      <c r="R6" s="58">
        <f>SUM(H6:P6)</f>
        <v>88010</v>
      </c>
      <c r="S6" s="1996"/>
    </row>
    <row r="7" spans="1:19" s="18" customFormat="1" ht="13.5" thickBot="1">
      <c r="A7" s="1976" t="s">
        <v>31</v>
      </c>
      <c r="B7" s="1978"/>
      <c r="E7" s="1862"/>
      <c r="F7" s="1862"/>
      <c r="G7" s="598" t="s">
        <v>23</v>
      </c>
      <c r="H7" s="1564">
        <f>SUM(H5:H6)</f>
        <v>0</v>
      </c>
      <c r="I7" s="1991">
        <f t="shared" ref="I7:P7" si="0">SUM(I5:I6)</f>
        <v>0</v>
      </c>
      <c r="J7" s="1992">
        <f t="shared" si="0"/>
        <v>0</v>
      </c>
      <c r="K7" s="1993">
        <f t="shared" si="0"/>
        <v>0</v>
      </c>
      <c r="L7" s="1991">
        <f t="shared" si="0"/>
        <v>0</v>
      </c>
      <c r="M7" s="1992">
        <f t="shared" si="0"/>
        <v>176020</v>
      </c>
      <c r="N7" s="1991">
        <f t="shared" si="0"/>
        <v>0</v>
      </c>
      <c r="O7" s="1992">
        <f t="shared" si="0"/>
        <v>0</v>
      </c>
      <c r="P7" s="1993">
        <f t="shared" si="0"/>
        <v>0</v>
      </c>
      <c r="Q7" s="1993"/>
      <c r="R7" s="1991">
        <f>SUM(R5:R6)</f>
        <v>176020</v>
      </c>
      <c r="S7" s="1994"/>
    </row>
    <row r="8" spans="1:19" s="18" customFormat="1" ht="25.5">
      <c r="B8" s="1808"/>
      <c r="E8" s="1862"/>
      <c r="F8" s="1862"/>
      <c r="G8" s="1"/>
      <c r="H8" s="2"/>
      <c r="I8"/>
      <c r="J8"/>
      <c r="K8"/>
      <c r="L8"/>
      <c r="M8"/>
      <c r="N8"/>
      <c r="O8"/>
      <c r="P8" s="21" t="s">
        <v>20</v>
      </c>
      <c r="Q8"/>
    </row>
    <row r="9" spans="1:19" s="18" customFormat="1">
      <c r="A9" s="1819"/>
      <c r="B9" s="1819"/>
      <c r="E9" s="1"/>
      <c r="F9" s="2"/>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D15+D21+D27+D34+D40+D46+D53+D59</f>
        <v>88010</v>
      </c>
      <c r="E12" s="1948">
        <f>E15+E21+E27+E34+E40+E46+E53+E59</f>
        <v>88010</v>
      </c>
      <c r="F12" s="1924">
        <f>D12+E12</f>
        <v>176020</v>
      </c>
    </row>
    <row r="13" spans="1:19" ht="15.75">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0</v>
      </c>
      <c r="E15" s="1926">
        <f>SUM(E16:E19)</f>
        <v>0</v>
      </c>
      <c r="F15" s="1924">
        <f>SUM(F16:F19)</f>
        <v>0</v>
      </c>
      <c r="G15" s="30"/>
      <c r="H15" s="30"/>
    </row>
    <row r="16" spans="1:19" ht="13.5" customHeight="1">
      <c r="A16" s="21"/>
      <c r="B16" s="1885"/>
      <c r="C16" s="1876"/>
      <c r="D16" s="1907"/>
      <c r="E16" s="1906"/>
      <c r="F16" s="1879">
        <f>SUM(D16:E16)</f>
        <v>0</v>
      </c>
    </row>
    <row r="17" spans="1:15" ht="13.5" customHeight="1">
      <c r="A17" s="21"/>
      <c r="B17" s="1885"/>
      <c r="C17" s="1876"/>
      <c r="D17" s="1905"/>
      <c r="E17" s="1904"/>
      <c r="F17" s="1891">
        <f>SUM(D17:E17)</f>
        <v>0</v>
      </c>
      <c r="O17" s="25"/>
    </row>
    <row r="18" spans="1:15" ht="13.5" customHeight="1">
      <c r="A18" s="21"/>
      <c r="B18" s="1885"/>
      <c r="C18" s="1876"/>
      <c r="D18" s="1905"/>
      <c r="E18" s="1904"/>
      <c r="F18" s="1891">
        <f>SUM(D18:E18)</f>
        <v>0</v>
      </c>
      <c r="O18" s="25"/>
    </row>
    <row r="19" spans="1:15" ht="13.5" customHeight="1">
      <c r="A19" s="21"/>
      <c r="B19" s="1885"/>
      <c r="C19" s="1876"/>
      <c r="D19" s="2242"/>
      <c r="E19" s="2079"/>
      <c r="F19" s="1891">
        <f>SUM(D19:E19)</f>
        <v>0</v>
      </c>
    </row>
    <row r="20" spans="1:15" ht="13.5" customHeight="1">
      <c r="A20" s="21"/>
      <c r="B20" s="1908">
        <f>SUM(B16:B19)</f>
        <v>0</v>
      </c>
      <c r="C20" s="1952"/>
      <c r="D20" s="1954"/>
      <c r="E20" s="1955"/>
      <c r="F20" s="1957"/>
    </row>
    <row r="21" spans="1:15" ht="13.5" customHeight="1">
      <c r="A21" s="21"/>
      <c r="B21" s="1865"/>
      <c r="C21" s="1910" t="s">
        <v>47</v>
      </c>
      <c r="D21" s="1911">
        <f>SUM(D22:D25)</f>
        <v>0</v>
      </c>
      <c r="E21" s="1926">
        <f>SUM(E22:E25)</f>
        <v>0</v>
      </c>
      <c r="F21" s="1924">
        <f>SUM(F22:F25)</f>
        <v>0</v>
      </c>
      <c r="G21" s="34" t="s">
        <v>7</v>
      </c>
    </row>
    <row r="22" spans="1:15" ht="13.5" customHeight="1">
      <c r="A22" s="21"/>
      <c r="B22" s="1865"/>
      <c r="C22" s="1876"/>
      <c r="D22" s="1907"/>
      <c r="E22" s="1906"/>
      <c r="F22" s="1879">
        <f>SUM(D22:E22)</f>
        <v>0</v>
      </c>
      <c r="G22" s="35"/>
    </row>
    <row r="23" spans="1:15" ht="13.5" customHeight="1">
      <c r="A23" s="21"/>
      <c r="B23" s="1865"/>
      <c r="C23" s="1876"/>
      <c r="D23" s="1900"/>
      <c r="E23" s="1899"/>
      <c r="F23" s="1891">
        <f>SUM(D23:E23)</f>
        <v>0</v>
      </c>
    </row>
    <row r="24" spans="1:15" ht="13.5" customHeight="1">
      <c r="A24" s="21"/>
      <c r="B24" s="1863"/>
      <c r="C24" s="1876"/>
      <c r="D24" s="1898"/>
      <c r="E24" s="1897"/>
      <c r="F24" s="1891">
        <f>SUM(D24:E24)</f>
        <v>0</v>
      </c>
    </row>
    <row r="25" spans="1:15" s="18" customFormat="1" ht="13.5" customHeight="1">
      <c r="A25" s="29"/>
      <c r="B25" s="1865"/>
      <c r="C25" s="1876"/>
      <c r="D25" s="1896"/>
      <c r="E25" s="1899"/>
      <c r="F25" s="1891">
        <f>SUM(D25:E25)</f>
        <v>0</v>
      </c>
    </row>
    <row r="26" spans="1:15" ht="13.5" customHeight="1">
      <c r="A26" s="21"/>
      <c r="B26" s="1863"/>
      <c r="C26" s="1877"/>
      <c r="D26" s="1892"/>
      <c r="E26" s="1884"/>
      <c r="F26" s="1892"/>
    </row>
    <row r="27" spans="1:15" s="18" customFormat="1" ht="13.5" customHeight="1">
      <c r="A27" s="29"/>
      <c r="B27" s="1865"/>
      <c r="C27" s="1910" t="s">
        <v>48</v>
      </c>
      <c r="D27" s="2127">
        <f>SUM(D29:D32)</f>
        <v>0</v>
      </c>
      <c r="E27" s="2128">
        <f>SUM(E29:E32)</f>
        <v>0</v>
      </c>
      <c r="F27" s="1924">
        <f>SUM(F29:F32)</f>
        <v>0</v>
      </c>
    </row>
    <row r="28" spans="1:15" ht="13.5" customHeight="1">
      <c r="A28" s="21"/>
      <c r="B28" s="1865"/>
      <c r="C28" s="1909" t="s">
        <v>315</v>
      </c>
      <c r="D28" s="1912">
        <v>0.66700000000000004</v>
      </c>
      <c r="E28" s="1913">
        <v>0.68</v>
      </c>
      <c r="F28" s="1949"/>
    </row>
    <row r="29" spans="1:15" ht="13.5" customHeight="1">
      <c r="A29" s="21"/>
      <c r="B29" s="1865"/>
      <c r="C29" s="1876" t="s">
        <v>778</v>
      </c>
      <c r="D29" s="1971">
        <f>D15*D28</f>
        <v>0</v>
      </c>
      <c r="E29" s="1972">
        <f>E15*E28</f>
        <v>0</v>
      </c>
      <c r="F29" s="1891">
        <f>SUM(D29:E29)</f>
        <v>0</v>
      </c>
    </row>
    <row r="30" spans="1:15" ht="13.5" customHeight="1">
      <c r="A30" s="21"/>
      <c r="B30" s="1865"/>
      <c r="C30" s="1876" t="s">
        <v>779</v>
      </c>
      <c r="D30" s="1973">
        <f>D21*D28</f>
        <v>0</v>
      </c>
      <c r="E30" s="1972">
        <f>E21*E28</f>
        <v>0</v>
      </c>
      <c r="F30" s="2191">
        <f>SUM(D30:E30)</f>
        <v>0</v>
      </c>
    </row>
    <row r="31" spans="1:15" ht="13.5" customHeight="1">
      <c r="A31" s="21"/>
      <c r="B31" s="1865"/>
      <c r="C31" s="1901"/>
      <c r="D31" s="1898"/>
      <c r="E31" s="1897"/>
      <c r="F31" s="2191">
        <f>SUM(D31:E31)</f>
        <v>0</v>
      </c>
    </row>
    <row r="32" spans="1:15" ht="13.5" customHeight="1">
      <c r="A32" s="21"/>
      <c r="B32" s="1865"/>
      <c r="C32" s="1901"/>
      <c r="D32" s="1896"/>
      <c r="E32" s="1899"/>
      <c r="F32" s="2191">
        <f>SUM(D32:E32)</f>
        <v>0</v>
      </c>
    </row>
    <row r="33" spans="1:7" ht="13.5" customHeight="1">
      <c r="A33" s="21"/>
      <c r="B33" s="1801"/>
      <c r="C33" s="1952"/>
      <c r="D33" s="1958"/>
      <c r="E33" s="1955"/>
      <c r="F33" s="1958"/>
    </row>
    <row r="34" spans="1:7" ht="13.5" customHeight="1">
      <c r="A34" s="3644" t="s">
        <v>1738</v>
      </c>
      <c r="B34" s="1865"/>
      <c r="C34" s="1910" t="s">
        <v>49</v>
      </c>
      <c r="D34" s="1911">
        <v>0</v>
      </c>
      <c r="E34" s="1926">
        <v>0</v>
      </c>
      <c r="F34" s="1924">
        <v>0</v>
      </c>
      <c r="G34" s="38"/>
    </row>
    <row r="35" spans="1:7" ht="13.5" customHeight="1">
      <c r="A35" s="3644"/>
      <c r="B35" s="1863"/>
      <c r="C35" s="1876"/>
      <c r="D35" s="1971"/>
      <c r="E35" s="1988"/>
      <c r="F35" s="1891">
        <v>0</v>
      </c>
    </row>
    <row r="36" spans="1:7" s="18" customFormat="1" ht="13.5" customHeight="1">
      <c r="A36" s="1976" t="s">
        <v>25</v>
      </c>
      <c r="B36" s="1865"/>
      <c r="C36" s="1876"/>
      <c r="D36" s="1971"/>
      <c r="E36" s="1988"/>
      <c r="F36" s="1891">
        <v>0</v>
      </c>
    </row>
    <row r="37" spans="1:7" ht="13.5" customHeight="1">
      <c r="A37" s="1880">
        <v>18230737</v>
      </c>
      <c r="B37" s="1865"/>
      <c r="C37" s="1876"/>
      <c r="D37" s="1971"/>
      <c r="E37" s="1988"/>
      <c r="F37" s="1891">
        <v>0</v>
      </c>
    </row>
    <row r="38" spans="1:7" ht="13.5" customHeight="1">
      <c r="A38" s="1976" t="s">
        <v>31</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0</v>
      </c>
      <c r="E40" s="1926">
        <f>SUM(E41:E44)</f>
        <v>0</v>
      </c>
      <c r="F40" s="1924">
        <f t="shared" ref="F40:F57" si="1">SUM(D40:E40)</f>
        <v>0</v>
      </c>
    </row>
    <row r="41" spans="1:7" ht="13.5" customHeight="1">
      <c r="A41" s="21"/>
      <c r="B41" s="1865"/>
      <c r="C41" s="2154"/>
      <c r="D41" s="1971"/>
      <c r="E41" s="1988"/>
      <c r="F41" s="1891">
        <f t="shared" si="1"/>
        <v>0</v>
      </c>
    </row>
    <row r="42" spans="1:7" ht="13.5" customHeight="1">
      <c r="A42" s="21"/>
      <c r="B42" s="1865"/>
      <c r="C42" s="1876"/>
      <c r="D42" s="1971"/>
      <c r="E42" s="1988"/>
      <c r="F42" s="1891">
        <f t="shared" si="1"/>
        <v>0</v>
      </c>
    </row>
    <row r="43" spans="1:7" s="1864" customFormat="1" ht="13.5" customHeight="1">
      <c r="A43" s="1865"/>
      <c r="B43" s="1865"/>
      <c r="C43" s="1876"/>
      <c r="D43" s="1971"/>
      <c r="E43" s="1988"/>
      <c r="F43" s="1891">
        <f t="shared" si="1"/>
        <v>0</v>
      </c>
    </row>
    <row r="44" spans="1:7" s="1864" customFormat="1" ht="13.5" customHeight="1">
      <c r="A44" s="1865"/>
      <c r="B44" s="1865"/>
      <c r="C44" s="1876"/>
      <c r="D44" s="1971"/>
      <c r="E44" s="1988"/>
      <c r="F44" s="1891">
        <f t="shared" si="1"/>
        <v>0</v>
      </c>
      <c r="G44" s="1841"/>
    </row>
    <row r="45" spans="1:7" s="1864" customFormat="1" ht="13.5" customHeight="1">
      <c r="A45" s="1865"/>
      <c r="B45" s="1865"/>
      <c r="C45" s="1952"/>
      <c r="D45" s="1958"/>
      <c r="E45" s="1955"/>
      <c r="F45" s="1958"/>
      <c r="G45" s="1867"/>
    </row>
    <row r="46" spans="1:7" s="1864" customFormat="1" ht="13.5" customHeight="1">
      <c r="A46" s="1865"/>
      <c r="B46" s="1865"/>
      <c r="C46" s="1910" t="s">
        <v>50</v>
      </c>
      <c r="D46" s="1911">
        <f>SUM(D47:D51)</f>
        <v>88010</v>
      </c>
      <c r="E46" s="1926">
        <f>SUM(E47:E51)</f>
        <v>88010</v>
      </c>
      <c r="F46" s="1924">
        <f t="shared" si="1"/>
        <v>176020</v>
      </c>
      <c r="G46" s="1867"/>
    </row>
    <row r="47" spans="1:7" ht="13.5" customHeight="1">
      <c r="A47" s="21"/>
      <c r="B47" s="1865"/>
      <c r="C47" s="2197" t="s">
        <v>828</v>
      </c>
      <c r="D47" s="2202">
        <v>13000</v>
      </c>
      <c r="E47" s="2203">
        <v>13000</v>
      </c>
      <c r="F47" s="1891">
        <f t="shared" si="1"/>
        <v>26000</v>
      </c>
    </row>
    <row r="48" spans="1:7" s="2177" customFormat="1" ht="13.5" customHeight="1">
      <c r="A48" s="2178"/>
      <c r="B48" s="2178"/>
      <c r="C48" s="2197" t="s">
        <v>829</v>
      </c>
      <c r="D48" s="2202">
        <v>13000</v>
      </c>
      <c r="E48" s="2203">
        <v>13000</v>
      </c>
      <c r="F48" s="2191"/>
    </row>
    <row r="49" spans="1:6" ht="13.5" customHeight="1">
      <c r="A49" s="21"/>
      <c r="B49" s="1865"/>
      <c r="C49" s="2197" t="s">
        <v>830</v>
      </c>
      <c r="D49" s="2202">
        <v>58110</v>
      </c>
      <c r="E49" s="2203">
        <v>58110</v>
      </c>
      <c r="F49" s="2122">
        <f t="shared" si="1"/>
        <v>116220</v>
      </c>
    </row>
    <row r="50" spans="1:6" ht="13.5" customHeight="1">
      <c r="A50" s="21"/>
      <c r="B50" s="1865"/>
      <c r="C50" s="2197" t="s">
        <v>214</v>
      </c>
      <c r="D50" s="2202">
        <v>2600</v>
      </c>
      <c r="E50" s="2203">
        <v>2600</v>
      </c>
      <c r="F50" s="2122">
        <f t="shared" si="1"/>
        <v>5200</v>
      </c>
    </row>
    <row r="51" spans="1:6" ht="13.5" customHeight="1">
      <c r="A51" s="21"/>
      <c r="B51" s="1865"/>
      <c r="C51" s="2197" t="s">
        <v>215</v>
      </c>
      <c r="D51" s="2202">
        <v>1300</v>
      </c>
      <c r="E51" s="2203">
        <v>1300</v>
      </c>
      <c r="F51" s="2122">
        <f t="shared" si="1"/>
        <v>2600</v>
      </c>
    </row>
    <row r="52" spans="1:6" ht="13.5" customHeight="1">
      <c r="A52" s="21"/>
      <c r="B52" s="1865"/>
      <c r="C52" s="1952"/>
      <c r="D52" s="1958"/>
      <c r="E52" s="1955"/>
      <c r="F52" s="1958"/>
    </row>
    <row r="53" spans="1:6" ht="13.5" customHeight="1">
      <c r="A53" s="21"/>
      <c r="B53" s="1865"/>
      <c r="C53" s="1910" t="s">
        <v>51</v>
      </c>
      <c r="D53" s="1911">
        <f>SUM(D54:D57)</f>
        <v>0</v>
      </c>
      <c r="E53" s="1926">
        <f>SUM(E54:E57)</f>
        <v>0</v>
      </c>
      <c r="F53" s="1924">
        <f t="shared" si="1"/>
        <v>0</v>
      </c>
    </row>
    <row r="54" spans="1:6" ht="13.5" customHeight="1">
      <c r="A54" s="21"/>
      <c r="B54" s="1865"/>
      <c r="C54" s="2154"/>
      <c r="D54" s="1971"/>
      <c r="E54" s="1972"/>
      <c r="F54" s="1891">
        <f t="shared" si="1"/>
        <v>0</v>
      </c>
    </row>
    <row r="55" spans="1:6" s="2177" customFormat="1" ht="13.5" customHeight="1">
      <c r="A55" s="2178"/>
      <c r="B55" s="2178"/>
      <c r="C55" s="2197"/>
      <c r="D55" s="2202"/>
      <c r="E55" s="2163"/>
      <c r="F55" s="2191"/>
    </row>
    <row r="56" spans="1:6" ht="13.5" customHeight="1">
      <c r="A56" s="21"/>
      <c r="B56" s="1865"/>
      <c r="C56" s="1876"/>
      <c r="D56" s="1971"/>
      <c r="E56" s="1972"/>
      <c r="F56" s="1891">
        <f t="shared" si="1"/>
        <v>0</v>
      </c>
    </row>
    <row r="57" spans="1:6" ht="13.5" customHeight="1">
      <c r="A57" s="21"/>
      <c r="B57" s="1865"/>
      <c r="C57" s="1876"/>
      <c r="D57" s="1971"/>
      <c r="E57" s="1972"/>
      <c r="F57" s="1891">
        <f t="shared" si="1"/>
        <v>0</v>
      </c>
    </row>
    <row r="58" spans="1:6" ht="13.5" customHeight="1">
      <c r="A58" s="21"/>
      <c r="B58" s="1865"/>
      <c r="C58" s="1952"/>
      <c r="D58" s="1958"/>
      <c r="E58" s="1955"/>
      <c r="F58" s="1958"/>
    </row>
    <row r="59" spans="1:6" ht="13.5" customHeight="1">
      <c r="A59" s="21"/>
      <c r="B59" s="1865"/>
      <c r="C59" s="1910" t="s">
        <v>52</v>
      </c>
      <c r="D59" s="2183">
        <f>SUM(D60:D66)</f>
        <v>0</v>
      </c>
      <c r="E59" s="2184">
        <f>SUM(E60:E66)</f>
        <v>0</v>
      </c>
      <c r="F59" s="1924">
        <f>SUM(F60:F65)</f>
        <v>0</v>
      </c>
    </row>
    <row r="60" spans="1:6" ht="13.5" customHeight="1">
      <c r="A60" s="21"/>
      <c r="B60" s="1865"/>
      <c r="C60" s="2197" t="s">
        <v>213</v>
      </c>
      <c r="D60" s="1971"/>
      <c r="E60" s="1988"/>
      <c r="F60" s="1891">
        <f>SUM(D60:E60)</f>
        <v>0</v>
      </c>
    </row>
    <row r="61" spans="1:6" s="2177" customFormat="1" ht="13.5" customHeight="1">
      <c r="A61" s="2178"/>
      <c r="B61" s="2178"/>
      <c r="C61" s="2197" t="s">
        <v>216</v>
      </c>
      <c r="D61" s="2202"/>
      <c r="E61" s="2203"/>
      <c r="F61" s="2191">
        <f t="shared" ref="F61:F64" si="2">SUM(D61:E61)</f>
        <v>0</v>
      </c>
    </row>
    <row r="62" spans="1:6" s="2177" customFormat="1" ht="13.5" customHeight="1">
      <c r="A62" s="2178"/>
      <c r="B62" s="2178"/>
      <c r="C62" s="2197" t="s">
        <v>757</v>
      </c>
      <c r="D62" s="2202"/>
      <c r="E62" s="2203"/>
      <c r="F62" s="2191">
        <f t="shared" si="2"/>
        <v>0</v>
      </c>
    </row>
    <row r="63" spans="1:6" s="2177" customFormat="1" ht="13.5" customHeight="1">
      <c r="A63" s="2178"/>
      <c r="B63" s="2178"/>
      <c r="C63" s="2197" t="s">
        <v>214</v>
      </c>
      <c r="D63" s="2202"/>
      <c r="E63" s="2203"/>
      <c r="F63" s="2191">
        <f t="shared" si="2"/>
        <v>0</v>
      </c>
    </row>
    <row r="64" spans="1:6" s="2177" customFormat="1" ht="13.5" customHeight="1">
      <c r="A64" s="2178"/>
      <c r="B64" s="2178"/>
      <c r="C64" s="2197" t="s">
        <v>215</v>
      </c>
      <c r="D64" s="2202"/>
      <c r="E64" s="2203"/>
      <c r="F64" s="2191">
        <f t="shared" si="2"/>
        <v>0</v>
      </c>
    </row>
    <row r="65" spans="1:7" ht="13.5" customHeight="1">
      <c r="A65" s="21"/>
      <c r="B65" s="1865"/>
      <c r="C65" s="2197" t="s">
        <v>750</v>
      </c>
      <c r="D65" s="1971"/>
      <c r="E65" s="1988"/>
      <c r="F65" s="1891">
        <f>SUM(D65:E65)</f>
        <v>0</v>
      </c>
      <c r="G65" s="2177" t="s">
        <v>751</v>
      </c>
    </row>
    <row r="66" spans="1:7" ht="13.5" customHeight="1">
      <c r="A66" s="21"/>
      <c r="C66" s="1876"/>
      <c r="D66" s="1971"/>
      <c r="E66" s="1988"/>
      <c r="F66" s="1890">
        <v>0</v>
      </c>
    </row>
    <row r="67" spans="1:7">
      <c r="C67" s="1952"/>
      <c r="D67" s="1958"/>
      <c r="E67" s="1955"/>
      <c r="F67" s="1958"/>
    </row>
    <row r="68" spans="1:7">
      <c r="C68" s="1910"/>
      <c r="D68" s="1911"/>
      <c r="E68" s="1926"/>
      <c r="F68" s="1924"/>
    </row>
    <row r="69" spans="1:7">
      <c r="C69" s="1967"/>
      <c r="D69" s="1961"/>
      <c r="E69" s="1962"/>
      <c r="F69" s="1966"/>
    </row>
    <row r="70" spans="1:7">
      <c r="C70" s="1968"/>
      <c r="D70" s="1963"/>
      <c r="E70" s="1964"/>
      <c r="F70" s="1965"/>
    </row>
    <row r="71" spans="1:7">
      <c r="C71" s="1959"/>
      <c r="D71" s="1971"/>
      <c r="E71" s="1971"/>
      <c r="F71" s="1956"/>
    </row>
  </sheetData>
  <customSheetViews>
    <customSheetView guid="{074EB09C-6289-46D7-9513-012B68BCA7BF}" showGridLines="0" fitToPage="1">
      <pane xSplit="1" ySplit="1" topLeftCell="B2" activePane="bottomRight" state="frozen"/>
      <selection pane="bottomRight" activeCell="C47" sqref="C47:E51"/>
      <pageMargins left="0.27" right="0.24" top="0.38" bottom="0.45" header="0.3" footer="0.3"/>
      <pageSetup paperSize="17" scale="61" orientation="landscape" r:id="rId1"/>
    </customSheetView>
    <customSheetView guid="{D9EFFE19-D14B-4C6F-BDF4-FF696F73968D}" showGridLines="0" fitToPage="1">
      <pane xSplit="1" ySplit="1" topLeftCell="B2" activePane="bottomRight" state="frozen"/>
      <selection pane="bottomRight" activeCell="C47" sqref="C47:E51"/>
      <pageMargins left="0.27" right="0.24" top="0.38" bottom="0.45" header="0.3" footer="0.3"/>
      <pageSetup paperSize="17" scale="61" orientation="landscape" r:id="rId2"/>
    </customSheetView>
  </customSheetViews>
  <mergeCells count="2">
    <mergeCell ref="A34:A35"/>
    <mergeCell ref="A3:A4"/>
  </mergeCells>
  <pageMargins left="0.27" right="0.24" top="0.38" bottom="0.45" header="0.3" footer="0.3"/>
  <pageSetup paperSize="17" scale="61" orientation="landscape" r:id="rId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140625" customWidth="1"/>
    <col min="2" max="2" width="16" style="1866" customWidth="1"/>
    <col min="3" max="3" width="29.140625" customWidth="1"/>
    <col min="4" max="4" width="20.85546875" style="1" customWidth="1"/>
    <col min="5" max="5" width="20.85546875" style="2" customWidth="1"/>
    <col min="6" max="10" width="18.85546875" customWidth="1"/>
    <col min="11" max="11" width="17.5703125" customWidth="1"/>
    <col min="12" max="12" width="19.7109375" customWidth="1"/>
    <col min="13" max="13" width="24.42578125" customWidth="1"/>
    <col min="14" max="14" width="19.42578125" customWidth="1"/>
    <col min="15" max="15" width="14.7109375" customWidth="1"/>
    <col min="16" max="16" width="16.85546875" customWidth="1"/>
    <col min="17" max="17" width="15.28515625" customWidth="1"/>
  </cols>
  <sheetData>
    <row r="1" spans="1:19" ht="57" customHeight="1">
      <c r="D1" s="1812" t="s">
        <v>33</v>
      </c>
      <c r="E1" s="1811" t="s">
        <v>25</v>
      </c>
      <c r="F1" s="1882">
        <v>18230732</v>
      </c>
      <c r="G1" s="1812" t="s">
        <v>31</v>
      </c>
      <c r="M1" s="1812" t="s">
        <v>33</v>
      </c>
      <c r="N1" s="1811" t="s">
        <v>25</v>
      </c>
      <c r="O1" s="1882">
        <v>18230732</v>
      </c>
      <c r="P1" s="1812" t="s">
        <v>31</v>
      </c>
    </row>
    <row r="2" spans="1:19" ht="19.5" customHeight="1" thickBot="1">
      <c r="D2" s="39"/>
      <c r="E2" s="1800"/>
      <c r="F2" s="1800"/>
      <c r="G2" s="1805"/>
      <c r="H2" s="1576" t="s">
        <v>674</v>
      </c>
      <c r="I2" s="1805"/>
      <c r="J2" s="1805"/>
      <c r="K2" s="1805"/>
      <c r="L2" s="1805"/>
      <c r="M2" s="1805"/>
      <c r="N2" s="1805"/>
      <c r="O2" s="1805"/>
      <c r="P2" s="1805"/>
      <c r="Q2" s="1805"/>
    </row>
    <row r="3" spans="1:19" ht="26.25" thickBot="1">
      <c r="A3" s="1808" t="s">
        <v>33</v>
      </c>
      <c r="B3" s="180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6.5" customHeight="1">
      <c r="A4" s="1974" t="s">
        <v>25</v>
      </c>
      <c r="B4" s="1748"/>
      <c r="E4" s="1806"/>
      <c r="F4" s="1806"/>
      <c r="G4" s="1804" t="s">
        <v>668</v>
      </c>
      <c r="H4" s="2003">
        <v>20977</v>
      </c>
      <c r="I4" s="2002">
        <v>0</v>
      </c>
      <c r="J4" s="2002">
        <v>14831</v>
      </c>
      <c r="K4" s="2002">
        <v>0</v>
      </c>
      <c r="L4" s="2002">
        <v>0</v>
      </c>
      <c r="M4" s="2002">
        <v>8840</v>
      </c>
      <c r="N4" s="2002">
        <v>0</v>
      </c>
      <c r="O4" s="2002">
        <v>0</v>
      </c>
      <c r="P4" s="2002">
        <v>0</v>
      </c>
      <c r="Q4" s="2002"/>
      <c r="R4" s="2002">
        <v>44648</v>
      </c>
      <c r="S4" s="1998"/>
    </row>
    <row r="5" spans="1:19" ht="15.75">
      <c r="A5" s="1882">
        <v>18230732</v>
      </c>
      <c r="B5" s="1748"/>
      <c r="D5"/>
      <c r="E5" s="1866"/>
      <c r="F5" s="1866"/>
      <c r="G5" s="1228">
        <v>2016</v>
      </c>
      <c r="H5" s="1582">
        <f>D15</f>
        <v>28700</v>
      </c>
      <c r="I5" s="1549">
        <f>D21</f>
        <v>0</v>
      </c>
      <c r="J5" s="1549">
        <f>D27</f>
        <v>19142.900000000001</v>
      </c>
      <c r="K5" s="1549">
        <f>D34</f>
        <v>0</v>
      </c>
      <c r="L5" s="1549">
        <f>D40</f>
        <v>1300</v>
      </c>
      <c r="M5" s="1549">
        <f>D46</f>
        <v>2080</v>
      </c>
      <c r="N5" s="1549">
        <f>D52</f>
        <v>0</v>
      </c>
      <c r="O5" s="1549">
        <f>D58</f>
        <v>0</v>
      </c>
      <c r="P5" s="1549">
        <v>0</v>
      </c>
      <c r="Q5" s="1549"/>
      <c r="R5" s="1549">
        <f>SUM(H5:P5)</f>
        <v>51222.9</v>
      </c>
      <c r="S5" s="1999"/>
    </row>
    <row r="6" spans="1:19" ht="16.5" thickBot="1">
      <c r="A6" s="1976" t="s">
        <v>31</v>
      </c>
      <c r="B6" s="1882"/>
      <c r="C6" s="1302"/>
      <c r="D6"/>
      <c r="E6" s="1866"/>
      <c r="F6" s="1866"/>
      <c r="G6" s="1228">
        <v>2017</v>
      </c>
      <c r="H6" s="57">
        <f>E15</f>
        <v>29418</v>
      </c>
      <c r="I6" s="1990">
        <f>E21</f>
        <v>0</v>
      </c>
      <c r="J6" s="1989">
        <f>E27</f>
        <v>20004.240000000002</v>
      </c>
      <c r="K6" s="58">
        <f>E34</f>
        <v>0</v>
      </c>
      <c r="L6" s="58">
        <f>E40</f>
        <v>1300</v>
      </c>
      <c r="M6" s="58">
        <f>E46</f>
        <v>2080</v>
      </c>
      <c r="N6" s="58">
        <f>E52</f>
        <v>0</v>
      </c>
      <c r="O6" s="58">
        <f>E58</f>
        <v>0</v>
      </c>
      <c r="P6" s="58">
        <v>0</v>
      </c>
      <c r="Q6" s="58"/>
      <c r="R6" s="58">
        <f>SUM(H6:P6)</f>
        <v>52802.240000000005</v>
      </c>
      <c r="S6" s="1996"/>
    </row>
    <row r="7" spans="1:19" s="18" customFormat="1" ht="13.5" thickBot="1">
      <c r="B7" s="1760"/>
      <c r="E7" s="1862"/>
      <c r="F7" s="1862"/>
      <c r="G7" s="598" t="s">
        <v>23</v>
      </c>
      <c r="H7" s="1564">
        <f>SUM(H5:H6)</f>
        <v>58118</v>
      </c>
      <c r="I7" s="1991">
        <f t="shared" ref="I7:P7" si="0">SUM(I5:I6)</f>
        <v>0</v>
      </c>
      <c r="J7" s="1992">
        <f t="shared" si="0"/>
        <v>39147.14</v>
      </c>
      <c r="K7" s="1993">
        <f t="shared" si="0"/>
        <v>0</v>
      </c>
      <c r="L7" s="1991">
        <f t="shared" si="0"/>
        <v>2600</v>
      </c>
      <c r="M7" s="1992">
        <f t="shared" si="0"/>
        <v>4160</v>
      </c>
      <c r="N7" s="1991">
        <f t="shared" si="0"/>
        <v>0</v>
      </c>
      <c r="O7" s="1992">
        <f t="shared" si="0"/>
        <v>0</v>
      </c>
      <c r="P7" s="1993">
        <f t="shared" si="0"/>
        <v>0</v>
      </c>
      <c r="Q7" s="1993"/>
      <c r="R7" s="1991">
        <f>SUM(R5:R6)</f>
        <v>104025.14000000001</v>
      </c>
      <c r="S7" s="1994"/>
    </row>
    <row r="8" spans="1:19" s="18" customFormat="1" ht="25.5">
      <c r="B8" s="1808"/>
      <c r="E8" s="1862"/>
      <c r="F8" s="1862"/>
      <c r="G8" s="1"/>
      <c r="H8" s="2"/>
      <c r="I8"/>
      <c r="J8"/>
      <c r="K8"/>
      <c r="L8"/>
      <c r="M8"/>
      <c r="N8"/>
      <c r="O8"/>
      <c r="P8" s="21" t="s">
        <v>20</v>
      </c>
      <c r="Q8"/>
    </row>
    <row r="9" spans="1:19" s="18" customFormat="1">
      <c r="A9" s="29"/>
      <c r="B9" s="1863"/>
      <c r="E9" s="1"/>
      <c r="F9" s="2"/>
      <c r="G9"/>
      <c r="H9"/>
      <c r="I9"/>
      <c r="J9"/>
      <c r="K9"/>
      <c r="L9"/>
      <c r="M9"/>
      <c r="O9"/>
      <c r="P9" s="21" t="s">
        <v>21</v>
      </c>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51222.9</v>
      </c>
      <c r="E12" s="1948">
        <f>E15+E21+E27+E34+E40+E46+E52+E58</f>
        <v>52802.240000000005</v>
      </c>
      <c r="F12" s="1924">
        <f>D12+E12</f>
        <v>104025.14000000001</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28700</v>
      </c>
      <c r="E15" s="1926">
        <f>SUM(E16:E19)</f>
        <v>29418</v>
      </c>
      <c r="F15" s="1924">
        <f>SUM(F16:F19)</f>
        <v>58118</v>
      </c>
      <c r="G15" s="30"/>
      <c r="H15" s="30"/>
    </row>
    <row r="16" spans="1:19" ht="13.5" customHeight="1">
      <c r="A16" s="21"/>
      <c r="B16" s="2610">
        <v>0.15</v>
      </c>
      <c r="C16" s="2197" t="s">
        <v>831</v>
      </c>
      <c r="D16" s="2201">
        <v>12300</v>
      </c>
      <c r="E16" s="2200">
        <v>12608</v>
      </c>
      <c r="F16" s="1879">
        <f>SUM(D16:E16)</f>
        <v>24908</v>
      </c>
    </row>
    <row r="17" spans="1:7" ht="13.5" customHeight="1">
      <c r="A17" s="21"/>
      <c r="B17" s="2610">
        <v>0.2</v>
      </c>
      <c r="C17" s="2197" t="s">
        <v>1644</v>
      </c>
      <c r="D17" s="2199">
        <v>16400</v>
      </c>
      <c r="E17" s="2198">
        <v>16810</v>
      </c>
      <c r="F17" s="1891">
        <f>SUM(D17:E17)</f>
        <v>33210</v>
      </c>
      <c r="G17" t="s">
        <v>1645</v>
      </c>
    </row>
    <row r="18" spans="1:7" ht="13.5" customHeight="1">
      <c r="A18" s="21"/>
      <c r="B18" s="1885"/>
      <c r="C18" s="1876"/>
      <c r="D18" s="1905"/>
      <c r="E18" s="1904"/>
      <c r="F18" s="1891">
        <f>SUM(D18:E18)</f>
        <v>0</v>
      </c>
    </row>
    <row r="19" spans="1:7" ht="13.5" customHeight="1">
      <c r="A19" s="21"/>
      <c r="B19" s="1885"/>
      <c r="C19" s="1876"/>
      <c r="D19" s="2242"/>
      <c r="E19" s="2079"/>
      <c r="F19" s="1891">
        <f>SUM(D19:E19)</f>
        <v>0</v>
      </c>
    </row>
    <row r="20" spans="1:7" ht="13.5" customHeight="1">
      <c r="A20" s="21"/>
      <c r="B20" s="1908">
        <f>SUM(B16:B19)</f>
        <v>0.35</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19142.900000000001</v>
      </c>
      <c r="E27" s="1926">
        <f>SUM(E29:E32)</f>
        <v>20004.240000000002</v>
      </c>
      <c r="F27" s="1924">
        <f>SUM(F29:F32)</f>
        <v>39147.14</v>
      </c>
    </row>
    <row r="28" spans="1:7" ht="13.5" customHeight="1">
      <c r="A28" s="21"/>
      <c r="B28" s="1865"/>
      <c r="C28" s="1909" t="s">
        <v>315</v>
      </c>
      <c r="D28" s="1912">
        <v>0.66700000000000004</v>
      </c>
      <c r="E28" s="1913">
        <v>0.68</v>
      </c>
      <c r="F28" s="1949"/>
    </row>
    <row r="29" spans="1:7" ht="13.5" customHeight="1">
      <c r="A29" s="21"/>
      <c r="B29" s="1865"/>
      <c r="C29" s="2154" t="s">
        <v>778</v>
      </c>
      <c r="D29" s="1971">
        <f>D15*D28</f>
        <v>19142.900000000001</v>
      </c>
      <c r="E29" s="1972">
        <f>E15*E28</f>
        <v>20004.240000000002</v>
      </c>
      <c r="F29" s="1891">
        <f>SUM(D29:E29)</f>
        <v>39147.14</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1844" t="s">
        <v>516</v>
      </c>
      <c r="B34" s="1865"/>
      <c r="C34" s="1910" t="s">
        <v>49</v>
      </c>
      <c r="D34" s="1911">
        <v>0</v>
      </c>
      <c r="E34" s="1926">
        <v>0</v>
      </c>
      <c r="F34" s="1924">
        <v>0</v>
      </c>
      <c r="G34" s="38"/>
    </row>
    <row r="35" spans="1:7" ht="13.5" customHeight="1">
      <c r="A35" s="1844" t="s">
        <v>515</v>
      </c>
      <c r="B35" s="1863"/>
      <c r="C35" s="1876"/>
      <c r="D35" s="1971"/>
      <c r="E35" s="1988"/>
      <c r="F35" s="1891">
        <v>0</v>
      </c>
    </row>
    <row r="36" spans="1:7" s="18" customFormat="1" ht="13.5" customHeight="1">
      <c r="A36" s="1974" t="s">
        <v>25</v>
      </c>
      <c r="B36" s="1865"/>
      <c r="C36" s="1876"/>
      <c r="D36" s="1971"/>
      <c r="E36" s="1988"/>
      <c r="F36" s="1891">
        <v>0</v>
      </c>
    </row>
    <row r="37" spans="1:7" ht="13.5" customHeight="1">
      <c r="A37" s="1882">
        <v>18230732</v>
      </c>
      <c r="B37" s="1865"/>
      <c r="C37" s="1876"/>
      <c r="D37" s="1971"/>
      <c r="E37" s="1988"/>
      <c r="F37" s="1891">
        <v>0</v>
      </c>
    </row>
    <row r="38" spans="1:7" ht="13.5" customHeight="1">
      <c r="A38" s="1976" t="s">
        <v>31</v>
      </c>
      <c r="B38" s="1865"/>
      <c r="C38" s="1876"/>
      <c r="D38" s="1971"/>
      <c r="E38" s="1988"/>
      <c r="F38" s="1891">
        <v>0</v>
      </c>
    </row>
    <row r="39" spans="1:7" ht="13.5" customHeight="1">
      <c r="B39" s="1865"/>
      <c r="C39" s="1952"/>
      <c r="D39" s="1958"/>
      <c r="E39" s="1955"/>
      <c r="F39" s="1958"/>
    </row>
    <row r="40" spans="1:7" ht="13.5" customHeight="1">
      <c r="A40" s="21"/>
      <c r="B40" s="1865"/>
      <c r="C40" s="2106" t="s">
        <v>506</v>
      </c>
      <c r="D40" s="1911">
        <f>SUM(D41:D44)</f>
        <v>1300</v>
      </c>
      <c r="E40" s="1926">
        <f>SUM(E41:E44)</f>
        <v>1300</v>
      </c>
      <c r="F40" s="1924">
        <f t="shared" ref="F40:F56" si="1">SUM(D40:E40)</f>
        <v>2600</v>
      </c>
    </row>
    <row r="41" spans="1:7" ht="13.5" customHeight="1">
      <c r="A41" s="21"/>
      <c r="B41" s="1865"/>
      <c r="C41" s="2197" t="s">
        <v>832</v>
      </c>
      <c r="D41" s="2202">
        <v>1300</v>
      </c>
      <c r="E41" s="2203">
        <v>1300</v>
      </c>
      <c r="F41" s="1891">
        <f t="shared" si="1"/>
        <v>2600</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2080</v>
      </c>
      <c r="E46" s="1926">
        <f>SUM(E47:E50)</f>
        <v>2080</v>
      </c>
      <c r="F46" s="1924">
        <f t="shared" si="1"/>
        <v>4160</v>
      </c>
    </row>
    <row r="47" spans="1:7" ht="13.5" customHeight="1">
      <c r="A47" s="21"/>
      <c r="B47" s="1865"/>
      <c r="C47" s="2197" t="s">
        <v>1646</v>
      </c>
      <c r="D47" s="2202">
        <v>2080</v>
      </c>
      <c r="E47" s="2203">
        <v>2080</v>
      </c>
      <c r="F47" s="1891">
        <f t="shared" si="1"/>
        <v>4160</v>
      </c>
    </row>
    <row r="48" spans="1:7" ht="13.5" customHeight="1">
      <c r="A48" s="21"/>
      <c r="B48" s="1865"/>
      <c r="C48" s="2197"/>
      <c r="D48" s="2202"/>
      <c r="E48" s="2203"/>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154"/>
      <c r="D53" s="1971"/>
      <c r="E53" s="1972"/>
      <c r="F53" s="1891">
        <f t="shared" si="1"/>
        <v>0</v>
      </c>
    </row>
    <row r="54" spans="1:6" ht="13.5" customHeight="1">
      <c r="A54" s="21"/>
      <c r="B54" s="1865"/>
      <c r="C54" s="2154"/>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ht="13.5" customHeight="1">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D5" sqref="D5"/>
      <pageMargins left="0.39" right="0.21" top="0.32" bottom="0.35" header="0.3" footer="0.3"/>
      <pageSetup paperSize="17" scale="62" orientation="landscape" r:id="rId1"/>
    </customSheetView>
    <customSheetView guid="{D9EFFE19-D14B-4C6F-BDF4-FF696F73968D}" showGridLines="0" fitToPage="1">
      <pane xSplit="1" ySplit="1" topLeftCell="B2" activePane="bottomRight" state="frozen"/>
      <selection pane="bottomRight"/>
      <pageMargins left="0.39" right="0.21" top="0.32" bottom="0.35" header="0.3" footer="0.3"/>
      <pageSetup paperSize="17" scale="62" orientation="landscape" r:id="rId2"/>
    </customSheetView>
  </customSheetViews>
  <pageMargins left="0.39" right="0.21" top="0.32" bottom="0.35" header="0.3" footer="0.3"/>
  <pageSetup paperSize="17" scale="62" orientation="landscape" r:id="rId3"/>
  <drawing r:id="rId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pageSetUpPr fitToPage="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7.85546875" style="2007" customWidth="1"/>
    <col min="2" max="2" width="16" style="2007" customWidth="1"/>
    <col min="3" max="3" width="29.140625" style="2007" customWidth="1"/>
    <col min="4" max="4" width="20.85546875" style="2006" customWidth="1"/>
    <col min="5" max="5" width="20.85546875" style="1790" customWidth="1"/>
    <col min="6" max="10" width="18.85546875" style="2007" customWidth="1"/>
    <col min="11" max="11" width="17.5703125" style="2007" customWidth="1"/>
    <col min="12" max="12" width="18.42578125" style="2007" customWidth="1"/>
    <col min="13" max="13" width="24.42578125" style="2007" customWidth="1"/>
    <col min="14" max="14" width="19.42578125" style="2007" customWidth="1"/>
    <col min="15" max="15" width="14.7109375" style="2007" customWidth="1"/>
    <col min="16" max="16" width="16.85546875" style="2007" customWidth="1"/>
    <col min="17" max="17" width="15.28515625" style="2007" customWidth="1"/>
    <col min="18" max="16384" width="9.140625" style="2007"/>
  </cols>
  <sheetData>
    <row r="1" spans="1:18" ht="57" customHeight="1">
      <c r="D1" s="1844" t="s">
        <v>1636</v>
      </c>
      <c r="E1" s="1811" t="s">
        <v>25</v>
      </c>
      <c r="F1" s="1882">
        <v>18230667</v>
      </c>
      <c r="G1" s="1812" t="s">
        <v>31</v>
      </c>
      <c r="M1" s="1844" t="s">
        <v>1636</v>
      </c>
      <c r="N1" s="1811" t="s">
        <v>25</v>
      </c>
      <c r="O1" s="1882">
        <v>18230667</v>
      </c>
      <c r="P1" s="1812" t="s">
        <v>31</v>
      </c>
    </row>
    <row r="2" spans="1:18" ht="19.5" customHeight="1" thickBot="1">
      <c r="D2" s="1800"/>
      <c r="E2" s="1800"/>
      <c r="F2" s="1800"/>
      <c r="G2" s="1805"/>
      <c r="H2" s="1576" t="s">
        <v>674</v>
      </c>
      <c r="I2" s="1805"/>
      <c r="J2" s="1805"/>
      <c r="K2" s="1805"/>
      <c r="L2" s="1805"/>
      <c r="M2" s="1805"/>
      <c r="N2" s="1805"/>
      <c r="O2" s="1805"/>
      <c r="P2" s="1805"/>
      <c r="Q2" s="1805"/>
    </row>
    <row r="3" spans="1:18" ht="26.25" thickBot="1">
      <c r="A3" s="1844"/>
      <c r="B3" s="204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6.5" customHeight="1">
      <c r="A4" s="2193"/>
      <c r="B4" s="1748"/>
      <c r="E4" s="2006"/>
      <c r="F4" s="2006"/>
      <c r="G4" s="1804" t="s">
        <v>668</v>
      </c>
      <c r="H4" s="2003"/>
      <c r="I4" s="2002"/>
      <c r="J4" s="2002"/>
      <c r="K4" s="2002"/>
      <c r="L4" s="2002"/>
      <c r="M4" s="2002">
        <v>26404</v>
      </c>
      <c r="N4" s="2002"/>
      <c r="O4" s="2002"/>
      <c r="P4" s="2002"/>
      <c r="Q4" s="2002"/>
      <c r="R4" s="2002">
        <v>26404</v>
      </c>
    </row>
    <row r="5" spans="1:18" ht="39">
      <c r="A5" s="1844" t="s">
        <v>1636</v>
      </c>
      <c r="B5" s="1748"/>
      <c r="D5" s="2007"/>
      <c r="E5" s="2007"/>
      <c r="G5" s="1228">
        <v>2016</v>
      </c>
      <c r="H5" s="1582">
        <f>D15</f>
        <v>9327.94</v>
      </c>
      <c r="I5" s="1549">
        <f>D21</f>
        <v>500</v>
      </c>
      <c r="J5" s="1549">
        <f>D27</f>
        <v>6555.2359800000004</v>
      </c>
      <c r="K5" s="1549">
        <f>D34</f>
        <v>0</v>
      </c>
      <c r="L5" s="1549">
        <f>D40</f>
        <v>700</v>
      </c>
      <c r="M5" s="1549">
        <f>D46</f>
        <v>2600</v>
      </c>
      <c r="N5" s="1549">
        <f>D52</f>
        <v>0</v>
      </c>
      <c r="O5" s="1549">
        <f>D58</f>
        <v>0</v>
      </c>
      <c r="P5" s="1549">
        <v>0</v>
      </c>
      <c r="Q5" s="1549"/>
      <c r="R5" s="1549">
        <f>SUM(H5:P5)</f>
        <v>19683.17598</v>
      </c>
    </row>
    <row r="6" spans="1:18" ht="16.5" thickBot="1">
      <c r="A6" s="1974" t="s">
        <v>25</v>
      </c>
      <c r="B6" s="1882"/>
      <c r="C6" s="1803"/>
      <c r="D6" s="2007"/>
      <c r="E6" s="2007"/>
      <c r="G6" s="1228">
        <v>2017</v>
      </c>
      <c r="H6" s="57">
        <f>E15</f>
        <v>9561.1200000000008</v>
      </c>
      <c r="I6" s="1990">
        <f>E21</f>
        <v>500</v>
      </c>
      <c r="J6" s="1989">
        <f>E27</f>
        <v>6841.5616000000009</v>
      </c>
      <c r="K6" s="58">
        <f>E34</f>
        <v>0</v>
      </c>
      <c r="L6" s="58">
        <f>E40</f>
        <v>700</v>
      </c>
      <c r="M6" s="58">
        <f>E46</f>
        <v>2600</v>
      </c>
      <c r="N6" s="58">
        <f>E52</f>
        <v>0</v>
      </c>
      <c r="O6" s="58">
        <f>E58</f>
        <v>0</v>
      </c>
      <c r="P6" s="58">
        <v>0</v>
      </c>
      <c r="Q6" s="58"/>
      <c r="R6" s="58">
        <f>SUM(H6:P6)</f>
        <v>20202.681600000004</v>
      </c>
    </row>
    <row r="7" spans="1:18" s="1862" customFormat="1" ht="13.5" thickBot="1">
      <c r="A7" s="1882">
        <v>18230667</v>
      </c>
      <c r="B7" s="1760"/>
      <c r="G7" s="598" t="s">
        <v>23</v>
      </c>
      <c r="H7" s="1564">
        <f>SUM(H5:H6)</f>
        <v>18889.060000000001</v>
      </c>
      <c r="I7" s="1991">
        <f t="shared" ref="I7:P7" si="0">SUM(I5:I6)</f>
        <v>1000</v>
      </c>
      <c r="J7" s="1992">
        <f t="shared" si="0"/>
        <v>13396.797580000002</v>
      </c>
      <c r="K7" s="1993">
        <f t="shared" si="0"/>
        <v>0</v>
      </c>
      <c r="L7" s="1991">
        <f t="shared" si="0"/>
        <v>1400</v>
      </c>
      <c r="M7" s="1992">
        <f t="shared" si="0"/>
        <v>5200</v>
      </c>
      <c r="N7" s="1991">
        <f t="shared" si="0"/>
        <v>0</v>
      </c>
      <c r="O7" s="1992">
        <f t="shared" si="0"/>
        <v>0</v>
      </c>
      <c r="P7" s="1993">
        <f t="shared" si="0"/>
        <v>0</v>
      </c>
      <c r="Q7" s="1993"/>
      <c r="R7" s="1991">
        <f>SUM(R5:R6)</f>
        <v>39885.857580000004</v>
      </c>
    </row>
    <row r="8" spans="1:18" s="1862" customFormat="1" ht="25.5">
      <c r="A8" s="1976" t="s">
        <v>31</v>
      </c>
      <c r="B8" s="2040"/>
      <c r="G8" s="2006"/>
      <c r="H8" s="1790"/>
      <c r="I8" s="2007"/>
      <c r="J8" s="2007"/>
      <c r="K8" s="2007"/>
      <c r="L8" s="2007"/>
      <c r="M8" s="2007"/>
      <c r="N8" s="2007"/>
      <c r="O8" s="2007"/>
      <c r="P8" s="1865" t="s">
        <v>20</v>
      </c>
      <c r="Q8" s="2007"/>
    </row>
    <row r="9" spans="1:18" s="1862" customFormat="1">
      <c r="A9" s="1863"/>
      <c r="B9" s="1863"/>
      <c r="E9" s="2006"/>
      <c r="F9" s="1790"/>
      <c r="G9" s="2007"/>
      <c r="H9" s="2007"/>
      <c r="I9" s="2007"/>
      <c r="J9" s="2007"/>
      <c r="K9" s="2007"/>
      <c r="L9" s="2007"/>
      <c r="M9" s="2007"/>
      <c r="O9" s="2007"/>
      <c r="P9" s="1865" t="s">
        <v>21</v>
      </c>
    </row>
    <row r="10" spans="1:18" s="2008" customFormat="1">
      <c r="A10" s="1865"/>
      <c r="B10" s="1865"/>
      <c r="C10" s="1915" t="s">
        <v>329</v>
      </c>
      <c r="D10" s="1915"/>
      <c r="E10" s="1915"/>
      <c r="F10" s="1915"/>
    </row>
    <row r="11" spans="1:18" ht="18" customHeight="1">
      <c r="A11" s="1865"/>
      <c r="B11" s="1865"/>
      <c r="D11" s="2007"/>
      <c r="E11" s="2008"/>
    </row>
    <row r="12" spans="1:18">
      <c r="A12" s="1865"/>
      <c r="B12" s="1865"/>
      <c r="C12" s="1887" t="s">
        <v>314</v>
      </c>
      <c r="D12" s="1924">
        <f>D15+D21+D27+D34+D40+D46+D52+D58</f>
        <v>19683.17598</v>
      </c>
      <c r="E12" s="1948">
        <f>E15+E21+E27+E34+E40+E46+E52+E58</f>
        <v>20202.681600000004</v>
      </c>
      <c r="F12" s="1924">
        <f>D12+E12</f>
        <v>39885.857580000004</v>
      </c>
    </row>
    <row r="13" spans="1:18" ht="13.5" customHeight="1">
      <c r="A13" s="1865"/>
      <c r="B13" s="1863"/>
      <c r="C13" s="1947"/>
      <c r="D13" s="2007"/>
      <c r="E13" s="1787"/>
      <c r="G13" s="1802"/>
      <c r="H13" s="1802"/>
    </row>
    <row r="14" spans="1:18" s="1862" customFormat="1" ht="13.5" customHeight="1">
      <c r="A14" s="1863"/>
      <c r="B14" s="1863"/>
      <c r="C14" s="1888" t="s">
        <v>45</v>
      </c>
      <c r="D14" s="1969">
        <v>2016</v>
      </c>
      <c r="E14" s="1970">
        <v>2017</v>
      </c>
      <c r="F14" s="1950" t="s">
        <v>23</v>
      </c>
      <c r="G14" s="1796"/>
      <c r="H14" s="1796"/>
    </row>
    <row r="15" spans="1:18" s="1862" customFormat="1" ht="13.5" customHeight="1">
      <c r="A15" s="1863"/>
      <c r="B15" s="1886" t="s">
        <v>312</v>
      </c>
      <c r="C15" s="1910" t="s">
        <v>46</v>
      </c>
      <c r="D15" s="1911">
        <f>SUM(D16:D19)</f>
        <v>9327.94</v>
      </c>
      <c r="E15" s="1926">
        <f>SUM(E16:E19)</f>
        <v>9561.1200000000008</v>
      </c>
      <c r="F15" s="1924">
        <f>SUM(F16:F19)</f>
        <v>18889.060000000001</v>
      </c>
      <c r="G15" s="1796"/>
      <c r="H15" s="1796"/>
    </row>
    <row r="16" spans="1:18" ht="13.5" customHeight="1">
      <c r="A16" s="1865"/>
      <c r="B16" s="1885">
        <v>0.13</v>
      </c>
      <c r="C16" s="1876" t="s">
        <v>801</v>
      </c>
      <c r="D16" s="1907">
        <v>9327.94</v>
      </c>
      <c r="E16" s="1906">
        <v>9561.1200000000008</v>
      </c>
      <c r="F16" s="1879">
        <f>SUM(D16:E16)</f>
        <v>18889.060000000001</v>
      </c>
    </row>
    <row r="17" spans="1:7">
      <c r="A17" s="1865"/>
      <c r="B17" s="1885"/>
      <c r="C17" s="1876"/>
      <c r="D17" s="1905"/>
      <c r="E17" s="1904"/>
      <c r="F17" s="1891">
        <f>SUM(D17:E17)</f>
        <v>0</v>
      </c>
    </row>
    <row r="18" spans="1:7">
      <c r="A18" s="1865"/>
      <c r="B18" s="1885"/>
      <c r="C18" s="1876"/>
      <c r="D18" s="1905"/>
      <c r="E18" s="1904"/>
      <c r="F18" s="1891">
        <f>SUM(D18:E18)</f>
        <v>0</v>
      </c>
    </row>
    <row r="19" spans="1:7">
      <c r="A19" s="1865"/>
      <c r="B19" s="1885"/>
      <c r="C19" s="1876"/>
      <c r="D19" s="2242"/>
      <c r="E19" s="2079"/>
      <c r="F19" s="1891">
        <f>SUM(D19:E19)</f>
        <v>0</v>
      </c>
    </row>
    <row r="20" spans="1:7">
      <c r="A20" s="1865"/>
      <c r="B20" s="1908">
        <f>SUM(B16:B19)</f>
        <v>0.13</v>
      </c>
      <c r="C20" s="1952"/>
      <c r="D20" s="1954"/>
      <c r="E20" s="1955"/>
      <c r="F20" s="1957"/>
    </row>
    <row r="21" spans="1:7">
      <c r="A21" s="1865"/>
      <c r="B21" s="1865"/>
      <c r="C21" s="1910" t="s">
        <v>47</v>
      </c>
      <c r="D21" s="1911">
        <f>SUM(D22:D25)</f>
        <v>500</v>
      </c>
      <c r="E21" s="1926">
        <f>SUM(E22:E25)</f>
        <v>500</v>
      </c>
      <c r="F21" s="1924">
        <f>SUM(F22:F25)</f>
        <v>1000</v>
      </c>
      <c r="G21" s="1797" t="s">
        <v>7</v>
      </c>
    </row>
    <row r="22" spans="1:7">
      <c r="A22" s="1865"/>
      <c r="B22" s="1865"/>
      <c r="C22" s="1876"/>
      <c r="D22" s="1907">
        <v>500</v>
      </c>
      <c r="E22" s="1906">
        <v>500</v>
      </c>
      <c r="F22" s="1879">
        <f>SUM(D22:E22)</f>
        <v>1000</v>
      </c>
      <c r="G22" s="1798"/>
    </row>
    <row r="23" spans="1:7">
      <c r="A23" s="1865"/>
      <c r="B23" s="1865"/>
      <c r="C23" s="1876"/>
      <c r="D23" s="1900"/>
      <c r="E23" s="1899"/>
      <c r="F23" s="1891">
        <f>SUM(D23:E23)</f>
        <v>0</v>
      </c>
    </row>
    <row r="24" spans="1:7">
      <c r="A24" s="1865"/>
      <c r="B24" s="1863"/>
      <c r="C24" s="1876"/>
      <c r="D24" s="1898"/>
      <c r="E24" s="1897"/>
      <c r="F24" s="1891">
        <f>SUM(D24:E24)</f>
        <v>0</v>
      </c>
    </row>
    <row r="25" spans="1:7" s="1862" customFormat="1">
      <c r="A25" s="1863"/>
      <c r="B25" s="1865"/>
      <c r="C25" s="1876"/>
      <c r="D25" s="1896"/>
      <c r="E25" s="1899"/>
      <c r="F25" s="1891">
        <f>SUM(D25:E25)</f>
        <v>0</v>
      </c>
    </row>
    <row r="26" spans="1:7">
      <c r="A26" s="1865"/>
      <c r="B26" s="1863"/>
      <c r="C26" s="1877"/>
      <c r="D26" s="1892"/>
      <c r="E26" s="1884"/>
      <c r="F26" s="1892"/>
    </row>
    <row r="27" spans="1:7" s="1862" customFormat="1">
      <c r="A27" s="1863"/>
      <c r="B27" s="1865"/>
      <c r="C27" s="1910" t="s">
        <v>48</v>
      </c>
      <c r="D27" s="1911">
        <f>SUM(D29:D32)</f>
        <v>6555.2359800000004</v>
      </c>
      <c r="E27" s="1926">
        <f>SUM(E29:E32)</f>
        <v>6841.5616000000009</v>
      </c>
      <c r="F27" s="1924">
        <f>SUM(F29:F32)</f>
        <v>13396.797580000002</v>
      </c>
    </row>
    <row r="28" spans="1:7">
      <c r="A28" s="1865"/>
      <c r="B28" s="1865"/>
      <c r="C28" s="1909" t="s">
        <v>315</v>
      </c>
      <c r="D28" s="1912">
        <v>0.66700000000000004</v>
      </c>
      <c r="E28" s="1913">
        <v>0.68</v>
      </c>
      <c r="F28" s="1949"/>
    </row>
    <row r="29" spans="1:7">
      <c r="A29" s="1865"/>
      <c r="B29" s="1865"/>
      <c r="C29" s="1876" t="s">
        <v>778</v>
      </c>
      <c r="D29" s="1971">
        <f>D15*D28</f>
        <v>6221.7359800000004</v>
      </c>
      <c r="E29" s="1972">
        <f>E15*E28</f>
        <v>6501.5616000000009</v>
      </c>
      <c r="F29" s="1891">
        <f>SUM(D29:E29)</f>
        <v>12723.297580000002</v>
      </c>
    </row>
    <row r="30" spans="1:7">
      <c r="A30" s="1865"/>
      <c r="B30" s="1865"/>
      <c r="C30" s="1876" t="s">
        <v>779</v>
      </c>
      <c r="D30" s="1973">
        <f>D21*D28</f>
        <v>333.5</v>
      </c>
      <c r="E30" s="1972">
        <f>E21*E28</f>
        <v>340</v>
      </c>
      <c r="F30" s="2191">
        <f>SUM(D30:E30)</f>
        <v>673.5</v>
      </c>
    </row>
    <row r="31" spans="1:7">
      <c r="A31" s="1865"/>
      <c r="B31" s="1865"/>
      <c r="C31" s="1901"/>
      <c r="D31" s="1898"/>
      <c r="E31" s="1897"/>
      <c r="F31" s="2191">
        <f>SUM(D31:E31)</f>
        <v>0</v>
      </c>
    </row>
    <row r="32" spans="1:7">
      <c r="A32" s="1865"/>
      <c r="B32" s="1865"/>
      <c r="C32" s="1901"/>
      <c r="D32" s="1896"/>
      <c r="E32" s="1899"/>
      <c r="F32" s="2191">
        <f>SUM(D32:E32)</f>
        <v>0</v>
      </c>
    </row>
    <row r="33" spans="1:7">
      <c r="A33" s="1865"/>
      <c r="B33" s="1801"/>
      <c r="C33" s="1952"/>
      <c r="D33" s="1958"/>
      <c r="E33" s="1955"/>
      <c r="F33" s="1958"/>
    </row>
    <row r="34" spans="1:7">
      <c r="A34" s="1801"/>
      <c r="B34" s="1865"/>
      <c r="C34" s="1910" t="s">
        <v>49</v>
      </c>
      <c r="D34" s="1911">
        <v>0</v>
      </c>
      <c r="E34" s="1926">
        <v>0</v>
      </c>
      <c r="F34" s="1924">
        <v>0</v>
      </c>
      <c r="G34" s="1799"/>
    </row>
    <row r="35" spans="1:7" ht="38.25">
      <c r="A35" s="1844" t="s">
        <v>1636</v>
      </c>
      <c r="B35" s="1863"/>
      <c r="C35" s="1876"/>
      <c r="D35" s="1971"/>
      <c r="E35" s="1988"/>
      <c r="F35" s="1891">
        <v>0</v>
      </c>
    </row>
    <row r="36" spans="1:7" s="1862" customFormat="1">
      <c r="A36" s="1974" t="s">
        <v>25</v>
      </c>
      <c r="B36" s="1865"/>
      <c r="C36" s="1876"/>
      <c r="D36" s="1971"/>
      <c r="E36" s="1988"/>
      <c r="F36" s="1891">
        <v>0</v>
      </c>
    </row>
    <row r="37" spans="1:7">
      <c r="A37" s="1882">
        <v>18230667</v>
      </c>
      <c r="B37" s="1865"/>
      <c r="C37" s="1876"/>
      <c r="D37" s="1971"/>
      <c r="E37" s="1988"/>
      <c r="F37" s="1891">
        <v>0</v>
      </c>
    </row>
    <row r="38" spans="1:7">
      <c r="A38" s="1976" t="s">
        <v>31</v>
      </c>
      <c r="B38" s="1865"/>
      <c r="C38" s="1876"/>
      <c r="D38" s="1971"/>
      <c r="E38" s="1988"/>
      <c r="F38" s="1891">
        <v>0</v>
      </c>
    </row>
    <row r="39" spans="1:7">
      <c r="A39" s="1882"/>
      <c r="B39" s="1865"/>
      <c r="C39" s="1952"/>
      <c r="D39" s="1958"/>
      <c r="E39" s="1955"/>
      <c r="F39" s="1958"/>
    </row>
    <row r="40" spans="1:7">
      <c r="A40" s="1976"/>
      <c r="B40" s="1865"/>
      <c r="C40" s="2106" t="s">
        <v>506</v>
      </c>
      <c r="D40" s="1911">
        <f>SUM(D41:D44)</f>
        <v>700</v>
      </c>
      <c r="E40" s="1926">
        <f>SUM(E41:E44)</f>
        <v>700</v>
      </c>
      <c r="F40" s="1924">
        <f t="shared" ref="F40:F56" si="1">SUM(D40:E40)</f>
        <v>1400</v>
      </c>
    </row>
    <row r="41" spans="1:7">
      <c r="A41" s="1865"/>
      <c r="B41" s="1865"/>
      <c r="C41" s="2179"/>
      <c r="D41" s="1971">
        <v>700</v>
      </c>
      <c r="E41" s="1988">
        <v>700</v>
      </c>
      <c r="F41" s="1891">
        <f t="shared" si="1"/>
        <v>1400</v>
      </c>
    </row>
    <row r="42" spans="1:7">
      <c r="A42" s="1865"/>
      <c r="B42" s="1865"/>
      <c r="C42" s="1876"/>
      <c r="D42" s="1971"/>
      <c r="E42" s="1988"/>
      <c r="F42" s="1891">
        <f t="shared" si="1"/>
        <v>0</v>
      </c>
    </row>
    <row r="43" spans="1:7">
      <c r="A43" s="1865"/>
      <c r="B43" s="1865"/>
      <c r="C43" s="1876"/>
      <c r="D43" s="1971"/>
      <c r="E43" s="1988"/>
      <c r="F43" s="1891">
        <f t="shared" si="1"/>
        <v>0</v>
      </c>
    </row>
    <row r="44" spans="1:7">
      <c r="A44" s="1865"/>
      <c r="B44" s="1865"/>
      <c r="C44" s="1876"/>
      <c r="D44" s="1971"/>
      <c r="E44" s="1988"/>
      <c r="F44" s="1891">
        <f t="shared" si="1"/>
        <v>0</v>
      </c>
    </row>
    <row r="45" spans="1:7">
      <c r="A45" s="1865"/>
      <c r="B45" s="1865"/>
      <c r="C45" s="1952"/>
      <c r="D45" s="1958"/>
      <c r="E45" s="1955"/>
      <c r="F45" s="1958"/>
    </row>
    <row r="46" spans="1:7">
      <c r="A46" s="1865"/>
      <c r="B46" s="1865"/>
      <c r="C46" s="1910" t="s">
        <v>50</v>
      </c>
      <c r="D46" s="1911">
        <f>SUM(D47:D50)</f>
        <v>2600</v>
      </c>
      <c r="E46" s="1926">
        <f>SUM(E47:E50)</f>
        <v>2600</v>
      </c>
      <c r="F46" s="1924">
        <f t="shared" si="1"/>
        <v>5200</v>
      </c>
    </row>
    <row r="47" spans="1:7">
      <c r="A47" s="1865"/>
      <c r="B47" s="1865"/>
      <c r="C47" s="2197" t="s">
        <v>1610</v>
      </c>
      <c r="D47" s="2202">
        <v>2600</v>
      </c>
      <c r="E47" s="2203">
        <v>2600</v>
      </c>
      <c r="F47" s="1891">
        <f t="shared" si="1"/>
        <v>5200</v>
      </c>
    </row>
    <row r="48" spans="1:7">
      <c r="A48" s="1865"/>
      <c r="B48" s="1865"/>
      <c r="C48" s="2179"/>
      <c r="D48" s="1971"/>
      <c r="E48" s="1988"/>
      <c r="F48" s="1891">
        <f t="shared" si="1"/>
        <v>0</v>
      </c>
    </row>
    <row r="49" spans="1:6">
      <c r="A49" s="1865"/>
      <c r="B49" s="1865"/>
      <c r="C49" s="1876"/>
      <c r="D49" s="1971"/>
      <c r="E49" s="1988"/>
      <c r="F49" s="1891">
        <f t="shared" si="1"/>
        <v>0</v>
      </c>
    </row>
    <row r="50" spans="1:6">
      <c r="A50" s="1865"/>
      <c r="B50" s="1865"/>
      <c r="C50" s="1876"/>
      <c r="D50" s="1971"/>
      <c r="E50" s="1988"/>
      <c r="F50" s="1891">
        <f t="shared" si="1"/>
        <v>0</v>
      </c>
    </row>
    <row r="51" spans="1:6">
      <c r="A51" s="1865"/>
      <c r="B51" s="1865"/>
      <c r="C51" s="1952"/>
      <c r="D51" s="1958"/>
      <c r="E51" s="1955"/>
      <c r="F51" s="1958"/>
    </row>
    <row r="52" spans="1:6">
      <c r="A52" s="1865"/>
      <c r="B52" s="1865"/>
      <c r="C52" s="1910" t="s">
        <v>51</v>
      </c>
      <c r="D52" s="1911">
        <f>SUM(D53:D56)</f>
        <v>0</v>
      </c>
      <c r="E52" s="1926">
        <f>SUM(E53:E56)</f>
        <v>0</v>
      </c>
      <c r="F52" s="1924">
        <f t="shared" si="1"/>
        <v>0</v>
      </c>
    </row>
    <row r="53" spans="1:6">
      <c r="A53" s="1865"/>
      <c r="B53" s="1865"/>
      <c r="C53" s="2179"/>
      <c r="D53" s="1971"/>
      <c r="E53" s="1972"/>
      <c r="F53" s="1891">
        <f t="shared" si="1"/>
        <v>0</v>
      </c>
    </row>
    <row r="54" spans="1:6">
      <c r="A54" s="1865"/>
      <c r="B54" s="1865"/>
      <c r="C54" s="2179"/>
      <c r="D54" s="1971"/>
      <c r="E54" s="1972"/>
      <c r="F54" s="1891">
        <f t="shared" si="1"/>
        <v>0</v>
      </c>
    </row>
    <row r="55" spans="1:6">
      <c r="A55" s="1865"/>
      <c r="B55" s="1865"/>
      <c r="C55" s="1876"/>
      <c r="D55" s="1971"/>
      <c r="E55" s="1972"/>
      <c r="F55" s="1891">
        <f t="shared" si="1"/>
        <v>0</v>
      </c>
    </row>
    <row r="56" spans="1:6">
      <c r="A56" s="1865"/>
      <c r="B56" s="1865"/>
      <c r="C56" s="1876"/>
      <c r="D56" s="1971"/>
      <c r="E56" s="1972"/>
      <c r="F56" s="1891">
        <f t="shared" si="1"/>
        <v>0</v>
      </c>
    </row>
    <row r="57" spans="1:6">
      <c r="A57" s="1865"/>
      <c r="B57" s="1865"/>
      <c r="C57" s="1952"/>
      <c r="D57" s="1958"/>
      <c r="E57" s="1955"/>
      <c r="F57" s="1958"/>
    </row>
    <row r="58" spans="1:6">
      <c r="A58" s="1865"/>
      <c r="B58" s="1865"/>
      <c r="C58" s="1910" t="s">
        <v>52</v>
      </c>
      <c r="D58" s="1911">
        <f>SUM(D59:D60)</f>
        <v>0</v>
      </c>
      <c r="E58" s="1926">
        <f>SUM(E59:E60)</f>
        <v>0</v>
      </c>
      <c r="F58" s="1924">
        <f>SUM(F59:F60)</f>
        <v>0</v>
      </c>
    </row>
    <row r="59" spans="1:6">
      <c r="A59" s="1865"/>
      <c r="B59" s="1865"/>
      <c r="C59" s="1876"/>
      <c r="D59" s="1971"/>
      <c r="E59" s="1988"/>
      <c r="F59" s="1891">
        <f>SUM(D59:E59)</f>
        <v>0</v>
      </c>
    </row>
    <row r="60" spans="1:6">
      <c r="A60" s="1865"/>
      <c r="B60" s="1865"/>
      <c r="C60" s="1876"/>
      <c r="D60" s="1971"/>
      <c r="E60" s="1988"/>
      <c r="F60" s="1891">
        <f>SUM(D60:E60)</f>
        <v>0</v>
      </c>
    </row>
    <row r="61" spans="1:6">
      <c r="A61" s="1865"/>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32" right="0.21" top="0.39" bottom="0.35" header="0.3" footer="0.3"/>
      <pageSetup paperSize="3" scale="62" orientation="landscape" r:id="rId1"/>
    </customSheetView>
    <customSheetView guid="{D9EFFE19-D14B-4C6F-BDF4-FF696F73968D}" showGridLines="0" fitToPage="1">
      <pane xSplit="1" ySplit="1" topLeftCell="B2" activePane="bottomRight" state="frozen"/>
      <selection pane="bottomRight"/>
      <pageMargins left="0.32" right="0.21" top="0.39" bottom="0.35" header="0.3" footer="0.3"/>
      <pageSetup paperSize="3" scale="62" orientation="landscape" r:id="rId2"/>
    </customSheetView>
  </customSheetViews>
  <pageMargins left="0.32" right="0.21" top="0.39" bottom="0.35" header="0.3" footer="0.3"/>
  <pageSetup paperSize="3" scale="62" orientation="landscape"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R66"/>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5.5" customHeight="1">
      <c r="D1" s="1831" t="s">
        <v>635</v>
      </c>
      <c r="E1" s="1811" t="s">
        <v>25</v>
      </c>
      <c r="F1" s="1882">
        <v>18230659</v>
      </c>
      <c r="G1" s="1812" t="s">
        <v>31</v>
      </c>
      <c r="M1" s="1831" t="s">
        <v>635</v>
      </c>
      <c r="N1" s="1811" t="s">
        <v>25</v>
      </c>
      <c r="O1" s="1882">
        <v>18230659</v>
      </c>
      <c r="P1" s="1812" t="s">
        <v>31</v>
      </c>
    </row>
    <row r="2" spans="1:18" ht="16.5" thickBot="1">
      <c r="D2" s="1800"/>
      <c r="E2" s="1800"/>
      <c r="F2" s="1800"/>
      <c r="G2" s="1805"/>
      <c r="H2" s="1576" t="s">
        <v>674</v>
      </c>
      <c r="I2" s="1805"/>
      <c r="J2" s="1805"/>
      <c r="K2" s="1805"/>
      <c r="L2" s="1805"/>
      <c r="M2" s="1805"/>
      <c r="N2" s="1805"/>
      <c r="O2" s="1805"/>
      <c r="P2" s="1805"/>
      <c r="Q2" s="1805"/>
    </row>
    <row r="3" spans="1:18" ht="26.25" thickBot="1">
      <c r="A3" s="1844" t="s">
        <v>718</v>
      </c>
      <c r="B3" s="281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2193" t="s">
        <v>719</v>
      </c>
      <c r="B4" s="1748"/>
      <c r="E4" s="2192"/>
      <c r="F4" s="2192"/>
      <c r="G4" s="1804" t="s">
        <v>668</v>
      </c>
      <c r="H4" s="2003"/>
      <c r="I4" s="2002"/>
      <c r="J4" s="2002"/>
      <c r="K4" s="2002"/>
      <c r="L4" s="2002"/>
      <c r="M4" s="2002">
        <v>26404</v>
      </c>
      <c r="N4" s="2002"/>
      <c r="O4" s="2002"/>
      <c r="P4" s="2002"/>
      <c r="Q4" s="2002"/>
      <c r="R4" s="2002">
        <v>26404</v>
      </c>
    </row>
    <row r="5" spans="1:18" ht="15.75">
      <c r="A5" s="1974" t="s">
        <v>25</v>
      </c>
      <c r="B5" s="1748"/>
      <c r="D5" s="2177"/>
      <c r="E5" s="2177"/>
      <c r="G5" s="1228">
        <v>2016</v>
      </c>
      <c r="H5" s="1582">
        <f>D15</f>
        <v>57151.224000000002</v>
      </c>
      <c r="I5" s="1549">
        <f>D21</f>
        <v>0</v>
      </c>
      <c r="J5" s="1549">
        <f>D27</f>
        <v>38119.866408000002</v>
      </c>
      <c r="K5" s="1549">
        <f>D34</f>
        <v>0</v>
      </c>
      <c r="L5" s="1549">
        <f>D40</f>
        <v>2704</v>
      </c>
      <c r="M5" s="1549">
        <f>D46</f>
        <v>0</v>
      </c>
      <c r="N5" s="1549">
        <f>D52</f>
        <v>650</v>
      </c>
      <c r="O5" s="1549">
        <f>D58</f>
        <v>0</v>
      </c>
      <c r="P5" s="1549">
        <v>0</v>
      </c>
      <c r="Q5" s="1549"/>
      <c r="R5" s="1549">
        <f>SUM(H5:P5)</f>
        <v>98625.090408000004</v>
      </c>
    </row>
    <row r="6" spans="1:18" ht="16.5" thickBot="1">
      <c r="A6" s="1882">
        <v>18230659</v>
      </c>
      <c r="B6" s="1882"/>
      <c r="C6" s="1803"/>
      <c r="D6" s="2177"/>
      <c r="E6" s="2177"/>
      <c r="G6" s="1228">
        <v>2017</v>
      </c>
      <c r="H6" s="57">
        <f>E15</f>
        <v>58579.794000000002</v>
      </c>
      <c r="I6" s="1990">
        <f>E21</f>
        <v>0</v>
      </c>
      <c r="J6" s="1989">
        <f>E27</f>
        <v>39834.259920000004</v>
      </c>
      <c r="K6" s="58">
        <f>E34</f>
        <v>0</v>
      </c>
      <c r="L6" s="58">
        <f>E40</f>
        <v>2704</v>
      </c>
      <c r="M6" s="58">
        <f>E46</f>
        <v>0</v>
      </c>
      <c r="N6" s="58">
        <f>E52</f>
        <v>650</v>
      </c>
      <c r="O6" s="58">
        <f>E58</f>
        <v>0</v>
      </c>
      <c r="P6" s="58">
        <v>0</v>
      </c>
      <c r="Q6" s="58"/>
      <c r="R6" s="58">
        <f>SUM(H6:P6)</f>
        <v>101768.05392000001</v>
      </c>
    </row>
    <row r="7" spans="1:18" s="2194" customFormat="1" ht="13.5" thickBot="1">
      <c r="A7" s="1976" t="s">
        <v>31</v>
      </c>
      <c r="B7" s="2195"/>
      <c r="G7" s="598" t="s">
        <v>23</v>
      </c>
      <c r="H7" s="1564">
        <f>SUM(H5:H6)</f>
        <v>115731.01800000001</v>
      </c>
      <c r="I7" s="1991">
        <f t="shared" ref="I7:P7" si="0">SUM(I5:I6)</f>
        <v>0</v>
      </c>
      <c r="J7" s="1992">
        <f t="shared" si="0"/>
        <v>77954.126328000013</v>
      </c>
      <c r="K7" s="1993">
        <f t="shared" si="0"/>
        <v>0</v>
      </c>
      <c r="L7" s="1991">
        <f t="shared" si="0"/>
        <v>5408</v>
      </c>
      <c r="M7" s="1992">
        <f t="shared" si="0"/>
        <v>0</v>
      </c>
      <c r="N7" s="1991">
        <f t="shared" si="0"/>
        <v>1300</v>
      </c>
      <c r="O7" s="1992">
        <f t="shared" si="0"/>
        <v>0</v>
      </c>
      <c r="P7" s="1993">
        <f t="shared" si="0"/>
        <v>0</v>
      </c>
      <c r="Q7" s="1993"/>
      <c r="R7" s="1991">
        <f>SUM(R5:R6)</f>
        <v>200393.14432800002</v>
      </c>
    </row>
    <row r="8" spans="1:18" s="2194" customFormat="1" ht="25.5">
      <c r="B8" s="2810"/>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c r="A11" s="2178"/>
      <c r="B11" s="2178"/>
      <c r="D11" s="2177"/>
      <c r="E11" s="2193"/>
    </row>
    <row r="12" spans="1:18">
      <c r="A12" s="2178"/>
      <c r="B12" s="2178"/>
      <c r="C12" s="1887" t="s">
        <v>314</v>
      </c>
      <c r="D12" s="2157">
        <f>D15+D21+D27+D34+D40+D46+D52+D58</f>
        <v>98625.090408000004</v>
      </c>
      <c r="E12" s="1948">
        <f>E15+E21+E27+E34+E40+E46+E52+E58</f>
        <v>101768.05392000001</v>
      </c>
      <c r="F12" s="2157">
        <f>D12+E12</f>
        <v>200393.14432800002</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ht="15.75">
      <c r="A15" s="1863"/>
      <c r="B15" s="1886" t="s">
        <v>312</v>
      </c>
      <c r="C15" s="2106" t="s">
        <v>46</v>
      </c>
      <c r="D15" s="2158">
        <f>SUM(D16:D19)</f>
        <v>57151.224000000002</v>
      </c>
      <c r="E15" s="1926">
        <f>SUM(E16:E19)</f>
        <v>58579.794000000002</v>
      </c>
      <c r="F15" s="2157">
        <f>SUM(F16:F19)</f>
        <v>115731.01800000001</v>
      </c>
      <c r="G15" s="1796"/>
      <c r="H15" s="1796"/>
    </row>
    <row r="16" spans="1:18">
      <c r="A16" s="2178"/>
      <c r="B16" s="2610">
        <v>0.78</v>
      </c>
      <c r="C16" s="2197" t="s">
        <v>1565</v>
      </c>
      <c r="D16" s="2201">
        <f>73270.8*0.78</f>
        <v>57151.224000000002</v>
      </c>
      <c r="E16" s="2200">
        <f>75102.3*0.78</f>
        <v>58579.794000000002</v>
      </c>
      <c r="F16" s="1879">
        <f>SUM(D16:E16)</f>
        <v>115731.01800000001</v>
      </c>
    </row>
    <row r="17" spans="1:7">
      <c r="A17" s="2178"/>
      <c r="B17" s="2610"/>
      <c r="C17" s="2197"/>
      <c r="D17" s="2199"/>
      <c r="E17" s="2198"/>
      <c r="F17" s="2191">
        <f>SUM(D17:E17)</f>
        <v>0</v>
      </c>
    </row>
    <row r="18" spans="1:7">
      <c r="A18" s="2178"/>
      <c r="B18" s="2610"/>
      <c r="C18" s="2197"/>
      <c r="D18" s="2199"/>
      <c r="E18" s="2198"/>
      <c r="F18" s="2191">
        <f>SUM(D18:E18)</f>
        <v>0</v>
      </c>
    </row>
    <row r="19" spans="1:7">
      <c r="A19" s="2178"/>
      <c r="B19" s="2610"/>
      <c r="C19" s="2197"/>
      <c r="D19" s="2242"/>
      <c r="E19" s="2079"/>
      <c r="F19" s="2191">
        <f>SUM(D19:E19)</f>
        <v>0</v>
      </c>
    </row>
    <row r="20" spans="1:7">
      <c r="A20" s="2178"/>
      <c r="B20" s="1908">
        <f>SUM(B16:B19)</f>
        <v>0.78</v>
      </c>
      <c r="C20" s="1952"/>
      <c r="D20" s="1954"/>
      <c r="E20" s="1955"/>
      <c r="F20" s="1957"/>
    </row>
    <row r="21" spans="1:7">
      <c r="A21" s="2178"/>
      <c r="B21" s="2178"/>
      <c r="C21" s="2106" t="s">
        <v>47</v>
      </c>
      <c r="D21" s="2158">
        <f>SUM(D22:D25)</f>
        <v>0</v>
      </c>
      <c r="E21" s="1926">
        <f>SUM(E22:E25)</f>
        <v>0</v>
      </c>
      <c r="F21" s="2157">
        <f>SUM(F22:F25)</f>
        <v>0</v>
      </c>
      <c r="G21" s="1797" t="s">
        <v>7</v>
      </c>
    </row>
    <row r="22" spans="1:7">
      <c r="A22" s="2178"/>
      <c r="B22" s="2178"/>
      <c r="C22" s="2197"/>
      <c r="D22" s="2201"/>
      <c r="E22" s="2200"/>
      <c r="F22" s="1879">
        <f>SUM(D22:E22)</f>
        <v>0</v>
      </c>
      <c r="G22" s="1798"/>
    </row>
    <row r="23" spans="1:7">
      <c r="A23" s="2178"/>
      <c r="B23" s="2178"/>
      <c r="C23" s="2197"/>
      <c r="D23" s="1900"/>
      <c r="E23" s="1899"/>
      <c r="F23" s="2191">
        <f>SUM(D23:E23)</f>
        <v>0</v>
      </c>
    </row>
    <row r="24" spans="1:7">
      <c r="A24" s="2178"/>
      <c r="B24" s="1863"/>
      <c r="C24" s="2197"/>
      <c r="D24" s="1898"/>
      <c r="E24" s="1897"/>
      <c r="F24" s="2191">
        <f>SUM(D24:E24)</f>
        <v>0</v>
      </c>
    </row>
    <row r="25" spans="1:7" s="2194" customFormat="1">
      <c r="A25" s="1863"/>
      <c r="B25" s="2178"/>
      <c r="C25" s="2197"/>
      <c r="D25" s="1896"/>
      <c r="E25" s="1899"/>
      <c r="F25" s="2191">
        <f>SUM(D25:E25)</f>
        <v>0</v>
      </c>
    </row>
    <row r="26" spans="1:7">
      <c r="A26" s="2178"/>
      <c r="B26" s="1863"/>
      <c r="C26" s="1877"/>
      <c r="D26" s="1892"/>
      <c r="E26" s="1884"/>
      <c r="F26" s="1892"/>
    </row>
    <row r="27" spans="1:7" s="2194" customFormat="1">
      <c r="A27" s="1863"/>
      <c r="B27" s="2178"/>
      <c r="C27" s="2106" t="s">
        <v>48</v>
      </c>
      <c r="D27" s="2158">
        <f>SUM(D29:D32)</f>
        <v>38119.866408000002</v>
      </c>
      <c r="E27" s="1926">
        <f>SUM(E29:E32)</f>
        <v>39834.259920000004</v>
      </c>
      <c r="F27" s="2157">
        <f>SUM(F29:F32)</f>
        <v>77954.126328000013</v>
      </c>
    </row>
    <row r="28" spans="1:7">
      <c r="A28" s="2178"/>
      <c r="B28" s="2178"/>
      <c r="C28" s="1909" t="s">
        <v>315</v>
      </c>
      <c r="D28" s="1912">
        <v>0.66700000000000004</v>
      </c>
      <c r="E28" s="1913">
        <v>0.68</v>
      </c>
      <c r="F28" s="1949"/>
    </row>
    <row r="29" spans="1:7">
      <c r="A29" s="2178"/>
      <c r="B29" s="2178"/>
      <c r="C29" s="2197" t="s">
        <v>778</v>
      </c>
      <c r="D29" s="2202">
        <f>D15*D28</f>
        <v>38119.866408000002</v>
      </c>
      <c r="E29" s="2163">
        <f>E15*E28</f>
        <v>39834.259920000004</v>
      </c>
      <c r="F29" s="2191">
        <f>SUM(D29:E29)</f>
        <v>77954.126328000013</v>
      </c>
    </row>
    <row r="30" spans="1:7">
      <c r="A30" s="2178"/>
      <c r="B30" s="2178"/>
      <c r="C30" s="2197" t="s">
        <v>779</v>
      </c>
      <c r="D30" s="1973">
        <f>D21*D28</f>
        <v>0</v>
      </c>
      <c r="E30" s="2163">
        <f>E21*E28</f>
        <v>0</v>
      </c>
      <c r="F30" s="2191">
        <f>SUM(D30:E30)</f>
        <v>0</v>
      </c>
    </row>
    <row r="31" spans="1:7">
      <c r="A31" s="2178"/>
      <c r="B31" s="2178"/>
      <c r="C31" s="1901"/>
      <c r="D31" s="1898"/>
      <c r="E31" s="1897"/>
      <c r="F31" s="2191">
        <f>SUM(D31:E31)</f>
        <v>0</v>
      </c>
    </row>
    <row r="32" spans="1:7">
      <c r="A32" s="2178"/>
      <c r="B32" s="2178"/>
      <c r="C32" s="1901"/>
      <c r="D32" s="1896"/>
      <c r="E32" s="1899"/>
      <c r="F32" s="2191">
        <f>SUM(D32:E32)</f>
        <v>0</v>
      </c>
    </row>
    <row r="33" spans="1:7">
      <c r="A33" s="2178"/>
      <c r="B33" s="1801"/>
      <c r="C33" s="1952"/>
      <c r="D33" s="1958"/>
      <c r="E33" s="1955"/>
      <c r="F33" s="1958"/>
    </row>
    <row r="34" spans="1:7">
      <c r="A34" s="1801"/>
      <c r="B34" s="2178"/>
      <c r="C34" s="2106" t="s">
        <v>49</v>
      </c>
      <c r="D34" s="2158">
        <v>0</v>
      </c>
      <c r="E34" s="1926">
        <v>0</v>
      </c>
      <c r="F34" s="2157">
        <v>0</v>
      </c>
      <c r="G34" s="1799"/>
    </row>
    <row r="35" spans="1:7">
      <c r="A35" s="1844" t="s">
        <v>718</v>
      </c>
      <c r="B35" s="1863"/>
      <c r="C35" s="2197"/>
      <c r="D35" s="2202"/>
      <c r="E35" s="2203"/>
      <c r="F35" s="2191">
        <v>0</v>
      </c>
    </row>
    <row r="36" spans="1:7" s="2194" customFormat="1">
      <c r="A36" s="2193" t="s">
        <v>719</v>
      </c>
      <c r="B36" s="2178"/>
      <c r="C36" s="2197"/>
      <c r="D36" s="2202"/>
      <c r="E36" s="2203"/>
      <c r="F36" s="2191">
        <v>0</v>
      </c>
    </row>
    <row r="37" spans="1:7">
      <c r="A37" s="1974" t="s">
        <v>25</v>
      </c>
      <c r="B37" s="2178"/>
      <c r="C37" s="2197"/>
      <c r="D37" s="2202"/>
      <c r="E37" s="2203"/>
      <c r="F37" s="2191">
        <v>0</v>
      </c>
    </row>
    <row r="38" spans="1:7">
      <c r="A38" s="1882">
        <v>18230659</v>
      </c>
      <c r="B38" s="2178"/>
      <c r="C38" s="2197"/>
      <c r="D38" s="2202"/>
      <c r="E38" s="2203"/>
      <c r="F38" s="2191">
        <v>0</v>
      </c>
    </row>
    <row r="39" spans="1:7">
      <c r="A39" s="1976" t="s">
        <v>31</v>
      </c>
      <c r="B39" s="2178"/>
      <c r="C39" s="1952"/>
      <c r="D39" s="1958"/>
      <c r="E39" s="1955"/>
      <c r="F39" s="1958"/>
    </row>
    <row r="40" spans="1:7">
      <c r="A40" s="2194"/>
      <c r="B40" s="2178"/>
      <c r="C40" s="2106" t="s">
        <v>506</v>
      </c>
      <c r="D40" s="2158">
        <f>SUM(D41:D44)</f>
        <v>2704</v>
      </c>
      <c r="E40" s="1926">
        <f>SUM(E41:E44)</f>
        <v>2704</v>
      </c>
      <c r="F40" s="2157">
        <f t="shared" ref="F40:F56" si="1">SUM(D40:E40)</f>
        <v>5408</v>
      </c>
    </row>
    <row r="41" spans="1:7">
      <c r="A41" s="2178"/>
      <c r="B41" s="2178"/>
      <c r="C41" s="2197" t="s">
        <v>1555</v>
      </c>
      <c r="D41" s="2202">
        <f>16000*0.13</f>
        <v>2080</v>
      </c>
      <c r="E41" s="2203">
        <f>16000*0.13</f>
        <v>2080</v>
      </c>
      <c r="F41" s="2191">
        <f t="shared" si="1"/>
        <v>4160</v>
      </c>
    </row>
    <row r="42" spans="1:7">
      <c r="A42" s="2178"/>
      <c r="B42" s="2178"/>
      <c r="C42" s="2197" t="s">
        <v>1566</v>
      </c>
      <c r="D42" s="2202">
        <f>4800*0.13</f>
        <v>624</v>
      </c>
      <c r="E42" s="2203">
        <f>4800*0.13</f>
        <v>624</v>
      </c>
      <c r="F42" s="2191">
        <f t="shared" si="1"/>
        <v>1248</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0</v>
      </c>
      <c r="E46" s="1926">
        <f>SUM(E47:E50)</f>
        <v>0</v>
      </c>
      <c r="F46" s="2157">
        <f t="shared" si="1"/>
        <v>0</v>
      </c>
    </row>
    <row r="47" spans="1:7">
      <c r="A47" s="2178"/>
      <c r="B47" s="2178"/>
      <c r="C47" s="2197"/>
      <c r="D47" s="2202"/>
      <c r="E47" s="2203"/>
      <c r="F47" s="2191">
        <f t="shared" si="1"/>
        <v>0</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650</v>
      </c>
      <c r="E52" s="1926">
        <f>SUM(E53:E56)</f>
        <v>650</v>
      </c>
      <c r="F52" s="2157">
        <f t="shared" si="1"/>
        <v>1300</v>
      </c>
    </row>
    <row r="53" spans="1:6">
      <c r="A53" s="2178"/>
      <c r="B53" s="2178"/>
      <c r="C53" s="2197" t="s">
        <v>1567</v>
      </c>
      <c r="D53" s="2202">
        <f>5000*0.13</f>
        <v>650</v>
      </c>
      <c r="E53" s="2163">
        <f>5000*0.13</f>
        <v>650</v>
      </c>
      <c r="F53" s="2191">
        <f t="shared" si="1"/>
        <v>1300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A61" s="2178"/>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2" activePane="bottomRight" state="frozen"/>
      <selection pane="bottomRight" activeCell="E17" sqref="E17"/>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ABF8F"/>
    <pageSetUpPr fitToPage="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D7" sqref="D7"/>
    </sheetView>
  </sheetViews>
  <sheetFormatPr defaultRowHeight="12.75"/>
  <cols>
    <col min="1" max="1" width="18.28515625" style="650" customWidth="1"/>
    <col min="2" max="2" width="15.85546875" style="1866" customWidth="1"/>
    <col min="3" max="3" width="27.85546875" style="650" customWidth="1"/>
    <col min="4" max="5" width="20.28515625" style="650" customWidth="1"/>
    <col min="6" max="6" width="23.7109375" style="650" customWidth="1"/>
    <col min="7" max="7" width="14.85546875" style="650" customWidth="1"/>
    <col min="8" max="10" width="23.7109375" style="650" customWidth="1"/>
    <col min="11" max="11" width="20" style="650" customWidth="1"/>
    <col min="12" max="12" width="19.140625" style="650" customWidth="1"/>
    <col min="13" max="13" width="14.28515625" style="650" customWidth="1"/>
    <col min="14" max="14" width="18.85546875" style="650" customWidth="1"/>
    <col min="15" max="15" width="16.140625" style="650" customWidth="1"/>
    <col min="16" max="16" width="15.140625" style="650" customWidth="1"/>
    <col min="17" max="17" width="18.140625" style="650" customWidth="1"/>
    <col min="18" max="250" width="9.140625" style="650"/>
    <col min="251" max="251" width="48.5703125" style="650" customWidth="1"/>
    <col min="252" max="253" width="23.7109375" style="650" customWidth="1"/>
    <col min="254" max="254" width="29.5703125" style="650" customWidth="1"/>
    <col min="255" max="260" width="23.7109375" style="650" customWidth="1"/>
    <col min="261" max="261" width="19.140625" style="650" customWidth="1"/>
    <col min="262" max="262" width="14.28515625" style="650" customWidth="1"/>
    <col min="263" max="263" width="23.7109375" style="650" customWidth="1"/>
    <col min="264" max="264" width="16.140625" style="650" customWidth="1"/>
    <col min="265" max="265" width="15.140625" style="650" customWidth="1"/>
    <col min="266" max="506" width="9.140625" style="650"/>
    <col min="507" max="507" width="48.5703125" style="650" customWidth="1"/>
    <col min="508" max="509" width="23.7109375" style="650" customWidth="1"/>
    <col min="510" max="510" width="29.5703125" style="650" customWidth="1"/>
    <col min="511" max="516" width="23.7109375" style="650" customWidth="1"/>
    <col min="517" max="517" width="19.140625" style="650" customWidth="1"/>
    <col min="518" max="518" width="14.28515625" style="650" customWidth="1"/>
    <col min="519" max="519" width="23.7109375" style="650" customWidth="1"/>
    <col min="520" max="520" width="16.140625" style="650" customWidth="1"/>
    <col min="521" max="521" width="15.140625" style="650" customWidth="1"/>
    <col min="522" max="762" width="9.140625" style="650"/>
    <col min="763" max="763" width="48.5703125" style="650" customWidth="1"/>
    <col min="764" max="765" width="23.7109375" style="650" customWidth="1"/>
    <col min="766" max="766" width="29.5703125" style="650" customWidth="1"/>
    <col min="767" max="772" width="23.7109375" style="650" customWidth="1"/>
    <col min="773" max="773" width="19.140625" style="650" customWidth="1"/>
    <col min="774" max="774" width="14.28515625" style="650" customWidth="1"/>
    <col min="775" max="775" width="23.7109375" style="650" customWidth="1"/>
    <col min="776" max="776" width="16.140625" style="650" customWidth="1"/>
    <col min="777" max="777" width="15.140625" style="650" customWidth="1"/>
    <col min="778" max="1018" width="9.140625" style="650"/>
    <col min="1019" max="1019" width="48.5703125" style="650" customWidth="1"/>
    <col min="1020" max="1021" width="23.7109375" style="650" customWidth="1"/>
    <col min="1022" max="1022" width="29.5703125" style="650" customWidth="1"/>
    <col min="1023" max="1028" width="23.7109375" style="650" customWidth="1"/>
    <col min="1029" max="1029" width="19.140625" style="650" customWidth="1"/>
    <col min="1030" max="1030" width="14.28515625" style="650" customWidth="1"/>
    <col min="1031" max="1031" width="23.7109375" style="650" customWidth="1"/>
    <col min="1032" max="1032" width="16.140625" style="650" customWidth="1"/>
    <col min="1033" max="1033" width="15.140625" style="650" customWidth="1"/>
    <col min="1034" max="1274" width="9.140625" style="650"/>
    <col min="1275" max="1275" width="48.5703125" style="650" customWidth="1"/>
    <col min="1276" max="1277" width="23.7109375" style="650" customWidth="1"/>
    <col min="1278" max="1278" width="29.5703125" style="650" customWidth="1"/>
    <col min="1279" max="1284" width="23.7109375" style="650" customWidth="1"/>
    <col min="1285" max="1285" width="19.140625" style="650" customWidth="1"/>
    <col min="1286" max="1286" width="14.28515625" style="650" customWidth="1"/>
    <col min="1287" max="1287" width="23.7109375" style="650" customWidth="1"/>
    <col min="1288" max="1288" width="16.140625" style="650" customWidth="1"/>
    <col min="1289" max="1289" width="15.140625" style="650" customWidth="1"/>
    <col min="1290" max="1530" width="9.140625" style="650"/>
    <col min="1531" max="1531" width="48.5703125" style="650" customWidth="1"/>
    <col min="1532" max="1533" width="23.7109375" style="650" customWidth="1"/>
    <col min="1534" max="1534" width="29.5703125" style="650" customWidth="1"/>
    <col min="1535" max="1540" width="23.7109375" style="650" customWidth="1"/>
    <col min="1541" max="1541" width="19.140625" style="650" customWidth="1"/>
    <col min="1542" max="1542" width="14.28515625" style="650" customWidth="1"/>
    <col min="1543" max="1543" width="23.7109375" style="650" customWidth="1"/>
    <col min="1544" max="1544" width="16.140625" style="650" customWidth="1"/>
    <col min="1545" max="1545" width="15.140625" style="650" customWidth="1"/>
    <col min="1546" max="1786" width="9.140625" style="650"/>
    <col min="1787" max="1787" width="48.5703125" style="650" customWidth="1"/>
    <col min="1788" max="1789" width="23.7109375" style="650" customWidth="1"/>
    <col min="1790" max="1790" width="29.5703125" style="650" customWidth="1"/>
    <col min="1791" max="1796" width="23.7109375" style="650" customWidth="1"/>
    <col min="1797" max="1797" width="19.140625" style="650" customWidth="1"/>
    <col min="1798" max="1798" width="14.28515625" style="650" customWidth="1"/>
    <col min="1799" max="1799" width="23.7109375" style="650" customWidth="1"/>
    <col min="1800" max="1800" width="16.140625" style="650" customWidth="1"/>
    <col min="1801" max="1801" width="15.140625" style="650" customWidth="1"/>
    <col min="1802" max="2042" width="9.140625" style="650"/>
    <col min="2043" max="2043" width="48.5703125" style="650" customWidth="1"/>
    <col min="2044" max="2045" width="23.7109375" style="650" customWidth="1"/>
    <col min="2046" max="2046" width="29.5703125" style="650" customWidth="1"/>
    <col min="2047" max="2052" width="23.7109375" style="650" customWidth="1"/>
    <col min="2053" max="2053" width="19.140625" style="650" customWidth="1"/>
    <col min="2054" max="2054" width="14.28515625" style="650" customWidth="1"/>
    <col min="2055" max="2055" width="23.7109375" style="650" customWidth="1"/>
    <col min="2056" max="2056" width="16.140625" style="650" customWidth="1"/>
    <col min="2057" max="2057" width="15.140625" style="650" customWidth="1"/>
    <col min="2058" max="2298" width="9.140625" style="650"/>
    <col min="2299" max="2299" width="48.5703125" style="650" customWidth="1"/>
    <col min="2300" max="2301" width="23.7109375" style="650" customWidth="1"/>
    <col min="2302" max="2302" width="29.5703125" style="650" customWidth="1"/>
    <col min="2303" max="2308" width="23.7109375" style="650" customWidth="1"/>
    <col min="2309" max="2309" width="19.140625" style="650" customWidth="1"/>
    <col min="2310" max="2310" width="14.28515625" style="650" customWidth="1"/>
    <col min="2311" max="2311" width="23.7109375" style="650" customWidth="1"/>
    <col min="2312" max="2312" width="16.140625" style="650" customWidth="1"/>
    <col min="2313" max="2313" width="15.140625" style="650" customWidth="1"/>
    <col min="2314" max="2554" width="9.140625" style="650"/>
    <col min="2555" max="2555" width="48.5703125" style="650" customWidth="1"/>
    <col min="2556" max="2557" width="23.7109375" style="650" customWidth="1"/>
    <col min="2558" max="2558" width="29.5703125" style="650" customWidth="1"/>
    <col min="2559" max="2564" width="23.7109375" style="650" customWidth="1"/>
    <col min="2565" max="2565" width="19.140625" style="650" customWidth="1"/>
    <col min="2566" max="2566" width="14.28515625" style="650" customWidth="1"/>
    <col min="2567" max="2567" width="23.7109375" style="650" customWidth="1"/>
    <col min="2568" max="2568" width="16.140625" style="650" customWidth="1"/>
    <col min="2569" max="2569" width="15.140625" style="650" customWidth="1"/>
    <col min="2570" max="2810" width="9.140625" style="650"/>
    <col min="2811" max="2811" width="48.5703125" style="650" customWidth="1"/>
    <col min="2812" max="2813" width="23.7109375" style="650" customWidth="1"/>
    <col min="2814" max="2814" width="29.5703125" style="650" customWidth="1"/>
    <col min="2815" max="2820" width="23.7109375" style="650" customWidth="1"/>
    <col min="2821" max="2821" width="19.140625" style="650" customWidth="1"/>
    <col min="2822" max="2822" width="14.28515625" style="650" customWidth="1"/>
    <col min="2823" max="2823" width="23.7109375" style="650" customWidth="1"/>
    <col min="2824" max="2824" width="16.140625" style="650" customWidth="1"/>
    <col min="2825" max="2825" width="15.140625" style="650" customWidth="1"/>
    <col min="2826" max="3066" width="9.140625" style="650"/>
    <col min="3067" max="3067" width="48.5703125" style="650" customWidth="1"/>
    <col min="3068" max="3069" width="23.7109375" style="650" customWidth="1"/>
    <col min="3070" max="3070" width="29.5703125" style="650" customWidth="1"/>
    <col min="3071" max="3076" width="23.7109375" style="650" customWidth="1"/>
    <col min="3077" max="3077" width="19.140625" style="650" customWidth="1"/>
    <col min="3078" max="3078" width="14.28515625" style="650" customWidth="1"/>
    <col min="3079" max="3079" width="23.7109375" style="650" customWidth="1"/>
    <col min="3080" max="3080" width="16.140625" style="650" customWidth="1"/>
    <col min="3081" max="3081" width="15.140625" style="650" customWidth="1"/>
    <col min="3082" max="3322" width="9.140625" style="650"/>
    <col min="3323" max="3323" width="48.5703125" style="650" customWidth="1"/>
    <col min="3324" max="3325" width="23.7109375" style="650" customWidth="1"/>
    <col min="3326" max="3326" width="29.5703125" style="650" customWidth="1"/>
    <col min="3327" max="3332" width="23.7109375" style="650" customWidth="1"/>
    <col min="3333" max="3333" width="19.140625" style="650" customWidth="1"/>
    <col min="3334" max="3334" width="14.28515625" style="650" customWidth="1"/>
    <col min="3335" max="3335" width="23.7109375" style="650" customWidth="1"/>
    <col min="3336" max="3336" width="16.140625" style="650" customWidth="1"/>
    <col min="3337" max="3337" width="15.140625" style="650" customWidth="1"/>
    <col min="3338" max="3578" width="9.140625" style="650"/>
    <col min="3579" max="3579" width="48.5703125" style="650" customWidth="1"/>
    <col min="3580" max="3581" width="23.7109375" style="650" customWidth="1"/>
    <col min="3582" max="3582" width="29.5703125" style="650" customWidth="1"/>
    <col min="3583" max="3588" width="23.7109375" style="650" customWidth="1"/>
    <col min="3589" max="3589" width="19.140625" style="650" customWidth="1"/>
    <col min="3590" max="3590" width="14.28515625" style="650" customWidth="1"/>
    <col min="3591" max="3591" width="23.7109375" style="650" customWidth="1"/>
    <col min="3592" max="3592" width="16.140625" style="650" customWidth="1"/>
    <col min="3593" max="3593" width="15.140625" style="650" customWidth="1"/>
    <col min="3594" max="3834" width="9.140625" style="650"/>
    <col min="3835" max="3835" width="48.5703125" style="650" customWidth="1"/>
    <col min="3836" max="3837" width="23.7109375" style="650" customWidth="1"/>
    <col min="3838" max="3838" width="29.5703125" style="650" customWidth="1"/>
    <col min="3839" max="3844" width="23.7109375" style="650" customWidth="1"/>
    <col min="3845" max="3845" width="19.140625" style="650" customWidth="1"/>
    <col min="3846" max="3846" width="14.28515625" style="650" customWidth="1"/>
    <col min="3847" max="3847" width="23.7109375" style="650" customWidth="1"/>
    <col min="3848" max="3848" width="16.140625" style="650" customWidth="1"/>
    <col min="3849" max="3849" width="15.140625" style="650" customWidth="1"/>
    <col min="3850" max="4090" width="9.140625" style="650"/>
    <col min="4091" max="4091" width="48.5703125" style="650" customWidth="1"/>
    <col min="4092" max="4093" width="23.7109375" style="650" customWidth="1"/>
    <col min="4094" max="4094" width="29.5703125" style="650" customWidth="1"/>
    <col min="4095" max="4100" width="23.7109375" style="650" customWidth="1"/>
    <col min="4101" max="4101" width="19.140625" style="650" customWidth="1"/>
    <col min="4102" max="4102" width="14.28515625" style="650" customWidth="1"/>
    <col min="4103" max="4103" width="23.7109375" style="650" customWidth="1"/>
    <col min="4104" max="4104" width="16.140625" style="650" customWidth="1"/>
    <col min="4105" max="4105" width="15.140625" style="650" customWidth="1"/>
    <col min="4106" max="4346" width="9.140625" style="650"/>
    <col min="4347" max="4347" width="48.5703125" style="650" customWidth="1"/>
    <col min="4348" max="4349" width="23.7109375" style="650" customWidth="1"/>
    <col min="4350" max="4350" width="29.5703125" style="650" customWidth="1"/>
    <col min="4351" max="4356" width="23.7109375" style="650" customWidth="1"/>
    <col min="4357" max="4357" width="19.140625" style="650" customWidth="1"/>
    <col min="4358" max="4358" width="14.28515625" style="650" customWidth="1"/>
    <col min="4359" max="4359" width="23.7109375" style="650" customWidth="1"/>
    <col min="4360" max="4360" width="16.140625" style="650" customWidth="1"/>
    <col min="4361" max="4361" width="15.140625" style="650" customWidth="1"/>
    <col min="4362" max="4602" width="9.140625" style="650"/>
    <col min="4603" max="4603" width="48.5703125" style="650" customWidth="1"/>
    <col min="4604" max="4605" width="23.7109375" style="650" customWidth="1"/>
    <col min="4606" max="4606" width="29.5703125" style="650" customWidth="1"/>
    <col min="4607" max="4612" width="23.7109375" style="650" customWidth="1"/>
    <col min="4613" max="4613" width="19.140625" style="650" customWidth="1"/>
    <col min="4614" max="4614" width="14.28515625" style="650" customWidth="1"/>
    <col min="4615" max="4615" width="23.7109375" style="650" customWidth="1"/>
    <col min="4616" max="4616" width="16.140625" style="650" customWidth="1"/>
    <col min="4617" max="4617" width="15.140625" style="650" customWidth="1"/>
    <col min="4618" max="4858" width="9.140625" style="650"/>
    <col min="4859" max="4859" width="48.5703125" style="650" customWidth="1"/>
    <col min="4860" max="4861" width="23.7109375" style="650" customWidth="1"/>
    <col min="4862" max="4862" width="29.5703125" style="650" customWidth="1"/>
    <col min="4863" max="4868" width="23.7109375" style="650" customWidth="1"/>
    <col min="4869" max="4869" width="19.140625" style="650" customWidth="1"/>
    <col min="4870" max="4870" width="14.28515625" style="650" customWidth="1"/>
    <col min="4871" max="4871" width="23.7109375" style="650" customWidth="1"/>
    <col min="4872" max="4872" width="16.140625" style="650" customWidth="1"/>
    <col min="4873" max="4873" width="15.140625" style="650" customWidth="1"/>
    <col min="4874" max="5114" width="9.140625" style="650"/>
    <col min="5115" max="5115" width="48.5703125" style="650" customWidth="1"/>
    <col min="5116" max="5117" width="23.7109375" style="650" customWidth="1"/>
    <col min="5118" max="5118" width="29.5703125" style="650" customWidth="1"/>
    <col min="5119" max="5124" width="23.7109375" style="650" customWidth="1"/>
    <col min="5125" max="5125" width="19.140625" style="650" customWidth="1"/>
    <col min="5126" max="5126" width="14.28515625" style="650" customWidth="1"/>
    <col min="5127" max="5127" width="23.7109375" style="650" customWidth="1"/>
    <col min="5128" max="5128" width="16.140625" style="650" customWidth="1"/>
    <col min="5129" max="5129" width="15.140625" style="650" customWidth="1"/>
    <col min="5130" max="5370" width="9.140625" style="650"/>
    <col min="5371" max="5371" width="48.5703125" style="650" customWidth="1"/>
    <col min="5372" max="5373" width="23.7109375" style="650" customWidth="1"/>
    <col min="5374" max="5374" width="29.5703125" style="650" customWidth="1"/>
    <col min="5375" max="5380" width="23.7109375" style="650" customWidth="1"/>
    <col min="5381" max="5381" width="19.140625" style="650" customWidth="1"/>
    <col min="5382" max="5382" width="14.28515625" style="650" customWidth="1"/>
    <col min="5383" max="5383" width="23.7109375" style="650" customWidth="1"/>
    <col min="5384" max="5384" width="16.140625" style="650" customWidth="1"/>
    <col min="5385" max="5385" width="15.140625" style="650" customWidth="1"/>
    <col min="5386" max="5626" width="9.140625" style="650"/>
    <col min="5627" max="5627" width="48.5703125" style="650" customWidth="1"/>
    <col min="5628" max="5629" width="23.7109375" style="650" customWidth="1"/>
    <col min="5630" max="5630" width="29.5703125" style="650" customWidth="1"/>
    <col min="5631" max="5636" width="23.7109375" style="650" customWidth="1"/>
    <col min="5637" max="5637" width="19.140625" style="650" customWidth="1"/>
    <col min="5638" max="5638" width="14.28515625" style="650" customWidth="1"/>
    <col min="5639" max="5639" width="23.7109375" style="650" customWidth="1"/>
    <col min="5640" max="5640" width="16.140625" style="650" customWidth="1"/>
    <col min="5641" max="5641" width="15.140625" style="650" customWidth="1"/>
    <col min="5642" max="5882" width="9.140625" style="650"/>
    <col min="5883" max="5883" width="48.5703125" style="650" customWidth="1"/>
    <col min="5884" max="5885" width="23.7109375" style="650" customWidth="1"/>
    <col min="5886" max="5886" width="29.5703125" style="650" customWidth="1"/>
    <col min="5887" max="5892" width="23.7109375" style="650" customWidth="1"/>
    <col min="5893" max="5893" width="19.140625" style="650" customWidth="1"/>
    <col min="5894" max="5894" width="14.28515625" style="650" customWidth="1"/>
    <col min="5895" max="5895" width="23.7109375" style="650" customWidth="1"/>
    <col min="5896" max="5896" width="16.140625" style="650" customWidth="1"/>
    <col min="5897" max="5897" width="15.140625" style="650" customWidth="1"/>
    <col min="5898" max="6138" width="9.140625" style="650"/>
    <col min="6139" max="6139" width="48.5703125" style="650" customWidth="1"/>
    <col min="6140" max="6141" width="23.7109375" style="650" customWidth="1"/>
    <col min="6142" max="6142" width="29.5703125" style="650" customWidth="1"/>
    <col min="6143" max="6148" width="23.7109375" style="650" customWidth="1"/>
    <col min="6149" max="6149" width="19.140625" style="650" customWidth="1"/>
    <col min="6150" max="6150" width="14.28515625" style="650" customWidth="1"/>
    <col min="6151" max="6151" width="23.7109375" style="650" customWidth="1"/>
    <col min="6152" max="6152" width="16.140625" style="650" customWidth="1"/>
    <col min="6153" max="6153" width="15.140625" style="650" customWidth="1"/>
    <col min="6154" max="6394" width="9.140625" style="650"/>
    <col min="6395" max="6395" width="48.5703125" style="650" customWidth="1"/>
    <col min="6396" max="6397" width="23.7109375" style="650" customWidth="1"/>
    <col min="6398" max="6398" width="29.5703125" style="650" customWidth="1"/>
    <col min="6399" max="6404" width="23.7109375" style="650" customWidth="1"/>
    <col min="6405" max="6405" width="19.140625" style="650" customWidth="1"/>
    <col min="6406" max="6406" width="14.28515625" style="650" customWidth="1"/>
    <col min="6407" max="6407" width="23.7109375" style="650" customWidth="1"/>
    <col min="6408" max="6408" width="16.140625" style="650" customWidth="1"/>
    <col min="6409" max="6409" width="15.140625" style="650" customWidth="1"/>
    <col min="6410" max="6650" width="9.140625" style="650"/>
    <col min="6651" max="6651" width="48.5703125" style="650" customWidth="1"/>
    <col min="6652" max="6653" width="23.7109375" style="650" customWidth="1"/>
    <col min="6654" max="6654" width="29.5703125" style="650" customWidth="1"/>
    <col min="6655" max="6660" width="23.7109375" style="650" customWidth="1"/>
    <col min="6661" max="6661" width="19.140625" style="650" customWidth="1"/>
    <col min="6662" max="6662" width="14.28515625" style="650" customWidth="1"/>
    <col min="6663" max="6663" width="23.7109375" style="650" customWidth="1"/>
    <col min="6664" max="6664" width="16.140625" style="650" customWidth="1"/>
    <col min="6665" max="6665" width="15.140625" style="650" customWidth="1"/>
    <col min="6666" max="6906" width="9.140625" style="650"/>
    <col min="6907" max="6907" width="48.5703125" style="650" customWidth="1"/>
    <col min="6908" max="6909" width="23.7109375" style="650" customWidth="1"/>
    <col min="6910" max="6910" width="29.5703125" style="650" customWidth="1"/>
    <col min="6911" max="6916" width="23.7109375" style="650" customWidth="1"/>
    <col min="6917" max="6917" width="19.140625" style="650" customWidth="1"/>
    <col min="6918" max="6918" width="14.28515625" style="650" customWidth="1"/>
    <col min="6919" max="6919" width="23.7109375" style="650" customWidth="1"/>
    <col min="6920" max="6920" width="16.140625" style="650" customWidth="1"/>
    <col min="6921" max="6921" width="15.140625" style="650" customWidth="1"/>
    <col min="6922" max="7162" width="9.140625" style="650"/>
    <col min="7163" max="7163" width="48.5703125" style="650" customWidth="1"/>
    <col min="7164" max="7165" width="23.7109375" style="650" customWidth="1"/>
    <col min="7166" max="7166" width="29.5703125" style="650" customWidth="1"/>
    <col min="7167" max="7172" width="23.7109375" style="650" customWidth="1"/>
    <col min="7173" max="7173" width="19.140625" style="650" customWidth="1"/>
    <col min="7174" max="7174" width="14.28515625" style="650" customWidth="1"/>
    <col min="7175" max="7175" width="23.7109375" style="650" customWidth="1"/>
    <col min="7176" max="7176" width="16.140625" style="650" customWidth="1"/>
    <col min="7177" max="7177" width="15.140625" style="650" customWidth="1"/>
    <col min="7178" max="7418" width="9.140625" style="650"/>
    <col min="7419" max="7419" width="48.5703125" style="650" customWidth="1"/>
    <col min="7420" max="7421" width="23.7109375" style="650" customWidth="1"/>
    <col min="7422" max="7422" width="29.5703125" style="650" customWidth="1"/>
    <col min="7423" max="7428" width="23.7109375" style="650" customWidth="1"/>
    <col min="7429" max="7429" width="19.140625" style="650" customWidth="1"/>
    <col min="7430" max="7430" width="14.28515625" style="650" customWidth="1"/>
    <col min="7431" max="7431" width="23.7109375" style="650" customWidth="1"/>
    <col min="7432" max="7432" width="16.140625" style="650" customWidth="1"/>
    <col min="7433" max="7433" width="15.140625" style="650" customWidth="1"/>
    <col min="7434" max="7674" width="9.140625" style="650"/>
    <col min="7675" max="7675" width="48.5703125" style="650" customWidth="1"/>
    <col min="7676" max="7677" width="23.7109375" style="650" customWidth="1"/>
    <col min="7678" max="7678" width="29.5703125" style="650" customWidth="1"/>
    <col min="7679" max="7684" width="23.7109375" style="650" customWidth="1"/>
    <col min="7685" max="7685" width="19.140625" style="650" customWidth="1"/>
    <col min="7686" max="7686" width="14.28515625" style="650" customWidth="1"/>
    <col min="7687" max="7687" width="23.7109375" style="650" customWidth="1"/>
    <col min="7688" max="7688" width="16.140625" style="650" customWidth="1"/>
    <col min="7689" max="7689" width="15.140625" style="650" customWidth="1"/>
    <col min="7690" max="7930" width="9.140625" style="650"/>
    <col min="7931" max="7931" width="48.5703125" style="650" customWidth="1"/>
    <col min="7932" max="7933" width="23.7109375" style="650" customWidth="1"/>
    <col min="7934" max="7934" width="29.5703125" style="650" customWidth="1"/>
    <col min="7935" max="7940" width="23.7109375" style="650" customWidth="1"/>
    <col min="7941" max="7941" width="19.140625" style="650" customWidth="1"/>
    <col min="7942" max="7942" width="14.28515625" style="650" customWidth="1"/>
    <col min="7943" max="7943" width="23.7109375" style="650" customWidth="1"/>
    <col min="7944" max="7944" width="16.140625" style="650" customWidth="1"/>
    <col min="7945" max="7945" width="15.140625" style="650" customWidth="1"/>
    <col min="7946" max="8186" width="9.140625" style="650"/>
    <col min="8187" max="8187" width="48.5703125" style="650" customWidth="1"/>
    <col min="8188" max="8189" width="23.7109375" style="650" customWidth="1"/>
    <col min="8190" max="8190" width="29.5703125" style="650" customWidth="1"/>
    <col min="8191" max="8196" width="23.7109375" style="650" customWidth="1"/>
    <col min="8197" max="8197" width="19.140625" style="650" customWidth="1"/>
    <col min="8198" max="8198" width="14.28515625" style="650" customWidth="1"/>
    <col min="8199" max="8199" width="23.7109375" style="650" customWidth="1"/>
    <col min="8200" max="8200" width="16.140625" style="650" customWidth="1"/>
    <col min="8201" max="8201" width="15.140625" style="650" customWidth="1"/>
    <col min="8202" max="8442" width="9.140625" style="650"/>
    <col min="8443" max="8443" width="48.5703125" style="650" customWidth="1"/>
    <col min="8444" max="8445" width="23.7109375" style="650" customWidth="1"/>
    <col min="8446" max="8446" width="29.5703125" style="650" customWidth="1"/>
    <col min="8447" max="8452" width="23.7109375" style="650" customWidth="1"/>
    <col min="8453" max="8453" width="19.140625" style="650" customWidth="1"/>
    <col min="8454" max="8454" width="14.28515625" style="650" customWidth="1"/>
    <col min="8455" max="8455" width="23.7109375" style="650" customWidth="1"/>
    <col min="8456" max="8456" width="16.140625" style="650" customWidth="1"/>
    <col min="8457" max="8457" width="15.140625" style="650" customWidth="1"/>
    <col min="8458" max="8698" width="9.140625" style="650"/>
    <col min="8699" max="8699" width="48.5703125" style="650" customWidth="1"/>
    <col min="8700" max="8701" width="23.7109375" style="650" customWidth="1"/>
    <col min="8702" max="8702" width="29.5703125" style="650" customWidth="1"/>
    <col min="8703" max="8708" width="23.7109375" style="650" customWidth="1"/>
    <col min="8709" max="8709" width="19.140625" style="650" customWidth="1"/>
    <col min="8710" max="8710" width="14.28515625" style="650" customWidth="1"/>
    <col min="8711" max="8711" width="23.7109375" style="650" customWidth="1"/>
    <col min="8712" max="8712" width="16.140625" style="650" customWidth="1"/>
    <col min="8713" max="8713" width="15.140625" style="650" customWidth="1"/>
    <col min="8714" max="8954" width="9.140625" style="650"/>
    <col min="8955" max="8955" width="48.5703125" style="650" customWidth="1"/>
    <col min="8956" max="8957" width="23.7109375" style="650" customWidth="1"/>
    <col min="8958" max="8958" width="29.5703125" style="650" customWidth="1"/>
    <col min="8959" max="8964" width="23.7109375" style="650" customWidth="1"/>
    <col min="8965" max="8965" width="19.140625" style="650" customWidth="1"/>
    <col min="8966" max="8966" width="14.28515625" style="650" customWidth="1"/>
    <col min="8967" max="8967" width="23.7109375" style="650" customWidth="1"/>
    <col min="8968" max="8968" width="16.140625" style="650" customWidth="1"/>
    <col min="8969" max="8969" width="15.140625" style="650" customWidth="1"/>
    <col min="8970" max="9210" width="9.140625" style="650"/>
    <col min="9211" max="9211" width="48.5703125" style="650" customWidth="1"/>
    <col min="9212" max="9213" width="23.7109375" style="650" customWidth="1"/>
    <col min="9214" max="9214" width="29.5703125" style="650" customWidth="1"/>
    <col min="9215" max="9220" width="23.7109375" style="650" customWidth="1"/>
    <col min="9221" max="9221" width="19.140625" style="650" customWidth="1"/>
    <col min="9222" max="9222" width="14.28515625" style="650" customWidth="1"/>
    <col min="9223" max="9223" width="23.7109375" style="650" customWidth="1"/>
    <col min="9224" max="9224" width="16.140625" style="650" customWidth="1"/>
    <col min="9225" max="9225" width="15.140625" style="650" customWidth="1"/>
    <col min="9226" max="9466" width="9.140625" style="650"/>
    <col min="9467" max="9467" width="48.5703125" style="650" customWidth="1"/>
    <col min="9468" max="9469" width="23.7109375" style="650" customWidth="1"/>
    <col min="9470" max="9470" width="29.5703125" style="650" customWidth="1"/>
    <col min="9471" max="9476" width="23.7109375" style="650" customWidth="1"/>
    <col min="9477" max="9477" width="19.140625" style="650" customWidth="1"/>
    <col min="9478" max="9478" width="14.28515625" style="650" customWidth="1"/>
    <col min="9479" max="9479" width="23.7109375" style="650" customWidth="1"/>
    <col min="9480" max="9480" width="16.140625" style="650" customWidth="1"/>
    <col min="9481" max="9481" width="15.140625" style="650" customWidth="1"/>
    <col min="9482" max="9722" width="9.140625" style="650"/>
    <col min="9723" max="9723" width="48.5703125" style="650" customWidth="1"/>
    <col min="9724" max="9725" width="23.7109375" style="650" customWidth="1"/>
    <col min="9726" max="9726" width="29.5703125" style="650" customWidth="1"/>
    <col min="9727" max="9732" width="23.7109375" style="650" customWidth="1"/>
    <col min="9733" max="9733" width="19.140625" style="650" customWidth="1"/>
    <col min="9734" max="9734" width="14.28515625" style="650" customWidth="1"/>
    <col min="9735" max="9735" width="23.7109375" style="650" customWidth="1"/>
    <col min="9736" max="9736" width="16.140625" style="650" customWidth="1"/>
    <col min="9737" max="9737" width="15.140625" style="650" customWidth="1"/>
    <col min="9738" max="9978" width="9.140625" style="650"/>
    <col min="9979" max="9979" width="48.5703125" style="650" customWidth="1"/>
    <col min="9980" max="9981" width="23.7109375" style="650" customWidth="1"/>
    <col min="9982" max="9982" width="29.5703125" style="650" customWidth="1"/>
    <col min="9983" max="9988" width="23.7109375" style="650" customWidth="1"/>
    <col min="9989" max="9989" width="19.140625" style="650" customWidth="1"/>
    <col min="9990" max="9990" width="14.28515625" style="650" customWidth="1"/>
    <col min="9991" max="9991" width="23.7109375" style="650" customWidth="1"/>
    <col min="9992" max="9992" width="16.140625" style="650" customWidth="1"/>
    <col min="9993" max="9993" width="15.140625" style="650" customWidth="1"/>
    <col min="9994" max="10234" width="9.140625" style="650"/>
    <col min="10235" max="10235" width="48.5703125" style="650" customWidth="1"/>
    <col min="10236" max="10237" width="23.7109375" style="650" customWidth="1"/>
    <col min="10238" max="10238" width="29.5703125" style="650" customWidth="1"/>
    <col min="10239" max="10244" width="23.7109375" style="650" customWidth="1"/>
    <col min="10245" max="10245" width="19.140625" style="650" customWidth="1"/>
    <col min="10246" max="10246" width="14.28515625" style="650" customWidth="1"/>
    <col min="10247" max="10247" width="23.7109375" style="650" customWidth="1"/>
    <col min="10248" max="10248" width="16.140625" style="650" customWidth="1"/>
    <col min="10249" max="10249" width="15.140625" style="650" customWidth="1"/>
    <col min="10250" max="10490" width="9.140625" style="650"/>
    <col min="10491" max="10491" width="48.5703125" style="650" customWidth="1"/>
    <col min="10492" max="10493" width="23.7109375" style="650" customWidth="1"/>
    <col min="10494" max="10494" width="29.5703125" style="650" customWidth="1"/>
    <col min="10495" max="10500" width="23.7109375" style="650" customWidth="1"/>
    <col min="10501" max="10501" width="19.140625" style="650" customWidth="1"/>
    <col min="10502" max="10502" width="14.28515625" style="650" customWidth="1"/>
    <col min="10503" max="10503" width="23.7109375" style="650" customWidth="1"/>
    <col min="10504" max="10504" width="16.140625" style="650" customWidth="1"/>
    <col min="10505" max="10505" width="15.140625" style="650" customWidth="1"/>
    <col min="10506" max="10746" width="9.140625" style="650"/>
    <col min="10747" max="10747" width="48.5703125" style="650" customWidth="1"/>
    <col min="10748" max="10749" width="23.7109375" style="650" customWidth="1"/>
    <col min="10750" max="10750" width="29.5703125" style="650" customWidth="1"/>
    <col min="10751" max="10756" width="23.7109375" style="650" customWidth="1"/>
    <col min="10757" max="10757" width="19.140625" style="650" customWidth="1"/>
    <col min="10758" max="10758" width="14.28515625" style="650" customWidth="1"/>
    <col min="10759" max="10759" width="23.7109375" style="650" customWidth="1"/>
    <col min="10760" max="10760" width="16.140625" style="650" customWidth="1"/>
    <col min="10761" max="10761" width="15.140625" style="650" customWidth="1"/>
    <col min="10762" max="11002" width="9.140625" style="650"/>
    <col min="11003" max="11003" width="48.5703125" style="650" customWidth="1"/>
    <col min="11004" max="11005" width="23.7109375" style="650" customWidth="1"/>
    <col min="11006" max="11006" width="29.5703125" style="650" customWidth="1"/>
    <col min="11007" max="11012" width="23.7109375" style="650" customWidth="1"/>
    <col min="11013" max="11013" width="19.140625" style="650" customWidth="1"/>
    <col min="11014" max="11014" width="14.28515625" style="650" customWidth="1"/>
    <col min="11015" max="11015" width="23.7109375" style="650" customWidth="1"/>
    <col min="11016" max="11016" width="16.140625" style="650" customWidth="1"/>
    <col min="11017" max="11017" width="15.140625" style="650" customWidth="1"/>
    <col min="11018" max="11258" width="9.140625" style="650"/>
    <col min="11259" max="11259" width="48.5703125" style="650" customWidth="1"/>
    <col min="11260" max="11261" width="23.7109375" style="650" customWidth="1"/>
    <col min="11262" max="11262" width="29.5703125" style="650" customWidth="1"/>
    <col min="11263" max="11268" width="23.7109375" style="650" customWidth="1"/>
    <col min="11269" max="11269" width="19.140625" style="650" customWidth="1"/>
    <col min="11270" max="11270" width="14.28515625" style="650" customWidth="1"/>
    <col min="11271" max="11271" width="23.7109375" style="650" customWidth="1"/>
    <col min="11272" max="11272" width="16.140625" style="650" customWidth="1"/>
    <col min="11273" max="11273" width="15.140625" style="650" customWidth="1"/>
    <col min="11274" max="11514" width="9.140625" style="650"/>
    <col min="11515" max="11515" width="48.5703125" style="650" customWidth="1"/>
    <col min="11516" max="11517" width="23.7109375" style="650" customWidth="1"/>
    <col min="11518" max="11518" width="29.5703125" style="650" customWidth="1"/>
    <col min="11519" max="11524" width="23.7109375" style="650" customWidth="1"/>
    <col min="11525" max="11525" width="19.140625" style="650" customWidth="1"/>
    <col min="11526" max="11526" width="14.28515625" style="650" customWidth="1"/>
    <col min="11527" max="11527" width="23.7109375" style="650" customWidth="1"/>
    <col min="11528" max="11528" width="16.140625" style="650" customWidth="1"/>
    <col min="11529" max="11529" width="15.140625" style="650" customWidth="1"/>
    <col min="11530" max="11770" width="9.140625" style="650"/>
    <col min="11771" max="11771" width="48.5703125" style="650" customWidth="1"/>
    <col min="11772" max="11773" width="23.7109375" style="650" customWidth="1"/>
    <col min="11774" max="11774" width="29.5703125" style="650" customWidth="1"/>
    <col min="11775" max="11780" width="23.7109375" style="650" customWidth="1"/>
    <col min="11781" max="11781" width="19.140625" style="650" customWidth="1"/>
    <col min="11782" max="11782" width="14.28515625" style="650" customWidth="1"/>
    <col min="11783" max="11783" width="23.7109375" style="650" customWidth="1"/>
    <col min="11784" max="11784" width="16.140625" style="650" customWidth="1"/>
    <col min="11785" max="11785" width="15.140625" style="650" customWidth="1"/>
    <col min="11786" max="12026" width="9.140625" style="650"/>
    <col min="12027" max="12027" width="48.5703125" style="650" customWidth="1"/>
    <col min="12028" max="12029" width="23.7109375" style="650" customWidth="1"/>
    <col min="12030" max="12030" width="29.5703125" style="650" customWidth="1"/>
    <col min="12031" max="12036" width="23.7109375" style="650" customWidth="1"/>
    <col min="12037" max="12037" width="19.140625" style="650" customWidth="1"/>
    <col min="12038" max="12038" width="14.28515625" style="650" customWidth="1"/>
    <col min="12039" max="12039" width="23.7109375" style="650" customWidth="1"/>
    <col min="12040" max="12040" width="16.140625" style="650" customWidth="1"/>
    <col min="12041" max="12041" width="15.140625" style="650" customWidth="1"/>
    <col min="12042" max="12282" width="9.140625" style="650"/>
    <col min="12283" max="12283" width="48.5703125" style="650" customWidth="1"/>
    <col min="12284" max="12285" width="23.7109375" style="650" customWidth="1"/>
    <col min="12286" max="12286" width="29.5703125" style="650" customWidth="1"/>
    <col min="12287" max="12292" width="23.7109375" style="650" customWidth="1"/>
    <col min="12293" max="12293" width="19.140625" style="650" customWidth="1"/>
    <col min="12294" max="12294" width="14.28515625" style="650" customWidth="1"/>
    <col min="12295" max="12295" width="23.7109375" style="650" customWidth="1"/>
    <col min="12296" max="12296" width="16.140625" style="650" customWidth="1"/>
    <col min="12297" max="12297" width="15.140625" style="650" customWidth="1"/>
    <col min="12298" max="12538" width="9.140625" style="650"/>
    <col min="12539" max="12539" width="48.5703125" style="650" customWidth="1"/>
    <col min="12540" max="12541" width="23.7109375" style="650" customWidth="1"/>
    <col min="12542" max="12542" width="29.5703125" style="650" customWidth="1"/>
    <col min="12543" max="12548" width="23.7109375" style="650" customWidth="1"/>
    <col min="12549" max="12549" width="19.140625" style="650" customWidth="1"/>
    <col min="12550" max="12550" width="14.28515625" style="650" customWidth="1"/>
    <col min="12551" max="12551" width="23.7109375" style="650" customWidth="1"/>
    <col min="12552" max="12552" width="16.140625" style="650" customWidth="1"/>
    <col min="12553" max="12553" width="15.140625" style="650" customWidth="1"/>
    <col min="12554" max="12794" width="9.140625" style="650"/>
    <col min="12795" max="12795" width="48.5703125" style="650" customWidth="1"/>
    <col min="12796" max="12797" width="23.7109375" style="650" customWidth="1"/>
    <col min="12798" max="12798" width="29.5703125" style="650" customWidth="1"/>
    <col min="12799" max="12804" width="23.7109375" style="650" customWidth="1"/>
    <col min="12805" max="12805" width="19.140625" style="650" customWidth="1"/>
    <col min="12806" max="12806" width="14.28515625" style="650" customWidth="1"/>
    <col min="12807" max="12807" width="23.7109375" style="650" customWidth="1"/>
    <col min="12808" max="12808" width="16.140625" style="650" customWidth="1"/>
    <col min="12809" max="12809" width="15.140625" style="650" customWidth="1"/>
    <col min="12810" max="13050" width="9.140625" style="650"/>
    <col min="13051" max="13051" width="48.5703125" style="650" customWidth="1"/>
    <col min="13052" max="13053" width="23.7109375" style="650" customWidth="1"/>
    <col min="13054" max="13054" width="29.5703125" style="650" customWidth="1"/>
    <col min="13055" max="13060" width="23.7109375" style="650" customWidth="1"/>
    <col min="13061" max="13061" width="19.140625" style="650" customWidth="1"/>
    <col min="13062" max="13062" width="14.28515625" style="650" customWidth="1"/>
    <col min="13063" max="13063" width="23.7109375" style="650" customWidth="1"/>
    <col min="13064" max="13064" width="16.140625" style="650" customWidth="1"/>
    <col min="13065" max="13065" width="15.140625" style="650" customWidth="1"/>
    <col min="13066" max="13306" width="9.140625" style="650"/>
    <col min="13307" max="13307" width="48.5703125" style="650" customWidth="1"/>
    <col min="13308" max="13309" width="23.7109375" style="650" customWidth="1"/>
    <col min="13310" max="13310" width="29.5703125" style="650" customWidth="1"/>
    <col min="13311" max="13316" width="23.7109375" style="650" customWidth="1"/>
    <col min="13317" max="13317" width="19.140625" style="650" customWidth="1"/>
    <col min="13318" max="13318" width="14.28515625" style="650" customWidth="1"/>
    <col min="13319" max="13319" width="23.7109375" style="650" customWidth="1"/>
    <col min="13320" max="13320" width="16.140625" style="650" customWidth="1"/>
    <col min="13321" max="13321" width="15.140625" style="650" customWidth="1"/>
    <col min="13322" max="13562" width="9.140625" style="650"/>
    <col min="13563" max="13563" width="48.5703125" style="650" customWidth="1"/>
    <col min="13564" max="13565" width="23.7109375" style="650" customWidth="1"/>
    <col min="13566" max="13566" width="29.5703125" style="650" customWidth="1"/>
    <col min="13567" max="13572" width="23.7109375" style="650" customWidth="1"/>
    <col min="13573" max="13573" width="19.140625" style="650" customWidth="1"/>
    <col min="13574" max="13574" width="14.28515625" style="650" customWidth="1"/>
    <col min="13575" max="13575" width="23.7109375" style="650" customWidth="1"/>
    <col min="13576" max="13576" width="16.140625" style="650" customWidth="1"/>
    <col min="13577" max="13577" width="15.140625" style="650" customWidth="1"/>
    <col min="13578" max="13818" width="9.140625" style="650"/>
    <col min="13819" max="13819" width="48.5703125" style="650" customWidth="1"/>
    <col min="13820" max="13821" width="23.7109375" style="650" customWidth="1"/>
    <col min="13822" max="13822" width="29.5703125" style="650" customWidth="1"/>
    <col min="13823" max="13828" width="23.7109375" style="650" customWidth="1"/>
    <col min="13829" max="13829" width="19.140625" style="650" customWidth="1"/>
    <col min="13830" max="13830" width="14.28515625" style="650" customWidth="1"/>
    <col min="13831" max="13831" width="23.7109375" style="650" customWidth="1"/>
    <col min="13832" max="13832" width="16.140625" style="650" customWidth="1"/>
    <col min="13833" max="13833" width="15.140625" style="650" customWidth="1"/>
    <col min="13834" max="14074" width="9.140625" style="650"/>
    <col min="14075" max="14075" width="48.5703125" style="650" customWidth="1"/>
    <col min="14076" max="14077" width="23.7109375" style="650" customWidth="1"/>
    <col min="14078" max="14078" width="29.5703125" style="650" customWidth="1"/>
    <col min="14079" max="14084" width="23.7109375" style="650" customWidth="1"/>
    <col min="14085" max="14085" width="19.140625" style="650" customWidth="1"/>
    <col min="14086" max="14086" width="14.28515625" style="650" customWidth="1"/>
    <col min="14087" max="14087" width="23.7109375" style="650" customWidth="1"/>
    <col min="14088" max="14088" width="16.140625" style="650" customWidth="1"/>
    <col min="14089" max="14089" width="15.140625" style="650" customWidth="1"/>
    <col min="14090" max="14330" width="9.140625" style="650"/>
    <col min="14331" max="14331" width="48.5703125" style="650" customWidth="1"/>
    <col min="14332" max="14333" width="23.7109375" style="650" customWidth="1"/>
    <col min="14334" max="14334" width="29.5703125" style="650" customWidth="1"/>
    <col min="14335" max="14340" width="23.7109375" style="650" customWidth="1"/>
    <col min="14341" max="14341" width="19.140625" style="650" customWidth="1"/>
    <col min="14342" max="14342" width="14.28515625" style="650" customWidth="1"/>
    <col min="14343" max="14343" width="23.7109375" style="650" customWidth="1"/>
    <col min="14344" max="14344" width="16.140625" style="650" customWidth="1"/>
    <col min="14345" max="14345" width="15.140625" style="650" customWidth="1"/>
    <col min="14346" max="14586" width="9.140625" style="650"/>
    <col min="14587" max="14587" width="48.5703125" style="650" customWidth="1"/>
    <col min="14588" max="14589" width="23.7109375" style="650" customWidth="1"/>
    <col min="14590" max="14590" width="29.5703125" style="650" customWidth="1"/>
    <col min="14591" max="14596" width="23.7109375" style="650" customWidth="1"/>
    <col min="14597" max="14597" width="19.140625" style="650" customWidth="1"/>
    <col min="14598" max="14598" width="14.28515625" style="650" customWidth="1"/>
    <col min="14599" max="14599" width="23.7109375" style="650" customWidth="1"/>
    <col min="14600" max="14600" width="16.140625" style="650" customWidth="1"/>
    <col min="14601" max="14601" width="15.140625" style="650" customWidth="1"/>
    <col min="14602" max="14842" width="9.140625" style="650"/>
    <col min="14843" max="14843" width="48.5703125" style="650" customWidth="1"/>
    <col min="14844" max="14845" width="23.7109375" style="650" customWidth="1"/>
    <col min="14846" max="14846" width="29.5703125" style="650" customWidth="1"/>
    <col min="14847" max="14852" width="23.7109375" style="650" customWidth="1"/>
    <col min="14853" max="14853" width="19.140625" style="650" customWidth="1"/>
    <col min="14854" max="14854" width="14.28515625" style="650" customWidth="1"/>
    <col min="14855" max="14855" width="23.7109375" style="650" customWidth="1"/>
    <col min="14856" max="14856" width="16.140625" style="650" customWidth="1"/>
    <col min="14857" max="14857" width="15.140625" style="650" customWidth="1"/>
    <col min="14858" max="15098" width="9.140625" style="650"/>
    <col min="15099" max="15099" width="48.5703125" style="650" customWidth="1"/>
    <col min="15100" max="15101" width="23.7109375" style="650" customWidth="1"/>
    <col min="15102" max="15102" width="29.5703125" style="650" customWidth="1"/>
    <col min="15103" max="15108" width="23.7109375" style="650" customWidth="1"/>
    <col min="15109" max="15109" width="19.140625" style="650" customWidth="1"/>
    <col min="15110" max="15110" width="14.28515625" style="650" customWidth="1"/>
    <col min="15111" max="15111" width="23.7109375" style="650" customWidth="1"/>
    <col min="15112" max="15112" width="16.140625" style="650" customWidth="1"/>
    <col min="15113" max="15113" width="15.140625" style="650" customWidth="1"/>
    <col min="15114" max="15354" width="9.140625" style="650"/>
    <col min="15355" max="15355" width="48.5703125" style="650" customWidth="1"/>
    <col min="15356" max="15357" width="23.7109375" style="650" customWidth="1"/>
    <col min="15358" max="15358" width="29.5703125" style="650" customWidth="1"/>
    <col min="15359" max="15364" width="23.7109375" style="650" customWidth="1"/>
    <col min="15365" max="15365" width="19.140625" style="650" customWidth="1"/>
    <col min="15366" max="15366" width="14.28515625" style="650" customWidth="1"/>
    <col min="15367" max="15367" width="23.7109375" style="650" customWidth="1"/>
    <col min="15368" max="15368" width="16.140625" style="650" customWidth="1"/>
    <col min="15369" max="15369" width="15.140625" style="650" customWidth="1"/>
    <col min="15370" max="15610" width="9.140625" style="650"/>
    <col min="15611" max="15611" width="48.5703125" style="650" customWidth="1"/>
    <col min="15612" max="15613" width="23.7109375" style="650" customWidth="1"/>
    <col min="15614" max="15614" width="29.5703125" style="650" customWidth="1"/>
    <col min="15615" max="15620" width="23.7109375" style="650" customWidth="1"/>
    <col min="15621" max="15621" width="19.140625" style="650" customWidth="1"/>
    <col min="15622" max="15622" width="14.28515625" style="650" customWidth="1"/>
    <col min="15623" max="15623" width="23.7109375" style="650" customWidth="1"/>
    <col min="15624" max="15624" width="16.140625" style="650" customWidth="1"/>
    <col min="15625" max="15625" width="15.140625" style="650" customWidth="1"/>
    <col min="15626" max="15866" width="9.140625" style="650"/>
    <col min="15867" max="15867" width="48.5703125" style="650" customWidth="1"/>
    <col min="15868" max="15869" width="23.7109375" style="650" customWidth="1"/>
    <col min="15870" max="15870" width="29.5703125" style="650" customWidth="1"/>
    <col min="15871" max="15876" width="23.7109375" style="650" customWidth="1"/>
    <col min="15877" max="15877" width="19.140625" style="650" customWidth="1"/>
    <col min="15878" max="15878" width="14.28515625" style="650" customWidth="1"/>
    <col min="15879" max="15879" width="23.7109375" style="650" customWidth="1"/>
    <col min="15880" max="15880" width="16.140625" style="650" customWidth="1"/>
    <col min="15881" max="15881" width="15.140625" style="650" customWidth="1"/>
    <col min="15882" max="16122" width="9.140625" style="650"/>
    <col min="16123" max="16123" width="48.5703125" style="650" customWidth="1"/>
    <col min="16124" max="16125" width="23.7109375" style="650" customWidth="1"/>
    <col min="16126" max="16126" width="29.5703125" style="650" customWidth="1"/>
    <col min="16127" max="16132" width="23.7109375" style="650" customWidth="1"/>
    <col min="16133" max="16133" width="19.140625" style="650" customWidth="1"/>
    <col min="16134" max="16134" width="14.28515625" style="650" customWidth="1"/>
    <col min="16135" max="16135" width="23.7109375" style="650" customWidth="1"/>
    <col min="16136" max="16136" width="16.140625" style="650" customWidth="1"/>
    <col min="16137" max="16137" width="15.140625" style="650" customWidth="1"/>
    <col min="16138" max="16384" width="9.140625" style="650"/>
  </cols>
  <sheetData>
    <row r="1" spans="1:18" ht="57" customHeight="1">
      <c r="D1" s="2196" t="s">
        <v>636</v>
      </c>
      <c r="E1" s="1975" t="s">
        <v>224</v>
      </c>
      <c r="F1" s="1882">
        <v>18230688</v>
      </c>
      <c r="G1" s="1812" t="s">
        <v>31</v>
      </c>
      <c r="H1" s="1820"/>
      <c r="M1" s="2196" t="s">
        <v>636</v>
      </c>
      <c r="N1" s="1975" t="s">
        <v>224</v>
      </c>
      <c r="O1" s="1882">
        <v>18230688</v>
      </c>
      <c r="P1" s="1812" t="s">
        <v>31</v>
      </c>
    </row>
    <row r="2" spans="1:18" ht="16.5" thickBot="1">
      <c r="D2" s="609"/>
      <c r="E2" s="1800"/>
      <c r="F2" s="1800"/>
      <c r="G2" s="1805"/>
      <c r="H2" s="1576" t="s">
        <v>674</v>
      </c>
      <c r="I2" s="1805"/>
      <c r="J2" s="1805"/>
      <c r="K2" s="1805"/>
      <c r="L2" s="1805"/>
      <c r="M2" s="1805"/>
      <c r="N2" s="1805"/>
      <c r="O2" s="1805"/>
      <c r="P2" s="1805"/>
      <c r="Q2" s="1805"/>
    </row>
    <row r="3" spans="1:18" ht="26.25" thickBot="1">
      <c r="A3" s="2193" t="s">
        <v>636</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1974" t="s">
        <v>224</v>
      </c>
      <c r="B4" s="1748"/>
      <c r="E4" s="1866"/>
      <c r="F4" s="1866"/>
      <c r="G4" s="1804" t="s">
        <v>668</v>
      </c>
      <c r="H4" s="2003">
        <v>187074</v>
      </c>
      <c r="I4" s="2002">
        <v>0</v>
      </c>
      <c r="J4" s="2002">
        <v>132262</v>
      </c>
      <c r="K4" s="2002">
        <v>0</v>
      </c>
      <c r="L4" s="2002">
        <v>19500</v>
      </c>
      <c r="M4" s="2002">
        <v>115000</v>
      </c>
      <c r="N4" s="2002">
        <v>0</v>
      </c>
      <c r="O4" s="2002">
        <v>0</v>
      </c>
      <c r="P4" s="2002"/>
      <c r="Q4" s="2002"/>
      <c r="R4" s="2002">
        <v>453836</v>
      </c>
    </row>
    <row r="5" spans="1:18" ht="15.75">
      <c r="A5" s="1882">
        <v>18230688</v>
      </c>
      <c r="B5" s="1748"/>
      <c r="E5" s="1866"/>
      <c r="F5" s="1866"/>
      <c r="G5" s="1228">
        <v>2016</v>
      </c>
      <c r="H5" s="1582">
        <f>D15</f>
        <v>25920.65</v>
      </c>
      <c r="I5" s="1549">
        <f>D21</f>
        <v>0</v>
      </c>
      <c r="J5" s="1549">
        <f>D27</f>
        <v>17289.073550000001</v>
      </c>
      <c r="K5" s="1549">
        <f>D34</f>
        <v>0</v>
      </c>
      <c r="L5" s="1549">
        <f>D40</f>
        <v>2000</v>
      </c>
      <c r="M5" s="1549">
        <f>D46</f>
        <v>0</v>
      </c>
      <c r="N5" s="1549">
        <f>D52</f>
        <v>0</v>
      </c>
      <c r="O5" s="1549">
        <f>D58</f>
        <v>0</v>
      </c>
      <c r="P5" s="1549">
        <v>0</v>
      </c>
      <c r="Q5" s="1549"/>
      <c r="R5" s="1549">
        <f>SUM(H5:P5)</f>
        <v>45209.723550000002</v>
      </c>
    </row>
    <row r="6" spans="1:18" ht="16.5" thickBot="1">
      <c r="A6" s="1808" t="s">
        <v>31</v>
      </c>
      <c r="B6" s="1882"/>
      <c r="C6" s="1301"/>
      <c r="E6" s="1866"/>
      <c r="F6" s="1866"/>
      <c r="G6" s="1228">
        <v>2017</v>
      </c>
      <c r="H6" s="57">
        <f>E15</f>
        <v>26568.59</v>
      </c>
      <c r="I6" s="1990">
        <f>E21</f>
        <v>0</v>
      </c>
      <c r="J6" s="1989">
        <f>E27</f>
        <v>18066.641200000002</v>
      </c>
      <c r="K6" s="58">
        <f>E34</f>
        <v>0</v>
      </c>
      <c r="L6" s="58">
        <f>E40</f>
        <v>2000</v>
      </c>
      <c r="M6" s="58">
        <f>E46</f>
        <v>0</v>
      </c>
      <c r="N6" s="58">
        <f>E52</f>
        <v>0</v>
      </c>
      <c r="O6" s="58">
        <f>E58</f>
        <v>0</v>
      </c>
      <c r="P6" s="58">
        <v>0</v>
      </c>
      <c r="Q6" s="58"/>
      <c r="R6" s="58">
        <f>SUM(H6:P6)</f>
        <v>46635.231200000002</v>
      </c>
    </row>
    <row r="7" spans="1:18" s="18" customFormat="1" ht="13.5" thickBot="1">
      <c r="A7" s="1819"/>
      <c r="B7" s="1819"/>
      <c r="E7" s="1862"/>
      <c r="F7" s="1862"/>
      <c r="G7" s="598" t="s">
        <v>23</v>
      </c>
      <c r="H7" s="1564">
        <f>SUM(H5:H6)</f>
        <v>52489.240000000005</v>
      </c>
      <c r="I7" s="1991">
        <f t="shared" ref="I7:P7" si="0">SUM(I5:I6)</f>
        <v>0</v>
      </c>
      <c r="J7" s="1992">
        <f t="shared" si="0"/>
        <v>35355.714749999999</v>
      </c>
      <c r="K7" s="1993">
        <f t="shared" si="0"/>
        <v>0</v>
      </c>
      <c r="L7" s="1991">
        <f t="shared" si="0"/>
        <v>4000</v>
      </c>
      <c r="M7" s="1992">
        <f t="shared" si="0"/>
        <v>0</v>
      </c>
      <c r="N7" s="1991">
        <f t="shared" si="0"/>
        <v>0</v>
      </c>
      <c r="O7" s="1992">
        <f t="shared" si="0"/>
        <v>0</v>
      </c>
      <c r="P7" s="1993">
        <f t="shared" si="0"/>
        <v>0</v>
      </c>
      <c r="Q7" s="1993"/>
      <c r="R7" s="1991">
        <f>SUM(R5:R6)</f>
        <v>91844.954750000004</v>
      </c>
    </row>
    <row r="8" spans="1:18" s="18" customFormat="1" ht="25.5">
      <c r="B8" s="1808"/>
      <c r="E8" s="1862"/>
      <c r="F8" s="1862"/>
      <c r="G8" s="651"/>
      <c r="H8" s="2"/>
      <c r="I8" s="650"/>
      <c r="J8" s="650"/>
      <c r="K8" s="650"/>
      <c r="L8" s="650"/>
      <c r="M8" s="650"/>
      <c r="N8" s="650"/>
      <c r="O8" s="650"/>
      <c r="P8" s="21" t="s">
        <v>20</v>
      </c>
      <c r="Q8" s="650"/>
    </row>
    <row r="9" spans="1:18" s="18" customFormat="1">
      <c r="A9" s="29"/>
      <c r="B9" s="1863"/>
      <c r="E9" s="1862"/>
      <c r="F9" s="1862"/>
      <c r="G9" s="651"/>
      <c r="H9" s="2"/>
      <c r="I9" s="650"/>
      <c r="J9" s="650"/>
      <c r="K9" s="650"/>
      <c r="L9" s="650"/>
      <c r="M9" s="650"/>
      <c r="N9" s="650"/>
      <c r="O9" s="650"/>
      <c r="P9" s="21" t="s">
        <v>21</v>
      </c>
      <c r="Q9" s="650"/>
    </row>
    <row r="10" spans="1:18" s="9" customFormat="1">
      <c r="A10" s="21"/>
      <c r="B10" s="1865"/>
      <c r="C10" s="1915" t="s">
        <v>329</v>
      </c>
      <c r="D10" s="1915"/>
      <c r="E10" s="1915"/>
      <c r="F10" s="1915"/>
    </row>
    <row r="11" spans="1:18" ht="18" customHeight="1">
      <c r="A11" s="21"/>
      <c r="B11" s="1865"/>
      <c r="C11" s="1866"/>
      <c r="D11" s="1866"/>
      <c r="E11" s="1867"/>
      <c r="F11" s="1866"/>
    </row>
    <row r="12" spans="1:18">
      <c r="A12" s="21"/>
      <c r="B12" s="1865"/>
      <c r="C12" s="1887" t="s">
        <v>314</v>
      </c>
      <c r="D12" s="1924">
        <f>D15+D21+D27+D34+D40+D46+D52+D58</f>
        <v>45209.723550000002</v>
      </c>
      <c r="E12" s="1948">
        <f>E15+E21+E27+E34+E40+E46+E52+E58</f>
        <v>46635.231200000002</v>
      </c>
      <c r="F12" s="1924">
        <f>D12+E12</f>
        <v>91844.954750000004</v>
      </c>
    </row>
    <row r="13" spans="1:18" ht="13.5" customHeight="1">
      <c r="A13" s="21"/>
      <c r="B13" s="1863"/>
      <c r="C13" s="1947"/>
      <c r="D13" s="1866"/>
      <c r="E13" s="1787"/>
      <c r="F13" s="1866"/>
      <c r="G13" s="1297"/>
      <c r="H13" s="1297"/>
    </row>
    <row r="14" spans="1:18" s="18" customFormat="1" ht="13.5" customHeight="1">
      <c r="A14" s="29"/>
      <c r="B14" s="1863"/>
      <c r="C14" s="1888" t="s">
        <v>45</v>
      </c>
      <c r="D14" s="1969">
        <v>2016</v>
      </c>
      <c r="E14" s="1970">
        <v>2017</v>
      </c>
      <c r="F14" s="1950" t="s">
        <v>23</v>
      </c>
      <c r="G14" s="30"/>
      <c r="H14" s="30"/>
    </row>
    <row r="15" spans="1:18" s="18" customFormat="1" ht="13.5" customHeight="1">
      <c r="A15" s="29"/>
      <c r="B15" s="1886" t="s">
        <v>312</v>
      </c>
      <c r="C15" s="1910" t="s">
        <v>46</v>
      </c>
      <c r="D15" s="1911">
        <f>SUM(D16:D19)</f>
        <v>25920.65</v>
      </c>
      <c r="E15" s="1926">
        <f>SUM(E16:E19)</f>
        <v>26568.59</v>
      </c>
      <c r="F15" s="1924">
        <f>SUM(F16:F19)</f>
        <v>52489.240000000005</v>
      </c>
      <c r="G15" s="30"/>
      <c r="H15" s="30"/>
    </row>
    <row r="16" spans="1:18" ht="13.5" customHeight="1">
      <c r="A16" s="21"/>
      <c r="B16" s="2098">
        <v>0.26</v>
      </c>
      <c r="C16" s="2097" t="s">
        <v>764</v>
      </c>
      <c r="D16" s="2102">
        <v>25920.65</v>
      </c>
      <c r="E16" s="2101">
        <v>26568.59</v>
      </c>
      <c r="F16" s="1879">
        <f>SUM(D16:E16)</f>
        <v>52489.240000000005</v>
      </c>
    </row>
    <row r="17" spans="1:7" ht="13.5" customHeight="1">
      <c r="A17" s="21"/>
      <c r="B17" s="2098"/>
      <c r="C17" s="2097"/>
      <c r="D17" s="2102"/>
      <c r="E17" s="2101"/>
      <c r="F17" s="1891">
        <f>SUM(D17:E17)</f>
        <v>0</v>
      </c>
    </row>
    <row r="18" spans="1:7" ht="13.5" customHeight="1">
      <c r="A18" s="21"/>
      <c r="B18" s="2098"/>
      <c r="C18" s="2097"/>
      <c r="D18" s="2100"/>
      <c r="E18" s="2099"/>
      <c r="F18" s="1891">
        <f>SUM(D18:E18)</f>
        <v>0</v>
      </c>
    </row>
    <row r="19" spans="1:7" ht="13.5" customHeight="1">
      <c r="A19" s="21"/>
      <c r="B19" s="2098"/>
      <c r="C19" s="2097"/>
      <c r="D19" s="2102"/>
      <c r="E19" s="2101"/>
      <c r="F19" s="1891">
        <f>SUM(D19:E19)</f>
        <v>0</v>
      </c>
    </row>
    <row r="20" spans="1:7" ht="13.5" customHeight="1">
      <c r="A20" s="21"/>
      <c r="B20" s="1908">
        <f>SUM(B16:B19)</f>
        <v>0.26</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17289.073550000001</v>
      </c>
      <c r="E27" s="1926">
        <f>SUM(E29:E32)</f>
        <v>18066.641200000002</v>
      </c>
      <c r="F27" s="1924">
        <f>SUM(F29:F32)</f>
        <v>35355.714749999999</v>
      </c>
    </row>
    <row r="28" spans="1:7" ht="13.5" customHeight="1">
      <c r="A28" s="21"/>
      <c r="B28" s="1865"/>
      <c r="C28" s="1909" t="s">
        <v>315</v>
      </c>
      <c r="D28" s="1912">
        <v>0.66700000000000004</v>
      </c>
      <c r="E28" s="1913">
        <v>0.68</v>
      </c>
      <c r="F28" s="1949"/>
    </row>
    <row r="29" spans="1:7" ht="13.5" customHeight="1">
      <c r="A29" s="21"/>
      <c r="B29" s="1865"/>
      <c r="C29" s="1876" t="s">
        <v>778</v>
      </c>
      <c r="D29" s="1971">
        <f>D15*D28</f>
        <v>17289.073550000001</v>
      </c>
      <c r="E29" s="1972">
        <f>E15*E28</f>
        <v>18066.641200000002</v>
      </c>
      <c r="F29" s="1891">
        <f>SUM(D29:E29)</f>
        <v>35355.714749999999</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547"/>
      <c r="B34" s="1865"/>
      <c r="C34" s="1910" t="s">
        <v>49</v>
      </c>
      <c r="D34" s="1911">
        <v>0</v>
      </c>
      <c r="E34" s="1926">
        <v>0</v>
      </c>
      <c r="F34" s="1924">
        <v>0</v>
      </c>
      <c r="G34" s="38"/>
    </row>
    <row r="35" spans="1:7" ht="13.5" customHeight="1">
      <c r="A35" s="2193" t="s">
        <v>636</v>
      </c>
      <c r="B35" s="1863"/>
      <c r="C35" s="1876"/>
      <c r="D35" s="1971"/>
      <c r="E35" s="1988"/>
      <c r="F35" s="1891">
        <v>0</v>
      </c>
    </row>
    <row r="36" spans="1:7" s="18" customFormat="1" ht="13.5" customHeight="1">
      <c r="A36" s="1974" t="s">
        <v>224</v>
      </c>
      <c r="B36" s="1865"/>
      <c r="C36" s="1876"/>
      <c r="D36" s="1971"/>
      <c r="E36" s="1988"/>
      <c r="F36" s="1891">
        <v>0</v>
      </c>
    </row>
    <row r="37" spans="1:7" ht="13.5" customHeight="1">
      <c r="A37" s="1882">
        <v>18230688</v>
      </c>
      <c r="B37" s="1865"/>
      <c r="C37" s="1876"/>
      <c r="D37" s="1971"/>
      <c r="E37" s="1988"/>
      <c r="F37" s="1891">
        <v>0</v>
      </c>
    </row>
    <row r="38" spans="1:7" ht="13.5" customHeight="1">
      <c r="A38" s="1808" t="s">
        <v>31</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2000</v>
      </c>
      <c r="E40" s="1926">
        <f>SUM(E41:E44)</f>
        <v>2000</v>
      </c>
      <c r="F40" s="1924">
        <f t="shared" ref="F40:F56" si="1">SUM(D40:E40)</f>
        <v>4000</v>
      </c>
    </row>
    <row r="41" spans="1:7" ht="13.5" customHeight="1">
      <c r="A41" s="21"/>
      <c r="B41" s="1865"/>
      <c r="C41" s="2197" t="s">
        <v>766</v>
      </c>
      <c r="D41" s="2202">
        <v>1000</v>
      </c>
      <c r="E41" s="2203">
        <v>1000</v>
      </c>
      <c r="F41" s="1891">
        <f t="shared" si="1"/>
        <v>2000</v>
      </c>
    </row>
    <row r="42" spans="1:7" ht="13.5" customHeight="1">
      <c r="A42" s="21"/>
      <c r="B42" s="1865"/>
      <c r="C42" s="2197" t="s">
        <v>767</v>
      </c>
      <c r="D42" s="2202">
        <v>1000</v>
      </c>
      <c r="E42" s="2163">
        <v>1000</v>
      </c>
      <c r="F42" s="1891">
        <f t="shared" si="1"/>
        <v>2000</v>
      </c>
    </row>
    <row r="43" spans="1:7" ht="13.5" customHeight="1">
      <c r="A43" s="21"/>
      <c r="B43" s="1865"/>
      <c r="C43" s="2197"/>
      <c r="D43" s="2202"/>
      <c r="E43" s="2203"/>
      <c r="F43" s="1891">
        <f t="shared" si="1"/>
        <v>0</v>
      </c>
    </row>
    <row r="44" spans="1:7" ht="13.5" customHeight="1">
      <c r="A44" s="21"/>
      <c r="B44" s="1865"/>
      <c r="C44" s="2103"/>
      <c r="D44" s="2104"/>
      <c r="E44" s="2105"/>
      <c r="F44" s="1891">
        <f t="shared" si="1"/>
        <v>0</v>
      </c>
    </row>
    <row r="45" spans="1:7" ht="13.5" customHeight="1">
      <c r="A45" s="21"/>
      <c r="B45" s="1865"/>
      <c r="C45" s="1952"/>
      <c r="D45" s="1958"/>
      <c r="E45" s="1955"/>
      <c r="F45" s="1958"/>
    </row>
    <row r="46" spans="1:7" ht="13.5" customHeight="1">
      <c r="A46" s="21"/>
      <c r="B46" s="1865"/>
      <c r="C46" s="1910" t="s">
        <v>50</v>
      </c>
      <c r="D46" s="1911">
        <f>SUM(D47:D50)</f>
        <v>0</v>
      </c>
      <c r="E46" s="1926">
        <f>SUM(E47:E50)</f>
        <v>0</v>
      </c>
      <c r="F46" s="1924">
        <f t="shared" si="1"/>
        <v>0</v>
      </c>
    </row>
    <row r="47" spans="1:7" ht="13.5" customHeight="1">
      <c r="A47" s="21"/>
      <c r="B47" s="1865"/>
      <c r="C47" s="2103"/>
      <c r="D47" s="1971"/>
      <c r="E47" s="1988"/>
      <c r="F47" s="1891">
        <f t="shared" si="1"/>
        <v>0</v>
      </c>
    </row>
    <row r="48" spans="1:7" ht="13.5" customHeight="1">
      <c r="A48" s="21"/>
      <c r="B48" s="1865"/>
      <c r="C48" s="2103"/>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88"/>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 right="0.21" top="0.38" bottom="0.4" header="0.3" footer="0.3"/>
      <pageSetup paperSize="17" scale="63" orientation="landscape" r:id="rId1"/>
    </customSheetView>
    <customSheetView guid="{D9EFFE19-D14B-4C6F-BDF4-FF696F73968D}" showGridLines="0" fitToPage="1">
      <pane xSplit="1" ySplit="1" topLeftCell="I2" activePane="bottomRight" state="frozen"/>
      <selection pane="bottomRight" activeCell="H34" sqref="H34"/>
      <pageMargins left="0.2" right="0.21" top="0.38" bottom="0.4" header="0.3" footer="0.3"/>
      <pageSetup paperSize="17" scale="63" orientation="landscape" r:id="rId2"/>
    </customSheetView>
  </customSheetViews>
  <pageMargins left="0.2" right="0.21" top="0.38" bottom="0.4" header="0.3" footer="0.3"/>
  <pageSetup paperSize="17" scale="63" orientation="landscape"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R68"/>
  <sheetViews>
    <sheetView showGridLines="0" workbookViewId="0">
      <pane xSplit="1" ySplit="1" topLeftCell="B5" activePane="bottomRight" state="frozen"/>
      <selection pane="topRight" activeCell="B1" sqref="B1"/>
      <selection pane="bottomLeft" activeCell="A2" sqref="A2"/>
      <selection pane="bottomRight" activeCell="B10" sqref="B10"/>
    </sheetView>
  </sheetViews>
  <sheetFormatPr defaultRowHeight="12.75"/>
  <cols>
    <col min="1" max="1" width="18"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7" customHeight="1">
      <c r="D1" s="1831" t="s">
        <v>637</v>
      </c>
      <c r="E1" s="1811" t="s">
        <v>25</v>
      </c>
      <c r="F1" s="1882">
        <v>18231005</v>
      </c>
      <c r="G1" s="1812" t="s">
        <v>31</v>
      </c>
      <c r="M1" s="1831" t="s">
        <v>637</v>
      </c>
      <c r="N1" s="1811" t="s">
        <v>25</v>
      </c>
      <c r="O1" s="1882">
        <v>18231005</v>
      </c>
      <c r="P1" s="1812" t="s">
        <v>31</v>
      </c>
    </row>
    <row r="2" spans="1:18" ht="16.5" thickBot="1">
      <c r="D2" s="1800"/>
      <c r="E2" s="1800"/>
      <c r="F2" s="1800"/>
      <c r="G2" s="1805"/>
      <c r="H2" s="1576" t="s">
        <v>674</v>
      </c>
      <c r="I2" s="1805"/>
      <c r="J2" s="1805"/>
      <c r="K2" s="1805"/>
      <c r="L2" s="1805"/>
      <c r="M2" s="1805"/>
      <c r="N2" s="1805"/>
      <c r="O2" s="1805"/>
      <c r="P2" s="1805"/>
      <c r="Q2" s="1805"/>
    </row>
    <row r="3" spans="1:18" ht="26.25" thickBot="1">
      <c r="A3" s="1844" t="s">
        <v>720</v>
      </c>
      <c r="B3" s="2810"/>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5.75">
      <c r="A4" s="2193" t="s">
        <v>721</v>
      </c>
      <c r="B4" s="1748"/>
      <c r="E4" s="2192"/>
      <c r="F4" s="2192"/>
      <c r="G4" s="1804" t="s">
        <v>668</v>
      </c>
      <c r="H4" s="2003">
        <v>467686</v>
      </c>
      <c r="I4" s="2002">
        <v>0</v>
      </c>
      <c r="J4" s="2002">
        <v>330654</v>
      </c>
      <c r="K4" s="2002">
        <v>0</v>
      </c>
      <c r="L4" s="2002">
        <v>12500</v>
      </c>
      <c r="M4" s="2002">
        <v>15000</v>
      </c>
      <c r="N4" s="2002">
        <v>0</v>
      </c>
      <c r="O4" s="2002">
        <v>0</v>
      </c>
      <c r="P4" s="2002">
        <v>0</v>
      </c>
      <c r="Q4" s="2002"/>
      <c r="R4" s="2002">
        <v>825840</v>
      </c>
    </row>
    <row r="5" spans="1:18" ht="15.75">
      <c r="A5" s="1974" t="s">
        <v>25</v>
      </c>
      <c r="B5" s="1748"/>
      <c r="D5" s="2177"/>
      <c r="E5" s="2177"/>
      <c r="G5" s="1228">
        <v>2016</v>
      </c>
      <c r="H5" s="1582">
        <f>D15</f>
        <v>64801.599999999999</v>
      </c>
      <c r="I5" s="1549">
        <f>D23</f>
        <v>0</v>
      </c>
      <c r="J5" s="1549">
        <f>D29</f>
        <v>43222.667200000004</v>
      </c>
      <c r="K5" s="1549">
        <f>D36</f>
        <v>0</v>
      </c>
      <c r="L5" s="1549">
        <f>D42</f>
        <v>2000</v>
      </c>
      <c r="M5" s="1549">
        <f>D48</f>
        <v>68900</v>
      </c>
      <c r="N5" s="1549">
        <f>D54</f>
        <v>0</v>
      </c>
      <c r="O5" s="1549">
        <f>D60</f>
        <v>0</v>
      </c>
      <c r="P5" s="1549">
        <v>0</v>
      </c>
      <c r="Q5" s="1549"/>
      <c r="R5" s="1549">
        <f>SUM(H5:P5)</f>
        <v>178924.2672</v>
      </c>
    </row>
    <row r="6" spans="1:18" ht="16.5" thickBot="1">
      <c r="A6" s="1882">
        <v>18231005</v>
      </c>
      <c r="B6" s="1882"/>
      <c r="C6" s="1803"/>
      <c r="D6" s="2177"/>
      <c r="E6" s="2177"/>
      <c r="G6" s="1228">
        <v>2017</v>
      </c>
      <c r="H6" s="57">
        <f>E15</f>
        <v>66421.5</v>
      </c>
      <c r="I6" s="1990">
        <f>E23</f>
        <v>0</v>
      </c>
      <c r="J6" s="1989">
        <f>E29</f>
        <v>45166.62</v>
      </c>
      <c r="K6" s="58">
        <f>E36</f>
        <v>0</v>
      </c>
      <c r="L6" s="58">
        <f>E42</f>
        <v>2000</v>
      </c>
      <c r="M6" s="58">
        <f>E48</f>
        <v>16900</v>
      </c>
      <c r="N6" s="58">
        <f>E54</f>
        <v>0</v>
      </c>
      <c r="O6" s="58">
        <f>E60</f>
        <v>0</v>
      </c>
      <c r="P6" s="58">
        <v>0</v>
      </c>
      <c r="Q6" s="58"/>
      <c r="R6" s="58">
        <f>SUM(H6:P6)</f>
        <v>130488.12</v>
      </c>
    </row>
    <row r="7" spans="1:18" s="2194" customFormat="1" ht="13.5" thickBot="1">
      <c r="A7" s="1976" t="s">
        <v>31</v>
      </c>
      <c r="B7" s="2195"/>
      <c r="G7" s="598" t="s">
        <v>23</v>
      </c>
      <c r="H7" s="1564">
        <f>SUM(H5:H6)</f>
        <v>131223.1</v>
      </c>
      <c r="I7" s="1991">
        <f t="shared" ref="I7:P7" si="0">SUM(I5:I6)</f>
        <v>0</v>
      </c>
      <c r="J7" s="1992">
        <f t="shared" si="0"/>
        <v>88389.287200000006</v>
      </c>
      <c r="K7" s="1993">
        <f t="shared" si="0"/>
        <v>0</v>
      </c>
      <c r="L7" s="1991">
        <f t="shared" si="0"/>
        <v>4000</v>
      </c>
      <c r="M7" s="1992">
        <f t="shared" si="0"/>
        <v>85800</v>
      </c>
      <c r="N7" s="1991">
        <f t="shared" si="0"/>
        <v>0</v>
      </c>
      <c r="O7" s="1992">
        <f t="shared" si="0"/>
        <v>0</v>
      </c>
      <c r="P7" s="1993">
        <f t="shared" si="0"/>
        <v>0</v>
      </c>
      <c r="Q7" s="1993"/>
      <c r="R7" s="1991">
        <f>SUM(R5:R6)</f>
        <v>309412.3872</v>
      </c>
    </row>
    <row r="8" spans="1:18" s="2194" customFormat="1" ht="25.5">
      <c r="B8" s="2810"/>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c r="A11" s="2178"/>
      <c r="B11" s="2178"/>
      <c r="D11" s="2177"/>
      <c r="E11" s="2193"/>
    </row>
    <row r="12" spans="1:18">
      <c r="A12" s="2178"/>
      <c r="B12" s="2178"/>
      <c r="C12" s="1887" t="s">
        <v>314</v>
      </c>
      <c r="D12" s="2157">
        <f>D15+D23+D29+D36+D42+D48+D54+D60</f>
        <v>178924.2672</v>
      </c>
      <c r="E12" s="1948">
        <f>E15+E23+E29+E36+E42+E48+E54+E60</f>
        <v>130488.12</v>
      </c>
      <c r="F12" s="2157">
        <f>D12+E12</f>
        <v>309412.3872</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ht="15.75">
      <c r="A15" s="1863"/>
      <c r="B15" s="1886" t="s">
        <v>312</v>
      </c>
      <c r="C15" s="2106" t="s">
        <v>46</v>
      </c>
      <c r="D15" s="2158">
        <f>SUM(D16:D21)</f>
        <v>64801.599999999999</v>
      </c>
      <c r="E15" s="1926">
        <f>SUM(E16:E21)</f>
        <v>66421.5</v>
      </c>
      <c r="F15" s="2157">
        <f>SUM(F16:F21)</f>
        <v>131223.1</v>
      </c>
      <c r="G15" s="1796"/>
      <c r="H15" s="1796"/>
    </row>
    <row r="16" spans="1:18">
      <c r="A16" s="2178"/>
      <c r="B16" s="2610">
        <v>0.13</v>
      </c>
      <c r="C16" s="2197" t="s">
        <v>768</v>
      </c>
      <c r="D16" s="2201">
        <v>12960.32</v>
      </c>
      <c r="E16" s="2200">
        <v>13284.3</v>
      </c>
      <c r="F16" s="1879">
        <f>SUM(D16:E16)</f>
        <v>26244.62</v>
      </c>
    </row>
    <row r="17" spans="1:7">
      <c r="A17" s="2178"/>
      <c r="B17" s="2610">
        <v>0.13</v>
      </c>
      <c r="C17" s="2197" t="s">
        <v>769</v>
      </c>
      <c r="D17" s="2201">
        <v>12960.32</v>
      </c>
      <c r="E17" s="2200">
        <v>13284.3</v>
      </c>
      <c r="F17" s="1879">
        <f t="shared" ref="F17:F20" si="1">SUM(D17:E17)</f>
        <v>26244.62</v>
      </c>
    </row>
    <row r="18" spans="1:7">
      <c r="A18" s="2178"/>
      <c r="B18" s="2610">
        <v>0.13</v>
      </c>
      <c r="C18" s="2197" t="s">
        <v>770</v>
      </c>
      <c r="D18" s="2201">
        <v>12960.32</v>
      </c>
      <c r="E18" s="2200">
        <v>13284.3</v>
      </c>
      <c r="F18" s="1879">
        <f t="shared" si="1"/>
        <v>26244.62</v>
      </c>
    </row>
    <row r="19" spans="1:7">
      <c r="A19" s="2178"/>
      <c r="B19" s="2610">
        <v>0.13</v>
      </c>
      <c r="C19" s="2197" t="s">
        <v>771</v>
      </c>
      <c r="D19" s="2199">
        <v>12960.32</v>
      </c>
      <c r="E19" s="2200">
        <v>13284.3</v>
      </c>
      <c r="F19" s="1879">
        <f t="shared" si="1"/>
        <v>26244.62</v>
      </c>
    </row>
    <row r="20" spans="1:7">
      <c r="A20" s="2178"/>
      <c r="B20" s="2610">
        <v>0.13</v>
      </c>
      <c r="C20" s="2197" t="s">
        <v>772</v>
      </c>
      <c r="D20" s="2199">
        <v>12960.32</v>
      </c>
      <c r="E20" s="2200">
        <v>13284.3</v>
      </c>
      <c r="F20" s="1879">
        <f t="shared" si="1"/>
        <v>26244.62</v>
      </c>
    </row>
    <row r="21" spans="1:7">
      <c r="A21" s="2178"/>
      <c r="B21" s="2610"/>
      <c r="C21" s="2197"/>
      <c r="D21" s="2242"/>
      <c r="E21" s="2079"/>
      <c r="F21" s="2191">
        <f>SUM(D21:E21)</f>
        <v>0</v>
      </c>
    </row>
    <row r="22" spans="1:7">
      <c r="A22" s="2178"/>
      <c r="B22" s="1908">
        <f>SUM(B16:B21)</f>
        <v>0.65</v>
      </c>
      <c r="C22" s="1952"/>
      <c r="D22" s="1954"/>
      <c r="E22" s="1955"/>
      <c r="F22" s="1957"/>
    </row>
    <row r="23" spans="1:7">
      <c r="A23" s="2178"/>
      <c r="B23" s="2178"/>
      <c r="C23" s="2106" t="s">
        <v>47</v>
      </c>
      <c r="D23" s="2158">
        <f>SUM(D24:D27)</f>
        <v>0</v>
      </c>
      <c r="E23" s="1926">
        <f>SUM(E24:E27)</f>
        <v>0</v>
      </c>
      <c r="F23" s="2157">
        <f>SUM(F24:F27)</f>
        <v>0</v>
      </c>
      <c r="G23" s="1797" t="s">
        <v>7</v>
      </c>
    </row>
    <row r="24" spans="1:7">
      <c r="A24" s="2178"/>
      <c r="B24" s="2178"/>
      <c r="C24" s="2197"/>
      <c r="D24" s="2201"/>
      <c r="E24" s="2200"/>
      <c r="F24" s="1879">
        <f>SUM(D24:E24)</f>
        <v>0</v>
      </c>
      <c r="G24" s="1798"/>
    </row>
    <row r="25" spans="1:7">
      <c r="A25" s="2178"/>
      <c r="B25" s="2178"/>
      <c r="C25" s="2197"/>
      <c r="D25" s="1900"/>
      <c r="E25" s="1899"/>
      <c r="F25" s="2191">
        <f>SUM(D25:E25)</f>
        <v>0</v>
      </c>
    </row>
    <row r="26" spans="1:7">
      <c r="A26" s="2178"/>
      <c r="B26" s="1863"/>
      <c r="C26" s="2197"/>
      <c r="D26" s="1898"/>
      <c r="E26" s="1897"/>
      <c r="F26" s="2191">
        <f>SUM(D26:E26)</f>
        <v>0</v>
      </c>
    </row>
    <row r="27" spans="1:7" s="2194" customFormat="1">
      <c r="A27" s="1863"/>
      <c r="B27" s="2178"/>
      <c r="C27" s="2197"/>
      <c r="D27" s="1896"/>
      <c r="E27" s="1899"/>
      <c r="F27" s="2191">
        <f>SUM(D27:E27)</f>
        <v>0</v>
      </c>
    </row>
    <row r="28" spans="1:7">
      <c r="A28" s="2178"/>
      <c r="B28" s="1863"/>
      <c r="C28" s="1877"/>
      <c r="D28" s="1892"/>
      <c r="E28" s="1884"/>
      <c r="F28" s="1892"/>
    </row>
    <row r="29" spans="1:7" s="2194" customFormat="1">
      <c r="A29" s="1863"/>
      <c r="B29" s="2178"/>
      <c r="C29" s="2106" t="s">
        <v>48</v>
      </c>
      <c r="D29" s="2158">
        <f>SUM(D31:D34)</f>
        <v>43222.667200000004</v>
      </c>
      <c r="E29" s="1926">
        <f>SUM(E31:E34)</f>
        <v>45166.62</v>
      </c>
      <c r="F29" s="2157">
        <f>SUM(F31:F34)</f>
        <v>88389.287200000006</v>
      </c>
    </row>
    <row r="30" spans="1:7">
      <c r="A30" s="2178"/>
      <c r="B30" s="2178"/>
      <c r="C30" s="1909" t="s">
        <v>315</v>
      </c>
      <c r="D30" s="1912">
        <v>0.66700000000000004</v>
      </c>
      <c r="E30" s="1913">
        <v>0.68</v>
      </c>
      <c r="F30" s="1949"/>
    </row>
    <row r="31" spans="1:7">
      <c r="A31" s="2178"/>
      <c r="B31" s="2178"/>
      <c r="C31" s="2197" t="s">
        <v>765</v>
      </c>
      <c r="D31" s="2202">
        <f>D15*D30</f>
        <v>43222.667200000004</v>
      </c>
      <c r="E31" s="2163">
        <f>E15*E30</f>
        <v>45166.62</v>
      </c>
      <c r="F31" s="2191">
        <f>SUM(D31:E31)</f>
        <v>88389.287200000006</v>
      </c>
    </row>
    <row r="32" spans="1:7">
      <c r="A32" s="2178"/>
      <c r="B32" s="2178"/>
      <c r="C32" s="2197"/>
      <c r="D32" s="1973"/>
      <c r="E32" s="2163"/>
      <c r="F32" s="2191">
        <f>SUM(D32:E32)</f>
        <v>0</v>
      </c>
    </row>
    <row r="33" spans="1:7">
      <c r="A33" s="2178"/>
      <c r="B33" s="2178"/>
      <c r="C33" s="1901"/>
      <c r="D33" s="1898"/>
      <c r="E33" s="1897"/>
      <c r="F33" s="2191">
        <f>SUM(D33:E33)</f>
        <v>0</v>
      </c>
    </row>
    <row r="34" spans="1:7">
      <c r="A34" s="2178"/>
      <c r="B34" s="2178"/>
      <c r="C34" s="1901"/>
      <c r="D34" s="1896"/>
      <c r="E34" s="1899"/>
      <c r="F34" s="2191">
        <f>SUM(D34:E34)</f>
        <v>0</v>
      </c>
    </row>
    <row r="35" spans="1:7">
      <c r="A35" s="2178"/>
      <c r="B35" s="1801"/>
      <c r="C35" s="1952"/>
      <c r="D35" s="1958"/>
      <c r="E35" s="1955"/>
      <c r="F35" s="1958"/>
    </row>
    <row r="36" spans="1:7">
      <c r="A36" s="1801"/>
      <c r="B36" s="2178"/>
      <c r="C36" s="2106" t="s">
        <v>49</v>
      </c>
      <c r="D36" s="2158">
        <v>0</v>
      </c>
      <c r="E36" s="1926">
        <v>0</v>
      </c>
      <c r="F36" s="2157">
        <v>0</v>
      </c>
      <c r="G36" s="1799"/>
    </row>
    <row r="37" spans="1:7">
      <c r="A37" s="1844" t="s">
        <v>720</v>
      </c>
      <c r="B37" s="1863"/>
      <c r="C37" s="2197"/>
      <c r="D37" s="2202"/>
      <c r="E37" s="2203"/>
      <c r="F37" s="2191">
        <v>0</v>
      </c>
    </row>
    <row r="38" spans="1:7" s="2194" customFormat="1">
      <c r="A38" s="2193" t="s">
        <v>721</v>
      </c>
      <c r="B38" s="2178"/>
      <c r="C38" s="2197"/>
      <c r="D38" s="2202"/>
      <c r="E38" s="2203"/>
      <c r="F38" s="2191">
        <v>0</v>
      </c>
    </row>
    <row r="39" spans="1:7">
      <c r="A39" s="1974" t="s">
        <v>25</v>
      </c>
      <c r="B39" s="2178"/>
      <c r="C39" s="2197"/>
      <c r="D39" s="2202"/>
      <c r="E39" s="2203"/>
      <c r="F39" s="2191">
        <v>0</v>
      </c>
    </row>
    <row r="40" spans="1:7">
      <c r="A40" s="1882">
        <v>18231005</v>
      </c>
      <c r="B40" s="2178"/>
      <c r="C40" s="2197"/>
      <c r="D40" s="2202"/>
      <c r="E40" s="2203"/>
      <c r="F40" s="2191">
        <v>0</v>
      </c>
    </row>
    <row r="41" spans="1:7">
      <c r="A41" s="1976" t="s">
        <v>31</v>
      </c>
      <c r="B41" s="2178"/>
      <c r="C41" s="1952"/>
      <c r="D41" s="1958"/>
      <c r="E41" s="1955"/>
      <c r="F41" s="1958"/>
    </row>
    <row r="42" spans="1:7">
      <c r="A42" s="2194"/>
      <c r="B42" s="2178"/>
      <c r="C42" s="2106" t="s">
        <v>506</v>
      </c>
      <c r="D42" s="2158">
        <f>SUM(D43:D46)</f>
        <v>2000</v>
      </c>
      <c r="E42" s="1926">
        <f>SUM(E43:E46)</f>
        <v>2000</v>
      </c>
      <c r="F42" s="2157">
        <f t="shared" ref="F42:F58" si="2">SUM(D42:E42)</f>
        <v>4000</v>
      </c>
    </row>
    <row r="43" spans="1:7">
      <c r="A43" s="2178"/>
      <c r="B43" s="2178"/>
      <c r="C43" s="2197" t="s">
        <v>774</v>
      </c>
      <c r="D43" s="2202">
        <v>2000</v>
      </c>
      <c r="E43" s="2203">
        <v>2000</v>
      </c>
      <c r="F43" s="2191">
        <f t="shared" si="2"/>
        <v>4000</v>
      </c>
    </row>
    <row r="44" spans="1:7">
      <c r="A44" s="2178"/>
      <c r="B44" s="2178"/>
      <c r="C44" s="2197"/>
      <c r="D44" s="2202"/>
      <c r="E44" s="2203"/>
      <c r="F44" s="2191">
        <f t="shared" si="2"/>
        <v>0</v>
      </c>
    </row>
    <row r="45" spans="1:7">
      <c r="A45" s="2178"/>
      <c r="B45" s="2178"/>
      <c r="C45" s="2197"/>
      <c r="D45" s="2202"/>
      <c r="E45" s="2203"/>
      <c r="F45" s="2191">
        <f t="shared" si="2"/>
        <v>0</v>
      </c>
    </row>
    <row r="46" spans="1:7">
      <c r="A46" s="2178"/>
      <c r="B46" s="2178"/>
      <c r="C46" s="2197"/>
      <c r="D46" s="2202"/>
      <c r="E46" s="2203"/>
      <c r="F46" s="2191">
        <f t="shared" si="2"/>
        <v>0</v>
      </c>
    </row>
    <row r="47" spans="1:7">
      <c r="A47" s="2178"/>
      <c r="B47" s="2178"/>
      <c r="C47" s="1952"/>
      <c r="D47" s="1958"/>
      <c r="E47" s="1955"/>
      <c r="F47" s="1958"/>
    </row>
    <row r="48" spans="1:7">
      <c r="A48" s="2178"/>
      <c r="B48" s="2178"/>
      <c r="C48" s="2106" t="s">
        <v>50</v>
      </c>
      <c r="D48" s="2183">
        <f>SUM(D49:D52)</f>
        <v>68900</v>
      </c>
      <c r="E48" s="2184">
        <f>SUM(E49:E52)</f>
        <v>16900</v>
      </c>
      <c r="F48" s="2157">
        <f t="shared" si="2"/>
        <v>85800</v>
      </c>
    </row>
    <row r="49" spans="1:7">
      <c r="A49" s="2178"/>
      <c r="B49" s="2178"/>
      <c r="C49" s="2197" t="s">
        <v>1634</v>
      </c>
      <c r="D49" s="2202">
        <v>52000</v>
      </c>
      <c r="E49" s="2203">
        <v>0</v>
      </c>
      <c r="F49" s="2191">
        <f t="shared" si="2"/>
        <v>52000</v>
      </c>
    </row>
    <row r="50" spans="1:7">
      <c r="A50" s="2178"/>
      <c r="B50" s="2178"/>
      <c r="C50" s="2197" t="s">
        <v>1635</v>
      </c>
      <c r="D50" s="2202">
        <v>16900</v>
      </c>
      <c r="E50" s="2203">
        <v>16900</v>
      </c>
      <c r="F50" s="2191">
        <f t="shared" si="2"/>
        <v>33800</v>
      </c>
    </row>
    <row r="51" spans="1:7">
      <c r="A51" s="2178"/>
      <c r="B51" s="2178"/>
      <c r="C51" s="2197"/>
      <c r="D51" s="2202"/>
      <c r="E51" s="2203"/>
      <c r="F51" s="2191">
        <f t="shared" si="2"/>
        <v>0</v>
      </c>
    </row>
    <row r="52" spans="1:7">
      <c r="A52" s="2178"/>
      <c r="B52" s="2178"/>
      <c r="C52" s="2197"/>
      <c r="D52" s="2202"/>
      <c r="E52" s="2203"/>
      <c r="F52" s="2191">
        <f t="shared" si="2"/>
        <v>0</v>
      </c>
    </row>
    <row r="53" spans="1:7">
      <c r="A53" s="2178"/>
      <c r="B53" s="2178"/>
      <c r="C53" s="1952"/>
      <c r="D53" s="1958"/>
      <c r="E53" s="1955"/>
      <c r="F53" s="1958"/>
    </row>
    <row r="54" spans="1:7">
      <c r="A54" s="2178"/>
      <c r="B54" s="2178"/>
      <c r="C54" s="2106" t="s">
        <v>51</v>
      </c>
      <c r="D54" s="2183">
        <f>SUM(D55:D58)</f>
        <v>0</v>
      </c>
      <c r="E54" s="2184">
        <f>SUM(E55:E58)</f>
        <v>0</v>
      </c>
      <c r="F54" s="2157">
        <f t="shared" si="2"/>
        <v>0</v>
      </c>
    </row>
    <row r="55" spans="1:7">
      <c r="A55" s="2178"/>
      <c r="B55" s="2178"/>
      <c r="C55" s="2197"/>
      <c r="D55" s="2202"/>
      <c r="E55" s="2163"/>
      <c r="F55" s="2191">
        <f t="shared" si="2"/>
        <v>0</v>
      </c>
    </row>
    <row r="56" spans="1:7">
      <c r="A56" s="2178"/>
      <c r="B56" s="2178"/>
      <c r="C56" s="2197"/>
      <c r="D56" s="2202"/>
      <c r="E56" s="2163"/>
      <c r="F56" s="2191">
        <f>SUM(D56:E56)</f>
        <v>0</v>
      </c>
    </row>
    <row r="57" spans="1:7">
      <c r="A57" s="2178"/>
      <c r="B57" s="2178"/>
      <c r="C57" s="2197"/>
      <c r="D57" s="2202"/>
      <c r="E57" s="2163"/>
      <c r="F57" s="2191">
        <f t="shared" si="2"/>
        <v>0</v>
      </c>
    </row>
    <row r="58" spans="1:7">
      <c r="A58" s="2178"/>
      <c r="B58" s="2178"/>
      <c r="C58" s="2197"/>
      <c r="D58" s="2202"/>
      <c r="E58" s="2163"/>
      <c r="F58" s="2191">
        <f t="shared" si="2"/>
        <v>0</v>
      </c>
    </row>
    <row r="59" spans="1:7">
      <c r="A59" s="2178"/>
      <c r="B59" s="2178"/>
      <c r="C59" s="1952"/>
      <c r="D59" s="1958"/>
      <c r="E59" s="1955"/>
      <c r="F59" s="1958"/>
    </row>
    <row r="60" spans="1:7">
      <c r="A60" s="2178"/>
      <c r="B60" s="2178"/>
      <c r="C60" s="2106" t="s">
        <v>52</v>
      </c>
      <c r="D60" s="2183">
        <f>SUM(D61:D64)</f>
        <v>0</v>
      </c>
      <c r="E60" s="2184">
        <f>SUM(E61:E64)</f>
        <v>0</v>
      </c>
      <c r="F60" s="2114">
        <f>SUM(F61:F64)</f>
        <v>0</v>
      </c>
    </row>
    <row r="61" spans="1:7">
      <c r="A61" s="2178"/>
      <c r="B61" s="2178"/>
      <c r="C61" s="2197" t="s">
        <v>749</v>
      </c>
      <c r="D61" s="2202"/>
      <c r="E61" s="2203"/>
      <c r="F61" s="2191">
        <f>SUM(D61:E61)</f>
        <v>0</v>
      </c>
      <c r="G61" s="2177" t="s">
        <v>638</v>
      </c>
    </row>
    <row r="62" spans="1:7">
      <c r="A62" s="2178"/>
      <c r="B62" s="2178"/>
      <c r="C62" s="2197"/>
      <c r="D62" s="2202"/>
      <c r="E62" s="2203"/>
      <c r="F62" s="2191">
        <f>SUM(D62:E62)</f>
        <v>0</v>
      </c>
    </row>
    <row r="63" spans="1:7">
      <c r="A63" s="2178"/>
      <c r="C63" s="2197"/>
      <c r="D63" s="2202"/>
      <c r="E63" s="2203"/>
      <c r="F63" s="1890">
        <v>0</v>
      </c>
    </row>
    <row r="64" spans="1:7">
      <c r="C64" s="2197"/>
      <c r="D64" s="2202"/>
      <c r="E64" s="2203"/>
      <c r="F64" s="2191">
        <v>0</v>
      </c>
    </row>
    <row r="65" spans="3:6">
      <c r="C65" s="2106"/>
      <c r="D65" s="2158"/>
      <c r="E65" s="1926"/>
      <c r="F65" s="2157"/>
    </row>
    <row r="66" spans="3:6">
      <c r="C66" s="1967"/>
      <c r="D66" s="1961"/>
      <c r="E66" s="1962"/>
      <c r="F66" s="1966"/>
    </row>
    <row r="67" spans="3:6">
      <c r="C67" s="1968"/>
      <c r="D67" s="1963"/>
      <c r="E67" s="1964"/>
      <c r="F67" s="1965"/>
    </row>
    <row r="68" spans="3:6">
      <c r="C68" s="1959"/>
      <c r="D68" s="2202"/>
      <c r="E68" s="2202"/>
      <c r="F68" s="1956"/>
    </row>
  </sheetData>
  <customSheetViews>
    <customSheetView guid="{074EB09C-6289-46D7-9513-012B68BCA7BF}" showGridLines="0">
      <pane xSplit="1" ySplit="1" topLeftCell="B5" activePane="bottomRight" state="frozen"/>
      <selection pane="bottomRight" activeCell="E21" sqref="E21"/>
      <pageMargins left="0.7" right="0.7" top="0.75" bottom="0.75" header="0.3" footer="0.3"/>
    </customSheetView>
    <customSheetView guid="{D9EFFE19-D14B-4C6F-BDF4-FF696F73968D}" showGridLines="0">
      <pane xSplit="1" ySplit="1" topLeftCell="C2" activePane="bottomRight" state="frozen"/>
      <selection pane="bottomRight" activeCell="G19" sqref="G19"/>
      <pageMargins left="0.7" right="0.7" top="0.75" bottom="0.75" header="0.3" footer="0.3"/>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V98"/>
  <sheetViews>
    <sheetView topLeftCell="B1" workbookViewId="0">
      <pane xSplit="7" ySplit="5" topLeftCell="I6" activePane="bottomRight" state="frozen"/>
      <selection activeCell="B1" sqref="B1"/>
      <selection pane="topRight" activeCell="I1" sqref="I1"/>
      <selection pane="bottomLeft" activeCell="B6" sqref="B6"/>
      <selection pane="bottomRight" activeCell="S95" sqref="S95"/>
    </sheetView>
  </sheetViews>
  <sheetFormatPr defaultColWidth="10.7109375" defaultRowHeight="12.75"/>
  <cols>
    <col min="1" max="1" width="1.28515625" style="1866" customWidth="1"/>
    <col min="2" max="2" width="20.140625" style="1867" customWidth="1"/>
    <col min="3" max="3" width="9.7109375" style="1866" customWidth="1"/>
    <col min="4" max="4" width="16" style="2177" customWidth="1"/>
    <col min="5" max="5" width="3.42578125" style="1866" customWidth="1"/>
    <col min="6" max="6" width="3.42578125" style="2007" customWidth="1"/>
    <col min="7" max="7" width="32.42578125" style="2007" customWidth="1"/>
    <col min="8" max="8" width="21.5703125" style="1866" customWidth="1"/>
    <col min="9" max="19" width="15.85546875" style="1605" customWidth="1"/>
    <col min="20" max="20" width="15.7109375" style="600" customWidth="1"/>
    <col min="21" max="21" width="2" style="1866" customWidth="1"/>
    <col min="22" max="22" width="50.85546875" style="1866" customWidth="1"/>
    <col min="23" max="16384" width="10.7109375" style="1866"/>
  </cols>
  <sheetData>
    <row r="2" spans="2:22" ht="18">
      <c r="C2" s="551" t="s">
        <v>664</v>
      </c>
      <c r="D2" s="551"/>
    </row>
    <row r="3" spans="2:22" ht="15">
      <c r="C3" s="552" t="s">
        <v>172</v>
      </c>
      <c r="D3" s="552"/>
      <c r="H3" s="1451"/>
      <c r="I3" s="2728" t="s">
        <v>623</v>
      </c>
      <c r="J3" s="2728"/>
    </row>
    <row r="4" spans="2:22" ht="36.75" customHeight="1" thickBot="1">
      <c r="H4" s="67"/>
      <c r="I4" s="2012" t="s">
        <v>45</v>
      </c>
    </row>
    <row r="5" spans="2:22" ht="36" thickBot="1">
      <c r="B5" s="1844" t="s">
        <v>366</v>
      </c>
      <c r="C5" s="1866" t="s">
        <v>79</v>
      </c>
      <c r="D5" s="2177" t="s">
        <v>614</v>
      </c>
      <c r="E5" s="3593" t="s">
        <v>727</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173</v>
      </c>
      <c r="V5" s="606" t="s">
        <v>174</v>
      </c>
    </row>
    <row r="6" spans="2:22">
      <c r="C6" s="1866" t="s">
        <v>78</v>
      </c>
    </row>
    <row r="7" spans="2:22">
      <c r="B7" s="2259" t="s">
        <v>367</v>
      </c>
      <c r="C7" s="1866" t="s">
        <v>67</v>
      </c>
      <c r="E7" s="1229" t="s">
        <v>175</v>
      </c>
      <c r="H7" s="1340">
        <v>18230611</v>
      </c>
      <c r="I7" s="1605">
        <f>' LowIncWx Detail_REM E201_Elec'!H6</f>
        <v>130929.68</v>
      </c>
      <c r="J7" s="1605">
        <f>' LowIncWx Detail_REM E201_Elec'!I6</f>
        <v>14400</v>
      </c>
      <c r="K7" s="1605">
        <f>' LowIncWx Detail_REM E201_Elec'!J6</f>
        <v>98824.182400000005</v>
      </c>
      <c r="L7" s="1605">
        <f>' LowIncWx Detail_REM E201_Elec'!K6</f>
        <v>45000</v>
      </c>
      <c r="M7" s="1605">
        <f>' LowIncWx Detail_REM E201_Elec'!L6</f>
        <v>4000</v>
      </c>
      <c r="N7" s="1605">
        <f>' LowIncWx Detail_REM E201_Elec'!M6</f>
        <v>6500</v>
      </c>
      <c r="O7" s="1605">
        <f>' LowIncWx Detail_REM E201_Elec'!N6</f>
        <v>1000</v>
      </c>
      <c r="P7" s="1605">
        <f>' LowIncWx Detail_REM E201_Elec'!O6</f>
        <v>1000</v>
      </c>
      <c r="Q7" s="1605">
        <f>' LowIncWx Detail_REM E201_Elec'!P6</f>
        <v>3073684.0324999997</v>
      </c>
      <c r="R7" s="1605">
        <f>' LowIncWx Detail_REM E201_Elec'!Q6</f>
        <v>0</v>
      </c>
      <c r="S7" s="1605">
        <f>' LowIncWx Detail_REM E201_Elec'!R6</f>
        <v>3375337.8948999997</v>
      </c>
      <c r="T7" s="2144">
        <f>' LowIncWx Detail_REM E201_Elec'!S6</f>
        <v>1560346.06</v>
      </c>
    </row>
    <row r="8" spans="2:22">
      <c r="B8" s="2259" t="s">
        <v>368</v>
      </c>
      <c r="C8" s="1866" t="s">
        <v>66</v>
      </c>
      <c r="E8" s="2177" t="s">
        <v>1656</v>
      </c>
      <c r="H8" s="1340">
        <v>18230625</v>
      </c>
      <c r="I8" s="1605">
        <f>'HmEnrgAsmt Detail_REM_E214 Elec'!H6</f>
        <v>51094.399999999994</v>
      </c>
      <c r="J8" s="1605">
        <f>'HmEnrgAsmt Detail_REM_E214 Elec'!I6</f>
        <v>22561.279999999999</v>
      </c>
      <c r="K8" s="1605">
        <f>'HmEnrgAsmt Detail_REM_E214 Elec'!J6</f>
        <v>50085.862399999998</v>
      </c>
      <c r="L8" s="1605">
        <f>'HmEnrgAsmt Detail_REM_E214 Elec'!K6</f>
        <v>134200</v>
      </c>
      <c r="M8" s="1605">
        <f>'HmEnrgAsmt Detail_REM_E214 Elec'!L6</f>
        <v>3000</v>
      </c>
      <c r="N8" s="1605">
        <f>'HmEnrgAsmt Detail_REM_E214 Elec'!M6</f>
        <v>65000</v>
      </c>
      <c r="O8" s="1605">
        <f>'HmEnrgAsmt Detail_REM_E214 Elec'!N6</f>
        <v>1000</v>
      </c>
      <c r="P8" s="1605">
        <f>'HmEnrgAsmt Detail_REM_E214 Elec'!O6</f>
        <v>2000</v>
      </c>
      <c r="Q8" s="1605">
        <f>'HmEnrgAsmt Detail_REM_E214 Elec'!P6</f>
        <v>1867488</v>
      </c>
      <c r="R8" s="1605">
        <f>'HmEnrgAsmt Detail_REM_E214 Elec'!Q6</f>
        <v>0</v>
      </c>
      <c r="S8" s="1605">
        <f>'HmEnrgAsmt Detail_REM_E214 Elec'!R6</f>
        <v>2196429.5424000002</v>
      </c>
      <c r="T8" s="2144">
        <f>'HmEnrgAsmt Detail_REM_E214 Elec'!S6</f>
        <v>3423202</v>
      </c>
    </row>
    <row r="9" spans="2:22">
      <c r="B9" s="2259" t="s">
        <v>369</v>
      </c>
      <c r="C9" s="1866" t="s">
        <v>66</v>
      </c>
      <c r="E9" s="2177" t="s">
        <v>296</v>
      </c>
      <c r="H9" s="1340">
        <v>18230626</v>
      </c>
      <c r="I9" s="1605">
        <f>'WaterHea_Detail_REM_E214 Elec'!H6</f>
        <v>13005.849999999999</v>
      </c>
      <c r="J9" s="1605">
        <f>'WaterHea_Detail_REM_E214 Elec'!I6</f>
        <v>6153.0749999999998</v>
      </c>
      <c r="K9" s="1605">
        <f>'WaterHea_Detail_REM_E214 Elec'!J6</f>
        <v>13028.069</v>
      </c>
      <c r="L9" s="1605">
        <f>'WaterHea_Detail_REM_E214 Elec'!K6</f>
        <v>78750</v>
      </c>
      <c r="M9" s="1605">
        <f>'WaterHea_Detail_REM_E214 Elec'!L6</f>
        <v>1200</v>
      </c>
      <c r="N9" s="1605">
        <f>'WaterHea_Detail_REM_E214 Elec'!M6</f>
        <v>0</v>
      </c>
      <c r="O9" s="1605">
        <f>'WaterHea_Detail_REM_E214 Elec'!N6</f>
        <v>5000</v>
      </c>
      <c r="P9" s="1605">
        <f>'WaterHea_Detail_REM_E214 Elec'!O6</f>
        <v>2400</v>
      </c>
      <c r="Q9" s="1605">
        <f>'WaterHea_Detail_REM_E214 Elec'!P6</f>
        <v>290000</v>
      </c>
      <c r="R9" s="1605">
        <f>'WaterHea_Detail_REM_E214 Elec'!Q6</f>
        <v>0</v>
      </c>
      <c r="S9" s="1605">
        <f>'WaterHea_Detail_REM_E214 Elec'!R6</f>
        <v>409536.99400000001</v>
      </c>
      <c r="T9" s="2144">
        <f>'WaterHea_Detail_REM_E214 Elec'!S6</f>
        <v>571300</v>
      </c>
    </row>
    <row r="10" spans="2:22">
      <c r="B10" s="2259" t="s">
        <v>370</v>
      </c>
      <c r="C10" s="1866" t="s">
        <v>66</v>
      </c>
      <c r="E10" s="2177" t="s">
        <v>303</v>
      </c>
      <c r="H10" s="1340">
        <v>18230627</v>
      </c>
      <c r="I10" s="1605">
        <f>'Wx_Detail_REM E214 Elec'!H6</f>
        <v>55739.4</v>
      </c>
      <c r="J10" s="1605">
        <f>'Wx_Detail_REM E214 Elec'!I6</f>
        <v>24612.3</v>
      </c>
      <c r="K10" s="1605">
        <f>'Wx_Detail_REM E214 Elec'!J6</f>
        <v>54639.156000000003</v>
      </c>
      <c r="L10" s="1605">
        <f>'Wx_Detail_REM E214 Elec'!K6</f>
        <v>150545</v>
      </c>
      <c r="M10" s="1605">
        <f>'Wx_Detail_REM E214 Elec'!L6</f>
        <v>5302</v>
      </c>
      <c r="N10" s="1605">
        <f>'Wx_Detail_REM E214 Elec'!M6</f>
        <v>85000</v>
      </c>
      <c r="O10" s="1605">
        <f>'Wx_Detail_REM E214 Elec'!N6</f>
        <v>0</v>
      </c>
      <c r="P10" s="1605">
        <f>'Wx_Detail_REM E214 Elec'!O6</f>
        <v>0</v>
      </c>
      <c r="Q10" s="1605">
        <f>'Wx_Detail_REM E214 Elec'!P6</f>
        <v>907047.99999999988</v>
      </c>
      <c r="R10" s="1605">
        <f>'Wx_Detail_REM E214 Elec'!Q6</f>
        <v>0</v>
      </c>
      <c r="S10" s="1605">
        <f>'Wx_Detail_REM E214 Elec'!R6</f>
        <v>1282885.8559999999</v>
      </c>
      <c r="T10" s="2144">
        <f>'Wx_Detail_REM E214 Elec'!S6</f>
        <v>3221386.38</v>
      </c>
    </row>
    <row r="11" spans="2:22">
      <c r="B11" s="2259" t="s">
        <v>371</v>
      </c>
      <c r="C11" s="1866" t="s">
        <v>66</v>
      </c>
      <c r="E11" s="2177" t="s">
        <v>302</v>
      </c>
      <c r="H11" s="1340">
        <v>18230628</v>
      </c>
      <c r="I11" s="1605">
        <f>'SpcHeat Detail_REM_E214 Elec'!H6</f>
        <v>56771.56</v>
      </c>
      <c r="J11" s="1605">
        <f>'SpcHeat Detail_REM_E214 Elec'!I6</f>
        <v>22561.274999999998</v>
      </c>
      <c r="K11" s="1605">
        <f>'SpcHeat Detail_REM_E214 Elec'!J6</f>
        <v>53946.327799999999</v>
      </c>
      <c r="L11" s="1605">
        <f>'SpcHeat Detail_REM_E214 Elec'!K6</f>
        <v>228000</v>
      </c>
      <c r="M11" s="1605">
        <f>'SpcHeat Detail_REM_E214 Elec'!L6</f>
        <v>7200</v>
      </c>
      <c r="N11" s="1605">
        <f>'SpcHeat Detail_REM_E214 Elec'!M6</f>
        <v>0</v>
      </c>
      <c r="O11" s="1605">
        <f>'SpcHeat Detail_REM_E214 Elec'!N6</f>
        <v>17200</v>
      </c>
      <c r="P11" s="1605">
        <f>'SpcHeat Detail_REM_E214 Elec'!O6</f>
        <v>4000</v>
      </c>
      <c r="Q11" s="1605">
        <f>'SpcHeat Detail_REM_E214 Elec'!P6</f>
        <v>3722000</v>
      </c>
      <c r="R11" s="1605">
        <f>'SpcHeat Detail_REM_E214 Elec'!Q6</f>
        <v>0</v>
      </c>
      <c r="S11" s="1605">
        <f>'SpcHeat Detail_REM_E214 Elec'!R6</f>
        <v>4111679.1628</v>
      </c>
      <c r="T11" s="2144">
        <f>'SpcHeat Detail_REM_E214 Elec'!S6</f>
        <v>7283690</v>
      </c>
    </row>
    <row r="12" spans="2:22">
      <c r="B12" s="2259" t="s">
        <v>372</v>
      </c>
      <c r="C12" s="1866" t="s">
        <v>66</v>
      </c>
      <c r="E12" s="1866" t="s">
        <v>68</v>
      </c>
      <c r="H12" s="1340">
        <v>18230432</v>
      </c>
      <c r="I12" s="1605">
        <f>'HmAppplc_Detail_REM_E214 Elec'!H6</f>
        <v>106370.88</v>
      </c>
      <c r="J12" s="1605">
        <f>'HmAppplc_Detail_REM_E214 Elec'!I6</f>
        <v>41000</v>
      </c>
      <c r="K12" s="1605">
        <f>'HmAppplc_Detail_REM_E214 Elec'!J6</f>
        <v>100212.19840000001</v>
      </c>
      <c r="L12" s="1605">
        <f>'HmAppplc_Detail_REM_E214 Elec'!K6</f>
        <v>388869.37</v>
      </c>
      <c r="M12" s="1605">
        <f>'HmAppplc_Detail_REM_E214 Elec'!L6</f>
        <v>6000</v>
      </c>
      <c r="N12" s="1605">
        <f>'HmAppplc_Detail_REM_E214 Elec'!M6</f>
        <v>550000</v>
      </c>
      <c r="O12" s="1605">
        <f>'HmAppplc_Detail_REM_E214 Elec'!N6</f>
        <v>28000</v>
      </c>
      <c r="P12" s="1605">
        <f>'HmAppplc_Detail_REM_E214 Elec'!O6</f>
        <v>7500</v>
      </c>
      <c r="Q12" s="1605">
        <f>'HmAppplc_Detail_REM_E214 Elec'!P6</f>
        <v>4572765</v>
      </c>
      <c r="R12" s="1605">
        <f>'HmAppplc_Detail_REM_E214 Elec'!Q6</f>
        <v>0</v>
      </c>
      <c r="S12" s="1605">
        <f>'HmAppplc_Detail_REM_E214 Elec'!R6</f>
        <v>5800717.4484000001</v>
      </c>
      <c r="T12" s="2144">
        <f>'HmAppplc_Detail_REM_E214 Elec'!S6</f>
        <v>10290500</v>
      </c>
    </row>
    <row r="13" spans="2:22">
      <c r="B13" s="2259" t="s">
        <v>373</v>
      </c>
      <c r="C13" s="1866" t="s">
        <v>66</v>
      </c>
      <c r="E13" s="2177" t="s">
        <v>293</v>
      </c>
      <c r="H13" s="1340">
        <v>18230435</v>
      </c>
      <c r="I13" s="1605">
        <f>'ShwrHead_Detail_REM_E214  Elec'!H6</f>
        <v>33234.9</v>
      </c>
      <c r="J13" s="1605">
        <f>'ShwrHead_Detail_REM_E214  Elec'!I6</f>
        <v>4920</v>
      </c>
      <c r="K13" s="1605">
        <f>'ShwrHead_Detail_REM_E214  Elec'!J6</f>
        <v>25945.332000000002</v>
      </c>
      <c r="L13" s="1605">
        <f>'ShwrHead_Detail_REM_E214  Elec'!K6</f>
        <v>83990.93</v>
      </c>
      <c r="M13" s="1605">
        <f>'ShwrHead_Detail_REM_E214  Elec'!L6</f>
        <v>1000</v>
      </c>
      <c r="N13" s="1605">
        <f>'ShwrHead_Detail_REM_E214  Elec'!M6</f>
        <v>40000</v>
      </c>
      <c r="O13" s="1605">
        <f>'ShwrHead_Detail_REM_E214  Elec'!N6</f>
        <v>1000</v>
      </c>
      <c r="P13" s="1605">
        <f>'ShwrHead_Detail_REM_E214  Elec'!O6</f>
        <v>500</v>
      </c>
      <c r="Q13" s="1605">
        <f>'ShwrHead_Detail_REM_E214  Elec'!P6</f>
        <v>465575</v>
      </c>
      <c r="R13" s="1605">
        <f>'ShwrHead_Detail_REM_E214  Elec'!Q6</f>
        <v>0</v>
      </c>
      <c r="S13" s="1605">
        <f>'ShwrHead_Detail_REM_E214  Elec'!R6</f>
        <v>656166.16200000001</v>
      </c>
      <c r="T13" s="2144">
        <f>'ShwrHead_Detail_REM_E214  Elec'!S6</f>
        <v>4804738</v>
      </c>
    </row>
    <row r="14" spans="2:22">
      <c r="B14" s="2259" t="s">
        <v>374</v>
      </c>
      <c r="C14" s="1866" t="s">
        <v>66</v>
      </c>
      <c r="E14" s="1866" t="s">
        <v>80</v>
      </c>
      <c r="H14" s="1340">
        <v>18230440</v>
      </c>
      <c r="I14" s="1605">
        <f>'Lighting Detail_REM_E214 Elec'!H6</f>
        <v>223128.45749999999</v>
      </c>
      <c r="J14" s="1605">
        <f>'Lighting Detail_REM_E214 Elec'!I6</f>
        <v>106599.99999999999</v>
      </c>
      <c r="K14" s="1605">
        <f>'Lighting Detail_REM_E214 Elec'!J6</f>
        <v>224215.3511</v>
      </c>
      <c r="L14" s="1605">
        <f>'Lighting Detail_REM_E214 Elec'!K6</f>
        <v>1847506.07</v>
      </c>
      <c r="M14" s="1605">
        <f>'Lighting Detail_REM_E214 Elec'!L6</f>
        <v>11000</v>
      </c>
      <c r="N14" s="1605">
        <f>'Lighting Detail_REM_E214 Elec'!M6</f>
        <v>1550000</v>
      </c>
      <c r="O14" s="1605">
        <f>'Lighting Detail_REM_E214 Elec'!N6</f>
        <v>8250</v>
      </c>
      <c r="P14" s="1605">
        <f>'Lighting Detail_REM_E214 Elec'!O6</f>
        <v>20000</v>
      </c>
      <c r="Q14" s="1605">
        <f>'Lighting Detail_REM_E214 Elec'!P6</f>
        <v>10428750</v>
      </c>
      <c r="R14" s="1605">
        <f>'Lighting Detail_REM_E214 Elec'!Q6</f>
        <v>0</v>
      </c>
      <c r="S14" s="1605">
        <f>'Lighting Detail_REM_E214 Elec'!R6</f>
        <v>14419449.878599999</v>
      </c>
      <c r="T14" s="2144">
        <f>'Lighting Detail_REM_E214 Elec'!S6</f>
        <v>70775150</v>
      </c>
    </row>
    <row r="15" spans="2:22" s="2177" customFormat="1">
      <c r="B15" s="2259" t="s">
        <v>583</v>
      </c>
      <c r="C15" s="2177" t="s">
        <v>66</v>
      </c>
      <c r="E15" s="2177" t="s">
        <v>292</v>
      </c>
      <c r="H15" s="2263">
        <v>18230634</v>
      </c>
      <c r="I15" s="2142">
        <f>'MHDS Detail_REM_E214 Elec.'!H6</f>
        <v>39946.57</v>
      </c>
      <c r="J15" s="2142">
        <f>'MHDS Detail_REM_E214 Elec.'!I6</f>
        <v>1640.82</v>
      </c>
      <c r="K15" s="2142">
        <f>'MHDS Detail_REM_E214 Elec.'!J6</f>
        <v>28279.425200000001</v>
      </c>
      <c r="L15" s="2142">
        <f>'MHDS Detail_REM_E214 Elec.'!K6</f>
        <v>25000</v>
      </c>
      <c r="M15" s="2142">
        <f>'MHDS Detail_REM_E214 Elec.'!L6</f>
        <v>402</v>
      </c>
      <c r="N15" s="2142">
        <f>'MHDS Detail_REM_E214 Elec.'!M6</f>
        <v>125000</v>
      </c>
      <c r="O15" s="2142">
        <f>'MHDS Detail_REM_E214 Elec.'!N6</f>
        <v>525</v>
      </c>
      <c r="P15" s="2142">
        <f>'MHDS Detail_REM_E214 Elec.'!O6</f>
        <v>600</v>
      </c>
      <c r="Q15" s="2142">
        <f>'MHDS Detail_REM_E214 Elec.'!P6</f>
        <v>1170500</v>
      </c>
      <c r="R15" s="2142">
        <f>'MHDS Detail_REM_E214 Elec.'!Q6</f>
        <v>0</v>
      </c>
      <c r="S15" s="2142">
        <f>'MHDS Detail_REM_E214 Elec.'!R6</f>
        <v>1391893.8152000001</v>
      </c>
      <c r="T15" s="2144">
        <f>'MHDS Detail_REM_E214 Elec.'!S6</f>
        <v>2865825</v>
      </c>
    </row>
    <row r="16" spans="2:22">
      <c r="B16" s="2259" t="s">
        <v>375</v>
      </c>
      <c r="C16" s="1866" t="s">
        <v>66</v>
      </c>
      <c r="E16" s="2177" t="s">
        <v>290</v>
      </c>
      <c r="H16" s="1340">
        <v>18230461</v>
      </c>
      <c r="I16" s="1605">
        <f>'HER Detail_REM_E214 elec.'!H6</f>
        <v>0</v>
      </c>
      <c r="J16" s="1605">
        <f>'HER Detail_REM_E214 elec.'!I6</f>
        <v>0</v>
      </c>
      <c r="K16" s="1605">
        <f>'HER Detail_REM_E214 elec.'!J6</f>
        <v>0</v>
      </c>
      <c r="L16" s="1605">
        <f>'HER Detail_REM_E214 elec.'!K6</f>
        <v>0</v>
      </c>
      <c r="M16" s="1605">
        <f>'HER Detail_REM_E214 elec.'!L6</f>
        <v>0</v>
      </c>
      <c r="N16" s="1605">
        <f>'HER Detail_REM_E214 elec.'!M6</f>
        <v>0</v>
      </c>
      <c r="O16" s="1605">
        <f>'HER Detail_REM_E214 elec.'!N6</f>
        <v>0</v>
      </c>
      <c r="P16" s="1605">
        <f>'HER Detail_REM_E214 elec.'!O6</f>
        <v>0</v>
      </c>
      <c r="Q16" s="1605">
        <f>'HER Detail_REM_E214 elec.'!P6</f>
        <v>0</v>
      </c>
      <c r="R16" s="1605">
        <f>'HER Detail_REM_E214 elec.'!Q6</f>
        <v>0</v>
      </c>
      <c r="S16" s="1605">
        <f>'HER Detail_REM_E214 elec.'!R6</f>
        <v>0</v>
      </c>
      <c r="T16" s="2144">
        <f>'HER Detail_REM_E214 elec.'!S6</f>
        <v>0</v>
      </c>
    </row>
    <row r="17" spans="2:20" s="2177" customFormat="1">
      <c r="B17" s="2872" t="s">
        <v>1611</v>
      </c>
      <c r="C17" s="2177" t="s">
        <v>66</v>
      </c>
      <c r="E17" s="2177" t="s">
        <v>1083</v>
      </c>
      <c r="H17" s="3116" t="s">
        <v>1494</v>
      </c>
      <c r="I17" s="2142">
        <f>'Web Tstat Detail_REM E214 Elec'!H6</f>
        <v>23743.61</v>
      </c>
      <c r="J17" s="2142">
        <f>'Web Tstat Detail_REM E214 Elec'!I6</f>
        <v>2563</v>
      </c>
      <c r="K17" s="2142">
        <f>'Web Tstat Detail_REM E214 Elec'!J6</f>
        <v>17888.4948</v>
      </c>
      <c r="L17" s="2142">
        <f>'Web Tstat Detail_REM E214 Elec'!K6</f>
        <v>41371.17</v>
      </c>
      <c r="M17" s="2142">
        <f>'Web Tstat Detail_REM E214 Elec'!L6</f>
        <v>500</v>
      </c>
      <c r="N17" s="2142">
        <f>'Web Tstat Detail_REM E214 Elec'!M6</f>
        <v>20000</v>
      </c>
      <c r="O17" s="2142">
        <f>'Web Tstat Detail_REM E214 Elec'!N6</f>
        <v>500</v>
      </c>
      <c r="P17" s="2142">
        <f>'Web Tstat Detail_REM E214 Elec'!O6</f>
        <v>500</v>
      </c>
      <c r="Q17" s="2142">
        <f>'Web Tstat Detail_REM E214 Elec'!P6</f>
        <v>150000</v>
      </c>
      <c r="R17" s="2142">
        <f>'Web Tstat Detail_REM E214 Elec'!Q6</f>
        <v>0</v>
      </c>
      <c r="S17" s="2142">
        <f>'Web Tstat Detail_REM E214 Elec'!R6</f>
        <v>257066.27480000001</v>
      </c>
      <c r="T17" s="2144">
        <f>'Web Tstat Detail_REM E214 Elec'!S6</f>
        <v>848000</v>
      </c>
    </row>
    <row r="18" spans="2:20">
      <c r="B18" s="2259" t="s">
        <v>376</v>
      </c>
      <c r="C18" s="1866" t="s">
        <v>71</v>
      </c>
      <c r="D18" s="2828" t="s">
        <v>591</v>
      </c>
      <c r="E18" s="2177" t="s">
        <v>189</v>
      </c>
      <c r="H18" s="1340">
        <v>18230405</v>
      </c>
      <c r="I18" s="1605">
        <f>'SFNC Detail_REM E215 Elec'!H6</f>
        <v>13500</v>
      </c>
      <c r="J18" s="1605">
        <f>'SFNC Detail_REM E215 Elec'!I6</f>
        <v>10984.2</v>
      </c>
      <c r="K18" s="1605">
        <f>'SFNC Detail_REM E215 Elec'!J6</f>
        <v>16649.256000000001</v>
      </c>
      <c r="L18" s="1605">
        <f>'SFNC Detail_REM E215 Elec'!K6</f>
        <v>26000</v>
      </c>
      <c r="M18" s="1605">
        <f>'SFNC Detail_REM E215 Elec'!L6</f>
        <v>1000</v>
      </c>
      <c r="N18" s="1605">
        <f>'SFNC Detail_REM E215 Elec'!M6</f>
        <v>2500</v>
      </c>
      <c r="O18" s="1605">
        <f>'SFNC Detail_REM E215 Elec'!N6</f>
        <v>2000</v>
      </c>
      <c r="P18" s="1605">
        <f>'SFNC Detail_REM E215 Elec'!O6</f>
        <v>0</v>
      </c>
      <c r="Q18" s="1605">
        <f>'SFNC Detail_REM E215 Elec'!P6</f>
        <v>0</v>
      </c>
      <c r="R18" s="1605">
        <f>'SFNC Detail_REM E215 Elec'!Q6</f>
        <v>0</v>
      </c>
      <c r="S18" s="1605">
        <f>'SFNC Detail_REM E215 Elec'!R6</f>
        <v>72633.456000000006</v>
      </c>
      <c r="T18" s="2144">
        <f>'SFNC Detail_REM E215 Elec'!S6</f>
        <v>0</v>
      </c>
    </row>
    <row r="19" spans="2:20">
      <c r="B19" s="2259" t="s">
        <v>377</v>
      </c>
      <c r="C19" s="1866" t="s">
        <v>71</v>
      </c>
      <c r="D19" s="2828" t="s">
        <v>591</v>
      </c>
      <c r="E19" s="2177" t="s">
        <v>288</v>
      </c>
      <c r="H19" s="1340">
        <v>18230433</v>
      </c>
      <c r="I19" s="1605">
        <f>'NCMfgHome Detail_REM E215 Elec'!H6</f>
        <v>0</v>
      </c>
      <c r="J19" s="1605">
        <f>'NCMfgHome Detail_REM E215 Elec'!I6</f>
        <v>0</v>
      </c>
      <c r="K19" s="1605">
        <f>'NCMfgHome Detail_REM E215 Elec'!J6</f>
        <v>0</v>
      </c>
      <c r="L19" s="1605">
        <f>'NCMfgHome Detail_REM E215 Elec'!K6</f>
        <v>0</v>
      </c>
      <c r="M19" s="1605">
        <f>'NCMfgHome Detail_REM E215 Elec'!L6</f>
        <v>0</v>
      </c>
      <c r="N19" s="1605">
        <f>'NCMfgHome Detail_REM E215 Elec'!M6</f>
        <v>0</v>
      </c>
      <c r="O19" s="1605">
        <f>'NCMfgHome Detail_REM E215 Elec'!N6</f>
        <v>0</v>
      </c>
      <c r="P19" s="1605">
        <f>'NCMfgHome Detail_REM E215 Elec'!O6</f>
        <v>0</v>
      </c>
      <c r="Q19" s="1605">
        <f>'NCMfgHome Detail_REM E215 Elec'!P6</f>
        <v>0</v>
      </c>
      <c r="R19" s="1605">
        <f>'NCMfgHome Detail_REM E215 Elec'!Q6</f>
        <v>0</v>
      </c>
      <c r="S19" s="1605">
        <f>'NCMfgHome Detail_REM E215 Elec'!R6</f>
        <v>0</v>
      </c>
      <c r="T19" s="2144">
        <f>'NCMfgHome Detail_REM E215 Elec'!S6</f>
        <v>0</v>
      </c>
    </row>
    <row r="20" spans="2:20">
      <c r="B20" s="2259" t="s">
        <v>378</v>
      </c>
      <c r="C20" s="1866" t="s">
        <v>72</v>
      </c>
      <c r="D20" s="2829"/>
      <c r="E20" s="1866" t="s">
        <v>73</v>
      </c>
      <c r="H20" s="1340">
        <v>18230612</v>
      </c>
      <c r="I20" s="1605">
        <f>'FuelConv Detail_REM E216 Elec'!H6</f>
        <v>51094.45</v>
      </c>
      <c r="J20" s="1605">
        <f>'FuelConv Detail_REM E216 Elec'!I6</f>
        <v>16408.199999999997</v>
      </c>
      <c r="K20" s="1605">
        <f>'FuelConv Detail_REM E216 Elec'!J6</f>
        <v>45901.802000000003</v>
      </c>
      <c r="L20" s="1605">
        <f>'FuelConv Detail_REM E216 Elec'!K6</f>
        <v>85000</v>
      </c>
      <c r="M20" s="1605">
        <f>'FuelConv Detail_REM E216 Elec'!L6</f>
        <v>2000</v>
      </c>
      <c r="N20" s="1605">
        <f>'FuelConv Detail_REM E216 Elec'!M6</f>
        <v>2000</v>
      </c>
      <c r="O20" s="1605">
        <f>'FuelConv Detail_REM E216 Elec'!N6</f>
        <v>1000</v>
      </c>
      <c r="P20" s="1605">
        <f>'FuelConv Detail_REM E216 Elec'!O6</f>
        <v>3000</v>
      </c>
      <c r="Q20" s="1605">
        <f>'FuelConv Detail_REM E216 Elec'!P6</f>
        <v>630500</v>
      </c>
      <c r="R20" s="1605">
        <f>'FuelConv Detail_REM E216 Elec'!Q6</f>
        <v>0</v>
      </c>
      <c r="S20" s="1605">
        <f>'FuelConv Detail_REM E216 Elec'!R6</f>
        <v>836904.45200000005</v>
      </c>
      <c r="T20" s="2144">
        <f>'FuelConv Detail_REM E216 Elec'!S6</f>
        <v>1896700</v>
      </c>
    </row>
    <row r="21" spans="2:20">
      <c r="B21" s="2259" t="s">
        <v>379</v>
      </c>
      <c r="C21" s="1866" t="s">
        <v>74</v>
      </c>
      <c r="D21" s="2829"/>
      <c r="E21" s="2177" t="s">
        <v>350</v>
      </c>
      <c r="H21" s="1340">
        <v>18230407</v>
      </c>
      <c r="I21" s="1605">
        <f>'MF Retr Detail_REM E217 Elec'!H6</f>
        <v>197152.80000000005</v>
      </c>
      <c r="J21" s="1605">
        <f>'MF Retr Detail_REM E217 Elec'!I6</f>
        <v>40000</v>
      </c>
      <c r="K21" s="1605">
        <f>'MF Retr Detail_REM E217 Elec'!J6</f>
        <v>161263.90400000004</v>
      </c>
      <c r="L21" s="1605">
        <f>'MF Retr Detail_REM E217 Elec'!K6</f>
        <v>75000</v>
      </c>
      <c r="M21" s="1605">
        <f>'MF Retr Detail_REM E217 Elec'!L6</f>
        <v>4000</v>
      </c>
      <c r="N21" s="1605">
        <f>'MF Retr Detail_REM E217 Elec'!M6</f>
        <v>1150000</v>
      </c>
      <c r="O21" s="1605">
        <f>'MF Retr Detail_REM E217 Elec'!N6</f>
        <v>1000</v>
      </c>
      <c r="P21" s="1605">
        <f>'MF Retr Detail_REM E217 Elec'!O6</f>
        <v>1000</v>
      </c>
      <c r="Q21" s="1605">
        <f>'MF Retr Detail_REM E217 Elec'!P6</f>
        <v>8521682</v>
      </c>
      <c r="R21" s="1605">
        <f>'MF Retr Detail_REM E217 Elec'!Q6</f>
        <v>0</v>
      </c>
      <c r="S21" s="1605">
        <f>'MF Retr Detail_REM E217 Elec'!R6</f>
        <v>10151098.704</v>
      </c>
      <c r="T21" s="2144">
        <f>'MF Retr Detail_REM E217 Elec'!S6</f>
        <v>19095964</v>
      </c>
    </row>
    <row r="22" spans="2:20">
      <c r="B22" s="2259" t="s">
        <v>380</v>
      </c>
      <c r="C22" s="1866" t="s">
        <v>75</v>
      </c>
      <c r="D22" s="2828" t="s">
        <v>591</v>
      </c>
      <c r="E22" s="2177" t="s">
        <v>298</v>
      </c>
      <c r="H22" s="1340">
        <v>18230486</v>
      </c>
      <c r="I22" s="1605">
        <f>'MFNC Detail_REM E218 Elec'!H6</f>
        <v>179031</v>
      </c>
      <c r="J22" s="1605">
        <f>'MFNC Detail_REM E218 Elec'!I6</f>
        <v>12000</v>
      </c>
      <c r="K22" s="1605">
        <f>'MFNC Detail_REM E218 Elec'!J6</f>
        <v>129901.08</v>
      </c>
      <c r="L22" s="1605">
        <f>'MFNC Detail_REM E218 Elec'!K6</f>
        <v>30000</v>
      </c>
      <c r="M22" s="1605">
        <f>'MFNC Detail_REM E218 Elec'!L6</f>
        <v>4000</v>
      </c>
      <c r="N22" s="1605">
        <f>'MFNC Detail_REM E218 Elec'!M6</f>
        <v>0</v>
      </c>
      <c r="O22" s="1605">
        <f>'MFNC Detail_REM E218 Elec'!N6</f>
        <v>500</v>
      </c>
      <c r="P22" s="1605">
        <f>'MFNC Detail_REM E218 Elec'!O6</f>
        <v>500</v>
      </c>
      <c r="Q22" s="1605">
        <f>'MFNC Detail_REM E218 Elec'!P6</f>
        <v>366454.74</v>
      </c>
      <c r="R22" s="1605">
        <f>'MFNC Detail_REM E218 Elec'!Q6</f>
        <v>0</v>
      </c>
      <c r="S22" s="1605">
        <f>'MFNC Detail_REM E218 Elec'!R6</f>
        <v>722386.82000000007</v>
      </c>
      <c r="T22" s="2144">
        <f>'MFNC Detail_REM E218 Elec'!S6</f>
        <v>2000000.0788</v>
      </c>
    </row>
    <row r="23" spans="2:20" s="1737" customFormat="1">
      <c r="B23" s="2011"/>
      <c r="D23" s="2064"/>
      <c r="F23" s="2010"/>
      <c r="G23" s="245" t="s">
        <v>155</v>
      </c>
      <c r="H23" s="602"/>
      <c r="I23" s="603">
        <f t="shared" ref="I23:T23" si="0">SUM(I7:I22)</f>
        <v>1174743.5575000001</v>
      </c>
      <c r="J23" s="2012">
        <f t="shared" si="0"/>
        <v>326404.15000000002</v>
      </c>
      <c r="K23" s="2012">
        <f t="shared" si="0"/>
        <v>1020780.4411000001</v>
      </c>
      <c r="L23" s="2012">
        <f t="shared" si="0"/>
        <v>3239232.54</v>
      </c>
      <c r="M23" s="2012">
        <f t="shared" si="0"/>
        <v>50604</v>
      </c>
      <c r="N23" s="2012">
        <f t="shared" si="0"/>
        <v>3596000</v>
      </c>
      <c r="O23" s="2012">
        <f t="shared" si="0"/>
        <v>66975</v>
      </c>
      <c r="P23" s="2012">
        <f t="shared" si="0"/>
        <v>43000</v>
      </c>
      <c r="Q23" s="2012">
        <f>SUM(Q7:Q22)</f>
        <v>36166446.772500001</v>
      </c>
      <c r="R23" s="2012">
        <f t="shared" si="0"/>
        <v>0</v>
      </c>
      <c r="S23" s="2012">
        <f t="shared" si="0"/>
        <v>45684186.461100005</v>
      </c>
      <c r="T23" s="2013">
        <f t="shared" si="0"/>
        <v>128636801.51879999</v>
      </c>
    </row>
    <row r="24" spans="2:20">
      <c r="B24" s="2193"/>
      <c r="H24" s="246"/>
      <c r="T24" s="2144"/>
    </row>
    <row r="25" spans="2:20">
      <c r="B25" s="2193"/>
      <c r="H25" s="2140"/>
      <c r="T25" s="2144"/>
    </row>
    <row r="26" spans="2:20">
      <c r="B26" s="2193"/>
      <c r="C26" s="1866" t="s">
        <v>140</v>
      </c>
      <c r="H26" s="2140"/>
      <c r="T26" s="2144"/>
    </row>
    <row r="27" spans="2:20">
      <c r="B27" s="2259" t="s">
        <v>381</v>
      </c>
      <c r="C27" s="1866" t="s">
        <v>194</v>
      </c>
      <c r="E27" s="1866" t="s">
        <v>146</v>
      </c>
      <c r="H27" s="1340">
        <v>18230711</v>
      </c>
      <c r="I27" s="1605">
        <f>'CI Retr Detail_BEM E250 Elec'!H6</f>
        <v>479585.94267861627</v>
      </c>
      <c r="J27" s="1605">
        <f>'CI Retr Detail_BEM E250 Elec'!I6</f>
        <v>11622.48</v>
      </c>
      <c r="K27" s="1605">
        <f>'CI Retr Detail_BEM E250 Elec'!J6</f>
        <v>336334.63239404804</v>
      </c>
      <c r="L27" s="1605">
        <f>'CI Retr Detail_BEM E250 Elec'!K6</f>
        <v>0</v>
      </c>
      <c r="M27" s="1605">
        <f>'CI Retr Detail_BEM E250 Elec'!L6</f>
        <v>25000</v>
      </c>
      <c r="N27" s="1605">
        <f>'CI Retr Detail_BEM E250 Elec'!M6</f>
        <v>740000</v>
      </c>
      <c r="O27" s="1605">
        <f>'CI Retr Detail_BEM E250 Elec'!N6</f>
        <v>8500</v>
      </c>
      <c r="P27" s="1605">
        <f>'CI Retr Detail_BEM E250 Elec'!O6</f>
        <v>0</v>
      </c>
      <c r="Q27" s="1605">
        <f>'CI Retr Detail_BEM E250 Elec'!P6</f>
        <v>6000000</v>
      </c>
      <c r="S27" s="1605">
        <f>'CI Retr Detail_BEM E250 Elec'!R6</f>
        <v>7601043.0550726643</v>
      </c>
      <c r="T27" s="2144">
        <f>'CI Retr Detail_BEM E250 Elec'!S6</f>
        <v>25500000</v>
      </c>
    </row>
    <row r="28" spans="2:20" s="1761" customFormat="1">
      <c r="B28" s="2259" t="s">
        <v>735</v>
      </c>
      <c r="E28" s="1761" t="s">
        <v>698</v>
      </c>
      <c r="H28" s="3212">
        <v>18230724</v>
      </c>
      <c r="I28" s="2142">
        <f>'BusLgtGrants_BEM E250 Elect'!H6</f>
        <v>1500000</v>
      </c>
      <c r="J28" s="2142">
        <f>'BusLgtGrants_BEM E250 Elect'!I6</f>
        <v>17100.099999999999</v>
      </c>
      <c r="K28" s="2142">
        <f>'BusLgtGrants_BEM E250 Elect'!J6</f>
        <v>1020000.0000000001</v>
      </c>
      <c r="L28" s="2142">
        <f>'BusLgtGrants_BEM E250 Elect'!K6</f>
        <v>35785</v>
      </c>
      <c r="M28" s="2142">
        <f>'BusLgtGrants_BEM E250 Elect'!L6</f>
        <v>72362</v>
      </c>
      <c r="N28" s="2142">
        <f>'BusLgtGrants_BEM E250 Elect'!M6</f>
        <v>40000</v>
      </c>
      <c r="O28" s="2142">
        <f>'BusLgtGrants_BEM E250 Elect'!N6</f>
        <v>20193</v>
      </c>
      <c r="P28" s="2142">
        <f>'BusLgtGrants_BEM E250 Elect'!O6</f>
        <v>12000</v>
      </c>
      <c r="Q28" s="2142">
        <f>'BusLgtGrants_BEM E250 Elect'!P6</f>
        <v>8040000</v>
      </c>
      <c r="S28" s="2142">
        <f>'BusLgtGrants_BEM E250 Elect'!R6</f>
        <v>10757440.1</v>
      </c>
      <c r="T28" s="2144">
        <f>'BusLgtGrants_BEM E250 Elect'!S6</f>
        <v>40300000</v>
      </c>
    </row>
    <row r="29" spans="2:20">
      <c r="B29" s="2259" t="s">
        <v>382</v>
      </c>
      <c r="C29" s="1866" t="s">
        <v>141</v>
      </c>
      <c r="E29" s="1866" t="s">
        <v>147</v>
      </c>
      <c r="H29" s="1340">
        <v>18230715</v>
      </c>
      <c r="I29" s="1605">
        <f>'CI NC Detail_BEM E251 Elec'!H6</f>
        <v>144000</v>
      </c>
      <c r="J29" s="1605">
        <f>'CI NC Detail_BEM E251 Elec'!I6</f>
        <v>13340</v>
      </c>
      <c r="K29" s="1605">
        <f>'CI NC Detail_BEM E251 Elec'!J6</f>
        <v>97920</v>
      </c>
      <c r="L29" s="1605">
        <f>'CI NC Detail_BEM E251 Elec'!K6</f>
        <v>24000</v>
      </c>
      <c r="M29" s="1605">
        <f>'CI NC Detail_BEM E251 Elec'!L6</f>
        <v>4000</v>
      </c>
      <c r="N29" s="1605">
        <f>'CI NC Detail_BEM E251 Elec'!M6</f>
        <v>120000</v>
      </c>
      <c r="O29" s="1605">
        <f>'CI NC Detail_BEM E251 Elec'!N6</f>
        <v>4000</v>
      </c>
      <c r="P29" s="1605">
        <f>'CI NC Detail_BEM E251 Elec'!O6</f>
        <v>5000</v>
      </c>
      <c r="Q29" s="1605">
        <f>'CI NC Detail_BEM E251 Elec'!P6</f>
        <v>1625000</v>
      </c>
      <c r="S29" s="1605">
        <f>'CI NC Detail_BEM E251 Elec'!R6</f>
        <v>2037260</v>
      </c>
      <c r="T29" s="2144">
        <f>'CI NC Detail_BEM E251 Elec'!S6</f>
        <v>6981030</v>
      </c>
    </row>
    <row r="30" spans="2:20">
      <c r="B30" s="1866"/>
      <c r="E30" s="2177" t="s">
        <v>748</v>
      </c>
      <c r="I30" s="25">
        <f>SUM(I31:I33)</f>
        <v>429472.83</v>
      </c>
      <c r="J30" s="25">
        <f t="shared" ref="J30:T30" si="1">SUM(J31:J33)</f>
        <v>683.68</v>
      </c>
      <c r="K30" s="25">
        <f>SUM(K31:K33)</f>
        <v>292506.42680000002</v>
      </c>
      <c r="L30" s="25">
        <f t="shared" si="1"/>
        <v>10000</v>
      </c>
      <c r="M30" s="25">
        <f t="shared" si="1"/>
        <v>16500</v>
      </c>
      <c r="N30" s="25">
        <f t="shared" si="1"/>
        <v>729336</v>
      </c>
      <c r="O30" s="25">
        <f t="shared" si="1"/>
        <v>4000</v>
      </c>
      <c r="P30" s="25">
        <f t="shared" si="1"/>
        <v>10000</v>
      </c>
      <c r="Q30" s="25">
        <f t="shared" si="1"/>
        <v>450000</v>
      </c>
      <c r="R30" s="25">
        <f t="shared" si="1"/>
        <v>0</v>
      </c>
      <c r="S30" s="25">
        <f t="shared" si="1"/>
        <v>1942498.9368</v>
      </c>
      <c r="T30" s="2144">
        <f t="shared" si="1"/>
        <v>30250000</v>
      </c>
    </row>
    <row r="31" spans="2:20" s="2822" customFormat="1">
      <c r="B31" s="2821" t="s">
        <v>383</v>
      </c>
      <c r="C31" s="2822" t="s">
        <v>142</v>
      </c>
      <c r="E31" s="3366" t="s">
        <v>542</v>
      </c>
      <c r="H31" s="2825">
        <v>18230723</v>
      </c>
      <c r="I31" s="2824">
        <f>'RCM Detail_BEM E253 Elec'!H6</f>
        <v>385000</v>
      </c>
      <c r="J31" s="2824">
        <f>'RCM Detail_BEM E253 Elec'!I6</f>
        <v>0</v>
      </c>
      <c r="K31" s="2824">
        <f>'RCM Detail_BEM E253 Elec'!J6</f>
        <v>261800.00000000003</v>
      </c>
      <c r="L31" s="2824">
        <f>'RCM Detail_BEM E253 Elec'!K6</f>
        <v>10000</v>
      </c>
      <c r="M31" s="2824">
        <f>'RCM Detail_BEM E253 Elec'!L6</f>
        <v>15000</v>
      </c>
      <c r="N31" s="2824">
        <f>'RCM Detail_BEM E253 Elec'!M6</f>
        <v>213500</v>
      </c>
      <c r="O31" s="2824">
        <f>'RCM Detail_BEM E253 Elec'!N6</f>
        <v>4000</v>
      </c>
      <c r="P31" s="2824">
        <f>'RCM Detail_BEM E253 Elec'!O6</f>
        <v>10000</v>
      </c>
      <c r="Q31" s="2824">
        <f>'RCM Detail_BEM E253 Elec'!P6</f>
        <v>450000</v>
      </c>
      <c r="R31" s="2824"/>
      <c r="S31" s="2824">
        <f>'RCM Detail_BEM E253 Elec'!R6</f>
        <v>1349300</v>
      </c>
      <c r="T31" s="2826">
        <f>'RCM Detail_BEM E253 Elec'!S6</f>
        <v>14250000</v>
      </c>
    </row>
    <row r="32" spans="2:20" s="2822" customFormat="1">
      <c r="B32" s="2821" t="s">
        <v>1633</v>
      </c>
      <c r="C32" s="2822" t="s">
        <v>142</v>
      </c>
      <c r="E32" s="3366" t="s">
        <v>1627</v>
      </c>
      <c r="H32" s="3116" t="s">
        <v>1615</v>
      </c>
      <c r="I32" s="2824">
        <f>'RCM B-U-S Detail_E253 Elec'!H6</f>
        <v>0</v>
      </c>
      <c r="J32" s="2824">
        <f>'RCM B-U-S Detail_E253 Elec'!I6</f>
        <v>0</v>
      </c>
      <c r="K32" s="2824">
        <f>'RCM B-U-S Detail_E253 Elec'!J6</f>
        <v>0</v>
      </c>
      <c r="L32" s="2824">
        <f>'RCM B-U-S Detail_E253 Elec'!K6</f>
        <v>0</v>
      </c>
      <c r="M32" s="2824">
        <f>'RCM B-U-S Detail_E253 Elec'!L6</f>
        <v>0</v>
      </c>
      <c r="N32" s="2824">
        <f>'RCM B-U-S Detail_E253 Elec'!M6</f>
        <v>494086</v>
      </c>
      <c r="O32" s="2824">
        <f>'RCM B-U-S Detail_E253 Elec'!N6</f>
        <v>0</v>
      </c>
      <c r="P32" s="2824">
        <f>'RCM B-U-S Detail_E253 Elec'!O6</f>
        <v>0</v>
      </c>
      <c r="Q32" s="2824">
        <f>'RCM B-U-S Detail_E253 Elec'!P6</f>
        <v>0</v>
      </c>
      <c r="R32" s="2824">
        <f>'RCM B-U-S Detail_E253 Elec'!Q6</f>
        <v>0</v>
      </c>
      <c r="S32" s="2824">
        <f>'RCM B-U-S Detail_E253 Elec'!R6</f>
        <v>494086</v>
      </c>
      <c r="T32" s="2826">
        <f>'RCM B-U-S Detail_E253 Elec'!S6</f>
        <v>16000000</v>
      </c>
    </row>
    <row r="33" spans="2:20" s="2822" customFormat="1">
      <c r="B33" s="2821" t="s">
        <v>1637</v>
      </c>
      <c r="E33" s="3366" t="s">
        <v>1639</v>
      </c>
      <c r="H33" s="3116" t="s">
        <v>1619</v>
      </c>
      <c r="I33" s="2824">
        <f>'ResAcctSW Detail_PSWE_Elec'!H6</f>
        <v>44472.83</v>
      </c>
      <c r="J33" s="2824">
        <f>'ResAcctSW Detail_PSWE_Elec'!I6</f>
        <v>683.68</v>
      </c>
      <c r="K33" s="2824">
        <f>'ResAcctSW Detail_PSWE_Elec'!J6</f>
        <v>30706.426800000001</v>
      </c>
      <c r="L33" s="2824">
        <f>'ResAcctSW Detail_PSWE_Elec'!K6</f>
        <v>0</v>
      </c>
      <c r="M33" s="2824">
        <f>'ResAcctSW Detail_PSWE_Elec'!L6</f>
        <v>1500</v>
      </c>
      <c r="N33" s="2824">
        <f>'ResAcctSW Detail_PSWE_Elec'!M6</f>
        <v>21750</v>
      </c>
      <c r="O33" s="2824">
        <f>'ResAcctSW Detail_PSWE_Elec'!N6</f>
        <v>0</v>
      </c>
      <c r="P33" s="2824">
        <f>'ResAcctSW Detail_PSWE_Elec'!O6</f>
        <v>0</v>
      </c>
      <c r="Q33" s="2824">
        <f>'ResAcctSW Detail_PSWE_Elec'!P6</f>
        <v>0</v>
      </c>
      <c r="R33" s="2824">
        <f>'ResAcctSW Detail_PSWE_Elec'!Q6</f>
        <v>0</v>
      </c>
      <c r="S33" s="2824">
        <f>'ResAcctSW Detail_PSWE_Elec'!R6</f>
        <v>99112.936799999996</v>
      </c>
      <c r="T33" s="2826"/>
    </row>
    <row r="34" spans="2:20">
      <c r="B34" s="2259"/>
      <c r="E34" s="1866" t="s">
        <v>149</v>
      </c>
      <c r="H34" s="1340"/>
      <c r="I34" s="2142">
        <f>SUM(I35:I36)</f>
        <v>359414.05732138373</v>
      </c>
      <c r="J34" s="2142">
        <f t="shared" ref="J34:T34" si="2">SUM(J35:J36)</f>
        <v>0</v>
      </c>
      <c r="K34" s="2142">
        <f t="shared" si="2"/>
        <v>242065.36760595196</v>
      </c>
      <c r="L34" s="2142">
        <f t="shared" si="2"/>
        <v>0</v>
      </c>
      <c r="M34" s="2142">
        <f t="shared" si="2"/>
        <v>0</v>
      </c>
      <c r="N34" s="2142">
        <f t="shared" si="2"/>
        <v>0</v>
      </c>
      <c r="O34" s="2142">
        <f t="shared" si="2"/>
        <v>0</v>
      </c>
      <c r="P34" s="2142">
        <f t="shared" si="2"/>
        <v>0</v>
      </c>
      <c r="Q34" s="2142">
        <f t="shared" si="2"/>
        <v>9333566.5815630779</v>
      </c>
      <c r="R34" s="2142">
        <f t="shared" si="2"/>
        <v>0</v>
      </c>
      <c r="S34" s="2142">
        <f t="shared" si="2"/>
        <v>9935046.0064904131</v>
      </c>
      <c r="T34" s="2144">
        <f t="shared" si="2"/>
        <v>31462658</v>
      </c>
    </row>
    <row r="35" spans="2:20" s="2822" customFormat="1">
      <c r="B35" s="2821" t="s">
        <v>1626</v>
      </c>
      <c r="C35" s="2822" t="s">
        <v>143</v>
      </c>
      <c r="E35" s="3366" t="s">
        <v>1623</v>
      </c>
      <c r="H35" s="3152">
        <v>18230720</v>
      </c>
      <c r="I35" s="2824">
        <f>LPSD_Detail_449_Elec!H6</f>
        <v>97183.947518559013</v>
      </c>
      <c r="J35" s="2824">
        <f>LPSD_Detail_449_Elec!I6</f>
        <v>0</v>
      </c>
      <c r="K35" s="2824">
        <f>LPSD_Detail_449_Elec!J6</f>
        <v>65453.388653749498</v>
      </c>
      <c r="L35" s="2824">
        <f>LPSD_Detail_449_Elec!K6</f>
        <v>0</v>
      </c>
      <c r="M35" s="2824">
        <f>LPSD_Detail_449_Elec!L6</f>
        <v>0</v>
      </c>
      <c r="N35" s="2824">
        <f>LPSD_Detail_449_Elec!M6</f>
        <v>0</v>
      </c>
      <c r="O35" s="2824">
        <f>LPSD_Detail_449_Elec!N6</f>
        <v>0</v>
      </c>
      <c r="P35" s="2824">
        <f>LPSD_Detail_449_Elec!O6</f>
        <v>0</v>
      </c>
      <c r="Q35" s="2824">
        <f>LPSD_Detail_449_Elec!P6</f>
        <v>2519575.7815630781</v>
      </c>
      <c r="R35" s="2824">
        <f>LPSD_Detail_449_Elec!Q6</f>
        <v>0</v>
      </c>
      <c r="S35" s="2824">
        <f>LPSD_Detail_449_Elec!R6</f>
        <v>2682213.1177353864</v>
      </c>
      <c r="T35" s="2826">
        <f>LPSD_Detail_449_Elec!S6</f>
        <v>8491952</v>
      </c>
    </row>
    <row r="36" spans="2:20" s="2822" customFormat="1">
      <c r="B36" s="2821" t="s">
        <v>1625</v>
      </c>
      <c r="C36" s="2822" t="s">
        <v>143</v>
      </c>
      <c r="E36" s="3366" t="s">
        <v>1624</v>
      </c>
      <c r="H36" s="3152">
        <v>18230721</v>
      </c>
      <c r="I36" s="2824">
        <f>'LPSD_Detail_Non-449 Elec'!H6</f>
        <v>262230.10980282474</v>
      </c>
      <c r="J36" s="2824">
        <f>'LPSD_Detail_Non-449 Elec'!I6</f>
        <v>0</v>
      </c>
      <c r="K36" s="2824">
        <f>'LPSD_Detail_Non-449 Elec'!J6</f>
        <v>176611.97895220248</v>
      </c>
      <c r="L36" s="2824">
        <f>'LPSD_Detail_Non-449 Elec'!K6</f>
        <v>0</v>
      </c>
      <c r="M36" s="2824">
        <f>'LPSD_Detail_Non-449 Elec'!L6</f>
        <v>0</v>
      </c>
      <c r="N36" s="2824">
        <f>'LPSD_Detail_Non-449 Elec'!M6</f>
        <v>0</v>
      </c>
      <c r="O36" s="2824">
        <f>'LPSD_Detail_Non-449 Elec'!N6</f>
        <v>0</v>
      </c>
      <c r="P36" s="2824">
        <f>'LPSD_Detail_Non-449 Elec'!O6</f>
        <v>0</v>
      </c>
      <c r="Q36" s="2824">
        <f>'LPSD_Detail_Non-449 Elec'!P6</f>
        <v>6813990.7999999998</v>
      </c>
      <c r="R36" s="2824"/>
      <c r="S36" s="2824">
        <f>'LPSD_Detail_Non-449 Elec'!R6</f>
        <v>7252832.8887550272</v>
      </c>
      <c r="T36" s="2826">
        <f>'LPSD_Detail_Non-449 Elec'!S6</f>
        <v>22970706</v>
      </c>
    </row>
    <row r="37" spans="2:20">
      <c r="B37" s="2259" t="s">
        <v>384</v>
      </c>
      <c r="C37" s="1866" t="s">
        <v>144</v>
      </c>
      <c r="E37" s="1866" t="s">
        <v>150</v>
      </c>
      <c r="H37" s="1340">
        <v>18230448</v>
      </c>
      <c r="I37" s="1605">
        <f>'TechEval Detail_BEM E261 Elec'!H6</f>
        <v>0</v>
      </c>
      <c r="J37" s="1605">
        <f>'TechEval Detail_BEM E261 Elec'!I6</f>
        <v>0</v>
      </c>
      <c r="K37" s="1605">
        <f>'TechEval Detail_BEM E261 Elec'!J6</f>
        <v>0</v>
      </c>
      <c r="L37" s="1605">
        <f>'TechEval Detail_BEM E261 Elec'!K6</f>
        <v>0</v>
      </c>
      <c r="M37" s="1605">
        <f>'TechEval Detail_BEM E261 Elec'!L6</f>
        <v>0</v>
      </c>
      <c r="N37" s="1605">
        <f>'TechEval Detail_BEM E261 Elec'!M6</f>
        <v>0</v>
      </c>
      <c r="O37" s="1605">
        <f>'TechEval Detail_BEM E261 Elec'!N6</f>
        <v>0</v>
      </c>
      <c r="P37" s="1605">
        <f>'TechEval Detail_BEM E261 Elec'!O6</f>
        <v>0</v>
      </c>
      <c r="Q37" s="1605">
        <f>'TechEval Detail_BEM E261 Elec'!P6</f>
        <v>0</v>
      </c>
      <c r="S37" s="1605">
        <f>'TechEval Detail_BEM E261 Elec'!R6</f>
        <v>0</v>
      </c>
      <c r="T37" s="2144">
        <f>'TechEval Detail_BEM E261 Elec'!S6</f>
        <v>0</v>
      </c>
    </row>
    <row r="38" spans="2:20">
      <c r="B38" s="2259"/>
      <c r="C38" s="1866" t="s">
        <v>145</v>
      </c>
      <c r="E38" s="1866" t="s">
        <v>151</v>
      </c>
      <c r="H38" s="1340"/>
      <c r="I38" s="1605">
        <f>SUM(I39:I46)</f>
        <v>349211.35499999998</v>
      </c>
      <c r="J38" s="2142">
        <f t="shared" ref="J38:T38" si="3">SUM(J39:J46)</f>
        <v>59885.368749999994</v>
      </c>
      <c r="K38" s="2142">
        <f>SUM(K39:K46)</f>
        <v>278185.77214999998</v>
      </c>
      <c r="L38" s="2142">
        <f>SUM(L39:L46)</f>
        <v>147500</v>
      </c>
      <c r="M38" s="2142">
        <f t="shared" si="3"/>
        <v>26475</v>
      </c>
      <c r="N38" s="2142">
        <f>SUM(N39:N46)</f>
        <v>386304</v>
      </c>
      <c r="O38" s="2142">
        <f t="shared" si="3"/>
        <v>11540</v>
      </c>
      <c r="P38" s="2142">
        <f t="shared" si="3"/>
        <v>1004695.5</v>
      </c>
      <c r="Q38" s="2142">
        <f t="shared" si="3"/>
        <v>5164361.4527100008</v>
      </c>
      <c r="R38" s="2142">
        <f>SUM(R39:R46)</f>
        <v>0</v>
      </c>
      <c r="S38" s="2142">
        <f t="shared" si="3"/>
        <v>7428158.4486100003</v>
      </c>
      <c r="T38" s="2144">
        <f t="shared" si="3"/>
        <v>32040134.100000001</v>
      </c>
    </row>
    <row r="39" spans="2:20" s="2822" customFormat="1">
      <c r="B39" s="2821" t="s">
        <v>729</v>
      </c>
      <c r="C39" s="2822" t="s">
        <v>145</v>
      </c>
      <c r="E39" s="3366" t="s">
        <v>657</v>
      </c>
      <c r="H39" s="246">
        <v>18230714</v>
      </c>
      <c r="I39" s="2824">
        <f>'Comm Lgt Mkdn_E262 Elect'!H6</f>
        <v>123466.78499999999</v>
      </c>
      <c r="J39" s="2824">
        <f>'Comm Lgt Mkdn_E262 Elect'!I6</f>
        <v>20500</v>
      </c>
      <c r="K39" s="2824">
        <f>'Comm Lgt Mkdn_E262 Elect'!J6</f>
        <v>97897.413799999995</v>
      </c>
      <c r="L39" s="2824">
        <f>'Comm Lgt Mkdn_E262 Elect'!K6</f>
        <v>50000</v>
      </c>
      <c r="M39" s="2824">
        <f>'Comm Lgt Mkdn_E262 Elect'!L6</f>
        <v>2750</v>
      </c>
      <c r="N39" s="2824">
        <f>'Comm Lgt Mkdn_E262 Elect'!M6</f>
        <v>200000</v>
      </c>
      <c r="O39" s="2824">
        <f>'Comm Lgt Mkdn_E262 Elect'!N6</f>
        <v>2800</v>
      </c>
      <c r="P39" s="2824">
        <f>'Comm Lgt Mkdn_E262 Elect'!O6</f>
        <v>500</v>
      </c>
      <c r="Q39" s="2824">
        <f>'Comm Lgt Mkdn_E262 Elect'!P6</f>
        <v>894650</v>
      </c>
      <c r="R39" s="2824">
        <f>'Comm Lgt Mkdn_E262 Elect'!Q6</f>
        <v>0</v>
      </c>
      <c r="S39" s="2824">
        <f>'Comm Lgt Mkdn_E262 Elect'!R6</f>
        <v>1392564.1987999999</v>
      </c>
      <c r="T39" s="2826">
        <f>'Comm Lgt Mkdn_E262 Elect'!S6</f>
        <v>10900868</v>
      </c>
    </row>
    <row r="40" spans="2:20" s="2822" customFormat="1">
      <c r="B40" s="2821" t="s">
        <v>730</v>
      </c>
      <c r="C40" s="2822" t="s">
        <v>145</v>
      </c>
      <c r="E40" s="3366" t="s">
        <v>658</v>
      </c>
      <c r="H40" s="246">
        <v>18230716</v>
      </c>
      <c r="I40" s="2824">
        <f>'Comm Kit-Laund_E262 Elect'!H6</f>
        <v>35301.620000000003</v>
      </c>
      <c r="J40" s="2824">
        <f>'Comm Kit-Laund_E262 Elect'!I6</f>
        <v>6560</v>
      </c>
      <c r="K40" s="2824">
        <f>'Comm Kit-Laund_E262 Elect'!J6</f>
        <v>28465.901600000001</v>
      </c>
      <c r="L40" s="2824">
        <f>'Comm Kit-Laund_E262 Elect'!K6</f>
        <v>15000</v>
      </c>
      <c r="M40" s="2824">
        <f>'Comm Kit-Laund_E262 Elect'!L6</f>
        <v>5225</v>
      </c>
      <c r="N40" s="2824">
        <f>'Comm Kit-Laund_E262 Elect'!M6</f>
        <v>1200</v>
      </c>
      <c r="O40" s="2824">
        <f>'Comm Kit-Laund_E262 Elect'!N6</f>
        <v>240</v>
      </c>
      <c r="P40" s="2824">
        <f>'Comm Kit-Laund_E262 Elect'!O6</f>
        <v>0</v>
      </c>
      <c r="Q40" s="2824">
        <f>'Comm Kit-Laund_E262 Elect'!P6</f>
        <v>147470</v>
      </c>
      <c r="R40" s="2824">
        <f>'Comm Kit-Laund_E262 Elect'!Q6</f>
        <v>0</v>
      </c>
      <c r="S40" s="2824">
        <f>'Comm Kit-Laund_E262 Elect'!R6</f>
        <v>239462.52160000001</v>
      </c>
      <c r="T40" s="2826">
        <f>'Comm Kit-Laund_E262 Elect'!S6</f>
        <v>1112579.5999999999</v>
      </c>
    </row>
    <row r="41" spans="2:20" s="2822" customFormat="1" hidden="1">
      <c r="B41" s="2821" t="s">
        <v>731</v>
      </c>
      <c r="C41" s="2822" t="s">
        <v>145</v>
      </c>
      <c r="E41" s="3366" t="s">
        <v>659</v>
      </c>
      <c r="H41" s="246">
        <v>18230717</v>
      </c>
      <c r="I41" s="2824">
        <f>'Comm DI_E262 Elect'!H6</f>
        <v>0</v>
      </c>
      <c r="J41" s="2824">
        <f>'Comm DI_E262 Elect'!I6</f>
        <v>0</v>
      </c>
      <c r="K41" s="2824">
        <f>'Comm DI_E262 Elect'!J6</f>
        <v>0</v>
      </c>
      <c r="L41" s="2824">
        <f>'Comm DI_E262 Elect'!K6</f>
        <v>0</v>
      </c>
      <c r="M41" s="2824">
        <f>'Comm DI_E262 Elect'!L6</f>
        <v>0</v>
      </c>
      <c r="N41" s="2824">
        <f>'Comm DI_E262 Elect'!M6</f>
        <v>0</v>
      </c>
      <c r="O41" s="2824">
        <f>'Comm DI_E262 Elect'!N6</f>
        <v>0</v>
      </c>
      <c r="P41" s="2824">
        <f>'Comm DI_E262 Elect'!O6</f>
        <v>0</v>
      </c>
      <c r="Q41" s="2824">
        <f>'Comm DI_E262 Elect'!P6</f>
        <v>0</v>
      </c>
      <c r="R41" s="2824">
        <f>'Comm DI_E262 Elect'!Q6</f>
        <v>0</v>
      </c>
      <c r="S41" s="2824">
        <f>'Comm DI_E262 Elect'!R6</f>
        <v>0</v>
      </c>
      <c r="T41" s="2826">
        <f>'Comm DI_E262 Elect'!S6</f>
        <v>0</v>
      </c>
    </row>
    <row r="42" spans="2:20" s="2822" customFormat="1">
      <c r="B42" s="2821" t="s">
        <v>732</v>
      </c>
      <c r="C42" s="2822" t="s">
        <v>145</v>
      </c>
      <c r="E42" s="3366" t="s">
        <v>660</v>
      </c>
      <c r="H42" s="246">
        <v>18230718</v>
      </c>
      <c r="I42" s="2824">
        <f>'Comm HVAC_E262 Elect'!H6</f>
        <v>60384.35</v>
      </c>
      <c r="J42" s="2824">
        <f>'Comm HVAC_E262 Elect'!I6</f>
        <v>4100</v>
      </c>
      <c r="K42" s="2824">
        <f>'Comm HVAC_E262 Elect'!J6</f>
        <v>43849.358</v>
      </c>
      <c r="L42" s="2824">
        <f>'Comm HVAC_E262 Elect'!K6</f>
        <v>42500</v>
      </c>
      <c r="M42" s="2824">
        <f>'Comm HVAC_E262 Elect'!L6</f>
        <v>5000</v>
      </c>
      <c r="N42" s="2824">
        <f>'Comm HVAC_E262 Elect'!M6</f>
        <v>60919</v>
      </c>
      <c r="O42" s="2824">
        <f>'Comm HVAC_E262 Elect'!N6</f>
        <v>5000</v>
      </c>
      <c r="P42" s="2824">
        <f>'Comm HVAC_E262 Elect'!O6</f>
        <v>1000</v>
      </c>
      <c r="Q42" s="2824">
        <f>'Comm HVAC_E262 Elect'!P6</f>
        <v>629250</v>
      </c>
      <c r="R42" s="2824">
        <f>'Comm HVAC_E262 Elect'!Q6</f>
        <v>0</v>
      </c>
      <c r="S42" s="2824">
        <f>'Comm HVAC_E262 Elect'!R6</f>
        <v>852002.70799999998</v>
      </c>
      <c r="T42" s="2826">
        <f>'Comm HVAC_E262 Elect'!S6</f>
        <v>3690100</v>
      </c>
    </row>
    <row r="43" spans="2:20" s="2822" customFormat="1">
      <c r="B43" s="2821" t="s">
        <v>733</v>
      </c>
      <c r="C43" s="2822" t="s">
        <v>145</v>
      </c>
      <c r="E43" s="3366" t="s">
        <v>661</v>
      </c>
      <c r="H43" s="246">
        <v>18230722</v>
      </c>
      <c r="I43" s="2824">
        <f>'Comm ExpLgt_E262 Elect'!H6</f>
        <v>0</v>
      </c>
      <c r="J43" s="2824">
        <f>'Comm ExpLgt_E262 Elect'!I6</f>
        <v>0</v>
      </c>
      <c r="K43" s="2824">
        <f>'Comm ExpLgt_E262 Elect'!J6</f>
        <v>0</v>
      </c>
      <c r="L43" s="2824">
        <f>'Comm ExpLgt_E262 Elect'!K6</f>
        <v>0</v>
      </c>
      <c r="M43" s="2824">
        <f>'Comm ExpLgt_E262 Elect'!L6</f>
        <v>0</v>
      </c>
      <c r="N43" s="2824">
        <f>'Comm ExpLgt_E262 Elect'!M6</f>
        <v>0</v>
      </c>
      <c r="O43" s="2824">
        <f>'Comm ExpLgt_E262 Elect'!N6</f>
        <v>0</v>
      </c>
      <c r="P43" s="2824">
        <f>'Comm ExpLgt_E262 Elect'!O6</f>
        <v>0</v>
      </c>
      <c r="Q43" s="2824">
        <f>'Comm ExpLgt_E262 Elect'!P6</f>
        <v>0</v>
      </c>
      <c r="R43" s="2824">
        <f>'Comm ExpLgt_E262 Elect'!Q6</f>
        <v>0</v>
      </c>
      <c r="S43" s="2824">
        <f>'Comm ExpLgt_E262 Elect'!R6</f>
        <v>0</v>
      </c>
      <c r="T43" s="2826">
        <f>'Comm ExpLgt_E262 Elect'!S6</f>
        <v>0</v>
      </c>
    </row>
    <row r="44" spans="2:20" s="2822" customFormat="1">
      <c r="B44" s="3117" t="s">
        <v>1613</v>
      </c>
      <c r="C44" s="3118" t="s">
        <v>145</v>
      </c>
      <c r="D44" s="3118"/>
      <c r="E44" s="3367" t="s">
        <v>1491</v>
      </c>
      <c r="G44" s="3118"/>
      <c r="H44" s="246" t="s">
        <v>1494</v>
      </c>
      <c r="I44" s="2824">
        <f>'Sm Agr DI_E262 Elect'!H6</f>
        <v>20437.780000000002</v>
      </c>
      <c r="J44" s="2824">
        <f>'Sm Agr DI_E262 Elect'!I6</f>
        <v>0</v>
      </c>
      <c r="K44" s="2824">
        <f>'Sm Agr DI_E262 Elect'!J6</f>
        <v>13897.690400000003</v>
      </c>
      <c r="L44" s="2824">
        <f>'Sm Agr DI_E262 Elect'!K6</f>
        <v>0</v>
      </c>
      <c r="M44" s="2824">
        <f>'Sm Agr DI_E262 Elect'!L6</f>
        <v>0</v>
      </c>
      <c r="N44" s="2824">
        <f>'Sm Agr DI_E262 Elect'!M6</f>
        <v>10185</v>
      </c>
      <c r="O44" s="2824">
        <f>'Sm Agr DI_E262 Elect'!N6</f>
        <v>0</v>
      </c>
      <c r="P44" s="2824">
        <f>'Sm Agr DI_E262 Elect'!O6</f>
        <v>152775</v>
      </c>
      <c r="Q44" s="2824">
        <f>'Sm Agr DI_E262 Elect'!P6</f>
        <v>327270.625</v>
      </c>
      <c r="R44" s="2824">
        <f>'Sm Agr DI_E262 Elect'!Q6</f>
        <v>0</v>
      </c>
      <c r="S44" s="2824">
        <f>'Sm Agr DI_E262 Elect'!R6</f>
        <v>524566.09539999999</v>
      </c>
      <c r="T44" s="2826">
        <f>'Sm Agr DI_E262 Elect'!S6</f>
        <v>1912897.5</v>
      </c>
    </row>
    <row r="45" spans="2:20" s="2822" customFormat="1">
      <c r="B45" s="3117" t="s">
        <v>1612</v>
      </c>
      <c r="C45" s="3118" t="s">
        <v>145</v>
      </c>
      <c r="D45" s="3118"/>
      <c r="E45" s="3367" t="s">
        <v>1492</v>
      </c>
      <c r="G45" s="3118"/>
      <c r="H45" s="246" t="s">
        <v>1494</v>
      </c>
      <c r="I45" s="2824">
        <f>'Lodging DI_E262 Elec'!H6</f>
        <v>27869.7</v>
      </c>
      <c r="J45" s="2824">
        <f>'Lodging DI_E262 Elec'!I6</f>
        <v>23805.368749999998</v>
      </c>
      <c r="K45" s="2824">
        <f>'Lodging DI_E262 Elec'!J6</f>
        <v>35139.046750000001</v>
      </c>
      <c r="L45" s="2824">
        <f>'Lodging DI_E262 Elec'!K6</f>
        <v>10000</v>
      </c>
      <c r="M45" s="2824">
        <f>'Lodging DI_E262 Elec'!L6</f>
        <v>10000</v>
      </c>
      <c r="N45" s="2824">
        <f>'Lodging DI_E262 Elec'!M6</f>
        <v>60000</v>
      </c>
      <c r="O45" s="2824">
        <f>'Lodging DI_E262 Elec'!N6</f>
        <v>1000</v>
      </c>
      <c r="P45" s="2824">
        <f>'Lodging DI_E262 Elec'!O6</f>
        <v>240000</v>
      </c>
      <c r="Q45" s="2824">
        <f>'Lodging DI_E262 Elec'!P6</f>
        <v>746489.46771000011</v>
      </c>
      <c r="R45" s="2824">
        <f>'Lodging DI_E262 Elec'!Q6</f>
        <v>0</v>
      </c>
      <c r="S45" s="2824">
        <f>'Lodging DI_E262 Elec'!R6</f>
        <v>1154303.5832100001</v>
      </c>
      <c r="T45" s="2826">
        <f>'Lodging DI_E262 Elec'!S6</f>
        <v>3090940.5</v>
      </c>
    </row>
    <row r="46" spans="2:20" s="2822" customFormat="1">
      <c r="B46" s="2821" t="s">
        <v>734</v>
      </c>
      <c r="C46" s="2822" t="s">
        <v>145</v>
      </c>
      <c r="E46" s="3366" t="s">
        <v>553</v>
      </c>
      <c r="H46" s="246">
        <v>18231134</v>
      </c>
      <c r="I46" s="2824">
        <f>'Sm Bus DI_E262 Elect'!H6</f>
        <v>81751.12</v>
      </c>
      <c r="J46" s="2824">
        <f>'Sm Bus DI_E262 Elect'!I6</f>
        <v>4920</v>
      </c>
      <c r="K46" s="2824">
        <f>'Sm Bus DI_E262 Elect'!J6</f>
        <v>58936.361599999997</v>
      </c>
      <c r="L46" s="2824">
        <f>'Sm Bus DI_E262 Elect'!K6</f>
        <v>30000</v>
      </c>
      <c r="M46" s="2824">
        <f>'Sm Bus DI_E262 Elect'!L6</f>
        <v>3500</v>
      </c>
      <c r="N46" s="2824">
        <f>'Sm Bus DI_E262 Elect'!M6</f>
        <v>54000</v>
      </c>
      <c r="O46" s="2824">
        <f>'Sm Bus DI_E262 Elect'!N6</f>
        <v>2500</v>
      </c>
      <c r="P46" s="2824">
        <f>'Sm Bus DI_E262 Elect'!O6</f>
        <v>610420.5</v>
      </c>
      <c r="Q46" s="2824">
        <f>'Sm Bus DI_E262 Elect'!P6</f>
        <v>2419231.3600000003</v>
      </c>
      <c r="R46" s="2824">
        <f>'Sm Bus DI_E262 Elect'!Q6</f>
        <v>0</v>
      </c>
      <c r="S46" s="2824">
        <f>'Sm Bus DI_E262 Elect'!R6</f>
        <v>3265259.3416000004</v>
      </c>
      <c r="T46" s="2826">
        <f>'Sm Bus DI_E262 Elect'!S6</f>
        <v>11332748.5</v>
      </c>
    </row>
    <row r="47" spans="2:20" s="1737" customFormat="1">
      <c r="B47" s="2011"/>
      <c r="D47" s="2064"/>
      <c r="F47" s="2010"/>
      <c r="G47" s="245" t="s">
        <v>156</v>
      </c>
      <c r="H47" s="2064"/>
      <c r="I47" s="603">
        <f>SUM(I27:I30)+I34+I37+I38</f>
        <v>3261684.1850000001</v>
      </c>
      <c r="J47" s="2012">
        <f t="shared" ref="J47:S47" si="4">SUM(J27:J30)+J34+J37+J38</f>
        <v>102631.62875</v>
      </c>
      <c r="K47" s="2012">
        <f t="shared" si="4"/>
        <v>2267012.1989500001</v>
      </c>
      <c r="L47" s="2012">
        <f t="shared" si="4"/>
        <v>217285</v>
      </c>
      <c r="M47" s="2012">
        <f t="shared" si="4"/>
        <v>144337</v>
      </c>
      <c r="N47" s="2012">
        <f t="shared" si="4"/>
        <v>2015640</v>
      </c>
      <c r="O47" s="2012">
        <f t="shared" si="4"/>
        <v>48233</v>
      </c>
      <c r="P47" s="2012">
        <f t="shared" si="4"/>
        <v>1031695.5</v>
      </c>
      <c r="Q47" s="2012">
        <f t="shared" si="4"/>
        <v>30612928.034273081</v>
      </c>
      <c r="R47" s="2012">
        <f t="shared" si="4"/>
        <v>0</v>
      </c>
      <c r="S47" s="2012">
        <f t="shared" si="4"/>
        <v>39701446.546973079</v>
      </c>
      <c r="T47" s="2013">
        <f>SUM(T27:T30)+T34+T37+T38</f>
        <v>166533822.09999999</v>
      </c>
    </row>
    <row r="48" spans="2:20">
      <c r="B48" s="2011"/>
      <c r="H48" s="2140"/>
      <c r="T48" s="2144"/>
    </row>
    <row r="49" spans="2:20" s="2177" customFormat="1">
      <c r="B49" s="2193"/>
      <c r="C49" s="2177" t="s">
        <v>77</v>
      </c>
      <c r="I49" s="2142"/>
      <c r="J49" s="2142"/>
      <c r="K49" s="2142"/>
      <c r="L49" s="2142"/>
      <c r="M49" s="2142"/>
      <c r="N49" s="2142"/>
      <c r="O49" s="2142"/>
      <c r="P49" s="2142"/>
      <c r="Q49" s="2142"/>
      <c r="R49" s="2142"/>
      <c r="S49" s="2142"/>
      <c r="T49" s="2144"/>
    </row>
    <row r="50" spans="2:20" s="2177" customFormat="1">
      <c r="B50" s="2259" t="s">
        <v>596</v>
      </c>
      <c r="C50" s="2177" t="s">
        <v>76</v>
      </c>
      <c r="E50" s="2177" t="s">
        <v>597</v>
      </c>
      <c r="H50" s="2711">
        <v>18230522</v>
      </c>
      <c r="I50" s="2142">
        <f>'REM Pilots E249 Elec'!H6</f>
        <v>0</v>
      </c>
      <c r="J50" s="2142">
        <f>'REM Pilots E249 Elec'!I6</f>
        <v>0</v>
      </c>
      <c r="K50" s="2142">
        <f>'REM Pilots E249 Elec'!J6</f>
        <v>0</v>
      </c>
      <c r="L50" s="2142">
        <f>'REM Pilots E249 Elec'!K6</f>
        <v>0</v>
      </c>
      <c r="M50" s="2142">
        <f>'REM Pilots E249 Elec'!L6</f>
        <v>0</v>
      </c>
      <c r="N50" s="2142">
        <f>'REM Pilots E249 Elec'!M6</f>
        <v>0</v>
      </c>
      <c r="O50" s="2142">
        <f>'REM Pilots E249 Elec'!N6</f>
        <v>0</v>
      </c>
      <c r="P50" s="2142">
        <f>'REM Pilots E249 Elec'!O6</f>
        <v>0</v>
      </c>
      <c r="Q50" s="2142">
        <f>'REM Pilots E249 Elec'!P6</f>
        <v>0</v>
      </c>
      <c r="R50" s="2142">
        <f>'REM Pilots E249 Elec'!Q6</f>
        <v>0</v>
      </c>
      <c r="S50" s="2142">
        <f>'REM Pilots E249 Elec'!R6</f>
        <v>0</v>
      </c>
      <c r="T50" s="2144">
        <f>'REM Pilots E249 Elec'!S6</f>
        <v>0</v>
      </c>
    </row>
    <row r="51" spans="2:20" s="2177" customFormat="1">
      <c r="B51" s="2259" t="s">
        <v>595</v>
      </c>
      <c r="C51" s="2177" t="s">
        <v>76</v>
      </c>
      <c r="E51" s="2177" t="s">
        <v>621</v>
      </c>
      <c r="H51" s="1340">
        <v>18230629</v>
      </c>
      <c r="I51" s="2142">
        <f>'BEM Pilots E249 Elec'!H6</f>
        <v>0</v>
      </c>
      <c r="J51" s="2142">
        <f>'BEM Pilots E249 Elec'!I6</f>
        <v>0</v>
      </c>
      <c r="K51" s="2142">
        <f>'BEM Pilots E249 Elec'!J6</f>
        <v>0</v>
      </c>
      <c r="L51" s="2142">
        <f>'BEM Pilots E249 Elec'!K6</f>
        <v>0</v>
      </c>
      <c r="M51" s="2142">
        <f>'BEM Pilots E249 Elec'!L6</f>
        <v>0</v>
      </c>
      <c r="N51" s="2142">
        <f>'BEM Pilots E249 Elec'!M6</f>
        <v>0</v>
      </c>
      <c r="O51" s="2142">
        <f>'BEM Pilots E249 Elec'!N6</f>
        <v>0</v>
      </c>
      <c r="P51" s="2142">
        <f>'BEM Pilots E249 Elec'!O6</f>
        <v>0</v>
      </c>
      <c r="Q51" s="2142">
        <f>'BEM Pilots E249 Elec'!P6</f>
        <v>0</v>
      </c>
      <c r="R51" s="2142">
        <f>'BEM Pilots E249 Elec'!Q6</f>
        <v>0</v>
      </c>
      <c r="S51" s="2142">
        <f>'BEM Pilots E249 Elec'!R6</f>
        <v>0</v>
      </c>
      <c r="T51" s="2144">
        <f>'BEM Pilots E249 Elec'!S6</f>
        <v>0</v>
      </c>
    </row>
    <row r="52" spans="2:20" s="2177" customFormat="1">
      <c r="B52" s="2011"/>
      <c r="G52" s="2010" t="s">
        <v>601</v>
      </c>
      <c r="I52" s="2012">
        <f>SUM(I50:I51)</f>
        <v>0</v>
      </c>
      <c r="J52" s="2012">
        <f t="shared" ref="J52:T52" si="5">SUM(J50:J51)</f>
        <v>0</v>
      </c>
      <c r="K52" s="2012">
        <f t="shared" si="5"/>
        <v>0</v>
      </c>
      <c r="L52" s="2012">
        <f t="shared" si="5"/>
        <v>0</v>
      </c>
      <c r="M52" s="2012">
        <f t="shared" si="5"/>
        <v>0</v>
      </c>
      <c r="N52" s="2012">
        <f t="shared" si="5"/>
        <v>0</v>
      </c>
      <c r="O52" s="2012">
        <f t="shared" si="5"/>
        <v>0</v>
      </c>
      <c r="P52" s="2012">
        <f t="shared" si="5"/>
        <v>0</v>
      </c>
      <c r="Q52" s="2012">
        <f t="shared" si="5"/>
        <v>0</v>
      </c>
      <c r="R52" s="2012">
        <f t="shared" si="5"/>
        <v>0</v>
      </c>
      <c r="S52" s="2012">
        <f t="shared" si="5"/>
        <v>0</v>
      </c>
      <c r="T52" s="2013">
        <f t="shared" si="5"/>
        <v>0</v>
      </c>
    </row>
    <row r="53" spans="2:20" s="2177" customFormat="1">
      <c r="B53" s="2011"/>
      <c r="G53" s="2010"/>
      <c r="I53" s="2142"/>
      <c r="J53" s="2142"/>
      <c r="K53" s="2142"/>
      <c r="L53" s="2142"/>
      <c r="M53" s="2142"/>
      <c r="N53" s="2142"/>
      <c r="O53" s="2142"/>
      <c r="P53" s="2142"/>
      <c r="Q53" s="2142"/>
      <c r="R53" s="2142"/>
      <c r="S53" s="2142"/>
      <c r="T53" s="2144"/>
    </row>
    <row r="54" spans="2:20">
      <c r="B54" s="2011"/>
      <c r="C54" s="1866" t="s">
        <v>158</v>
      </c>
      <c r="H54" s="2140"/>
      <c r="T54" s="2144"/>
    </row>
    <row r="55" spans="2:20">
      <c r="B55" s="2259" t="s">
        <v>385</v>
      </c>
      <c r="C55" s="1866" t="s">
        <v>161</v>
      </c>
      <c r="E55" s="1866" t="s">
        <v>159</v>
      </c>
      <c r="H55" s="1340">
        <v>18230421</v>
      </c>
      <c r="I55" s="1605">
        <f>'NEEA Detail_E254 elec'!H6</f>
        <v>0</v>
      </c>
      <c r="J55" s="1605">
        <f>'NEEA Detail_E254 elec'!I6</f>
        <v>0</v>
      </c>
      <c r="K55" s="1605">
        <f>'NEEA Detail_E254 elec'!J6</f>
        <v>0</v>
      </c>
      <c r="L55" s="1605">
        <f>'NEEA Detail_E254 elec'!K6</f>
        <v>0</v>
      </c>
      <c r="M55" s="1605">
        <f>'NEEA Detail_E254 elec'!L6</f>
        <v>0</v>
      </c>
      <c r="N55" s="1605">
        <f>'NEEA Detail_E254 elec'!M6</f>
        <v>1560000</v>
      </c>
      <c r="O55" s="1605">
        <f>'NEEA Detail_E254 elec'!N6</f>
        <v>0</v>
      </c>
      <c r="P55" s="1605">
        <f>'NEEA Detail_E254 elec'!O6</f>
        <v>0</v>
      </c>
      <c r="Q55" s="1605">
        <f>'NEEA Detail_E254 elec'!P6</f>
        <v>3640000</v>
      </c>
      <c r="S55" s="1605">
        <f>'NEEA Detail_E254 elec'!R6</f>
        <v>5200000</v>
      </c>
      <c r="T55" s="2144">
        <f>'NEEA Detail_E254 elec'!S6</f>
        <v>14016000</v>
      </c>
    </row>
    <row r="56" spans="2:20">
      <c r="B56" s="2259" t="s">
        <v>386</v>
      </c>
      <c r="C56" s="1866" t="s">
        <v>331</v>
      </c>
      <c r="E56" s="1866" t="s">
        <v>160</v>
      </c>
      <c r="H56" s="1340">
        <v>18230711</v>
      </c>
      <c r="I56" s="1605">
        <f>'T&amp;D Detail_Reg E292 elec'!H6</f>
        <v>0</v>
      </c>
      <c r="J56" s="1605">
        <f>'T&amp;D Detail_Reg E292 elec'!I6</f>
        <v>0</v>
      </c>
      <c r="K56" s="1605">
        <f>'T&amp;D Detail_Reg E292 elec'!J6</f>
        <v>0</v>
      </c>
      <c r="L56" s="1605">
        <f>'T&amp;D Detail_Reg E292 elec'!K6</f>
        <v>0</v>
      </c>
      <c r="M56" s="1605">
        <f>'T&amp;D Detail_Reg E292 elec'!L6</f>
        <v>0</v>
      </c>
      <c r="N56" s="1605">
        <f>'T&amp;D Detail_Reg E292 elec'!M6</f>
        <v>0</v>
      </c>
      <c r="O56" s="1605">
        <f>'T&amp;D Detail_Reg E292 elec'!N6</f>
        <v>0</v>
      </c>
      <c r="P56" s="1605">
        <f>'T&amp;D Detail_Reg E292 elec'!O6</f>
        <v>0</v>
      </c>
      <c r="Q56" s="1605">
        <f>'T&amp;D Detail_Reg E292 elec'!P6</f>
        <v>0</v>
      </c>
      <c r="S56" s="1605">
        <f>'T&amp;D Detail_Reg E292 elec'!R6</f>
        <v>0</v>
      </c>
      <c r="T56" s="2144">
        <f>'T&amp;D Detail_Reg E292 elec'!S6</f>
        <v>1500000</v>
      </c>
    </row>
    <row r="57" spans="2:20">
      <c r="B57" s="2193"/>
      <c r="F57" s="2010"/>
      <c r="G57" s="245" t="s">
        <v>162</v>
      </c>
      <c r="H57" s="2140"/>
      <c r="I57" s="603">
        <f t="shared" ref="I57:T57" si="6">SUM(I55:I56)</f>
        <v>0</v>
      </c>
      <c r="J57" s="603">
        <f t="shared" si="6"/>
        <v>0</v>
      </c>
      <c r="K57" s="603">
        <f t="shared" si="6"/>
        <v>0</v>
      </c>
      <c r="L57" s="603">
        <f t="shared" si="6"/>
        <v>0</v>
      </c>
      <c r="M57" s="603">
        <f t="shared" si="6"/>
        <v>0</v>
      </c>
      <c r="N57" s="603">
        <f t="shared" si="6"/>
        <v>1560000</v>
      </c>
      <c r="O57" s="603">
        <f t="shared" si="6"/>
        <v>0</v>
      </c>
      <c r="P57" s="603">
        <f t="shared" si="6"/>
        <v>0</v>
      </c>
      <c r="Q57" s="603">
        <f t="shared" si="6"/>
        <v>3640000</v>
      </c>
      <c r="R57" s="603">
        <f t="shared" si="6"/>
        <v>0</v>
      </c>
      <c r="S57" s="603">
        <f t="shared" si="6"/>
        <v>5200000</v>
      </c>
      <c r="T57" s="2013">
        <f t="shared" si="6"/>
        <v>15516000</v>
      </c>
    </row>
    <row r="58" spans="2:20">
      <c r="B58" s="2193"/>
      <c r="H58" s="2140"/>
      <c r="T58" s="2144"/>
    </row>
    <row r="59" spans="2:20">
      <c r="B59" s="2193"/>
      <c r="C59" s="2177" t="s">
        <v>335</v>
      </c>
      <c r="H59" s="2140"/>
      <c r="T59" s="2144"/>
    </row>
    <row r="60" spans="2:20">
      <c r="B60" s="2259"/>
      <c r="C60" s="1866" t="s">
        <v>252</v>
      </c>
      <c r="E60" s="1866" t="s">
        <v>163</v>
      </c>
      <c r="H60" s="2194"/>
      <c r="I60" s="1605">
        <f>SUM(I61:I64)</f>
        <v>1015572.8544</v>
      </c>
      <c r="J60" s="2142">
        <f t="shared" ref="J60:S60" si="7">SUM(J61:J64)</f>
        <v>22100</v>
      </c>
      <c r="K60" s="2142">
        <f t="shared" si="7"/>
        <v>705617.54099199991</v>
      </c>
      <c r="L60" s="2142">
        <f t="shared" si="7"/>
        <v>20830</v>
      </c>
      <c r="M60" s="2142">
        <f t="shared" si="7"/>
        <v>52720</v>
      </c>
      <c r="N60" s="2142">
        <f t="shared" si="7"/>
        <v>69385</v>
      </c>
      <c r="O60" s="2142">
        <f t="shared" si="7"/>
        <v>31705</v>
      </c>
      <c r="P60" s="2142">
        <f t="shared" si="7"/>
        <v>1350</v>
      </c>
      <c r="Q60" s="2142">
        <f t="shared" si="7"/>
        <v>0</v>
      </c>
      <c r="R60" s="2142">
        <f t="shared" si="7"/>
        <v>0</v>
      </c>
      <c r="S60" s="2142">
        <f t="shared" si="7"/>
        <v>1919280.3953919997</v>
      </c>
      <c r="T60" s="2144"/>
    </row>
    <row r="61" spans="2:20" s="2822" customFormat="1">
      <c r="B61" s="2821" t="s">
        <v>387</v>
      </c>
      <c r="E61" s="3366" t="s">
        <v>203</v>
      </c>
      <c r="H61" s="2825">
        <v>18230610</v>
      </c>
      <c r="I61" s="2824">
        <f>'Engy Adv Detail_PSCE  Elec'!H6</f>
        <v>662957.44999999995</v>
      </c>
      <c r="J61" s="2824">
        <f>'Engy Adv Detail_PSCE  Elec'!I6</f>
        <v>0</v>
      </c>
      <c r="K61" s="2824">
        <f>'Engy Adv Detail_PSCE  Elec'!J6</f>
        <v>450811.06599999999</v>
      </c>
      <c r="L61" s="2824">
        <f>'Engy Adv Detail_PSCE  Elec'!K6</f>
        <v>0</v>
      </c>
      <c r="M61" s="2824">
        <f>'Engy Adv Detail_PSCE  Elec'!L6</f>
        <v>44000</v>
      </c>
      <c r="N61" s="2824">
        <f>'Engy Adv Detail_PSCE  Elec'!M6</f>
        <v>1000</v>
      </c>
      <c r="O61" s="2824">
        <f>'Engy Adv Detail_PSCE  Elec'!N6</f>
        <v>3000</v>
      </c>
      <c r="P61" s="2824">
        <f>'Engy Adv Detail_PSCE  Elec'!O6</f>
        <v>1350</v>
      </c>
      <c r="Q61" s="2824">
        <f>'Engy Adv Detail_PSCE  Elec'!P6</f>
        <v>0</v>
      </c>
      <c r="R61" s="2824">
        <f>'Engy Adv Detail_PSCE  Elec'!Q6</f>
        <v>0</v>
      </c>
      <c r="S61" s="2824">
        <f>'Engy Adv Detail_PSCE  Elec'!R6</f>
        <v>1163118.5159999998</v>
      </c>
      <c r="T61" s="2826"/>
    </row>
    <row r="62" spans="2:20" s="2822" customFormat="1">
      <c r="B62" s="2821" t="s">
        <v>388</v>
      </c>
      <c r="E62" s="3366" t="s">
        <v>204</v>
      </c>
      <c r="H62" s="2825">
        <v>18230602</v>
      </c>
      <c r="I62" s="2824">
        <f>'Events Detail_PSCE Elec'!H6</f>
        <v>335939.81264999998</v>
      </c>
      <c r="J62" s="2824">
        <f>'Events Detail_PSCE Elec'!I6</f>
        <v>2600</v>
      </c>
      <c r="K62" s="2824">
        <f>'Events Detail_PSCE Elec'!J6</f>
        <v>230207.072602</v>
      </c>
      <c r="L62" s="2824">
        <f>'Events Detail_PSCE Elec'!K6</f>
        <v>7830</v>
      </c>
      <c r="M62" s="2824">
        <f>'Events Detail_PSCE Elec'!L6</f>
        <v>8720</v>
      </c>
      <c r="N62" s="2824">
        <f>'Events Detail_PSCE Elec'!M6</f>
        <v>56975</v>
      </c>
      <c r="O62" s="2824">
        <f>'Events Detail_PSCE Elec'!N6</f>
        <v>4785</v>
      </c>
      <c r="P62" s="2824">
        <f>'Events Detail_PSCE Elec'!O6</f>
        <v>0</v>
      </c>
      <c r="Q62" s="2824">
        <f>'Events Detail_PSCE Elec'!P6</f>
        <v>0</v>
      </c>
      <c r="R62" s="2824">
        <f>'Events Detail_PSCE Elec'!Q6</f>
        <v>0</v>
      </c>
      <c r="S62" s="2824">
        <f>'Events Detail_PSCE Elec'!R6</f>
        <v>647056.88525199995</v>
      </c>
      <c r="T62" s="2826"/>
    </row>
    <row r="63" spans="2:20" s="2822" customFormat="1">
      <c r="B63" s="2821" t="s">
        <v>389</v>
      </c>
      <c r="E63" s="3366" t="s">
        <v>357</v>
      </c>
      <c r="H63" s="2825">
        <v>18230482</v>
      </c>
      <c r="I63" s="2824">
        <f>'Brochures Detail_PSCE Elec'!H6</f>
        <v>16675.59175</v>
      </c>
      <c r="J63" s="2824">
        <f>'Brochures Detail_PSCE Elec'!I6</f>
        <v>19500</v>
      </c>
      <c r="K63" s="2824">
        <f>'Brochures Detail_PSCE Elec'!J6</f>
        <v>24599.402390000003</v>
      </c>
      <c r="L63" s="2824">
        <f>'Brochures Detail_PSCE Elec'!K6</f>
        <v>13000</v>
      </c>
      <c r="M63" s="2824">
        <f>'Brochures Detail_PSCE Elec'!L6</f>
        <v>0</v>
      </c>
      <c r="N63" s="2824">
        <f>'Brochures Detail_PSCE Elec'!M6</f>
        <v>2610</v>
      </c>
      <c r="O63" s="2824">
        <f>'Brochures Detail_PSCE Elec'!N6</f>
        <v>23920</v>
      </c>
      <c r="P63" s="2824">
        <f>'Brochures Detail_PSCE Elec'!O6</f>
        <v>0</v>
      </c>
      <c r="Q63" s="2824">
        <f>'Brochures Detail_PSCE Elec'!P6</f>
        <v>0</v>
      </c>
      <c r="R63" s="2824">
        <f>'Brochures Detail_PSCE Elec'!Q6</f>
        <v>0</v>
      </c>
      <c r="S63" s="2824">
        <f>'Brochures Detail_PSCE Elec'!R6</f>
        <v>100304.99414</v>
      </c>
      <c r="T63" s="2826"/>
    </row>
    <row r="64" spans="2:20" s="2822" customFormat="1">
      <c r="B64" s="2821" t="s">
        <v>390</v>
      </c>
      <c r="C64" s="2822" t="s">
        <v>355</v>
      </c>
      <c r="E64" s="3366" t="s">
        <v>205</v>
      </c>
      <c r="H64" s="2825">
        <v>18230621</v>
      </c>
      <c r="I64" s="2824">
        <f>'Educatn Detail_PSCE E202 Elec'!H6</f>
        <v>0</v>
      </c>
      <c r="J64" s="2824">
        <f>'Educatn Detail_PSCE E202 Elec'!I6</f>
        <v>0</v>
      </c>
      <c r="K64" s="2824">
        <f>'Educatn Detail_PSCE E202 Elec'!J6</f>
        <v>0</v>
      </c>
      <c r="L64" s="2824">
        <f>'Educatn Detail_PSCE E202 Elec'!K6</f>
        <v>0</v>
      </c>
      <c r="M64" s="2824">
        <f>'Educatn Detail_PSCE E202 Elec'!L6</f>
        <v>0</v>
      </c>
      <c r="N64" s="2824">
        <f>'Educatn Detail_PSCE E202 Elec'!M6</f>
        <v>8800</v>
      </c>
      <c r="O64" s="2824">
        <f>'Educatn Detail_PSCE E202 Elec'!N6</f>
        <v>0</v>
      </c>
      <c r="P64" s="2824">
        <f>'Educatn Detail_PSCE E202 Elec'!O6</f>
        <v>0</v>
      </c>
      <c r="Q64" s="2824">
        <f>'Educatn Detail_PSCE E202 Elec'!P6</f>
        <v>0</v>
      </c>
      <c r="R64" s="2824">
        <f>'Educatn Detail_PSCE E202 Elec'!Q6</f>
        <v>0</v>
      </c>
      <c r="S64" s="2824">
        <f>'Educatn Detail_PSCE E202 Elec'!R6</f>
        <v>8800</v>
      </c>
      <c r="T64" s="2826"/>
    </row>
    <row r="65" spans="2:20">
      <c r="B65" s="2259"/>
      <c r="C65" s="1866" t="s">
        <v>252</v>
      </c>
      <c r="D65" s="1607"/>
      <c r="E65" s="2708" t="s">
        <v>756</v>
      </c>
      <c r="H65" s="1340"/>
      <c r="I65" s="1605">
        <f>SUM(I66:I68)</f>
        <v>248895.98</v>
      </c>
      <c r="J65" s="2142">
        <f t="shared" ref="J65:S65" si="8">SUM(J66:J68)</f>
        <v>1000</v>
      </c>
      <c r="K65" s="2142">
        <f t="shared" si="8"/>
        <v>169929.26640000002</v>
      </c>
      <c r="L65" s="2142">
        <f t="shared" si="8"/>
        <v>0</v>
      </c>
      <c r="M65" s="2142">
        <f t="shared" si="8"/>
        <v>10200</v>
      </c>
      <c r="N65" s="2142">
        <f t="shared" si="8"/>
        <v>620310</v>
      </c>
      <c r="O65" s="2142">
        <f t="shared" si="8"/>
        <v>0</v>
      </c>
      <c r="P65" s="2142">
        <f t="shared" si="8"/>
        <v>0</v>
      </c>
      <c r="Q65" s="2142">
        <f t="shared" si="8"/>
        <v>0</v>
      </c>
      <c r="R65" s="2142">
        <f t="shared" si="8"/>
        <v>0</v>
      </c>
      <c r="S65" s="2142">
        <f t="shared" si="8"/>
        <v>1050335.2464000001</v>
      </c>
      <c r="T65" s="2144"/>
    </row>
    <row r="66" spans="2:20" s="2822" customFormat="1">
      <c r="B66" s="2821" t="s">
        <v>391</v>
      </c>
      <c r="E66" s="3366" t="s">
        <v>786</v>
      </c>
      <c r="H66" s="2825">
        <v>18230408</v>
      </c>
      <c r="I66" s="2824">
        <f>'CustOnline Detail_PSWE_Elec'!H6</f>
        <v>0</v>
      </c>
      <c r="J66" s="2824">
        <f>'CustOnline Detail_PSWE_Elec'!I6</f>
        <v>0</v>
      </c>
      <c r="K66" s="2824">
        <f>'CustOnline Detail_PSWE_Elec'!J6</f>
        <v>0</v>
      </c>
      <c r="L66" s="2824">
        <f>'CustOnline Detail_PSWE_Elec'!K6</f>
        <v>0</v>
      </c>
      <c r="M66" s="2824">
        <f>'CustOnline Detail_PSWE_Elec'!L6</f>
        <v>0</v>
      </c>
      <c r="N66" s="2824">
        <f>'CustOnline Detail_PSWE_Elec'!M6</f>
        <v>588990</v>
      </c>
      <c r="O66" s="2824">
        <f>'CustOnline Detail_PSWE_Elec'!N6</f>
        <v>0</v>
      </c>
      <c r="P66" s="2824">
        <f>'CustOnline Detail_PSWE_Elec'!O6</f>
        <v>0</v>
      </c>
      <c r="Q66" s="2824">
        <f>'CustOnline Detail_PSWE_Elec'!P6</f>
        <v>0</v>
      </c>
      <c r="R66" s="2824"/>
      <c r="S66" s="2824">
        <f>'CustOnline Detail_PSWE_Elec'!R6</f>
        <v>588990</v>
      </c>
      <c r="T66" s="2826"/>
    </row>
    <row r="67" spans="2:20" s="2822" customFormat="1">
      <c r="B67" s="2821" t="s">
        <v>392</v>
      </c>
      <c r="E67" s="3366" t="s">
        <v>341</v>
      </c>
      <c r="H67" s="2825">
        <v>18230466</v>
      </c>
      <c r="I67" s="2824">
        <f>'Mkt Intgn Detail_PSWE_Elec'!H6</f>
        <v>184910</v>
      </c>
      <c r="J67" s="2824">
        <f>'Mkt Intgn Detail_PSWE_Elec'!I6</f>
        <v>0</v>
      </c>
      <c r="K67" s="2824">
        <f>'Mkt Intgn Detail_PSWE_Elec'!J6</f>
        <v>125738.8</v>
      </c>
      <c r="L67" s="2824">
        <f>'Mkt Intgn Detail_PSWE_Elec'!K6</f>
        <v>0</v>
      </c>
      <c r="M67" s="2824">
        <f>'Mkt Intgn Detail_PSWE_Elec'!L6</f>
        <v>8700</v>
      </c>
      <c r="N67" s="2824">
        <f>'Mkt Intgn Detail_PSWE_Elec'!M6</f>
        <v>13920</v>
      </c>
      <c r="O67" s="2824">
        <f>'Mkt Intgn Detail_PSWE_Elec'!N6</f>
        <v>0</v>
      </c>
      <c r="P67" s="2824">
        <f>'Mkt Intgn Detail_PSWE_Elec'!O6</f>
        <v>0</v>
      </c>
      <c r="Q67" s="2824">
        <f>'Mkt Intgn Detail_PSWE_Elec'!P6</f>
        <v>0</v>
      </c>
      <c r="R67" s="2824"/>
      <c r="S67" s="2824">
        <f>'Mkt Intgn Detail_PSWE_Elec'!R6</f>
        <v>333268.8</v>
      </c>
      <c r="T67" s="2826"/>
    </row>
    <row r="68" spans="2:20" s="2822" customFormat="1">
      <c r="B68" s="2821" t="s">
        <v>1638</v>
      </c>
      <c r="E68" s="3366" t="s">
        <v>1636</v>
      </c>
      <c r="H68" s="2052">
        <v>18230411</v>
      </c>
      <c r="I68" s="3120">
        <f>'ABS Detail_PSWE_Elec'!H6</f>
        <v>63985.98</v>
      </c>
      <c r="J68" s="3120">
        <f>'ABS Detail_PSWE_Elec'!I6</f>
        <v>1000</v>
      </c>
      <c r="K68" s="3120">
        <f>'ABS Detail_PSWE_Elec'!J6</f>
        <v>44190.466400000005</v>
      </c>
      <c r="L68" s="3120">
        <f>'ABS Detail_PSWE_Elec'!K6</f>
        <v>0</v>
      </c>
      <c r="M68" s="3120">
        <f>'ABS Detail_PSWE_Elec'!L6</f>
        <v>1500</v>
      </c>
      <c r="N68" s="3120">
        <f>'ABS Detail_PSWE_Elec'!M6</f>
        <v>17400</v>
      </c>
      <c r="O68" s="3120">
        <f>'ABS Detail_PSWE_Elec'!N6</f>
        <v>0</v>
      </c>
      <c r="P68" s="3120">
        <f>'ABS Detail_PSWE_Elec'!O6</f>
        <v>0</v>
      </c>
      <c r="Q68" s="3120">
        <f>'ABS Detail_PSWE_Elec'!P6</f>
        <v>0</v>
      </c>
      <c r="R68" s="3120">
        <f>'ABS Detail_PSWE_Elec'!P6</f>
        <v>0</v>
      </c>
      <c r="S68" s="3120">
        <f>'ABS Detail_PSWE_Elec'!R6</f>
        <v>128076.44640000002</v>
      </c>
      <c r="T68" s="2826"/>
    </row>
    <row r="69" spans="2:20" s="2177" customFormat="1">
      <c r="B69" s="2259" t="s">
        <v>736</v>
      </c>
      <c r="E69" s="2177" t="s">
        <v>1564</v>
      </c>
      <c r="H69" s="2263">
        <v>18230507</v>
      </c>
      <c r="I69" s="2142">
        <f>'Rebt Procg Detail_Elect'!H6</f>
        <v>392034.00599999999</v>
      </c>
      <c r="J69" s="2142">
        <f>'Rebt Procg Detail_Elect'!I6</f>
        <v>0</v>
      </c>
      <c r="K69" s="2142">
        <f>'Rebt Procg Detail_Elect'!J6</f>
        <v>266583.12408000004</v>
      </c>
      <c r="L69" s="2142">
        <f>'Rebt Procg Detail_Elect'!K6</f>
        <v>0</v>
      </c>
      <c r="M69" s="2142">
        <f>'Rebt Procg Detail_Elect'!L6</f>
        <v>18096</v>
      </c>
      <c r="N69" s="2142">
        <f>'Rebt Procg Detail_Elect'!M6</f>
        <v>0</v>
      </c>
      <c r="O69" s="2142">
        <f>'Rebt Procg Detail_Elect'!N6</f>
        <v>4350</v>
      </c>
      <c r="P69" s="2142">
        <f>'Rebt Procg Detail_Elect'!O6</f>
        <v>0</v>
      </c>
      <c r="Q69" s="2142">
        <f>'Rebt Procg Detail_Elect'!P6</f>
        <v>0</v>
      </c>
      <c r="S69" s="2142">
        <f>'Rebt Procg Detail_Elect'!R6</f>
        <v>681063.13008000003</v>
      </c>
      <c r="T69" s="2144"/>
    </row>
    <row r="70" spans="2:20" s="2177" customFormat="1">
      <c r="B70" s="2259" t="s">
        <v>400</v>
      </c>
      <c r="E70" s="2195" t="s">
        <v>636</v>
      </c>
      <c r="F70" s="2194"/>
      <c r="G70" s="2194"/>
      <c r="H70" s="1340">
        <v>18230810</v>
      </c>
      <c r="I70" s="2142">
        <f>'Progs Supp Detail_PS_ Elec'!H6</f>
        <v>177508.21</v>
      </c>
      <c r="J70" s="2142">
        <f>'Progs Supp Detail_PS_ Elec'!I6</f>
        <v>0</v>
      </c>
      <c r="K70" s="2142">
        <f>'Progs Supp Detail_PS_ Elec'!J6</f>
        <v>120705.5828</v>
      </c>
      <c r="L70" s="2142">
        <f>'Progs Supp Detail_PS_ Elec'!K6</f>
        <v>0</v>
      </c>
      <c r="M70" s="2142">
        <f>'Progs Supp Detail_PS_ Elec'!L6</f>
        <v>12000</v>
      </c>
      <c r="N70" s="2142">
        <f>'Progs Supp Detail_PS_ Elec'!M6</f>
        <v>0</v>
      </c>
      <c r="O70" s="2142">
        <f>'Progs Supp Detail_PS_ Elec'!N6</f>
        <v>0</v>
      </c>
      <c r="P70" s="2142">
        <f>'Progs Supp Detail_PS_ Elec'!O6</f>
        <v>0</v>
      </c>
      <c r="Q70" s="2142">
        <f>'Progs Supp Detail_PS_ Elec'!P6</f>
        <v>0</v>
      </c>
      <c r="R70" s="2142">
        <f>'Progs Supp Detail_PS_ Elec'!Q6</f>
        <v>0</v>
      </c>
      <c r="S70" s="2142">
        <f>'Progs Supp Detail_PS_ Elec'!R6</f>
        <v>310213.7928</v>
      </c>
      <c r="T70" s="2144"/>
    </row>
    <row r="71" spans="2:20" s="2177" customFormat="1">
      <c r="B71" s="2259" t="s">
        <v>737</v>
      </c>
      <c r="E71" s="2177" t="s">
        <v>637</v>
      </c>
      <c r="H71" s="2263">
        <v>18230745</v>
      </c>
      <c r="I71" s="2142">
        <f>'Data &amp; Systm Svcs_Elect'!H6</f>
        <v>444513</v>
      </c>
      <c r="J71" s="2142">
        <f>'Data &amp; Systm Svcs_Elect'!I6</f>
        <v>0</v>
      </c>
      <c r="K71" s="2142">
        <f>'Data &amp; Systm Svcs_Elect'!J6</f>
        <v>321399.41940000001</v>
      </c>
      <c r="L71" s="2142">
        <f>'Data &amp; Systm Svcs_Elect'!K6</f>
        <v>0</v>
      </c>
      <c r="M71" s="2142">
        <f>'Data &amp; Systm Svcs_Elect'!L6</f>
        <v>12000</v>
      </c>
      <c r="N71" s="2142">
        <f>'Data &amp; Systm Svcs_Elect'!M6</f>
        <v>113100</v>
      </c>
      <c r="O71" s="2142">
        <f>'Data &amp; Systm Svcs_Elect'!N6</f>
        <v>0</v>
      </c>
      <c r="P71" s="2142">
        <f>'Data &amp; Systm Svcs_Elect'!O6</f>
        <v>0</v>
      </c>
      <c r="Q71" s="2142">
        <f>'Data &amp; Systm Svcs_Elect'!P6</f>
        <v>0</v>
      </c>
      <c r="S71" s="2142">
        <f>'Data &amp; Systm Svcs_Elect'!Q6</f>
        <v>891012.41940000001</v>
      </c>
      <c r="T71" s="2144"/>
    </row>
    <row r="72" spans="2:20">
      <c r="B72" s="2259" t="s">
        <v>393</v>
      </c>
      <c r="E72" s="1866" t="s">
        <v>26</v>
      </c>
      <c r="H72" s="1340">
        <v>18230811</v>
      </c>
      <c r="I72" s="1605">
        <f>'EEC Detail_PS_Elec'!H6</f>
        <v>412342.67849999998</v>
      </c>
      <c r="J72" s="1605">
        <f>'EEC Detail_PS_Elec'!I6</f>
        <v>9830</v>
      </c>
      <c r="K72" s="1605">
        <f>'EEC Detail_PS_Elec'!J6</f>
        <v>287077.42138000001</v>
      </c>
      <c r="L72" s="1605">
        <f>'EEC Detail_PS_Elec'!K6</f>
        <v>92830</v>
      </c>
      <c r="M72" s="1605">
        <f>'EEC Detail_PS_Elec'!L6</f>
        <v>73515</v>
      </c>
      <c r="N72" s="1605">
        <f>'EEC Detail_PS_Elec'!M6</f>
        <v>28275</v>
      </c>
      <c r="O72" s="1605">
        <f>'EEC Detail_PS_Elec'!N6</f>
        <v>22615</v>
      </c>
      <c r="P72" s="1605">
        <f>'EEC Detail_PS_Elec'!O6</f>
        <v>0</v>
      </c>
      <c r="Q72" s="1605">
        <f>'EEC Detail_PS_Elec'!P6</f>
        <v>0</v>
      </c>
      <c r="S72" s="1605">
        <f>'EEC Detail_PS_Elec'!R6</f>
        <v>926485.09987999999</v>
      </c>
      <c r="T72" s="2144"/>
    </row>
    <row r="73" spans="2:20">
      <c r="B73" s="2259" t="s">
        <v>394</v>
      </c>
      <c r="E73" s="1862" t="s">
        <v>164</v>
      </c>
      <c r="F73" s="1862"/>
      <c r="G73" s="1862"/>
      <c r="H73" s="1340">
        <v>18230730</v>
      </c>
      <c r="I73" s="1605">
        <f>'TradeAlly Detail_PS_ Elec'!H6</f>
        <v>0</v>
      </c>
      <c r="J73" s="1605">
        <f>'TradeAlly Detail_PS_ Elec'!I6</f>
        <v>0</v>
      </c>
      <c r="K73" s="1605">
        <f>'TradeAlly Detail_PS_ Elec'!J6</f>
        <v>0</v>
      </c>
      <c r="L73" s="1605">
        <f>'TradeAlly Detail_PS_ Elec'!K6</f>
        <v>0</v>
      </c>
      <c r="M73" s="1605">
        <f>'TradeAlly Detail_PS_ Elec'!L6</f>
        <v>0</v>
      </c>
      <c r="N73" s="1605">
        <f>'TradeAlly Detail_PS_ Elec'!M6</f>
        <v>56550</v>
      </c>
      <c r="O73" s="1605">
        <f>'TradeAlly Detail_PS_ Elec'!N6</f>
        <v>0</v>
      </c>
      <c r="P73" s="1605">
        <f>'TradeAlly Detail_PS_ Elec'!O6</f>
        <v>61111</v>
      </c>
      <c r="Q73" s="1605">
        <f>'TradeAlly Detail_PS_ Elec'!P6</f>
        <v>0</v>
      </c>
      <c r="S73" s="1605">
        <f>'TradeAlly Detail_PS_ Elec'!R6</f>
        <v>117661</v>
      </c>
      <c r="T73" s="2144"/>
    </row>
    <row r="74" spans="2:20" s="2177" customFormat="1">
      <c r="B74" s="2259" t="s">
        <v>738</v>
      </c>
      <c r="E74" s="2194" t="s">
        <v>662</v>
      </c>
      <c r="F74" s="2194"/>
      <c r="G74" s="2194"/>
      <c r="H74" s="2263">
        <v>18230746</v>
      </c>
      <c r="I74" s="2142">
        <f>CAN_Elect!H6</f>
        <v>154055.5</v>
      </c>
      <c r="J74" s="2142">
        <f>CAN_Elect!I6</f>
        <v>4100</v>
      </c>
      <c r="K74" s="2142">
        <f>CAN_Elect!J6</f>
        <v>107545.74</v>
      </c>
      <c r="L74" s="2142">
        <f>CAN_Elect!K6</f>
        <v>14000</v>
      </c>
      <c r="M74" s="2142">
        <f>CAN_Elect!L6</f>
        <v>5000</v>
      </c>
      <c r="N74" s="2142">
        <f>CAN_Elect!M6</f>
        <v>16000</v>
      </c>
      <c r="O74" s="2142">
        <f>CAN_Elect!N6</f>
        <v>1500</v>
      </c>
      <c r="P74" s="2142">
        <f>CAN_Elect!O6</f>
        <v>0</v>
      </c>
      <c r="Q74" s="2142">
        <f>CAN_Elect!P6</f>
        <v>0</v>
      </c>
      <c r="R74" s="2142">
        <f>CAN_Elect!Q6</f>
        <v>-311785.46000000002</v>
      </c>
      <c r="S74" s="2142">
        <f>CAN_Elect!R6</f>
        <v>-9584.2200000000303</v>
      </c>
      <c r="T74" s="2144"/>
    </row>
    <row r="75" spans="2:20" s="1737" customFormat="1">
      <c r="B75" s="2011"/>
      <c r="D75" s="2064"/>
      <c r="F75" s="2010"/>
      <c r="G75" s="245" t="s">
        <v>165</v>
      </c>
      <c r="H75" s="604"/>
      <c r="I75" s="2012">
        <f t="shared" ref="I75:S75" si="9">I60+I65+SUM(I69:I74)</f>
        <v>2844922.2289</v>
      </c>
      <c r="J75" s="2012">
        <f t="shared" si="9"/>
        <v>37030</v>
      </c>
      <c r="K75" s="2012">
        <f t="shared" si="9"/>
        <v>1978858.0950520001</v>
      </c>
      <c r="L75" s="2012">
        <f t="shared" si="9"/>
        <v>127660</v>
      </c>
      <c r="M75" s="2012">
        <f t="shared" si="9"/>
        <v>183531</v>
      </c>
      <c r="N75" s="2012">
        <f t="shared" si="9"/>
        <v>903620</v>
      </c>
      <c r="O75" s="2012">
        <f t="shared" si="9"/>
        <v>60170</v>
      </c>
      <c r="P75" s="2012">
        <f t="shared" si="9"/>
        <v>62461</v>
      </c>
      <c r="Q75" s="2012">
        <f t="shared" si="9"/>
        <v>0</v>
      </c>
      <c r="R75" s="2012">
        <f t="shared" si="9"/>
        <v>-311785.46000000002</v>
      </c>
      <c r="S75" s="2012">
        <f t="shared" si="9"/>
        <v>5886466.8639519997</v>
      </c>
      <c r="T75" s="2013"/>
    </row>
    <row r="76" spans="2:20">
      <c r="B76" s="2011"/>
      <c r="H76" s="1340"/>
      <c r="T76" s="2144"/>
    </row>
    <row r="77" spans="2:20">
      <c r="B77" s="2011"/>
      <c r="C77" s="1866" t="s">
        <v>166</v>
      </c>
      <c r="H77" s="1340"/>
      <c r="T77" s="2144"/>
    </row>
    <row r="78" spans="2:20">
      <c r="B78" s="2259" t="s">
        <v>395</v>
      </c>
      <c r="E78" s="1866" t="s">
        <v>27</v>
      </c>
      <c r="H78" s="1340">
        <v>18230809</v>
      </c>
      <c r="I78" s="1605">
        <f>'SuppCrv Detail_R&amp;C_Elec'!H6</f>
        <v>93835.5</v>
      </c>
      <c r="J78" s="1605">
        <f>'SuppCrv Detail_R&amp;C_Elec'!I6</f>
        <v>0</v>
      </c>
      <c r="K78" s="1605">
        <f>'SuppCrv Detail_R&amp;C_Elec'!J6</f>
        <v>63808.140000000007</v>
      </c>
      <c r="L78" s="1605">
        <f>'SuppCrv Detail_R&amp;C_Elec'!K6</f>
        <v>0</v>
      </c>
      <c r="M78" s="1605">
        <f>'SuppCrv Detail_R&amp;C_Elec'!L6</f>
        <v>1044</v>
      </c>
      <c r="N78" s="1605">
        <f>'SuppCrv Detail_R&amp;C_Elec'!M6</f>
        <v>17400</v>
      </c>
      <c r="O78" s="1605">
        <f>'SuppCrv Detail_R&amp;C_Elec'!N6</f>
        <v>0</v>
      </c>
      <c r="P78" s="1605">
        <f>'SuppCrv Detail_R&amp;C_Elec'!O6</f>
        <v>0</v>
      </c>
      <c r="Q78" s="1605">
        <f>'SuppCrv Detail_R&amp;C_Elec'!P6</f>
        <v>0</v>
      </c>
      <c r="S78" s="1605">
        <f>'SuppCrv Detail_R&amp;C_Elec'!R6</f>
        <v>176087.64</v>
      </c>
      <c r="T78" s="2144"/>
    </row>
    <row r="79" spans="2:20">
      <c r="B79" s="2259" t="s">
        <v>396</v>
      </c>
      <c r="E79" s="1866" t="s">
        <v>32</v>
      </c>
      <c r="H79" s="1340">
        <v>18230469</v>
      </c>
      <c r="I79" s="1605">
        <f>'Strat Plan Detail_R&amp;C_Elec'!H6</f>
        <v>86014.9</v>
      </c>
      <c r="J79" s="1605">
        <f>'Strat Plan Detail_R&amp;C_Elec'!I6</f>
        <v>0</v>
      </c>
      <c r="K79" s="1605">
        <f>'Strat Plan Detail_R&amp;C_Elec'!J6</f>
        <v>58490.131999999998</v>
      </c>
      <c r="L79" s="1605">
        <f>'Strat Plan Detail_R&amp;C_Elec'!K6</f>
        <v>0</v>
      </c>
      <c r="M79" s="1605">
        <f>'Strat Plan Detail_R&amp;C_Elec'!L6</f>
        <v>1044</v>
      </c>
      <c r="N79" s="1605">
        <f>'Strat Plan Detail_R&amp;C_Elec'!M6</f>
        <v>0</v>
      </c>
      <c r="O79" s="1605">
        <f>'Strat Plan Detail_R&amp;C_Elec'!N6</f>
        <v>0</v>
      </c>
      <c r="P79" s="1605">
        <f>'Strat Plan Detail_R&amp;C_Elec'!O6</f>
        <v>0</v>
      </c>
      <c r="Q79" s="1605">
        <f>'Strat Plan Detail_R&amp;C_Elec'!P6</f>
        <v>0</v>
      </c>
      <c r="S79" s="1605">
        <f>'Strat Plan Detail_R&amp;C_Elec'!R6</f>
        <v>145549.03200000001</v>
      </c>
      <c r="T79" s="2144"/>
    </row>
    <row r="80" spans="2:20">
      <c r="B80" s="2259" t="s">
        <v>397</v>
      </c>
      <c r="E80" s="2177" t="s">
        <v>356</v>
      </c>
      <c r="H80" s="1340">
        <v>18230437</v>
      </c>
      <c r="I80" s="1605">
        <f>'Mktg Resch Detail_PS_ Elec'!H6</f>
        <v>150482.81</v>
      </c>
      <c r="J80" s="1605">
        <f>'Mktg Resch Detail_PS_ Elec'!I6</f>
        <v>0</v>
      </c>
      <c r="K80" s="1605">
        <f>'Mktg Resch Detail_PS_ Elec'!J6</f>
        <v>102328.31080000001</v>
      </c>
      <c r="L80" s="1605">
        <f>'Mktg Resch Detail_PS_ Elec'!K6</f>
        <v>0</v>
      </c>
      <c r="M80" s="1605">
        <f>'Mktg Resch Detail_PS_ Elec'!L6</f>
        <v>4254.3</v>
      </c>
      <c r="N80" s="1605">
        <f>'Mktg Resch Detail_PS_ Elec'!M6</f>
        <v>32552.355</v>
      </c>
      <c r="O80" s="1605">
        <f>'Mktg Resch Detail_PS_ Elec'!N6</f>
        <v>1348.5</v>
      </c>
      <c r="P80" s="1605">
        <f>'Mktg Resch Detail_PS_ Elec'!O6</f>
        <v>0</v>
      </c>
      <c r="Q80" s="1605">
        <f>'Mktg Resch Detail_PS_ Elec'!P6</f>
        <v>0</v>
      </c>
      <c r="S80" s="1605">
        <f>'Mktg Resch Detail_PS_ Elec'!R6</f>
        <v>290966.2758</v>
      </c>
      <c r="T80" s="2144"/>
    </row>
    <row r="81" spans="2:20">
      <c r="B81" s="2259" t="s">
        <v>398</v>
      </c>
      <c r="E81" s="1866" t="s">
        <v>28</v>
      </c>
      <c r="H81" s="1340">
        <v>18230802</v>
      </c>
      <c r="I81" s="1605">
        <f>'Eval Detail_R&amp;C_Elec'!H6</f>
        <v>160860.54999999999</v>
      </c>
      <c r="J81" s="1605">
        <f>'Eval Detail_R&amp;C_Elec'!I6</f>
        <v>0</v>
      </c>
      <c r="K81" s="1605">
        <f>'Eval Detail_R&amp;C_Elec'!J6</f>
        <v>109385.174</v>
      </c>
      <c r="L81" s="1605">
        <f>'Eval Detail_R&amp;C_Elec'!K6</f>
        <v>0</v>
      </c>
      <c r="M81" s="1605">
        <f>'Eval Detail_R&amp;C_Elec'!L6</f>
        <v>1000.5</v>
      </c>
      <c r="N81" s="1605">
        <f>'Eval Detail_R&amp;C_Elec'!M6</f>
        <v>1544250</v>
      </c>
      <c r="O81" s="1605">
        <f>'Eval Detail_R&amp;C_Elec'!N6</f>
        <v>0</v>
      </c>
      <c r="P81" s="1605">
        <f>'Eval Detail_R&amp;C_Elec'!O6</f>
        <v>3915</v>
      </c>
      <c r="Q81" s="1605">
        <f>'Eval Detail_R&amp;C_Elec'!P6</f>
        <v>0</v>
      </c>
      <c r="S81" s="1605">
        <f>'Eval Detail_R&amp;C_Elec'!R6</f>
        <v>1819411.2239999999</v>
      </c>
      <c r="T81" s="2144"/>
    </row>
    <row r="82" spans="2:20" s="2177" customFormat="1">
      <c r="B82" s="2259" t="s">
        <v>437</v>
      </c>
      <c r="E82" s="2177" t="s">
        <v>438</v>
      </c>
      <c r="H82" s="2263">
        <v>18230624</v>
      </c>
      <c r="I82" s="2142">
        <f>'BECAR Detail_R&amp;C Elec'!H6</f>
        <v>0</v>
      </c>
      <c r="J82" s="2142">
        <f>'BECAR Detail_R&amp;C Elec'!I6</f>
        <v>0</v>
      </c>
      <c r="K82" s="2142">
        <f>'BECAR Detail_R&amp;C Elec'!J6</f>
        <v>0</v>
      </c>
      <c r="L82" s="2142">
        <f>'BECAR Detail_R&amp;C Elec'!K6</f>
        <v>0</v>
      </c>
      <c r="M82" s="2142">
        <f>'BECAR Detail_R&amp;C Elec'!L6</f>
        <v>0</v>
      </c>
      <c r="N82" s="2142">
        <f>'BECAR Detail_R&amp;C Elec'!M6</f>
        <v>100000</v>
      </c>
      <c r="O82" s="2142">
        <f>'BECAR Detail_R&amp;C Elec'!N6</f>
        <v>0</v>
      </c>
      <c r="P82" s="2142">
        <f>'BECAR Detail_R&amp;C Elec'!O6</f>
        <v>0</v>
      </c>
      <c r="Q82" s="2142">
        <f>'BECAR Detail_R&amp;C Elec'!P6</f>
        <v>0</v>
      </c>
      <c r="S82" s="2142">
        <f>'BECAR Detail_R&amp;C Elec'!R6</f>
        <v>100000</v>
      </c>
      <c r="T82" s="2144"/>
    </row>
    <row r="83" spans="2:20" s="2140" customFormat="1">
      <c r="B83" s="2259" t="s">
        <v>399</v>
      </c>
      <c r="D83" s="2177"/>
      <c r="E83" s="2140" t="s">
        <v>267</v>
      </c>
      <c r="H83" s="2143">
        <v>18230418</v>
      </c>
      <c r="I83" s="2142">
        <f>'Verifctn Team Detail Elec'!H6</f>
        <v>196017.003</v>
      </c>
      <c r="J83" s="2142">
        <f>'Verifctn Team Detail Elec'!I6</f>
        <v>0</v>
      </c>
      <c r="K83" s="2142">
        <f>'Verifctn Team Detail Elec'!J6</f>
        <v>133291.56204000002</v>
      </c>
      <c r="L83" s="2142">
        <f>'Verifctn Team Detail Elec'!K6</f>
        <v>0</v>
      </c>
      <c r="M83" s="2142">
        <f>'Verifctn Team Detail Elec'!L6</f>
        <v>8526</v>
      </c>
      <c r="N83" s="2142">
        <f>'Verifctn Team Detail Elec'!M6</f>
        <v>78300</v>
      </c>
      <c r="O83" s="2142">
        <f>'Verifctn Team Detail Elec'!N6</f>
        <v>4785</v>
      </c>
      <c r="P83" s="2142">
        <f>'Verifctn Team Detail Elec'!O6</f>
        <v>0</v>
      </c>
      <c r="Q83" s="2142">
        <f>'Verifctn Team Detail Elec'!P6</f>
        <v>0</v>
      </c>
      <c r="S83" s="2142">
        <f>'Verifctn Team Detail Elec'!R6</f>
        <v>420919.56504000002</v>
      </c>
      <c r="T83" s="2144"/>
    </row>
    <row r="84" spans="2:20" s="1737" customFormat="1">
      <c r="B84" s="2064"/>
      <c r="D84" s="2064"/>
      <c r="F84" s="2010"/>
      <c r="G84" s="245" t="s">
        <v>167</v>
      </c>
      <c r="H84" s="604"/>
      <c r="I84" s="603">
        <f t="shared" ref="I84:S84" si="10">SUM(I78:I83)</f>
        <v>687210.76299999992</v>
      </c>
      <c r="J84" s="603">
        <f t="shared" si="10"/>
        <v>0</v>
      </c>
      <c r="K84" s="603">
        <f t="shared" si="10"/>
        <v>467303.31883999996</v>
      </c>
      <c r="L84" s="603">
        <f t="shared" si="10"/>
        <v>0</v>
      </c>
      <c r="M84" s="603">
        <f t="shared" si="10"/>
        <v>15868.8</v>
      </c>
      <c r="N84" s="603">
        <f t="shared" si="10"/>
        <v>1772502.355</v>
      </c>
      <c r="O84" s="603">
        <f t="shared" si="10"/>
        <v>6133.5</v>
      </c>
      <c r="P84" s="603">
        <f t="shared" si="10"/>
        <v>3915</v>
      </c>
      <c r="Q84" s="603">
        <f t="shared" si="10"/>
        <v>0</v>
      </c>
      <c r="R84" s="603">
        <f t="shared" si="10"/>
        <v>0</v>
      </c>
      <c r="S84" s="603">
        <f t="shared" si="10"/>
        <v>2952933.7368399994</v>
      </c>
      <c r="T84" s="2013"/>
    </row>
    <row r="85" spans="2:20">
      <c r="B85" s="2193"/>
      <c r="H85" s="1340"/>
      <c r="T85" s="2144"/>
    </row>
    <row r="86" spans="2:20">
      <c r="B86" s="2193"/>
      <c r="C86" s="1866" t="s">
        <v>168</v>
      </c>
      <c r="H86" s="1340"/>
      <c r="T86" s="2144"/>
    </row>
    <row r="87" spans="2:20">
      <c r="B87" s="2259" t="s">
        <v>401</v>
      </c>
      <c r="C87" s="2177" t="s">
        <v>209</v>
      </c>
      <c r="E87" s="1866" t="s">
        <v>3</v>
      </c>
      <c r="H87" s="1340">
        <v>18230128</v>
      </c>
      <c r="I87" s="1605">
        <f>'Net Mtr Details_Oth Elec E150'!H6</f>
        <v>239878.59</v>
      </c>
      <c r="J87" s="1605">
        <f>'Net Mtr Details_Oth Elec E150'!I6</f>
        <v>0</v>
      </c>
      <c r="K87" s="1605">
        <f>'Net Mtr Details_Oth Elec E150'!J6</f>
        <v>163117.4412</v>
      </c>
      <c r="L87" s="1605">
        <f>'Net Mtr Details_Oth Elec E150'!K6</f>
        <v>0</v>
      </c>
      <c r="M87" s="1605">
        <f>'Net Mtr Details_Oth Elec E150'!L6</f>
        <v>11780</v>
      </c>
      <c r="N87" s="1605">
        <f>'Net Mtr Details_Oth Elec E150'!M6</f>
        <v>40000</v>
      </c>
      <c r="O87" s="1605">
        <f>'Net Mtr Details_Oth Elec E150'!N6</f>
        <v>5000</v>
      </c>
      <c r="P87" s="1605">
        <f>'Net Mtr Details_Oth Elec E150'!O6</f>
        <v>500000</v>
      </c>
      <c r="Q87" s="1605">
        <f>'Net Mtr Details_Oth Elec E150'!P6</f>
        <v>0</v>
      </c>
      <c r="S87" s="1605">
        <f>'Net Mtr Details_Oth Elec E150'!R6</f>
        <v>959776.03119999997</v>
      </c>
      <c r="T87" s="2144"/>
    </row>
    <row r="88" spans="2:20" s="2177" customFormat="1">
      <c r="B88" s="2259" t="s">
        <v>739</v>
      </c>
      <c r="C88" s="2177" t="s">
        <v>210</v>
      </c>
      <c r="E88" s="2177" t="s">
        <v>641</v>
      </c>
      <c r="H88" s="1340">
        <v>18230613</v>
      </c>
      <c r="I88" s="2142">
        <f>'ElecVehcl Chg Inctv_E195 Elect'!H6</f>
        <v>0</v>
      </c>
      <c r="J88" s="2142">
        <f>'ElecVehcl Chg Inctv_E195 Elect'!I6</f>
        <v>0</v>
      </c>
      <c r="K88" s="2142">
        <f>'ElecVehcl Chg Inctv_E195 Elect'!J6</f>
        <v>0</v>
      </c>
      <c r="L88" s="2142">
        <f>'ElecVehcl Chg Inctv_E195 Elect'!K6</f>
        <v>0</v>
      </c>
      <c r="M88" s="2142">
        <f>'ElecVehcl Chg Inctv_E195 Elect'!L6</f>
        <v>0</v>
      </c>
      <c r="N88" s="2142">
        <f>'ElecVehcl Chg Inctv_E195 Elect'!M6</f>
        <v>0</v>
      </c>
      <c r="O88" s="2142">
        <f>'ElecVehcl Chg Inctv_E195 Elect'!N6</f>
        <v>0</v>
      </c>
      <c r="P88" s="2142">
        <f>'ElecVehcl Chg Inctv_E195 Elect'!O6</f>
        <v>0</v>
      </c>
      <c r="Q88" s="2142">
        <f>'ElecVehcl Chg Inctv_E195 Elect'!P6</f>
        <v>0</v>
      </c>
      <c r="S88" s="2142">
        <f>'ElecVehcl Chg Inctv_E195 Elect'!R6</f>
        <v>0</v>
      </c>
      <c r="T88" s="2144"/>
    </row>
    <row r="89" spans="2:20">
      <c r="B89" s="2259"/>
      <c r="C89" s="2177"/>
      <c r="E89" s="2071"/>
      <c r="F89" s="2071"/>
      <c r="G89" s="2071"/>
      <c r="H89" s="2072"/>
      <c r="I89" s="2073"/>
      <c r="J89" s="2073"/>
      <c r="K89" s="2073"/>
      <c r="L89" s="2073"/>
      <c r="M89" s="2073"/>
      <c r="N89" s="2073"/>
      <c r="O89" s="2073"/>
      <c r="P89" s="2073"/>
      <c r="Q89" s="2073"/>
      <c r="R89" s="2073"/>
      <c r="S89" s="2073"/>
      <c r="T89" s="2144"/>
    </row>
    <row r="90" spans="2:20">
      <c r="B90" s="2260"/>
      <c r="E90" s="2071"/>
      <c r="H90" s="2072"/>
      <c r="I90" s="2073"/>
      <c r="J90" s="2073"/>
      <c r="K90" s="2073"/>
      <c r="L90" s="2073"/>
      <c r="M90" s="2073"/>
      <c r="N90" s="2073"/>
      <c r="O90" s="2073"/>
      <c r="P90" s="2073"/>
      <c r="Q90" s="2073"/>
      <c r="R90" s="2073"/>
      <c r="S90" s="2073"/>
      <c r="T90" s="2144"/>
    </row>
    <row r="91" spans="2:20" s="1737" customFormat="1">
      <c r="B91" s="1613"/>
      <c r="D91" s="2064"/>
      <c r="F91" s="2010"/>
      <c r="G91" s="245" t="s">
        <v>169</v>
      </c>
      <c r="H91" s="604"/>
      <c r="I91" s="603">
        <f>SUM(I87:I90)</f>
        <v>239878.59</v>
      </c>
      <c r="J91" s="603">
        <f t="shared" ref="J91:S91" si="11">SUM(J87:J90)</f>
        <v>0</v>
      </c>
      <c r="K91" s="603">
        <f t="shared" si="11"/>
        <v>163117.4412</v>
      </c>
      <c r="L91" s="603">
        <f t="shared" si="11"/>
        <v>0</v>
      </c>
      <c r="M91" s="603">
        <f t="shared" si="11"/>
        <v>11780</v>
      </c>
      <c r="N91" s="603">
        <f t="shared" si="11"/>
        <v>40000</v>
      </c>
      <c r="O91" s="603">
        <f t="shared" si="11"/>
        <v>5000</v>
      </c>
      <c r="P91" s="603">
        <f t="shared" si="11"/>
        <v>500000</v>
      </c>
      <c r="Q91" s="603">
        <f t="shared" si="11"/>
        <v>0</v>
      </c>
      <c r="R91" s="603">
        <f t="shared" si="11"/>
        <v>0</v>
      </c>
      <c r="S91" s="603">
        <f t="shared" si="11"/>
        <v>959776.03119999997</v>
      </c>
      <c r="T91" s="2013"/>
    </row>
    <row r="92" spans="2:20">
      <c r="T92" s="2144"/>
    </row>
    <row r="93" spans="2:20" s="2064" customFormat="1">
      <c r="B93" s="2011"/>
      <c r="F93" s="2010"/>
      <c r="G93" s="2010" t="s">
        <v>170</v>
      </c>
      <c r="I93" s="2012">
        <f t="shared" ref="I93:T93" si="12">I91+I84+I57+I52+I47+I23</f>
        <v>5363517.0954999998</v>
      </c>
      <c r="J93" s="2012">
        <f t="shared" si="12"/>
        <v>429035.77875000006</v>
      </c>
      <c r="K93" s="2012">
        <f t="shared" si="12"/>
        <v>3918213.4000900001</v>
      </c>
      <c r="L93" s="2012">
        <f t="shared" si="12"/>
        <v>3456517.54</v>
      </c>
      <c r="M93" s="2012">
        <f t="shared" si="12"/>
        <v>222589.8</v>
      </c>
      <c r="N93" s="2012">
        <f t="shared" si="12"/>
        <v>8984142.3550000004</v>
      </c>
      <c r="O93" s="2012">
        <f t="shared" si="12"/>
        <v>126341.5</v>
      </c>
      <c r="P93" s="2012">
        <f t="shared" si="12"/>
        <v>1578610.5</v>
      </c>
      <c r="Q93" s="2012">
        <f t="shared" si="12"/>
        <v>70419374.806773081</v>
      </c>
      <c r="R93" s="2012">
        <f t="shared" si="12"/>
        <v>0</v>
      </c>
      <c r="S93" s="2012">
        <f>S91+S84+S57+S52+S47+S23+S75</f>
        <v>100384809.64006509</v>
      </c>
      <c r="T93" s="2013">
        <f t="shared" si="12"/>
        <v>310686623.61879998</v>
      </c>
    </row>
    <row r="94" spans="2:20">
      <c r="T94" s="605">
        <f>T93/1000/8760</f>
        <v>35.466509545525106</v>
      </c>
    </row>
    <row r="95" spans="2:20" s="2316" customFormat="1" ht="202.5">
      <c r="B95" s="2315"/>
      <c r="F95" s="2317"/>
      <c r="G95" s="2321" t="s">
        <v>519</v>
      </c>
      <c r="H95" s="701" t="s">
        <v>217</v>
      </c>
      <c r="I95" s="2319" t="s">
        <v>496</v>
      </c>
      <c r="J95" s="2319" t="s">
        <v>494</v>
      </c>
      <c r="K95" s="2320" t="s">
        <v>497</v>
      </c>
      <c r="L95" s="2319" t="s">
        <v>495</v>
      </c>
      <c r="M95" s="2319" t="s">
        <v>498</v>
      </c>
      <c r="N95" s="2319" t="s">
        <v>499</v>
      </c>
      <c r="O95" s="2319" t="s">
        <v>500</v>
      </c>
      <c r="P95" s="2319" t="s">
        <v>501</v>
      </c>
      <c r="Q95" s="2319" t="s">
        <v>502</v>
      </c>
      <c r="R95" s="2319" t="s">
        <v>218</v>
      </c>
      <c r="S95" s="702"/>
      <c r="T95" s="2318"/>
    </row>
    <row r="98" spans="15:15">
      <c r="O98" s="703"/>
    </row>
  </sheetData>
  <customSheetViews>
    <customSheetView guid="{074EB09C-6289-46D7-9513-012B68BCA7BF}" hiddenRows="1" topLeftCell="B1">
      <pane xSplit="7" ySplit="5" topLeftCell="L24" activePane="bottomRight" state="frozen"/>
      <selection pane="bottomRight" activeCell="B41" sqref="A41:XFD41"/>
      <pageMargins left="0.7" right="0.7" top="0.33" bottom="0.32" header="0.3" footer="0.3"/>
      <pageSetup paperSize="17" scale="57" orientation="landscape" r:id="rId1"/>
    </customSheetView>
    <customSheetView guid="{D9EFFE19-D14B-4C6F-BDF4-FF696F73968D}" topLeftCell="B1">
      <pane xSplit="7" ySplit="5" topLeftCell="I45" activePane="bottomRight" state="frozen"/>
      <selection pane="bottomRight" activeCell="D69" sqref="D69"/>
      <pageMargins left="0.7" right="0.7" top="0.33" bottom="0.32" header="0.3" footer="0.3"/>
      <pageSetup paperSize="3" scale="57" orientation="landscape" r:id="rId2"/>
    </customSheetView>
  </customSheetViews>
  <mergeCells count="1">
    <mergeCell ref="E5:G5"/>
  </mergeCells>
  <hyperlinks>
    <hyperlink ref="H87" location="'Net Mtr Details_Oth Elec E150'!A1" display="'Net Mtr Details_Oth Elec E150'!A1"/>
    <hyperlink ref="H88" location="'ElecVehcl Chg Inctv_E195 Elect'!A1" display="'ElecVehcl Chg Inctv_E195 Elect'!A1"/>
    <hyperlink ref="H80" location="'Mktg Resch Detail_PS_ Elec'!A1" display="'Mktg Resch Detail_PS_ Elec'!A1"/>
    <hyperlink ref="H78" location="'SuppCrv Detail_R&amp;C_Elec'!A1" display="'SuppCrv Detail_R&amp;C_Elec'!A1"/>
    <hyperlink ref="H79" location="'Strat Plan Detail_R&amp;C_Elec'!A1" display="'Strat Plan Detail_R&amp;C_Elec'!A1"/>
    <hyperlink ref="H81" location="'Eval Detail_R&amp;C_Elec'!A1" display="'Eval Detail_R&amp;C_Elec'!A1"/>
    <hyperlink ref="H83" location="'Verifctn Team Detail Elec'!A1" display="'Verifctn Team Detail Elec'!A1"/>
    <hyperlink ref="H66" location="'CustOnline Detail_PSWE_Elec'!A1" display="'CustOnline Detail_PSWE_Elec'!A1"/>
    <hyperlink ref="H67" location="'Mkt Intgn Detail_PSWE_Elec'!A1" display="'Mkt Intgn Detail_PSWE_Elec'!A1"/>
    <hyperlink ref="H72" location="'EEC Detail_PS_Elec'!A1" display="'EEC Detail_PS_Elec'!A1"/>
    <hyperlink ref="H73" location="'TradeAlly Detail_PS_ Elec'!A1" display="'TradeAlly Detail_PS_ Elec'!A1"/>
    <hyperlink ref="H61" location="'Engy Adv Detail_PSCE  Elec'!A1" display="'Engy Adv Detail_PSCE  Elec'!A1"/>
    <hyperlink ref="H63" location="'Brochures Detail_PSCE Elec'!A1" display="'Brochures Detail_PSCE Elec'!A1"/>
    <hyperlink ref="H64" location="'Educatn Detail_PSCE E202 Elec'!A1" display="'Educatn Detail_PSCE E202 Elec'!A1"/>
    <hyperlink ref="H62" location="'Events Detail_PSCE Elec'!A1" display="'Events Detail_PSCE Elec'!A1"/>
    <hyperlink ref="H68" location="'ABS Detail_PSWE_Elec'!A1" display="'ABS Detail_PSWE_Elec'!A1"/>
    <hyperlink ref="H56" location="'T&amp;D Detail_Reg E292 elec'!A1" display="'T&amp;D Detail_Reg E292 elec'!A1"/>
    <hyperlink ref="H55"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omePrint Detail_REM_E214 Elec'!A1" display="'HomePrin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2" location="'BECAR Detail_R&amp;C Elec'!A1" display="18230tbd"/>
    <hyperlink ref="H15" location="'MHDS Detail_REM_E214 Elec.'!A1" display="'MHDS Detail_REM_E214 Elec.'!A1"/>
    <hyperlink ref="H51" location="'BEM Pilots E249 Elec'!A1" display="'BEM Pilots E249 Elec'!A1"/>
    <hyperlink ref="H50" location="'REM Pilots E249 Elec'!A1" display="18230nnn"/>
    <hyperlink ref="H70" location="'Progs Supp Detail_PS_ Elec'!A1" display="'Progs Supp Detail_PS_ Elec'!A1"/>
    <hyperlink ref="H39" location="'Comm Lgt Mkdn_E262 Elect'!A1" display="'Comm Lgt Mkdn_E262 Elect'!A1"/>
    <hyperlink ref="H40" location="'Comm Kit-Laund_E262 Elect'!A1" display="'Comm Kit-Laund_E262 Elect'!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69" location="'Rebt Procg Detail_Elect'!A1" display="'Rebt Procg Detail_Elect'!A1"/>
    <hyperlink ref="H71" location="'Data &amp; Systm Svcs_Elect'!A1" display="'Data &amp; Systm Svcs_Elect'!A1"/>
    <hyperlink ref="H74"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s>
  <pageMargins left="0.7" right="0.7" top="0.33" bottom="0.32" header="0.3" footer="0.3"/>
  <pageSetup paperSize="17" scale="57" orientation="landscape" r:id="rId3"/>
  <ignoredErrors>
    <ignoredError sqref="I91:S91 R7:R84 T30 T93" emptyCellReference="1"/>
  </ignoredErrors>
  <drawing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ABF8F"/>
    <pageSetUpPr fitToPage="1"/>
  </sheetPr>
  <dimension ref="A1:S67"/>
  <sheetViews>
    <sheetView showGridLines="0" zoomScaleNormal="100" workbookViewId="0">
      <pane xSplit="1" ySplit="1" topLeftCell="B8" activePane="bottomRight" state="frozen"/>
      <selection pane="topRight" activeCell="B1" sqref="B1"/>
      <selection pane="bottomLeft" activeCell="A2" sqref="A2"/>
      <selection pane="bottomRight" activeCell="G9" sqref="G9"/>
    </sheetView>
  </sheetViews>
  <sheetFormatPr defaultRowHeight="12.75"/>
  <cols>
    <col min="1" max="1" width="18" customWidth="1"/>
    <col min="2" max="2" width="15.7109375" style="1866" customWidth="1"/>
    <col min="3" max="3" width="40.140625" customWidth="1"/>
    <col min="4" max="4" width="20" style="1" customWidth="1"/>
    <col min="5" max="5" width="20" style="2" customWidth="1"/>
    <col min="6" max="10" width="18.85546875" customWidth="1"/>
    <col min="11" max="11" width="17.5703125" customWidth="1"/>
    <col min="12" max="13" width="20.140625" customWidth="1"/>
    <col min="14" max="14" width="19.42578125" customWidth="1"/>
    <col min="15" max="15" width="14.42578125" customWidth="1"/>
    <col min="16" max="16" width="15.28515625" customWidth="1"/>
    <col min="17" max="17" width="14.42578125" customWidth="1"/>
  </cols>
  <sheetData>
    <row r="1" spans="1:19" ht="55.5" customHeight="1">
      <c r="D1" s="1809" t="s">
        <v>26</v>
      </c>
      <c r="E1" s="1975" t="s">
        <v>6</v>
      </c>
      <c r="F1" s="1882">
        <v>18230657</v>
      </c>
      <c r="G1" s="1977" t="s">
        <v>31</v>
      </c>
      <c r="M1" s="1809" t="s">
        <v>26</v>
      </c>
      <c r="N1" s="1975" t="s">
        <v>6</v>
      </c>
      <c r="O1" s="1882">
        <v>18230657</v>
      </c>
      <c r="P1" s="1977" t="s">
        <v>31</v>
      </c>
    </row>
    <row r="2" spans="1:19" ht="16.5" thickBot="1">
      <c r="D2" s="39"/>
      <c r="E2" s="1614"/>
      <c r="F2" s="1614"/>
      <c r="G2" s="1227"/>
      <c r="H2" s="1576" t="s">
        <v>674</v>
      </c>
      <c r="I2" s="1805"/>
      <c r="J2" s="1805"/>
      <c r="K2" s="1805"/>
      <c r="L2" s="1805"/>
      <c r="M2" s="1805"/>
      <c r="N2" s="1805"/>
      <c r="O2" s="1805"/>
      <c r="P2" s="1805"/>
      <c r="Q2" s="1805"/>
    </row>
    <row r="3" spans="1:19" ht="26.25" thickBot="1">
      <c r="A3" s="1807" t="s">
        <v>26</v>
      </c>
      <c r="B3" s="1807"/>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6</v>
      </c>
      <c r="B4" s="1867"/>
      <c r="C4" s="40"/>
      <c r="E4" s="1806"/>
      <c r="F4" s="1806"/>
      <c r="G4" s="1804" t="s">
        <v>668</v>
      </c>
      <c r="H4" s="2003">
        <v>38485</v>
      </c>
      <c r="I4" s="2002">
        <v>0</v>
      </c>
      <c r="J4" s="2002">
        <v>27209</v>
      </c>
      <c r="K4" s="2002">
        <v>6110</v>
      </c>
      <c r="L4" s="2002">
        <v>11000</v>
      </c>
      <c r="M4" s="2002">
        <v>109888</v>
      </c>
      <c r="N4" s="2002">
        <v>7162</v>
      </c>
      <c r="O4" s="2002">
        <v>1000</v>
      </c>
      <c r="P4" s="2002">
        <v>0</v>
      </c>
      <c r="Q4" s="2002"/>
      <c r="R4" s="2002">
        <v>200854</v>
      </c>
      <c r="S4" s="1998"/>
    </row>
    <row r="5" spans="1:19" ht="15.75">
      <c r="A5" s="1882">
        <v>18230657</v>
      </c>
      <c r="B5" s="1748"/>
      <c r="C5" s="40" t="s">
        <v>7</v>
      </c>
      <c r="D5" s="27"/>
      <c r="E5" s="27"/>
      <c r="F5" s="27"/>
      <c r="G5" s="1228">
        <v>2016</v>
      </c>
      <c r="H5" s="1582">
        <f>D15</f>
        <v>56201.274000000005</v>
      </c>
      <c r="I5" s="1549">
        <f>D22</f>
        <v>1132.3</v>
      </c>
      <c r="J5" s="1549">
        <f>D28</f>
        <v>38241.493858000009</v>
      </c>
      <c r="K5" s="1549">
        <f>D35</f>
        <v>13195</v>
      </c>
      <c r="L5" s="1549">
        <f>D41</f>
        <v>10985</v>
      </c>
      <c r="M5" s="1549">
        <f>D47</f>
        <v>4225</v>
      </c>
      <c r="N5" s="1549">
        <f>D53</f>
        <v>6515</v>
      </c>
      <c r="O5" s="1549">
        <f>D59</f>
        <v>0</v>
      </c>
      <c r="P5" s="1549">
        <v>0</v>
      </c>
      <c r="Q5" s="1549"/>
      <c r="R5" s="1549">
        <f>SUM(H5:P5)</f>
        <v>130495.06785800002</v>
      </c>
      <c r="S5" s="1999"/>
    </row>
    <row r="6" spans="1:19" ht="16.5" thickBot="1">
      <c r="A6" s="1976" t="s">
        <v>31</v>
      </c>
      <c r="B6" s="1882"/>
      <c r="D6"/>
      <c r="E6" s="1866"/>
      <c r="F6" s="1866"/>
      <c r="G6" s="1228">
        <v>2017</v>
      </c>
      <c r="H6" s="57">
        <f>E15</f>
        <v>57606.305849999997</v>
      </c>
      <c r="I6" s="1990">
        <f>E22</f>
        <v>1690</v>
      </c>
      <c r="J6" s="1989">
        <f>E28</f>
        <v>40321.487977999997</v>
      </c>
      <c r="K6" s="58">
        <f>E35</f>
        <v>13195</v>
      </c>
      <c r="L6" s="58">
        <f>E41</f>
        <v>10855</v>
      </c>
      <c r="M6" s="58">
        <f>E47</f>
        <v>4225</v>
      </c>
      <c r="N6" s="58">
        <f>E53</f>
        <v>7865</v>
      </c>
      <c r="O6" s="58">
        <f>E59</f>
        <v>0</v>
      </c>
      <c r="P6" s="58">
        <v>0</v>
      </c>
      <c r="Q6" s="58"/>
      <c r="R6" s="58">
        <f>SUM(H6:P6)</f>
        <v>135757.79382799999</v>
      </c>
      <c r="S6" s="1996"/>
    </row>
    <row r="7" spans="1:19" ht="16.5" thickBot="1">
      <c r="B7" s="1748"/>
      <c r="C7" s="1302"/>
      <c r="D7"/>
      <c r="E7" s="1866"/>
      <c r="F7" s="1866"/>
      <c r="G7" s="598" t="s">
        <v>23</v>
      </c>
      <c r="H7" s="1564">
        <f>SUM(H5:H6)</f>
        <v>113807.57985000001</v>
      </c>
      <c r="I7" s="1991">
        <f t="shared" ref="I7:P7" si="0">SUM(I5:I6)</f>
        <v>2822.3</v>
      </c>
      <c r="J7" s="1992">
        <f t="shared" si="0"/>
        <v>78562.981836000006</v>
      </c>
      <c r="K7" s="1993">
        <f t="shared" si="0"/>
        <v>26390</v>
      </c>
      <c r="L7" s="1991">
        <f t="shared" si="0"/>
        <v>21840</v>
      </c>
      <c r="M7" s="1992">
        <f t="shared" si="0"/>
        <v>8450</v>
      </c>
      <c r="N7" s="1991">
        <f t="shared" si="0"/>
        <v>14380</v>
      </c>
      <c r="O7" s="1992">
        <f t="shared" si="0"/>
        <v>0</v>
      </c>
      <c r="P7" s="1993">
        <f t="shared" si="0"/>
        <v>0</v>
      </c>
      <c r="Q7" s="1993"/>
      <c r="R7" s="1991">
        <f>SUM(R5:R6)</f>
        <v>266252.86168600002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D15+D22+D28+D35+D41+D47+D53+D59</f>
        <v>130495.06785800002</v>
      </c>
      <c r="E12" s="1948">
        <f>E15+E22+E28+E35+E41+E47+E53+E59</f>
        <v>135757.79382799999</v>
      </c>
      <c r="F12" s="1924">
        <f>D12+E12</f>
        <v>266252.86168600002</v>
      </c>
    </row>
    <row r="13" spans="1:19">
      <c r="A13" s="21"/>
      <c r="B13" s="1863"/>
      <c r="C13" s="1947"/>
      <c r="D13" s="1866"/>
      <c r="E13" s="1787"/>
      <c r="F13" s="1866"/>
    </row>
    <row r="14" spans="1:19" ht="13.5" customHeight="1">
      <c r="A14" s="21"/>
      <c r="B14" s="1863"/>
      <c r="C14" s="1888" t="s">
        <v>45</v>
      </c>
      <c r="D14" s="1969">
        <v>2016</v>
      </c>
      <c r="E14" s="1970">
        <v>2017</v>
      </c>
      <c r="F14" s="1950" t="s">
        <v>23</v>
      </c>
      <c r="G14" s="1297"/>
      <c r="H14" s="1297"/>
    </row>
    <row r="15" spans="1:19" s="18" customFormat="1" ht="13.5" customHeight="1">
      <c r="A15" s="29"/>
      <c r="B15" s="1886" t="s">
        <v>312</v>
      </c>
      <c r="C15" s="1910" t="s">
        <v>46</v>
      </c>
      <c r="D15" s="1911">
        <f>SUM(D16:D20)</f>
        <v>56201.274000000005</v>
      </c>
      <c r="E15" s="1926">
        <f>SUM(E16:E20)</f>
        <v>57606.305849999997</v>
      </c>
      <c r="F15" s="1924">
        <f>SUM(F16:F20)</f>
        <v>94340.400299999994</v>
      </c>
      <c r="G15" s="30"/>
      <c r="H15" s="30"/>
    </row>
    <row r="16" spans="1:19" s="18" customFormat="1" ht="13.5" customHeight="1">
      <c r="A16" s="29"/>
      <c r="B16" s="2610">
        <v>0.05</v>
      </c>
      <c r="C16" s="2197" t="s">
        <v>344</v>
      </c>
      <c r="D16" s="2201">
        <v>3697.2</v>
      </c>
      <c r="E16" s="2200">
        <f>D16*1.025</f>
        <v>3789.6299999999997</v>
      </c>
      <c r="F16" s="1879">
        <f>SUM(D16:E16)</f>
        <v>7486.83</v>
      </c>
      <c r="G16" s="30"/>
      <c r="H16" s="30"/>
    </row>
    <row r="17" spans="1:11" ht="13.5" customHeight="1">
      <c r="A17" s="21"/>
      <c r="B17" s="2610">
        <v>0.15</v>
      </c>
      <c r="C17" s="2197" t="s">
        <v>840</v>
      </c>
      <c r="D17" s="2199">
        <v>11092.41</v>
      </c>
      <c r="E17" s="2198">
        <f>D17*1.025</f>
        <v>11369.720249999998</v>
      </c>
      <c r="F17" s="1891">
        <f>SUM(D17:E17)</f>
        <v>22462.130249999998</v>
      </c>
    </row>
    <row r="18" spans="1:11" s="2177" customFormat="1" ht="13.5" customHeight="1">
      <c r="A18" s="2178"/>
      <c r="B18" s="2610">
        <v>0.13</v>
      </c>
      <c r="C18" s="2197" t="s">
        <v>791</v>
      </c>
      <c r="D18" s="2199">
        <v>9613.4220000000005</v>
      </c>
      <c r="E18" s="2198">
        <f>D18*1.025</f>
        <v>9853.7575500000003</v>
      </c>
      <c r="F18" s="2191"/>
    </row>
    <row r="19" spans="1:11" ht="13.5" customHeight="1">
      <c r="A19" s="21"/>
      <c r="B19" s="2610">
        <v>0.1</v>
      </c>
      <c r="C19" s="2197" t="s">
        <v>841</v>
      </c>
      <c r="D19" s="2199">
        <v>7394.9400000000005</v>
      </c>
      <c r="E19" s="2198">
        <f>D19*1.025</f>
        <v>7579.8135000000002</v>
      </c>
      <c r="F19" s="1891">
        <f>SUM(D19:E19)</f>
        <v>14974.753500000001</v>
      </c>
      <c r="I19" s="31"/>
      <c r="J19" s="31"/>
      <c r="K19" s="31"/>
    </row>
    <row r="20" spans="1:11" ht="13.5" customHeight="1">
      <c r="A20" s="21"/>
      <c r="B20" s="2610">
        <v>0.33</v>
      </c>
      <c r="C20" s="2197" t="s">
        <v>842</v>
      </c>
      <c r="D20" s="1903">
        <v>24403.302</v>
      </c>
      <c r="E20" s="1902">
        <f>D20*1.025</f>
        <v>25013.384549999999</v>
      </c>
      <c r="F20" s="1891">
        <f>SUM(D20:E20)</f>
        <v>49416.686549999999</v>
      </c>
      <c r="I20" s="44"/>
      <c r="J20" s="31"/>
      <c r="K20" s="31"/>
    </row>
    <row r="21" spans="1:11" ht="13.5" customHeight="1">
      <c r="A21" s="21"/>
      <c r="B21" s="1908">
        <f>SUM(B16:B20)</f>
        <v>0.76</v>
      </c>
      <c r="C21" s="1952"/>
      <c r="D21" s="1954"/>
      <c r="E21" s="1955"/>
      <c r="F21" s="1957"/>
      <c r="I21" s="33"/>
      <c r="J21" s="31"/>
      <c r="K21" s="31"/>
    </row>
    <row r="22" spans="1:11" ht="13.5" customHeight="1">
      <c r="A22" s="21"/>
      <c r="B22" s="1865"/>
      <c r="C22" s="1910" t="s">
        <v>47</v>
      </c>
      <c r="D22" s="1911">
        <f>SUM(D23:D26)</f>
        <v>1132.3</v>
      </c>
      <c r="E22" s="1926">
        <f>SUM(E23:E26)</f>
        <v>1690</v>
      </c>
      <c r="F22" s="1924">
        <f>SUM(F23:F26)</f>
        <v>2822.3</v>
      </c>
      <c r="I22" s="33"/>
      <c r="J22" s="31"/>
      <c r="K22" s="31"/>
    </row>
    <row r="23" spans="1:11" ht="13.5" customHeight="1">
      <c r="A23" s="21"/>
      <c r="B23" s="1865"/>
      <c r="C23" s="2197" t="s">
        <v>843</v>
      </c>
      <c r="D23" s="2201">
        <v>435.5</v>
      </c>
      <c r="E23" s="2200">
        <v>650</v>
      </c>
      <c r="F23" s="1879">
        <f>SUM(D23:E23)</f>
        <v>1085.5</v>
      </c>
      <c r="G23" s="34" t="s">
        <v>7</v>
      </c>
      <c r="I23" s="33"/>
      <c r="J23" s="31"/>
      <c r="K23" s="31"/>
    </row>
    <row r="24" spans="1:11" ht="13.5" customHeight="1">
      <c r="A24" s="21"/>
      <c r="B24" s="1865"/>
      <c r="C24" s="2197" t="s">
        <v>867</v>
      </c>
      <c r="D24" s="2201">
        <v>348.4</v>
      </c>
      <c r="E24" s="2200">
        <v>520</v>
      </c>
      <c r="F24" s="1891">
        <f>SUM(D24:E24)</f>
        <v>868.4</v>
      </c>
      <c r="G24" s="35"/>
      <c r="I24" s="33"/>
      <c r="J24" s="31"/>
      <c r="K24" s="31"/>
    </row>
    <row r="25" spans="1:11" ht="13.5" customHeight="1">
      <c r="A25" s="21"/>
      <c r="B25" s="1863"/>
      <c r="C25" s="2197" t="s">
        <v>868</v>
      </c>
      <c r="D25" s="1900">
        <v>348.4</v>
      </c>
      <c r="E25" s="1899">
        <v>520</v>
      </c>
      <c r="F25" s="1891">
        <f>SUM(D25:E25)</f>
        <v>868.4</v>
      </c>
      <c r="I25" s="36"/>
      <c r="J25" s="31"/>
      <c r="K25" s="31"/>
    </row>
    <row r="26" spans="1:11" ht="13.5" customHeight="1">
      <c r="A26" s="21"/>
      <c r="B26" s="1865"/>
      <c r="C26" s="1876"/>
      <c r="D26" s="1896"/>
      <c r="E26" s="1899"/>
      <c r="F26" s="1891">
        <f>SUM(D26:E26)</f>
        <v>0</v>
      </c>
      <c r="I26" s="33"/>
      <c r="J26" s="31"/>
      <c r="K26" s="31"/>
    </row>
    <row r="27" spans="1:11" s="18" customFormat="1" ht="13.5" customHeight="1">
      <c r="A27" s="29"/>
      <c r="B27" s="1863"/>
      <c r="C27" s="1877"/>
      <c r="D27" s="1892"/>
      <c r="E27" s="1884"/>
      <c r="F27" s="1892"/>
    </row>
    <row r="28" spans="1:11" ht="13.5" customHeight="1">
      <c r="A28" s="21"/>
      <c r="B28" s="1865"/>
      <c r="C28" s="1910" t="s">
        <v>48</v>
      </c>
      <c r="D28" s="1911">
        <f>SUM(D30:D33)</f>
        <v>38241.493858000009</v>
      </c>
      <c r="E28" s="1926">
        <f>SUM(E30:E33)</f>
        <v>40321.487977999997</v>
      </c>
      <c r="F28" s="1924">
        <f>SUM(F30:F33)</f>
        <v>78562.981835999992</v>
      </c>
    </row>
    <row r="29" spans="1:11" s="18" customFormat="1" ht="13.5" customHeight="1">
      <c r="A29" s="29"/>
      <c r="B29" s="1865"/>
      <c r="C29" s="1909" t="s">
        <v>315</v>
      </c>
      <c r="D29" s="1912">
        <v>0.66700000000000004</v>
      </c>
      <c r="E29" s="1913">
        <v>0.68</v>
      </c>
      <c r="F29" s="1949"/>
    </row>
    <row r="30" spans="1:11" ht="13.5" customHeight="1">
      <c r="A30" s="21"/>
      <c r="B30" s="1865"/>
      <c r="C30" s="1876" t="s">
        <v>778</v>
      </c>
      <c r="D30" s="1971">
        <f>D15*D29</f>
        <v>37486.249758000005</v>
      </c>
      <c r="E30" s="1972">
        <f>E15*E29</f>
        <v>39172.287978</v>
      </c>
      <c r="F30" s="1891">
        <f>SUM(D30:E30)</f>
        <v>76658.537735999998</v>
      </c>
    </row>
    <row r="31" spans="1:11" ht="13.5" customHeight="1">
      <c r="A31" s="21"/>
      <c r="B31" s="1865"/>
      <c r="C31" s="1876" t="s">
        <v>779</v>
      </c>
      <c r="D31" s="1973">
        <f>D22*D29</f>
        <v>755.2441</v>
      </c>
      <c r="E31" s="1972">
        <f>E22*E29</f>
        <v>1149.2</v>
      </c>
      <c r="F31" s="2191">
        <f>SUM(D31:E31)</f>
        <v>1904.4441000000002</v>
      </c>
    </row>
    <row r="32" spans="1:11" ht="13.5" customHeight="1">
      <c r="A32" s="21"/>
      <c r="B32" s="1865"/>
      <c r="C32" s="1901"/>
      <c r="D32" s="1898"/>
      <c r="E32" s="1897"/>
      <c r="F32" s="2191">
        <f>SUM(D32:E32)</f>
        <v>0</v>
      </c>
    </row>
    <row r="33" spans="1:7" ht="13.5" customHeight="1">
      <c r="A33" s="21"/>
      <c r="B33" s="1865"/>
      <c r="C33" s="1901"/>
      <c r="D33" s="1896"/>
      <c r="E33" s="1899"/>
      <c r="F33" s="2191">
        <f>SUM(D33:E33)</f>
        <v>0</v>
      </c>
    </row>
    <row r="34" spans="1:7" ht="13.5" customHeight="1">
      <c r="A34" s="21"/>
      <c r="B34" s="1801"/>
      <c r="C34" s="1952"/>
      <c r="D34" s="1958"/>
      <c r="E34" s="1955"/>
      <c r="F34" s="1958"/>
    </row>
    <row r="35" spans="1:7" ht="13.5" customHeight="1">
      <c r="B35" s="1865"/>
      <c r="C35" s="1910" t="s">
        <v>49</v>
      </c>
      <c r="D35" s="2183">
        <f>SUM(D36:D39)</f>
        <v>13195</v>
      </c>
      <c r="E35" s="2184">
        <f>SUM(E36:E39)</f>
        <v>13195</v>
      </c>
      <c r="F35" s="1924">
        <v>0</v>
      </c>
    </row>
    <row r="36" spans="1:7" ht="13.5" customHeight="1">
      <c r="B36" s="1863"/>
      <c r="C36" s="2197" t="s">
        <v>844</v>
      </c>
      <c r="D36" s="2202">
        <v>9945</v>
      </c>
      <c r="E36" s="2203">
        <v>9945</v>
      </c>
      <c r="F36" s="1891">
        <v>0</v>
      </c>
      <c r="G36" s="38"/>
    </row>
    <row r="37" spans="1:7" ht="13.5" customHeight="1">
      <c r="B37" s="1865"/>
      <c r="C37" s="2197" t="s">
        <v>845</v>
      </c>
      <c r="D37" s="2202">
        <v>3250</v>
      </c>
      <c r="E37" s="2203">
        <v>3250</v>
      </c>
      <c r="F37" s="1891">
        <v>0</v>
      </c>
    </row>
    <row r="38" spans="1:7" s="2177" customFormat="1" ht="13.5" customHeight="1">
      <c r="A38" s="1807" t="s">
        <v>509</v>
      </c>
      <c r="B38" s="2178"/>
      <c r="C38" s="2179"/>
      <c r="D38" s="2181"/>
      <c r="E38" s="2182"/>
      <c r="F38" s="2180"/>
    </row>
    <row r="39" spans="1:7" ht="13.5" customHeight="1">
      <c r="A39" s="1807" t="s">
        <v>508</v>
      </c>
      <c r="B39" s="1865"/>
      <c r="C39" s="2179"/>
      <c r="D39" s="1971"/>
      <c r="E39" s="1988"/>
      <c r="F39" s="1891">
        <v>0</v>
      </c>
    </row>
    <row r="40" spans="1:7" ht="13.5" customHeight="1">
      <c r="A40" s="1974" t="s">
        <v>6</v>
      </c>
      <c r="B40" s="1865"/>
      <c r="C40" s="1952"/>
      <c r="D40" s="1958"/>
      <c r="E40" s="1955"/>
      <c r="F40" s="1958"/>
    </row>
    <row r="41" spans="1:7" ht="13.5" customHeight="1">
      <c r="A41" s="1882">
        <v>18230657</v>
      </c>
      <c r="B41" s="1865"/>
      <c r="C41" s="2106" t="s">
        <v>506</v>
      </c>
      <c r="D41" s="1911">
        <f>SUM(D42:D45)</f>
        <v>10985</v>
      </c>
      <c r="E41" s="1926">
        <f>SUM(E42:E45)</f>
        <v>10855</v>
      </c>
      <c r="F41" s="1924">
        <f t="shared" ref="F41:F57" si="1">SUM(D41:E41)</f>
        <v>21840</v>
      </c>
    </row>
    <row r="42" spans="1:7" ht="13.5" customHeight="1">
      <c r="A42" s="2193" t="s">
        <v>31</v>
      </c>
      <c r="B42" s="1865"/>
      <c r="C42" s="2197" t="s">
        <v>846</v>
      </c>
      <c r="D42" s="2202">
        <v>2210</v>
      </c>
      <c r="E42" s="2203">
        <v>2080</v>
      </c>
      <c r="F42" s="1891">
        <f t="shared" si="1"/>
        <v>4290</v>
      </c>
    </row>
    <row r="43" spans="1:7" s="2177" customFormat="1" ht="13.5" customHeight="1">
      <c r="A43" s="2178"/>
      <c r="B43" s="2178"/>
      <c r="C43" s="2197" t="s">
        <v>847</v>
      </c>
      <c r="D43" s="2202">
        <v>3575</v>
      </c>
      <c r="E43" s="2203">
        <v>3575</v>
      </c>
      <c r="F43" s="2180">
        <f t="shared" si="1"/>
        <v>7150</v>
      </c>
    </row>
    <row r="44" spans="1:7" ht="13.5" customHeight="1">
      <c r="A44" s="21"/>
      <c r="B44" s="1865"/>
      <c r="C44" s="2197" t="s">
        <v>848</v>
      </c>
      <c r="D44" s="2202">
        <v>5200</v>
      </c>
      <c r="E44" s="2203">
        <v>5200</v>
      </c>
      <c r="F44" s="1891">
        <f t="shared" si="1"/>
        <v>10400</v>
      </c>
    </row>
    <row r="45" spans="1:7" ht="13.5" customHeight="1">
      <c r="A45" s="21"/>
      <c r="B45" s="1865"/>
      <c r="C45" s="2179"/>
      <c r="D45" s="1971"/>
      <c r="E45" s="1988"/>
      <c r="F45" s="1891">
        <f t="shared" si="1"/>
        <v>0</v>
      </c>
    </row>
    <row r="46" spans="1:7" ht="13.5" customHeight="1">
      <c r="A46" s="21"/>
      <c r="B46" s="1865"/>
      <c r="C46" s="1952"/>
      <c r="D46" s="1958"/>
      <c r="E46" s="1955"/>
      <c r="F46" s="1958"/>
    </row>
    <row r="47" spans="1:7" ht="13.5" customHeight="1">
      <c r="A47" s="21"/>
      <c r="B47" s="1865"/>
      <c r="C47" s="1910" t="s">
        <v>50</v>
      </c>
      <c r="D47" s="1911">
        <f>SUM(D48:D51)</f>
        <v>4225</v>
      </c>
      <c r="E47" s="1926">
        <f>SUM(E48:E51)</f>
        <v>4225</v>
      </c>
      <c r="F47" s="1924">
        <f t="shared" si="1"/>
        <v>8450</v>
      </c>
    </row>
    <row r="48" spans="1:7" ht="13.5" customHeight="1">
      <c r="A48" s="21"/>
      <c r="B48" s="1865"/>
      <c r="C48" s="2197" t="s">
        <v>849</v>
      </c>
      <c r="D48" s="2202">
        <v>4225</v>
      </c>
      <c r="E48" s="2203">
        <v>4225</v>
      </c>
      <c r="F48" s="1891">
        <f t="shared" si="1"/>
        <v>8450</v>
      </c>
    </row>
    <row r="49" spans="1:6" ht="13.5" customHeight="1">
      <c r="A49" s="21"/>
      <c r="B49" s="1865"/>
      <c r="C49" s="2197"/>
      <c r="D49" s="1971"/>
      <c r="E49" s="1988"/>
      <c r="F49" s="1891">
        <f t="shared" si="1"/>
        <v>0</v>
      </c>
    </row>
    <row r="50" spans="1:6" ht="13.5" customHeight="1">
      <c r="A50" s="21"/>
      <c r="B50" s="1865"/>
      <c r="C50" s="1876"/>
      <c r="D50" s="1971"/>
      <c r="E50" s="1988"/>
      <c r="F50" s="1891">
        <f t="shared" si="1"/>
        <v>0</v>
      </c>
    </row>
    <row r="51" spans="1:6" ht="13.5" customHeight="1">
      <c r="A51" s="21"/>
      <c r="B51" s="1865"/>
      <c r="C51" s="1876"/>
      <c r="D51" s="1971"/>
      <c r="E51" s="1988"/>
      <c r="F51" s="1891">
        <f t="shared" si="1"/>
        <v>0</v>
      </c>
    </row>
    <row r="52" spans="1:6" ht="13.5" customHeight="1">
      <c r="A52" s="21"/>
      <c r="B52" s="1865"/>
      <c r="C52" s="1952"/>
      <c r="D52" s="1958"/>
      <c r="E52" s="1955"/>
      <c r="F52" s="1958"/>
    </row>
    <row r="53" spans="1:6" ht="13.5" customHeight="1">
      <c r="A53" s="21"/>
      <c r="B53" s="1865"/>
      <c r="C53" s="1910" t="s">
        <v>51</v>
      </c>
      <c r="D53" s="1911">
        <f>SUM(D54:D57)</f>
        <v>6515</v>
      </c>
      <c r="E53" s="1926">
        <f>SUM(E54:E57)</f>
        <v>7865</v>
      </c>
      <c r="F53" s="1924">
        <f t="shared" si="1"/>
        <v>14380</v>
      </c>
    </row>
    <row r="54" spans="1:6" ht="13.5" customHeight="1">
      <c r="A54" s="21"/>
      <c r="B54" s="1865"/>
      <c r="C54" s="2197" t="s">
        <v>1653</v>
      </c>
      <c r="D54" s="2202">
        <v>1040</v>
      </c>
      <c r="E54" s="2163">
        <v>1040</v>
      </c>
      <c r="F54" s="1891">
        <f t="shared" si="1"/>
        <v>2080</v>
      </c>
    </row>
    <row r="55" spans="1:6" ht="13.5" customHeight="1">
      <c r="A55" s="21"/>
      <c r="B55" s="1865"/>
      <c r="C55" s="2197" t="s">
        <v>851</v>
      </c>
      <c r="D55" s="2202">
        <v>4630</v>
      </c>
      <c r="E55" s="2163">
        <v>5980</v>
      </c>
      <c r="F55" s="1891">
        <f t="shared" si="1"/>
        <v>10610</v>
      </c>
    </row>
    <row r="56" spans="1:6" ht="13.5" customHeight="1">
      <c r="A56" s="21"/>
      <c r="B56" s="1865"/>
      <c r="C56" s="2197" t="s">
        <v>852</v>
      </c>
      <c r="D56" s="2202">
        <v>520</v>
      </c>
      <c r="E56" s="2203">
        <v>520</v>
      </c>
      <c r="F56" s="1891">
        <f t="shared" si="1"/>
        <v>1040</v>
      </c>
    </row>
    <row r="57" spans="1:6" s="2177" customFormat="1" ht="13.5" customHeight="1">
      <c r="A57" s="2178"/>
      <c r="B57" s="2178"/>
      <c r="C57" s="2197" t="s">
        <v>1654</v>
      </c>
      <c r="D57" s="2202">
        <v>325</v>
      </c>
      <c r="E57" s="2203">
        <v>325</v>
      </c>
      <c r="F57" s="2191">
        <f t="shared" si="1"/>
        <v>650</v>
      </c>
    </row>
    <row r="58" spans="1:6" ht="13.5" customHeight="1">
      <c r="A58" s="21"/>
      <c r="B58" s="1865"/>
      <c r="C58" s="1952"/>
      <c r="D58" s="1958"/>
      <c r="E58" s="1955"/>
      <c r="F58" s="1958"/>
    </row>
    <row r="59" spans="1:6" ht="13.5" customHeight="1">
      <c r="A59" s="21"/>
      <c r="B59" s="1865"/>
      <c r="C59" s="1910" t="s">
        <v>52</v>
      </c>
      <c r="D59" s="2183">
        <f>SUM(D60:D63)</f>
        <v>0</v>
      </c>
      <c r="E59" s="2184">
        <f>SUM(E60:E63)</f>
        <v>0</v>
      </c>
      <c r="F59" s="1924">
        <f>SUM(F60:F62)</f>
        <v>0</v>
      </c>
    </row>
    <row r="60" spans="1:6" ht="13.5" customHeight="1">
      <c r="A60" s="21"/>
      <c r="B60" s="1865"/>
      <c r="C60" s="2197"/>
      <c r="D60" s="1971"/>
      <c r="E60" s="1988"/>
      <c r="F60" s="1891">
        <f>SUM(D60:E60)</f>
        <v>0</v>
      </c>
    </row>
    <row r="61" spans="1:6" s="2177" customFormat="1" ht="13.5" customHeight="1">
      <c r="A61" s="2178"/>
      <c r="B61" s="2178"/>
      <c r="C61" s="2197"/>
      <c r="D61" s="2181"/>
      <c r="E61" s="2182"/>
      <c r="F61" s="2180">
        <f>SUM(D61:E61)</f>
        <v>0</v>
      </c>
    </row>
    <row r="62" spans="1:6" ht="13.5" customHeight="1">
      <c r="A62" s="21"/>
      <c r="B62" s="1865"/>
      <c r="C62" s="2179"/>
      <c r="D62" s="1971"/>
      <c r="E62" s="1988"/>
      <c r="F62" s="2180">
        <f>SUM(D62:E62)</f>
        <v>0</v>
      </c>
    </row>
    <row r="63" spans="1:6" ht="13.5" customHeight="1">
      <c r="A63" s="21"/>
      <c r="C63" s="2179"/>
      <c r="D63" s="1971"/>
      <c r="E63" s="1988"/>
      <c r="F63" s="2180">
        <f>SUM(D63:E63)</f>
        <v>0</v>
      </c>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I55" sqref="I55"/>
      <pageMargins left="0.24" right="0.21" top="0.38" bottom="0.37" header="0.3" footer="0.3"/>
      <pageSetup paperSize="17" scale="62" orientation="landscape" r:id="rId1"/>
    </customSheetView>
    <customSheetView guid="{D9EFFE19-D14B-4C6F-BDF4-FF696F73968D}" showGridLines="0" fitToPage="1">
      <pane xSplit="1" ySplit="1" topLeftCell="B2" activePane="bottomRight" state="frozen"/>
      <selection pane="bottomRight"/>
      <pageMargins left="0.24" right="0.21" top="0.38" bottom="0.37" header="0.3" footer="0.3"/>
      <pageSetup paperSize="17" scale="62" orientation="landscape" r:id="rId2"/>
    </customSheetView>
  </customSheetViews>
  <pageMargins left="0.24" right="0.21" top="0.38" bottom="0.37" header="0.3" footer="0.3"/>
  <pageSetup paperSize="17" scale="62" orientation="landscape" r:id="rId3"/>
  <drawing r:id="rId4"/>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ColWidth="31.42578125" defaultRowHeight="12.75"/>
  <cols>
    <col min="1" max="1" width="17.5703125" customWidth="1"/>
    <col min="2" max="2" width="15.42578125" style="1866" customWidth="1"/>
    <col min="3" max="3" width="32.28515625" customWidth="1"/>
    <col min="4" max="4" width="21.140625" customWidth="1"/>
    <col min="5" max="5" width="22.7109375" customWidth="1"/>
    <col min="6" max="8" width="22.5703125" customWidth="1"/>
    <col min="9" max="11" width="19.42578125" customWidth="1"/>
    <col min="12" max="14" width="18.140625" customWidth="1"/>
    <col min="15" max="15" width="19" customWidth="1"/>
    <col min="16" max="16" width="20.28515625" customWidth="1"/>
    <col min="17" max="17" width="20.28515625" style="2177" customWidth="1"/>
    <col min="18" max="18" width="19.5703125" customWidth="1"/>
    <col min="19" max="19" width="8.140625" customWidth="1"/>
  </cols>
  <sheetData>
    <row r="1" spans="1:19" ht="54" customHeight="1">
      <c r="D1" s="1816" t="s">
        <v>164</v>
      </c>
      <c r="E1" s="1980" t="s">
        <v>25</v>
      </c>
      <c r="F1" s="1883">
        <v>18230698</v>
      </c>
      <c r="G1" s="1981" t="s">
        <v>31</v>
      </c>
      <c r="M1" s="1816" t="s">
        <v>164</v>
      </c>
      <c r="N1" s="1980" t="s">
        <v>25</v>
      </c>
      <c r="O1" s="1883">
        <v>18230698</v>
      </c>
      <c r="P1" s="1981" t="s">
        <v>31</v>
      </c>
      <c r="Q1" s="1981"/>
    </row>
    <row r="2" spans="1:19" ht="16.5" thickBot="1">
      <c r="A2" s="535"/>
      <c r="B2" s="535"/>
      <c r="D2" s="536"/>
      <c r="E2" s="536"/>
      <c r="F2" s="536"/>
      <c r="G2" s="1805"/>
      <c r="H2" s="1576" t="s">
        <v>674</v>
      </c>
      <c r="I2" s="1805"/>
      <c r="J2" s="1805"/>
      <c r="K2" s="1805"/>
      <c r="L2" s="1805"/>
      <c r="M2" s="1805"/>
      <c r="N2" s="1805"/>
      <c r="O2" s="1805"/>
      <c r="P2" s="1805"/>
      <c r="Q2" s="1805"/>
      <c r="R2" s="1805"/>
    </row>
    <row r="3" spans="1:19" ht="26.25" thickBot="1">
      <c r="A3" s="1813" t="s">
        <v>164</v>
      </c>
      <c r="B3" s="1813"/>
      <c r="D3" s="541"/>
      <c r="E3" s="541"/>
      <c r="F3" s="541"/>
      <c r="G3" s="1805"/>
      <c r="H3" s="1577" t="s">
        <v>8</v>
      </c>
      <c r="I3" s="1538" t="s">
        <v>9</v>
      </c>
      <c r="J3" s="1538" t="s">
        <v>10</v>
      </c>
      <c r="K3" s="1538" t="s">
        <v>11</v>
      </c>
      <c r="L3" s="2037" t="s">
        <v>504</v>
      </c>
      <c r="M3" s="1538" t="s">
        <v>12</v>
      </c>
      <c r="N3" s="1538" t="s">
        <v>13</v>
      </c>
      <c r="O3" s="1538" t="s">
        <v>14</v>
      </c>
      <c r="P3" s="1538" t="s">
        <v>15</v>
      </c>
      <c r="Q3" s="2819" t="s">
        <v>39</v>
      </c>
      <c r="R3" s="1538" t="s">
        <v>16</v>
      </c>
      <c r="S3" s="1995"/>
    </row>
    <row r="4" spans="1:19" ht="15.75">
      <c r="A4" s="1982" t="s">
        <v>25</v>
      </c>
      <c r="B4" s="1974"/>
      <c r="C4" s="1332"/>
      <c r="E4" s="1866"/>
      <c r="F4" s="1866"/>
      <c r="G4" s="1804" t="s">
        <v>668</v>
      </c>
      <c r="H4" s="2003">
        <v>0</v>
      </c>
      <c r="I4" s="2002">
        <v>0</v>
      </c>
      <c r="J4" s="2002">
        <v>0</v>
      </c>
      <c r="K4" s="2002">
        <v>0</v>
      </c>
      <c r="L4" s="2002">
        <v>0</v>
      </c>
      <c r="M4" s="2002">
        <v>0</v>
      </c>
      <c r="N4" s="2002">
        <v>0</v>
      </c>
      <c r="O4" s="2002">
        <v>195548</v>
      </c>
      <c r="P4" s="2002">
        <v>0</v>
      </c>
      <c r="Q4" s="2002">
        <v>-182756</v>
      </c>
      <c r="R4" s="2002">
        <v>12792</v>
      </c>
      <c r="S4" s="1998"/>
    </row>
    <row r="5" spans="1:19" ht="15.75">
      <c r="A5" s="1883">
        <v>18230698</v>
      </c>
      <c r="B5" s="1982"/>
      <c r="C5" s="535"/>
      <c r="D5" s="535"/>
      <c r="E5" s="535"/>
      <c r="F5" s="535"/>
      <c r="G5" s="1228">
        <v>2016</v>
      </c>
      <c r="H5" s="1582">
        <f>D15</f>
        <v>0</v>
      </c>
      <c r="I5" s="1549">
        <f>D21</f>
        <v>0</v>
      </c>
      <c r="J5" s="1549">
        <f>D27</f>
        <v>0</v>
      </c>
      <c r="K5" s="1549">
        <f>D34</f>
        <v>0</v>
      </c>
      <c r="L5" s="1549">
        <f>D40</f>
        <v>0</v>
      </c>
      <c r="M5" s="1549">
        <f>D46</f>
        <v>8450</v>
      </c>
      <c r="N5" s="1549">
        <f>D52</f>
        <v>0</v>
      </c>
      <c r="O5" s="1549">
        <f>D58</f>
        <v>12565</v>
      </c>
      <c r="P5" s="1549">
        <v>0</v>
      </c>
      <c r="Q5" s="1549"/>
      <c r="R5" s="1549">
        <f>SUM(H5:P5)</f>
        <v>21015</v>
      </c>
      <c r="S5" s="1999"/>
    </row>
    <row r="6" spans="1:19" ht="16.5" thickBot="1">
      <c r="A6" s="1983" t="s">
        <v>31</v>
      </c>
      <c r="B6" s="1883"/>
      <c r="C6" s="1302"/>
      <c r="D6" s="535"/>
      <c r="E6" s="535"/>
      <c r="F6" s="535"/>
      <c r="G6" s="1228">
        <v>2017</v>
      </c>
      <c r="H6" s="57">
        <f>E15</f>
        <v>0</v>
      </c>
      <c r="I6" s="1990">
        <f>E21</f>
        <v>0</v>
      </c>
      <c r="J6" s="1989">
        <f>E27</f>
        <v>0</v>
      </c>
      <c r="K6" s="58">
        <f>E34</f>
        <v>0</v>
      </c>
      <c r="L6" s="58">
        <f>E40</f>
        <v>0</v>
      </c>
      <c r="M6" s="58">
        <f>E46</f>
        <v>8450</v>
      </c>
      <c r="N6" s="58">
        <f>E52</f>
        <v>0</v>
      </c>
      <c r="O6" s="58">
        <f>E58</f>
        <v>12565</v>
      </c>
      <c r="P6" s="58">
        <v>0</v>
      </c>
      <c r="Q6" s="1990"/>
      <c r="R6" s="58">
        <f>SUM(H6:P6)</f>
        <v>21015</v>
      </c>
      <c r="S6" s="1996"/>
    </row>
    <row r="7" spans="1:19" ht="13.5" thickBot="1">
      <c r="B7" s="1814"/>
      <c r="C7" s="540"/>
      <c r="D7" s="540"/>
      <c r="E7" s="540"/>
      <c r="F7" s="540"/>
      <c r="G7" s="598" t="s">
        <v>23</v>
      </c>
      <c r="H7" s="1564">
        <v>0</v>
      </c>
      <c r="I7" s="1991">
        <v>0</v>
      </c>
      <c r="J7" s="1992">
        <v>0</v>
      </c>
      <c r="K7" s="1993">
        <v>0</v>
      </c>
      <c r="L7" s="1991">
        <v>0</v>
      </c>
      <c r="M7" s="1992">
        <v>0</v>
      </c>
      <c r="N7" s="1991">
        <v>0</v>
      </c>
      <c r="O7" s="1992">
        <f>SUM(O5:O6)</f>
        <v>25130</v>
      </c>
      <c r="P7" s="1993">
        <v>0</v>
      </c>
      <c r="Q7" s="1993"/>
      <c r="R7" s="1991">
        <f>SUM(R5:R6)</f>
        <v>42030</v>
      </c>
      <c r="S7" s="1994"/>
    </row>
    <row r="8" spans="1:19">
      <c r="B8" s="1815"/>
      <c r="C8" s="540"/>
      <c r="D8" s="540"/>
      <c r="E8" s="540"/>
      <c r="F8" s="540"/>
      <c r="G8" s="537"/>
      <c r="H8" s="538"/>
      <c r="I8" s="535"/>
      <c r="J8" s="535"/>
      <c r="K8" s="535"/>
      <c r="L8" s="535"/>
      <c r="M8" s="535"/>
      <c r="N8" s="535"/>
      <c r="O8" s="535"/>
      <c r="P8" s="544" t="s">
        <v>20</v>
      </c>
      <c r="Q8" s="2118"/>
      <c r="R8" s="535"/>
    </row>
    <row r="9" spans="1:19">
      <c r="A9" s="545"/>
      <c r="B9" s="545"/>
      <c r="C9" s="540"/>
      <c r="D9" s="540"/>
      <c r="E9" s="540"/>
      <c r="F9" s="540"/>
      <c r="G9" s="537"/>
      <c r="H9" s="538"/>
      <c r="I9" s="535"/>
      <c r="J9" s="535"/>
      <c r="K9" s="535"/>
      <c r="L9" s="535"/>
      <c r="M9" s="535"/>
      <c r="N9" s="535"/>
      <c r="O9" s="535"/>
      <c r="P9" s="544" t="s">
        <v>21</v>
      </c>
      <c r="Q9" s="2118"/>
      <c r="R9" s="535"/>
    </row>
    <row r="10" spans="1:19">
      <c r="A10" s="544"/>
      <c r="B10" s="544"/>
      <c r="C10" s="1915" t="s">
        <v>329</v>
      </c>
      <c r="D10" s="1915"/>
      <c r="E10" s="1915"/>
      <c r="F10" s="1915"/>
    </row>
    <row r="11" spans="1:19">
      <c r="A11" s="544"/>
      <c r="B11" s="544"/>
      <c r="C11" s="1866"/>
      <c r="D11" s="1866"/>
      <c r="E11" s="1867"/>
      <c r="F11" s="1866"/>
    </row>
    <row r="12" spans="1:19">
      <c r="A12" s="544"/>
      <c r="B12" s="544"/>
      <c r="C12" s="1887" t="s">
        <v>314</v>
      </c>
      <c r="D12" s="1924">
        <f>D15+D21+D27+D34+D40+D46+D52+D58</f>
        <v>21015</v>
      </c>
      <c r="E12" s="1948">
        <f>E15+E21+E27+E34+E40+E46+E52+E58</f>
        <v>21015</v>
      </c>
      <c r="F12" s="1924">
        <f>D12+E12</f>
        <v>42030</v>
      </c>
    </row>
    <row r="13" spans="1:19" ht="13.5" customHeight="1">
      <c r="A13" s="544"/>
      <c r="B13" s="545"/>
      <c r="C13" s="1947"/>
      <c r="D13" s="1866"/>
      <c r="E13" s="1787"/>
      <c r="F13" s="1866"/>
      <c r="G13" s="1457"/>
      <c r="H13" s="1457"/>
      <c r="I13" s="535"/>
      <c r="J13" s="535"/>
      <c r="K13" s="535"/>
      <c r="L13" s="535"/>
      <c r="M13" s="535"/>
      <c r="N13" s="535"/>
      <c r="O13" s="535"/>
      <c r="P13" s="535"/>
      <c r="Q13" s="2080"/>
    </row>
    <row r="14" spans="1:19" ht="13.5" customHeight="1">
      <c r="A14" s="545"/>
      <c r="B14" s="545"/>
      <c r="C14" s="1888" t="s">
        <v>45</v>
      </c>
      <c r="D14" s="1969">
        <v>2016</v>
      </c>
      <c r="E14" s="1970">
        <v>2017</v>
      </c>
      <c r="F14" s="1950" t="s">
        <v>23</v>
      </c>
      <c r="G14" s="546"/>
      <c r="H14" s="546"/>
      <c r="I14" s="540"/>
      <c r="J14" s="540"/>
      <c r="K14" s="540"/>
      <c r="L14" s="540"/>
      <c r="M14" s="540"/>
      <c r="N14" s="540"/>
      <c r="O14" s="540"/>
      <c r="P14" s="540"/>
      <c r="Q14" s="540"/>
    </row>
    <row r="15" spans="1:19" ht="13.5" customHeight="1">
      <c r="A15" s="545"/>
      <c r="B15" s="1886" t="s">
        <v>312</v>
      </c>
      <c r="C15" s="1910" t="s">
        <v>46</v>
      </c>
      <c r="D15" s="1911">
        <f>SUM(D16:D19)</f>
        <v>0</v>
      </c>
      <c r="E15" s="1926">
        <f>SUM(E16:E19)</f>
        <v>0</v>
      </c>
      <c r="F15" s="1924">
        <f>SUM(F16:F19)</f>
        <v>0</v>
      </c>
      <c r="G15" s="546"/>
      <c r="H15" s="546"/>
      <c r="I15" s="540"/>
      <c r="J15" s="540"/>
      <c r="K15" s="540"/>
      <c r="L15" s="540"/>
      <c r="M15" s="540"/>
      <c r="N15" s="540"/>
      <c r="O15" s="540"/>
      <c r="P15" s="540"/>
      <c r="Q15" s="540"/>
    </row>
    <row r="16" spans="1:19" ht="13.5" customHeight="1">
      <c r="A16" s="544"/>
      <c r="B16" s="1885"/>
      <c r="C16" s="1876"/>
      <c r="D16" s="1907"/>
      <c r="E16" s="1906"/>
      <c r="F16" s="1879">
        <f>SUM(D16:E16)</f>
        <v>0</v>
      </c>
      <c r="G16" s="535"/>
      <c r="H16" s="535"/>
    </row>
    <row r="17" spans="1:8" ht="13.5" customHeight="1">
      <c r="A17" s="544"/>
      <c r="B17" s="1885"/>
      <c r="C17" s="1876"/>
      <c r="D17" s="1905"/>
      <c r="E17" s="1904"/>
      <c r="F17" s="1891">
        <f>SUM(D17:E17)</f>
        <v>0</v>
      </c>
      <c r="G17" s="535"/>
      <c r="H17" s="535"/>
    </row>
    <row r="18" spans="1:8" ht="13.5" customHeight="1">
      <c r="A18" s="544"/>
      <c r="B18" s="1885"/>
      <c r="C18" s="1876"/>
      <c r="D18" s="1905"/>
      <c r="E18" s="1904"/>
      <c r="F18" s="1891">
        <f>SUM(D18:E18)</f>
        <v>0</v>
      </c>
      <c r="G18" s="535"/>
      <c r="H18" s="535"/>
    </row>
    <row r="19" spans="1:8" ht="13.5" customHeight="1">
      <c r="A19" s="544"/>
      <c r="B19" s="1885"/>
      <c r="C19" s="1876"/>
      <c r="D19" s="1903"/>
      <c r="E19" s="1902"/>
      <c r="F19" s="1891">
        <f>SUM(D19:E19)</f>
        <v>0</v>
      </c>
      <c r="G19" s="535"/>
      <c r="H19" s="535"/>
    </row>
    <row r="20" spans="1:8" ht="13.5" customHeight="1">
      <c r="A20" s="544"/>
      <c r="B20" s="1908">
        <f>SUM(B16:B19)</f>
        <v>0</v>
      </c>
      <c r="C20" s="1952"/>
      <c r="D20" s="1954"/>
      <c r="E20" s="1955"/>
      <c r="F20" s="1957"/>
      <c r="G20" s="535"/>
      <c r="H20" s="535"/>
    </row>
    <row r="21" spans="1:8" ht="13.5" customHeight="1">
      <c r="A21" s="544"/>
      <c r="B21" s="544"/>
      <c r="C21" s="1910" t="s">
        <v>47</v>
      </c>
      <c r="D21" s="1911">
        <f>SUM(D22:D25)</f>
        <v>0</v>
      </c>
      <c r="E21" s="1926">
        <f>SUM(E22:E25)</f>
        <v>0</v>
      </c>
      <c r="F21" s="1924">
        <f>SUM(F22:F25)</f>
        <v>0</v>
      </c>
      <c r="G21" s="542" t="s">
        <v>7</v>
      </c>
      <c r="H21" s="535"/>
    </row>
    <row r="22" spans="1:8" ht="13.5" customHeight="1">
      <c r="A22" s="544"/>
      <c r="B22" s="544"/>
      <c r="C22" s="1876"/>
      <c r="D22" s="1907"/>
      <c r="E22" s="1906"/>
      <c r="F22" s="1879">
        <f>SUM(D22:E22)</f>
        <v>0</v>
      </c>
      <c r="G22" s="543"/>
      <c r="H22" s="535"/>
    </row>
    <row r="23" spans="1:8" ht="13.5" customHeight="1">
      <c r="A23" s="544"/>
      <c r="B23" s="544"/>
      <c r="C23" s="1876"/>
      <c r="D23" s="1900"/>
      <c r="E23" s="1899"/>
      <c r="F23" s="1891">
        <f>SUM(D23:E23)</f>
        <v>0</v>
      </c>
      <c r="G23" s="535"/>
      <c r="H23" s="535"/>
    </row>
    <row r="24" spans="1:8" ht="13.5" customHeight="1">
      <c r="A24" s="544"/>
      <c r="B24" s="545"/>
      <c r="C24" s="1876"/>
      <c r="D24" s="1898"/>
      <c r="E24" s="1897"/>
      <c r="F24" s="1891">
        <f>SUM(D24:E24)</f>
        <v>0</v>
      </c>
      <c r="G24" s="535"/>
      <c r="H24" s="535"/>
    </row>
    <row r="25" spans="1:8" ht="13.5" customHeight="1">
      <c r="A25" s="545"/>
      <c r="B25" s="544"/>
      <c r="C25" s="1876"/>
      <c r="D25" s="1896"/>
      <c r="E25" s="1899"/>
      <c r="F25" s="1891">
        <f>SUM(D25:E25)</f>
        <v>0</v>
      </c>
      <c r="G25" s="540"/>
      <c r="H25" s="540"/>
    </row>
    <row r="26" spans="1:8" ht="13.5" customHeight="1">
      <c r="A26" s="544"/>
      <c r="B26" s="545"/>
      <c r="C26" s="1877"/>
      <c r="D26" s="1892"/>
      <c r="E26" s="1884"/>
      <c r="F26" s="1892"/>
      <c r="G26" s="535"/>
      <c r="H26" s="535"/>
    </row>
    <row r="27" spans="1:8" ht="13.5" customHeight="1">
      <c r="A27" s="545"/>
      <c r="B27" s="544"/>
      <c r="C27" s="1910" t="s">
        <v>48</v>
      </c>
      <c r="D27" s="1911">
        <f>SUM(D29:D32)</f>
        <v>0</v>
      </c>
      <c r="E27" s="1926">
        <f>SUM(E29:E32)</f>
        <v>0</v>
      </c>
      <c r="F27" s="1924">
        <f>SUM(F29:F32)</f>
        <v>0</v>
      </c>
      <c r="G27" s="540"/>
      <c r="H27" s="540"/>
    </row>
    <row r="28" spans="1:8" ht="13.5" customHeight="1">
      <c r="A28" s="544"/>
      <c r="B28" s="544"/>
      <c r="C28" s="1909" t="s">
        <v>315</v>
      </c>
      <c r="D28" s="1912">
        <v>0.66700000000000004</v>
      </c>
      <c r="E28" s="1913">
        <v>0.68</v>
      </c>
      <c r="F28" s="1949"/>
      <c r="G28" s="535"/>
      <c r="H28" s="535"/>
    </row>
    <row r="29" spans="1:8" ht="13.5" customHeight="1">
      <c r="A29" s="544"/>
      <c r="B29" s="544"/>
      <c r="C29" s="1876"/>
      <c r="D29" s="1971">
        <f>D15*D28</f>
        <v>0</v>
      </c>
      <c r="E29" s="1972">
        <f>E15*E28</f>
        <v>0</v>
      </c>
      <c r="F29" s="1891">
        <f>SUM(D29:E29)</f>
        <v>0</v>
      </c>
      <c r="G29" s="535"/>
      <c r="H29" s="535"/>
    </row>
    <row r="30" spans="1:8" ht="13.5" customHeight="1">
      <c r="A30" s="544"/>
      <c r="B30" s="544"/>
      <c r="C30" s="1876"/>
      <c r="D30" s="1973">
        <f>D21*D28</f>
        <v>0</v>
      </c>
      <c r="E30" s="1972">
        <f>E21*E28</f>
        <v>0</v>
      </c>
      <c r="F30" s="2191">
        <f>SUM(D30:E30)</f>
        <v>0</v>
      </c>
      <c r="G30" s="535"/>
      <c r="H30" s="535"/>
    </row>
    <row r="31" spans="1:8" ht="13.5" customHeight="1">
      <c r="A31" s="544"/>
      <c r="B31" s="544"/>
      <c r="C31" s="1901"/>
      <c r="D31" s="1898"/>
      <c r="E31" s="1897"/>
      <c r="F31" s="2191">
        <f>SUM(D31:E31)</f>
        <v>0</v>
      </c>
      <c r="G31" s="535"/>
      <c r="H31" s="535"/>
    </row>
    <row r="32" spans="1:8" ht="13.5" customHeight="1">
      <c r="A32" s="544"/>
      <c r="B32" s="544"/>
      <c r="C32" s="1901"/>
      <c r="D32" s="1896"/>
      <c r="E32" s="1899"/>
      <c r="F32" s="2191">
        <f>SUM(D32:E32)</f>
        <v>0</v>
      </c>
      <c r="G32" s="535"/>
    </row>
    <row r="33" spans="1:7" ht="13.5" customHeight="1">
      <c r="A33" s="544"/>
      <c r="B33" s="1801"/>
      <c r="C33" s="1952"/>
      <c r="D33" s="1958"/>
      <c r="E33" s="1955"/>
      <c r="F33" s="1958"/>
      <c r="G33" s="535"/>
    </row>
    <row r="34" spans="1:7" ht="13.5" customHeight="1">
      <c r="A34" s="547"/>
      <c r="B34" s="544"/>
      <c r="C34" s="1910" t="s">
        <v>49</v>
      </c>
      <c r="D34" s="1911">
        <v>0</v>
      </c>
      <c r="E34" s="1926">
        <v>0</v>
      </c>
      <c r="F34" s="1924">
        <v>0</v>
      </c>
      <c r="G34" s="539"/>
    </row>
    <row r="35" spans="1:7" ht="13.5" customHeight="1">
      <c r="A35" s="1813" t="s">
        <v>164</v>
      </c>
      <c r="B35" s="545"/>
      <c r="C35" s="1876"/>
      <c r="D35" s="1971"/>
      <c r="E35" s="1988"/>
      <c r="F35" s="1891">
        <v>0</v>
      </c>
      <c r="G35" s="535"/>
    </row>
    <row r="36" spans="1:7" ht="13.5" customHeight="1">
      <c r="A36" s="1982" t="s">
        <v>25</v>
      </c>
      <c r="B36" s="544"/>
      <c r="C36" s="1876"/>
      <c r="D36" s="1971"/>
      <c r="E36" s="1988"/>
      <c r="F36" s="1891">
        <v>0</v>
      </c>
      <c r="G36" s="540"/>
    </row>
    <row r="37" spans="1:7" ht="13.5" customHeight="1">
      <c r="A37" s="1883">
        <v>18230698</v>
      </c>
      <c r="B37" s="544"/>
      <c r="C37" s="1876"/>
      <c r="D37" s="1971"/>
      <c r="E37" s="1988"/>
      <c r="F37" s="1891">
        <v>0</v>
      </c>
      <c r="G37" s="535"/>
    </row>
    <row r="38" spans="1:7" ht="13.5" customHeight="1">
      <c r="A38" s="1983" t="s">
        <v>31</v>
      </c>
      <c r="B38" s="544"/>
      <c r="C38" s="1876"/>
      <c r="D38" s="1971"/>
      <c r="E38" s="1988"/>
      <c r="F38" s="1891">
        <v>0</v>
      </c>
      <c r="G38" s="535"/>
    </row>
    <row r="39" spans="1:7" ht="13.5" customHeight="1">
      <c r="A39" s="544"/>
      <c r="B39" s="544"/>
      <c r="C39" s="1952"/>
      <c r="D39" s="1958"/>
      <c r="E39" s="1955"/>
      <c r="F39" s="1958"/>
      <c r="G39" s="535"/>
    </row>
    <row r="40" spans="1:7" ht="13.5" customHeight="1">
      <c r="A40" s="544"/>
      <c r="B40" s="544"/>
      <c r="C40" s="2106" t="s">
        <v>506</v>
      </c>
      <c r="D40" s="1911">
        <f>SUM(D41:D44)</f>
        <v>0</v>
      </c>
      <c r="E40" s="1926">
        <f>SUM(E41:E44)</f>
        <v>0</v>
      </c>
      <c r="F40" s="1924">
        <f t="shared" ref="F40:F56" si="0">SUM(D40:E40)</f>
        <v>0</v>
      </c>
      <c r="G40" s="535"/>
    </row>
    <row r="41" spans="1:7" ht="13.5" customHeight="1">
      <c r="A41" s="544"/>
      <c r="B41" s="544"/>
      <c r="C41" s="2120"/>
      <c r="D41" s="1971"/>
      <c r="E41" s="1988"/>
      <c r="F41" s="1891">
        <f t="shared" si="0"/>
        <v>0</v>
      </c>
      <c r="G41" s="535"/>
    </row>
    <row r="42" spans="1:7" ht="13.5" customHeight="1">
      <c r="A42" s="544"/>
      <c r="B42" s="544"/>
      <c r="C42" s="1876"/>
      <c r="D42" s="1971"/>
      <c r="E42" s="1988"/>
      <c r="F42" s="1891">
        <f t="shared" si="0"/>
        <v>0</v>
      </c>
      <c r="G42" s="535"/>
    </row>
    <row r="43" spans="1:7" ht="13.5" customHeight="1">
      <c r="A43" s="544"/>
      <c r="B43" s="544"/>
      <c r="C43" s="1876"/>
      <c r="D43" s="1971"/>
      <c r="E43" s="1988"/>
      <c r="F43" s="1891">
        <f t="shared" si="0"/>
        <v>0</v>
      </c>
      <c r="G43" s="535"/>
    </row>
    <row r="44" spans="1:7" ht="13.5" customHeight="1">
      <c r="A44" s="544"/>
      <c r="B44" s="544"/>
      <c r="C44" s="1876"/>
      <c r="D44" s="1971"/>
      <c r="E44" s="1988"/>
      <c r="F44" s="1891">
        <f t="shared" si="0"/>
        <v>0</v>
      </c>
      <c r="G44" s="535"/>
    </row>
    <row r="45" spans="1:7" ht="13.5" customHeight="1">
      <c r="A45" s="544"/>
      <c r="B45" s="544"/>
      <c r="C45" s="1952"/>
      <c r="D45" s="1958"/>
      <c r="E45" s="1955"/>
      <c r="F45" s="1958"/>
      <c r="G45" s="535"/>
    </row>
    <row r="46" spans="1:7" ht="13.5" customHeight="1">
      <c r="A46" s="544"/>
      <c r="B46" s="544"/>
      <c r="C46" s="1910" t="s">
        <v>50</v>
      </c>
      <c r="D46" s="1911">
        <f>SUM(D47:D50)</f>
        <v>8450</v>
      </c>
      <c r="E46" s="1926">
        <f>SUM(E47:E50)</f>
        <v>8450</v>
      </c>
      <c r="F46" s="1924">
        <f t="shared" si="0"/>
        <v>16900</v>
      </c>
      <c r="G46" s="535"/>
    </row>
    <row r="47" spans="1:7" ht="13.5" customHeight="1">
      <c r="A47" s="544"/>
      <c r="B47" s="544"/>
      <c r="C47" s="2914" t="s">
        <v>777</v>
      </c>
      <c r="D47" s="2202">
        <v>8450</v>
      </c>
      <c r="E47" s="2203">
        <v>8450</v>
      </c>
      <c r="F47" s="1891">
        <f t="shared" si="0"/>
        <v>16900</v>
      </c>
      <c r="G47" s="535"/>
    </row>
    <row r="48" spans="1:7" ht="13.5" customHeight="1">
      <c r="A48" s="544"/>
      <c r="B48" s="544"/>
      <c r="C48" s="2120"/>
      <c r="D48" s="1971"/>
      <c r="E48" s="1988"/>
      <c r="F48" s="1891">
        <f t="shared" si="0"/>
        <v>0</v>
      </c>
    </row>
    <row r="49" spans="1:17" ht="13.5" customHeight="1">
      <c r="A49" s="544"/>
      <c r="B49" s="544"/>
      <c r="C49" s="1876"/>
      <c r="D49" s="1971"/>
      <c r="E49" s="1988"/>
      <c r="F49" s="1891">
        <f t="shared" si="0"/>
        <v>0</v>
      </c>
    </row>
    <row r="50" spans="1:17" ht="13.5" customHeight="1">
      <c r="A50" s="544"/>
      <c r="B50" s="544"/>
      <c r="C50" s="1876"/>
      <c r="D50" s="1971"/>
      <c r="E50" s="1988"/>
      <c r="F50" s="1891">
        <f t="shared" si="0"/>
        <v>0</v>
      </c>
    </row>
    <row r="51" spans="1:17" ht="13.5" customHeight="1">
      <c r="A51" s="544"/>
      <c r="B51" s="544"/>
      <c r="C51" s="1952"/>
      <c r="D51" s="1958"/>
      <c r="E51" s="1955"/>
      <c r="F51" s="1958"/>
    </row>
    <row r="52" spans="1:17" ht="13.5" customHeight="1">
      <c r="A52" s="544"/>
      <c r="B52" s="544"/>
      <c r="C52" s="1910" t="s">
        <v>51</v>
      </c>
      <c r="D52" s="1911">
        <f>SUM(D53:D56)</f>
        <v>0</v>
      </c>
      <c r="E52" s="1926">
        <f>SUM(E53:E56)</f>
        <v>0</v>
      </c>
      <c r="F52" s="1924">
        <f t="shared" si="0"/>
        <v>0</v>
      </c>
    </row>
    <row r="53" spans="1:17" ht="13.5" customHeight="1">
      <c r="A53" s="544"/>
      <c r="B53" s="544"/>
      <c r="C53" s="2120"/>
      <c r="D53" s="1971"/>
      <c r="E53" s="1972"/>
      <c r="F53" s="1891">
        <f t="shared" si="0"/>
        <v>0</v>
      </c>
    </row>
    <row r="54" spans="1:17" ht="13.5" customHeight="1">
      <c r="A54" s="544"/>
      <c r="B54" s="544"/>
      <c r="C54" s="2120"/>
      <c r="D54" s="1971"/>
      <c r="E54" s="1972"/>
      <c r="F54" s="1891">
        <f t="shared" si="0"/>
        <v>0</v>
      </c>
    </row>
    <row r="55" spans="1:17" ht="13.5" customHeight="1">
      <c r="A55" s="544"/>
      <c r="B55" s="544"/>
      <c r="C55" s="1876"/>
      <c r="D55" s="1971"/>
      <c r="E55" s="1972"/>
      <c r="F55" s="1891">
        <f t="shared" si="0"/>
        <v>0</v>
      </c>
    </row>
    <row r="56" spans="1:17" ht="13.5" customHeight="1">
      <c r="A56" s="544"/>
      <c r="B56" s="544"/>
      <c r="C56" s="1876"/>
      <c r="D56" s="1971"/>
      <c r="E56" s="1972"/>
      <c r="F56" s="1891">
        <f t="shared" si="0"/>
        <v>0</v>
      </c>
    </row>
    <row r="57" spans="1:17" ht="13.5" customHeight="1">
      <c r="A57" s="544"/>
      <c r="B57" s="544"/>
      <c r="C57" s="1952"/>
      <c r="D57" s="1958"/>
      <c r="E57" s="1955"/>
      <c r="F57" s="1958"/>
    </row>
    <row r="58" spans="1:17" ht="13.5" customHeight="1">
      <c r="A58" s="544"/>
      <c r="B58" s="544"/>
      <c r="C58" s="1910" t="s">
        <v>52</v>
      </c>
      <c r="D58" s="2127">
        <f>SUM(D59:D62)</f>
        <v>12565</v>
      </c>
      <c r="E58" s="2128">
        <f>SUM(E59:E62)</f>
        <v>12565</v>
      </c>
      <c r="F58" s="2114">
        <f t="shared" ref="F58:F62" si="1">SUM(D58:E58)</f>
        <v>25130</v>
      </c>
    </row>
    <row r="59" spans="1:17" ht="13.5" customHeight="1">
      <c r="A59" s="544"/>
      <c r="B59" s="544"/>
      <c r="C59" s="3641" t="s">
        <v>776</v>
      </c>
      <c r="D59" s="2202">
        <v>12565</v>
      </c>
      <c r="E59" s="2203">
        <v>12565</v>
      </c>
      <c r="F59" s="1891">
        <f t="shared" si="1"/>
        <v>25130</v>
      </c>
    </row>
    <row r="60" spans="1:17" s="2117" customFormat="1" ht="13.5" customHeight="1">
      <c r="A60" s="2118"/>
      <c r="B60" s="2118"/>
      <c r="C60" s="3642"/>
      <c r="D60" s="2202"/>
      <c r="E60" s="2203"/>
      <c r="F60" s="2191">
        <f t="shared" si="1"/>
        <v>0</v>
      </c>
      <c r="Q60" s="2177"/>
    </row>
    <row r="61" spans="1:17" ht="13.5" customHeight="1">
      <c r="A61" s="544"/>
      <c r="B61" s="544"/>
      <c r="C61" s="3643"/>
      <c r="D61" s="2202"/>
      <c r="E61" s="2203"/>
      <c r="F61" s="2191">
        <f t="shared" si="1"/>
        <v>0</v>
      </c>
    </row>
    <row r="62" spans="1:17" ht="13.5" customHeight="1">
      <c r="A62" s="544"/>
      <c r="C62" s="2116"/>
      <c r="D62" s="1971"/>
      <c r="E62" s="1988"/>
      <c r="F62" s="2191">
        <f t="shared" si="1"/>
        <v>0</v>
      </c>
    </row>
    <row r="63" spans="1:17">
      <c r="C63" s="1910"/>
      <c r="D63" s="1911"/>
      <c r="E63" s="1926"/>
      <c r="F63" s="1924"/>
    </row>
    <row r="64" spans="1:17">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G21" sqref="G21"/>
      <pageMargins left="0.27" right="0.35" top="0.45" bottom="0.36" header="0.3" footer="0.3"/>
      <pageSetup paperSize="17" scale="60" orientation="landscape" r:id="rId1"/>
    </customSheetView>
    <customSheetView guid="{D9EFFE19-D14B-4C6F-BDF4-FF696F73968D}" showGridLines="0" fitToPage="1">
      <pane xSplit="1" ySplit="1" topLeftCell="B20" activePane="bottomRight" state="frozen"/>
      <selection pane="bottomRight" activeCell="A48" sqref="A48"/>
      <pageMargins left="0.27" right="0.35" top="0.45" bottom="0.36" header="0.3" footer="0.3"/>
      <pageSetup paperSize="17" scale="60" orientation="landscape" r:id="rId2"/>
    </customSheetView>
  </customSheetViews>
  <mergeCells count="1">
    <mergeCell ref="C59:C61"/>
  </mergeCells>
  <pageMargins left="0.27" right="0.35" top="0.45" bottom="0.36" header="0.3" footer="0.3"/>
  <pageSetup paperSize="17" scale="60" orientation="landscape" r:id="rId3"/>
  <drawing r:id="rId4"/>
  <legacyDrawing r:id="rId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R67"/>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34.85546875" defaultRowHeight="12.75"/>
  <cols>
    <col min="1" max="1" width="18.28515625" style="2177" customWidth="1"/>
    <col min="2" max="2" width="16" style="2177" customWidth="1"/>
    <col min="3" max="3" width="30.28515625" style="2177" customWidth="1"/>
    <col min="4" max="5" width="20" style="2177" customWidth="1"/>
    <col min="6" max="6" width="24.42578125" style="2177" customWidth="1"/>
    <col min="7" max="9" width="20.7109375" style="2177" customWidth="1"/>
    <col min="10" max="11" width="18.85546875" style="2177" customWidth="1"/>
    <col min="12" max="13" width="16.42578125" style="2177" customWidth="1"/>
    <col min="14" max="14" width="17.140625" style="2177" customWidth="1"/>
    <col min="15" max="15" width="20.140625" style="2177" customWidth="1"/>
    <col min="16" max="16" width="18.85546875" style="2177" customWidth="1"/>
    <col min="17" max="17" width="21.28515625" style="2177" customWidth="1"/>
    <col min="18" max="16384" width="34.85546875" style="2177"/>
  </cols>
  <sheetData>
    <row r="1" spans="1:18" ht="57.75" customHeight="1">
      <c r="D1" s="2817" t="s">
        <v>717</v>
      </c>
      <c r="E1" s="1817" t="s">
        <v>25</v>
      </c>
      <c r="F1" s="1881">
        <v>18231031</v>
      </c>
      <c r="G1" s="2817" t="s">
        <v>31</v>
      </c>
      <c r="M1" s="2817" t="s">
        <v>717</v>
      </c>
      <c r="N1" s="1817" t="s">
        <v>25</v>
      </c>
      <c r="O1" s="1881">
        <v>18231031</v>
      </c>
      <c r="P1" s="2817" t="s">
        <v>31</v>
      </c>
    </row>
    <row r="2" spans="1:18" ht="16.5" thickBot="1">
      <c r="A2" s="2080"/>
      <c r="B2" s="2080"/>
      <c r="D2" s="536"/>
      <c r="E2" s="536"/>
      <c r="F2" s="536"/>
      <c r="G2" s="1805"/>
      <c r="H2" s="1576" t="s">
        <v>713</v>
      </c>
      <c r="I2" s="1805"/>
      <c r="J2" s="1805"/>
      <c r="K2" s="1805"/>
      <c r="L2" s="1805"/>
      <c r="M2" s="1805"/>
      <c r="N2" s="1805"/>
      <c r="O2" s="1805"/>
      <c r="P2" s="1805"/>
      <c r="Q2" s="2816"/>
      <c r="R2" s="1805"/>
    </row>
    <row r="3" spans="1:18" ht="26.25" thickBot="1">
      <c r="A3" s="2818" t="s">
        <v>717</v>
      </c>
      <c r="B3" s="1815"/>
      <c r="D3" s="541"/>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2810"/>
      <c r="G4" s="1804" t="s">
        <v>668</v>
      </c>
      <c r="H4" s="2003">
        <v>0</v>
      </c>
      <c r="I4" s="2002">
        <v>0</v>
      </c>
      <c r="J4" s="2002">
        <v>0</v>
      </c>
      <c r="K4" s="2002">
        <v>0</v>
      </c>
      <c r="L4" s="2002">
        <v>0</v>
      </c>
      <c r="M4" s="2002">
        <v>0</v>
      </c>
      <c r="N4" s="2002">
        <v>0</v>
      </c>
      <c r="O4" s="2002">
        <v>0</v>
      </c>
      <c r="P4" s="2002">
        <v>0</v>
      </c>
      <c r="Q4" s="2002">
        <v>0</v>
      </c>
      <c r="R4" s="2002">
        <v>0</v>
      </c>
    </row>
    <row r="5" spans="1:18" ht="15.75">
      <c r="A5" s="1881">
        <v>18231031</v>
      </c>
      <c r="B5" s="1815"/>
      <c r="C5" s="2080"/>
      <c r="D5" s="2080"/>
      <c r="E5" s="2080"/>
      <c r="F5" s="2080"/>
      <c r="G5" s="1228">
        <v>2016</v>
      </c>
      <c r="H5" s="1582">
        <f>D15</f>
        <v>151204.21000000002</v>
      </c>
      <c r="I5" s="1549">
        <f>D21</f>
        <v>4000</v>
      </c>
      <c r="J5" s="1549">
        <f>D27</f>
        <v>103521.20807000002</v>
      </c>
      <c r="K5" s="1549">
        <f>D34</f>
        <v>14000</v>
      </c>
      <c r="L5" s="1549">
        <f>D40</f>
        <v>5000</v>
      </c>
      <c r="M5" s="1549">
        <f>D46</f>
        <v>16000</v>
      </c>
      <c r="N5" s="1549">
        <f>D52</f>
        <v>1500</v>
      </c>
      <c r="O5" s="1549">
        <f>D58</f>
        <v>0</v>
      </c>
      <c r="P5" s="1549">
        <v>0</v>
      </c>
      <c r="Q5" s="1549">
        <f>D67</f>
        <v>-313321.74</v>
      </c>
      <c r="R5" s="1549">
        <f>SUM(H5:Q5)</f>
        <v>-18096.321929999976</v>
      </c>
    </row>
    <row r="6" spans="1:18" ht="16.5" thickBot="1">
      <c r="A6" s="3111" t="s">
        <v>31</v>
      </c>
      <c r="B6" s="1881"/>
      <c r="C6" s="1803"/>
      <c r="D6" s="2080"/>
      <c r="E6" s="2080"/>
      <c r="F6" s="2080"/>
      <c r="G6" s="1228">
        <v>2017</v>
      </c>
      <c r="H6" s="57">
        <f>E15</f>
        <v>154984.49</v>
      </c>
      <c r="I6" s="1990">
        <f>E21</f>
        <v>4100</v>
      </c>
      <c r="J6" s="1989">
        <f>E27</f>
        <v>108177.4532</v>
      </c>
      <c r="K6" s="58">
        <f>E34</f>
        <v>14000</v>
      </c>
      <c r="L6" s="58">
        <f>E40</f>
        <v>5000</v>
      </c>
      <c r="M6" s="58">
        <f>E46</f>
        <v>16000</v>
      </c>
      <c r="N6" s="58">
        <f>E52</f>
        <v>1500</v>
      </c>
      <c r="O6" s="58">
        <f>E58</f>
        <v>0</v>
      </c>
      <c r="P6" s="58">
        <v>0</v>
      </c>
      <c r="Q6" s="58">
        <f>E67</f>
        <v>-313321.74</v>
      </c>
      <c r="R6" s="58">
        <f>SUM(H6:Q6)</f>
        <v>-9559.796800000011</v>
      </c>
    </row>
    <row r="7" spans="1:18" ht="16.5" thickBot="1">
      <c r="B7" s="1814"/>
      <c r="C7" s="540"/>
      <c r="D7" s="540"/>
      <c r="E7" s="540"/>
      <c r="F7" s="540"/>
      <c r="G7" s="1751" t="s">
        <v>23</v>
      </c>
      <c r="H7" s="1564">
        <v>0</v>
      </c>
      <c r="I7" s="1991">
        <v>0</v>
      </c>
      <c r="J7" s="1992">
        <v>0</v>
      </c>
      <c r="K7" s="1993">
        <v>0</v>
      </c>
      <c r="L7" s="1991">
        <v>0</v>
      </c>
      <c r="M7" s="1992">
        <v>0</v>
      </c>
      <c r="N7" s="1991">
        <v>0</v>
      </c>
      <c r="O7" s="1992">
        <f>SUM(O5:O6)</f>
        <v>0</v>
      </c>
      <c r="P7" s="1993">
        <v>0</v>
      </c>
      <c r="Q7" s="1993">
        <v>0</v>
      </c>
      <c r="R7" s="1991">
        <f>SUM(Q5:Q6)</f>
        <v>-626643.48</v>
      </c>
    </row>
    <row r="8" spans="1:18" ht="25.5">
      <c r="B8" s="1815"/>
      <c r="C8" s="540"/>
      <c r="D8" s="540"/>
      <c r="E8" s="537"/>
      <c r="F8" s="1786"/>
      <c r="G8" s="2080"/>
      <c r="H8" s="2080"/>
      <c r="I8" s="2080"/>
      <c r="J8" s="2080"/>
      <c r="K8" s="2080"/>
      <c r="L8" s="2080"/>
      <c r="M8" s="2080"/>
      <c r="O8" s="2080"/>
      <c r="P8" s="2118" t="s">
        <v>20</v>
      </c>
      <c r="Q8" s="2118" t="s">
        <v>20</v>
      </c>
    </row>
    <row r="9" spans="1:18">
      <c r="A9" s="1814"/>
      <c r="B9" s="1814"/>
      <c r="C9" s="540"/>
      <c r="D9" s="540"/>
      <c r="E9" s="537"/>
      <c r="F9" s="1786"/>
      <c r="G9" s="2080"/>
      <c r="H9" s="2080"/>
      <c r="I9" s="2080"/>
      <c r="J9" s="2080"/>
      <c r="K9" s="2080"/>
      <c r="L9" s="2080"/>
      <c r="M9" s="2080"/>
      <c r="O9" s="2080"/>
      <c r="P9" s="2118" t="s">
        <v>21</v>
      </c>
      <c r="Q9" s="2118" t="s">
        <v>21</v>
      </c>
    </row>
    <row r="10" spans="1:18">
      <c r="A10" s="1821"/>
      <c r="B10" s="1821"/>
      <c r="C10" s="1915" t="s">
        <v>329</v>
      </c>
      <c r="D10" s="1915"/>
      <c r="E10" s="1915"/>
      <c r="F10" s="1915"/>
    </row>
    <row r="11" spans="1:18">
      <c r="A11" s="1821"/>
      <c r="B11" s="1821"/>
      <c r="E11" s="2193"/>
    </row>
    <row r="12" spans="1:18">
      <c r="A12" s="1821"/>
      <c r="B12" s="2118"/>
      <c r="C12" s="1887" t="s">
        <v>314</v>
      </c>
      <c r="D12" s="2157">
        <f>D15+D21+D27+D34+D40+D46+D52+D58+D64+D67</f>
        <v>-18096.321929999976</v>
      </c>
      <c r="E12" s="1948">
        <f>E15+E21+E27+E34+E40+E46+E52+E58+E64+E67</f>
        <v>-9559.796800000011</v>
      </c>
      <c r="F12" s="2157">
        <f>D12+E12</f>
        <v>-27656.118729999987</v>
      </c>
    </row>
    <row r="13" spans="1:18" ht="15.75">
      <c r="A13" s="2118"/>
      <c r="B13" s="545"/>
      <c r="C13" s="1947"/>
      <c r="E13" s="1787"/>
      <c r="G13" s="1457"/>
      <c r="H13" s="1457"/>
      <c r="I13" s="2080"/>
      <c r="J13" s="2080"/>
      <c r="K13" s="2080"/>
      <c r="L13" s="2080"/>
      <c r="M13" s="2080"/>
      <c r="N13" s="2080"/>
      <c r="O13" s="2080"/>
      <c r="P13" s="2080"/>
      <c r="Q13" s="2080"/>
    </row>
    <row r="14" spans="1:18" ht="15.75">
      <c r="A14" s="545"/>
      <c r="B14" s="545"/>
      <c r="C14" s="1888" t="s">
        <v>45</v>
      </c>
      <c r="D14" s="1969">
        <v>2016</v>
      </c>
      <c r="E14" s="1970">
        <v>2017</v>
      </c>
      <c r="F14" s="1950" t="s">
        <v>23</v>
      </c>
      <c r="G14" s="546"/>
      <c r="H14" s="546"/>
      <c r="I14" s="540"/>
      <c r="J14" s="540"/>
      <c r="K14" s="540"/>
      <c r="L14" s="540"/>
      <c r="M14" s="540"/>
      <c r="N14" s="540"/>
      <c r="O14" s="540"/>
      <c r="P14" s="540"/>
      <c r="Q14" s="540"/>
    </row>
    <row r="15" spans="1:18" ht="15.75">
      <c r="A15" s="545"/>
      <c r="B15" s="1886" t="s">
        <v>312</v>
      </c>
      <c r="C15" s="2106" t="s">
        <v>46</v>
      </c>
      <c r="D15" s="2158">
        <f>SUM(D16:D19)</f>
        <v>151204.21000000002</v>
      </c>
      <c r="E15" s="1926">
        <f>SUM(E16:E19)</f>
        <v>154984.49</v>
      </c>
      <c r="F15" s="2157">
        <f t="shared" ref="F15:F21" si="0">SUM(D15:E15)</f>
        <v>306188.7</v>
      </c>
      <c r="G15" s="546"/>
      <c r="H15" s="546"/>
      <c r="I15" s="540"/>
      <c r="J15" s="540"/>
      <c r="K15" s="540"/>
      <c r="L15" s="540"/>
      <c r="M15" s="540"/>
      <c r="N15" s="540"/>
      <c r="O15" s="540"/>
      <c r="P15" s="540"/>
      <c r="Q15" s="540"/>
    </row>
    <row r="16" spans="1:18">
      <c r="A16" s="2118"/>
      <c r="B16" s="2610">
        <v>0.5</v>
      </c>
      <c r="C16" s="2197" t="s">
        <v>792</v>
      </c>
      <c r="D16" s="2201">
        <v>45316.5</v>
      </c>
      <c r="E16" s="2200">
        <v>46449.5</v>
      </c>
      <c r="F16" s="1879">
        <f t="shared" si="0"/>
        <v>91766</v>
      </c>
      <c r="G16" s="2080"/>
      <c r="H16" s="2080"/>
    </row>
    <row r="17" spans="1:8">
      <c r="A17" s="2118"/>
      <c r="B17" s="2610">
        <v>0.5</v>
      </c>
      <c r="C17" s="2197" t="s">
        <v>793</v>
      </c>
      <c r="D17" s="2199">
        <v>45316.5</v>
      </c>
      <c r="E17" s="2198">
        <v>46449.5</v>
      </c>
      <c r="F17" s="2191">
        <f t="shared" si="0"/>
        <v>91766</v>
      </c>
      <c r="G17" s="2080"/>
      <c r="H17" s="2080"/>
    </row>
    <row r="18" spans="1:8">
      <c r="A18" s="2118"/>
      <c r="B18" s="2610">
        <v>0.03</v>
      </c>
      <c r="C18" s="2197" t="s">
        <v>791</v>
      </c>
      <c r="D18" s="2199">
        <v>2718.99</v>
      </c>
      <c r="E18" s="2198">
        <v>2786.97</v>
      </c>
      <c r="F18" s="2191">
        <f t="shared" si="0"/>
        <v>5505.9599999999991</v>
      </c>
      <c r="G18" s="2080"/>
      <c r="H18" s="2080"/>
    </row>
    <row r="19" spans="1:8">
      <c r="A19" s="2118"/>
      <c r="B19" s="2610">
        <v>1</v>
      </c>
      <c r="C19" s="2197" t="s">
        <v>1695</v>
      </c>
      <c r="D19" s="2199">
        <v>57852.22</v>
      </c>
      <c r="E19" s="2198">
        <v>59298.52</v>
      </c>
      <c r="F19" s="2191">
        <f t="shared" si="0"/>
        <v>117150.73999999999</v>
      </c>
      <c r="G19" s="2080"/>
      <c r="H19" s="2080"/>
    </row>
    <row r="20" spans="1:8">
      <c r="A20" s="2118"/>
      <c r="B20" s="1908">
        <f>SUM(B16:B19)</f>
        <v>2.0300000000000002</v>
      </c>
      <c r="C20" s="1952"/>
      <c r="D20" s="1954"/>
      <c r="E20" s="1955"/>
      <c r="F20" s="1957"/>
      <c r="G20" s="2080"/>
      <c r="H20" s="2080"/>
    </row>
    <row r="21" spans="1:8">
      <c r="A21" s="2118"/>
      <c r="B21" s="2118"/>
      <c r="C21" s="2106" t="s">
        <v>47</v>
      </c>
      <c r="D21" s="2183">
        <f>SUM(D22:D25)</f>
        <v>4000</v>
      </c>
      <c r="E21" s="1926">
        <f>SUM(E22:E25)</f>
        <v>4100</v>
      </c>
      <c r="F21" s="2157">
        <f t="shared" si="0"/>
        <v>8100</v>
      </c>
      <c r="G21" s="542" t="s">
        <v>7</v>
      </c>
      <c r="H21" s="2080"/>
    </row>
    <row r="22" spans="1:8">
      <c r="A22" s="2118"/>
      <c r="B22" s="2118"/>
      <c r="C22" s="2197" t="s">
        <v>1524</v>
      </c>
      <c r="D22" s="2201">
        <v>4000</v>
      </c>
      <c r="E22" s="2200">
        <v>4100</v>
      </c>
      <c r="F22" s="1879">
        <v>0</v>
      </c>
      <c r="G22" s="543"/>
      <c r="H22" s="2080"/>
    </row>
    <row r="23" spans="1:8">
      <c r="A23" s="2118"/>
      <c r="B23" s="2118"/>
      <c r="C23" s="2197"/>
      <c r="D23" s="1900"/>
      <c r="E23" s="1899"/>
      <c r="F23" s="2191">
        <v>0</v>
      </c>
      <c r="G23" s="2080"/>
      <c r="H23" s="2080"/>
    </row>
    <row r="24" spans="1:8">
      <c r="A24" s="2118"/>
      <c r="B24" s="545"/>
      <c r="C24" s="2197"/>
      <c r="D24" s="1898"/>
      <c r="E24" s="1897"/>
      <c r="F24" s="2191">
        <v>0</v>
      </c>
      <c r="G24" s="2080"/>
      <c r="H24" s="2080"/>
    </row>
    <row r="25" spans="1:8">
      <c r="A25" s="545"/>
      <c r="B25" s="2118"/>
      <c r="C25" s="2197"/>
      <c r="D25" s="1896"/>
      <c r="E25" s="1899"/>
      <c r="F25" s="2191">
        <v>0</v>
      </c>
      <c r="G25" s="540"/>
      <c r="H25" s="540"/>
    </row>
    <row r="26" spans="1:8">
      <c r="A26" s="2118"/>
      <c r="B26" s="545"/>
      <c r="C26" s="1877"/>
      <c r="D26" s="1892"/>
      <c r="E26" s="1884"/>
      <c r="F26" s="1892"/>
      <c r="G26" s="2080"/>
      <c r="H26" s="2080"/>
    </row>
    <row r="27" spans="1:8">
      <c r="A27" s="545"/>
      <c r="B27" s="2118"/>
      <c r="C27" s="2106" t="s">
        <v>48</v>
      </c>
      <c r="D27" s="2158">
        <f>SUM(D29:D32)</f>
        <v>103521.20807000002</v>
      </c>
      <c r="E27" s="1926">
        <f>SUM(E29:E32)</f>
        <v>108177.4532</v>
      </c>
      <c r="F27" s="2157">
        <f>SUM(F29:F32)</f>
        <v>211698.66127000004</v>
      </c>
      <c r="G27" s="540"/>
      <c r="H27" s="540"/>
    </row>
    <row r="28" spans="1:8">
      <c r="A28" s="2118"/>
      <c r="B28" s="2118"/>
      <c r="C28" s="1909" t="s">
        <v>315</v>
      </c>
      <c r="D28" s="1912">
        <v>0.66700000000000004</v>
      </c>
      <c r="E28" s="1913">
        <v>0.68</v>
      </c>
      <c r="F28" s="1949"/>
      <c r="G28" s="2080"/>
      <c r="H28" s="2080"/>
    </row>
    <row r="29" spans="1:8">
      <c r="A29" s="2118"/>
      <c r="B29" s="2118"/>
      <c r="C29" s="2197" t="s">
        <v>778</v>
      </c>
      <c r="D29" s="2202">
        <f>D15*D28</f>
        <v>100853.20807000002</v>
      </c>
      <c r="E29" s="2163">
        <f>E15*E28</f>
        <v>105389.4532</v>
      </c>
      <c r="F29" s="2191">
        <f>SUM(D29:E29)</f>
        <v>206242.66127000004</v>
      </c>
      <c r="G29" s="2080"/>
      <c r="H29" s="2080"/>
    </row>
    <row r="30" spans="1:8">
      <c r="A30" s="2118"/>
      <c r="B30" s="2118"/>
      <c r="C30" s="2197" t="s">
        <v>779</v>
      </c>
      <c r="D30" s="1973">
        <f>D21*D28</f>
        <v>2668</v>
      </c>
      <c r="E30" s="2163">
        <f>E21*E28</f>
        <v>2788</v>
      </c>
      <c r="F30" s="2191">
        <f>SUM(D30:E30)</f>
        <v>5456</v>
      </c>
      <c r="G30" s="2080"/>
      <c r="H30" s="2080"/>
    </row>
    <row r="31" spans="1:8">
      <c r="A31" s="2118"/>
      <c r="B31" s="2118"/>
      <c r="C31" s="1901"/>
      <c r="D31" s="1898"/>
      <c r="E31" s="1897"/>
      <c r="F31" s="2191">
        <f>SUM(D31:E31)</f>
        <v>0</v>
      </c>
      <c r="G31" s="2080"/>
      <c r="H31" s="2080"/>
    </row>
    <row r="32" spans="1:8">
      <c r="A32" s="2118"/>
      <c r="B32" s="2118"/>
      <c r="C32" s="1901"/>
      <c r="D32" s="1896"/>
      <c r="E32" s="1899"/>
      <c r="F32" s="2191">
        <f>SUM(D32:E32)</f>
        <v>0</v>
      </c>
      <c r="G32" s="2080"/>
    </row>
    <row r="33" spans="1:7">
      <c r="A33" s="2118"/>
      <c r="B33" s="1801"/>
      <c r="C33" s="1952"/>
      <c r="D33" s="1958"/>
      <c r="E33" s="1955"/>
      <c r="F33" s="1958"/>
      <c r="G33" s="2080"/>
    </row>
    <row r="34" spans="1:7" ht="25.5">
      <c r="A34" s="2818" t="s">
        <v>717</v>
      </c>
      <c r="B34" s="2118"/>
      <c r="C34" s="2106" t="s">
        <v>49</v>
      </c>
      <c r="D34" s="2238">
        <f>SUM(D35:D38)</f>
        <v>14000</v>
      </c>
      <c r="E34" s="2238">
        <f>SUM(E35:E38)</f>
        <v>14000</v>
      </c>
      <c r="F34" s="2157">
        <f>SUM(D34:E34)</f>
        <v>28000</v>
      </c>
      <c r="G34" s="539"/>
    </row>
    <row r="35" spans="1:7">
      <c r="A35" s="1983" t="s">
        <v>25</v>
      </c>
      <c r="B35" s="545"/>
      <c r="C35" s="2197"/>
      <c r="D35" s="2202">
        <v>14000</v>
      </c>
      <c r="E35" s="2203">
        <v>14000</v>
      </c>
      <c r="F35" s="2191">
        <v>0</v>
      </c>
      <c r="G35" s="2080"/>
    </row>
    <row r="36" spans="1:7">
      <c r="A36" s="1881">
        <v>18321031</v>
      </c>
      <c r="B36" s="2118"/>
      <c r="C36" s="2197"/>
      <c r="D36" s="2202"/>
      <c r="E36" s="2203"/>
      <c r="F36" s="2191">
        <v>0</v>
      </c>
      <c r="G36" s="540"/>
    </row>
    <row r="37" spans="1:7">
      <c r="A37" s="3111" t="s">
        <v>31</v>
      </c>
      <c r="B37" s="2118"/>
      <c r="C37" s="2197"/>
      <c r="D37" s="2202"/>
      <c r="E37" s="2203"/>
      <c r="F37" s="2191">
        <v>0</v>
      </c>
      <c r="G37" s="2080"/>
    </row>
    <row r="38" spans="1:7">
      <c r="A38" s="2118"/>
      <c r="B38" s="2118"/>
      <c r="C38" s="2197"/>
      <c r="D38" s="2202"/>
      <c r="E38" s="2203"/>
      <c r="F38" s="2191">
        <v>0</v>
      </c>
      <c r="G38" s="2080"/>
    </row>
    <row r="39" spans="1:7">
      <c r="A39" s="2118"/>
      <c r="B39" s="2118"/>
      <c r="C39" s="1952"/>
      <c r="D39" s="1958"/>
      <c r="E39" s="1955"/>
      <c r="F39" s="1958"/>
      <c r="G39" s="2080"/>
    </row>
    <row r="40" spans="1:7">
      <c r="A40" s="2118"/>
      <c r="B40" s="2118"/>
      <c r="C40" s="2106" t="s">
        <v>506</v>
      </c>
      <c r="D40" s="2158">
        <f>SUM(D41:D44)</f>
        <v>5000</v>
      </c>
      <c r="E40" s="1926">
        <f>SUM(E41:E44)</f>
        <v>5000</v>
      </c>
      <c r="F40" s="2157">
        <f>SUM(D40:E40)</f>
        <v>10000</v>
      </c>
      <c r="G40" s="2080"/>
    </row>
    <row r="41" spans="1:7">
      <c r="A41" s="2118"/>
      <c r="B41" s="2118"/>
      <c r="C41" s="2197"/>
      <c r="D41" s="2202">
        <v>5000</v>
      </c>
      <c r="E41" s="2203">
        <v>5000</v>
      </c>
      <c r="F41" s="2191">
        <f>SUM(D41:E41)</f>
        <v>10000</v>
      </c>
      <c r="G41" s="2080"/>
    </row>
    <row r="42" spans="1:7">
      <c r="A42" s="2118"/>
      <c r="B42" s="2118"/>
      <c r="C42" s="2197"/>
      <c r="D42" s="2202"/>
      <c r="E42" s="2203"/>
      <c r="F42" s="2191">
        <v>0</v>
      </c>
      <c r="G42" s="2080"/>
    </row>
    <row r="43" spans="1:7">
      <c r="A43" s="2118"/>
      <c r="B43" s="2118"/>
      <c r="C43" s="2197"/>
      <c r="D43" s="2202"/>
      <c r="E43" s="2203"/>
      <c r="F43" s="2191">
        <v>0</v>
      </c>
      <c r="G43" s="2080"/>
    </row>
    <row r="44" spans="1:7">
      <c r="A44" s="2118"/>
      <c r="B44" s="2118"/>
      <c r="C44" s="2197"/>
      <c r="D44" s="2202"/>
      <c r="E44" s="2203"/>
      <c r="F44" s="2191">
        <v>0</v>
      </c>
      <c r="G44" s="2080"/>
    </row>
    <row r="45" spans="1:7">
      <c r="A45" s="2118"/>
      <c r="B45" s="2118"/>
      <c r="C45" s="1952"/>
      <c r="D45" s="1958"/>
      <c r="E45" s="1955"/>
      <c r="F45" s="1958"/>
      <c r="G45" s="2080"/>
    </row>
    <row r="46" spans="1:7">
      <c r="A46" s="2118"/>
      <c r="B46" s="2118"/>
      <c r="C46" s="2106" t="s">
        <v>50</v>
      </c>
      <c r="D46" s="2158">
        <f>SUM(D47:D50)</f>
        <v>16000</v>
      </c>
      <c r="E46" s="1926">
        <f>SUM(E47:E50)</f>
        <v>16000</v>
      </c>
      <c r="F46" s="2157">
        <f>SUM(D46:E46)</f>
        <v>32000</v>
      </c>
      <c r="G46" s="2080"/>
    </row>
    <row r="47" spans="1:7">
      <c r="A47" s="2118"/>
      <c r="B47" s="2118"/>
      <c r="C47" s="2197"/>
      <c r="D47" s="2202">
        <v>16000</v>
      </c>
      <c r="E47" s="2203">
        <v>16000</v>
      </c>
      <c r="F47" s="2191">
        <f>SUM(D47:E47)</f>
        <v>32000</v>
      </c>
      <c r="G47" s="2080"/>
    </row>
    <row r="48" spans="1:7">
      <c r="A48" s="2118"/>
      <c r="B48" s="2118"/>
      <c r="C48" s="2197"/>
      <c r="D48" s="2202"/>
      <c r="E48" s="2203"/>
      <c r="F48" s="2191">
        <f>SUM(D48:E48)</f>
        <v>0</v>
      </c>
    </row>
    <row r="49" spans="1:6">
      <c r="A49" s="2118"/>
      <c r="B49" s="2118"/>
      <c r="C49" s="2197"/>
      <c r="D49" s="2202"/>
      <c r="E49" s="2203"/>
      <c r="F49" s="2191">
        <v>0</v>
      </c>
    </row>
    <row r="50" spans="1:6">
      <c r="A50" s="2118"/>
      <c r="B50" s="2118"/>
      <c r="C50" s="2197"/>
      <c r="D50" s="2202"/>
      <c r="E50" s="2203"/>
      <c r="F50" s="2191">
        <v>0</v>
      </c>
    </row>
    <row r="51" spans="1:6">
      <c r="A51" s="2118"/>
      <c r="B51" s="2118"/>
      <c r="C51" s="1952"/>
      <c r="D51" s="1958"/>
      <c r="E51" s="1955"/>
      <c r="F51" s="1958"/>
    </row>
    <row r="52" spans="1:6">
      <c r="A52" s="2118"/>
      <c r="B52" s="2118"/>
      <c r="C52" s="2106" t="s">
        <v>51</v>
      </c>
      <c r="D52" s="2158">
        <f>SUM(D53:D56)</f>
        <v>1500</v>
      </c>
      <c r="E52" s="1926">
        <f>SUM(E53:E56)</f>
        <v>1500</v>
      </c>
      <c r="F52" s="2157">
        <f>SUM(D52:E52)</f>
        <v>3000</v>
      </c>
    </row>
    <row r="53" spans="1:6">
      <c r="A53" s="2118"/>
      <c r="B53" s="2118"/>
      <c r="C53" s="2197"/>
      <c r="D53" s="2202">
        <v>1500</v>
      </c>
      <c r="E53" s="2163">
        <v>1500</v>
      </c>
      <c r="F53" s="2191">
        <f>SUM(D53:E53)</f>
        <v>3000</v>
      </c>
    </row>
    <row r="54" spans="1:6">
      <c r="A54" s="2118"/>
      <c r="B54" s="2118"/>
      <c r="C54" s="2197"/>
      <c r="D54" s="2202"/>
      <c r="E54" s="2163"/>
      <c r="F54" s="2191">
        <f>SUM(D54:E54)</f>
        <v>0</v>
      </c>
    </row>
    <row r="55" spans="1:6">
      <c r="A55" s="2118"/>
      <c r="B55" s="2118"/>
      <c r="C55" s="2197"/>
      <c r="D55" s="2202"/>
      <c r="E55" s="2163"/>
      <c r="F55" s="2191">
        <v>0</v>
      </c>
    </row>
    <row r="56" spans="1:6">
      <c r="A56" s="2118"/>
      <c r="B56" s="2118"/>
      <c r="C56" s="2197"/>
      <c r="D56" s="2202"/>
      <c r="E56" s="2163"/>
      <c r="F56" s="2191">
        <v>0</v>
      </c>
    </row>
    <row r="57" spans="1:6">
      <c r="A57" s="2118"/>
      <c r="B57" s="2118"/>
      <c r="C57" s="1952"/>
      <c r="D57" s="1958"/>
      <c r="E57" s="1955"/>
      <c r="F57" s="1958"/>
    </row>
    <row r="58" spans="1:6">
      <c r="A58" s="2118"/>
      <c r="B58" s="2118"/>
      <c r="C58" s="2106" t="s">
        <v>52</v>
      </c>
      <c r="D58" s="2158">
        <f>SUM(D59:D62)</f>
        <v>0</v>
      </c>
      <c r="E58" s="1926">
        <f>SUM(E59:E62)</f>
        <v>0</v>
      </c>
      <c r="F58" s="2157">
        <f t="shared" ref="F58:F62" si="1">SUM(D58:E58)</f>
        <v>0</v>
      </c>
    </row>
    <row r="59" spans="1:6">
      <c r="A59" s="2118"/>
      <c r="B59" s="2118"/>
      <c r="C59" s="2197"/>
      <c r="D59" s="2202"/>
      <c r="E59" s="2203"/>
      <c r="F59" s="2191">
        <f t="shared" si="1"/>
        <v>0</v>
      </c>
    </row>
    <row r="60" spans="1:6">
      <c r="A60" s="2118"/>
      <c r="B60" s="2118"/>
      <c r="C60" s="2197"/>
      <c r="D60" s="2202"/>
      <c r="E60" s="2203"/>
      <c r="F60" s="2191">
        <f t="shared" si="1"/>
        <v>0</v>
      </c>
    </row>
    <row r="61" spans="1:6">
      <c r="A61" s="2118"/>
      <c r="B61" s="2118"/>
      <c r="C61" s="2197"/>
      <c r="D61" s="2202"/>
      <c r="E61" s="2203"/>
      <c r="F61" s="2191">
        <f t="shared" si="1"/>
        <v>0</v>
      </c>
    </row>
    <row r="62" spans="1:6">
      <c r="A62" s="2118"/>
      <c r="B62" s="2118"/>
      <c r="C62" s="2197"/>
      <c r="D62" s="2202"/>
      <c r="E62" s="2203"/>
      <c r="F62" s="2191">
        <f t="shared" si="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t="s">
        <v>1525</v>
      </c>
      <c r="D67" s="2202">
        <v>-313321.74</v>
      </c>
      <c r="E67" s="2202">
        <v>-313321.74</v>
      </c>
      <c r="F67" s="1956">
        <f>E67+D67</f>
        <v>-626643.48</v>
      </c>
    </row>
  </sheetData>
  <customSheetViews>
    <customSheetView guid="{074EB09C-6289-46D7-9513-012B68BCA7BF}" showGridLines="0">
      <pane xSplit="1" ySplit="1" topLeftCell="B2" activePane="bottomRight" state="frozen"/>
      <selection pane="bottomRight" activeCell="E19" sqref="E19"/>
      <pageMargins left="0.7" right="0.7" top="0.75" bottom="0.75" header="0.3" footer="0.3"/>
    </customSheetView>
    <customSheetView guid="{D9EFFE19-D14B-4C6F-BDF4-FF696F73968D}" showGridLines="0">
      <pane xSplit="1" ySplit="1" topLeftCell="B2" activePane="bottomRight" state="frozen"/>
      <selection pane="bottomRight" activeCell="C73" sqref="C73"/>
      <pageMargins left="0.7" right="0.7" top="0.75" bottom="0.75" header="0.3" footer="0.3"/>
    </customSheetView>
  </customSheetView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140625" style="1866" customWidth="1"/>
    <col min="3" max="3" width="29.85546875" customWidth="1"/>
    <col min="4" max="4" width="22.140625" customWidth="1"/>
    <col min="5" max="5" width="24" customWidth="1"/>
    <col min="6" max="6" width="18.140625" customWidth="1"/>
    <col min="7" max="7" width="17.85546875" customWidth="1"/>
    <col min="8" max="8" width="20.42578125" customWidth="1"/>
    <col min="9" max="9" width="19.7109375" customWidth="1"/>
    <col min="10" max="10" width="18.140625" customWidth="1"/>
    <col min="11" max="11" width="23.7109375" customWidth="1"/>
    <col min="12" max="12" width="20.42578125" customWidth="1"/>
    <col min="13" max="13" width="18" customWidth="1"/>
    <col min="14" max="14" width="18.42578125" customWidth="1"/>
    <col min="15" max="15" width="16.28515625" customWidth="1"/>
    <col min="16" max="16" width="15.85546875" customWidth="1"/>
    <col min="17" max="17" width="15.42578125" customWidth="1"/>
  </cols>
  <sheetData>
    <row r="1" spans="1:19" ht="54.75" customHeight="1">
      <c r="D1" s="1809" t="s">
        <v>27</v>
      </c>
      <c r="E1" s="1977" t="s">
        <v>25</v>
      </c>
      <c r="F1" s="1893">
        <v>18230809</v>
      </c>
      <c r="G1" s="1977" t="s">
        <v>5</v>
      </c>
      <c r="M1" s="1809" t="s">
        <v>27</v>
      </c>
      <c r="N1" s="1977" t="s">
        <v>25</v>
      </c>
      <c r="O1" s="1893">
        <v>18230809</v>
      </c>
      <c r="P1" s="1977" t="s">
        <v>5</v>
      </c>
    </row>
    <row r="2" spans="1:19" ht="16.5" thickBot="1">
      <c r="D2" s="39"/>
      <c r="E2" s="1800"/>
      <c r="F2" s="1800"/>
      <c r="G2" s="1805"/>
      <c r="H2" s="1576" t="s">
        <v>674</v>
      </c>
      <c r="I2" s="1805"/>
      <c r="J2" s="1805"/>
      <c r="K2" s="1805"/>
      <c r="L2" s="1805"/>
      <c r="M2" s="1805"/>
      <c r="N2" s="1805"/>
      <c r="O2" s="1805"/>
      <c r="P2" s="1805"/>
      <c r="Q2" s="1805"/>
    </row>
    <row r="3" spans="1:19" ht="26.25" thickBot="1">
      <c r="A3" s="1807" t="s">
        <v>27</v>
      </c>
      <c r="B3" s="1807"/>
      <c r="D3" s="1731"/>
      <c r="E3" s="1731"/>
      <c r="F3" s="173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6" t="s">
        <v>25</v>
      </c>
      <c r="B4" s="1976"/>
      <c r="C4" s="9"/>
      <c r="E4" s="1866"/>
      <c r="F4" s="1866"/>
      <c r="G4" s="1804" t="s">
        <v>668</v>
      </c>
      <c r="H4" s="2003">
        <v>99333</v>
      </c>
      <c r="I4" s="2002">
        <v>0</v>
      </c>
      <c r="J4" s="2002">
        <v>70228</v>
      </c>
      <c r="K4" s="2002">
        <v>0</v>
      </c>
      <c r="L4" s="2002">
        <v>200</v>
      </c>
      <c r="M4" s="2002">
        <v>27000</v>
      </c>
      <c r="N4" s="2002">
        <v>0</v>
      </c>
      <c r="O4" s="2002">
        <v>0</v>
      </c>
      <c r="P4" s="2002"/>
      <c r="Q4" s="2002"/>
      <c r="R4" s="2002">
        <v>196761</v>
      </c>
      <c r="S4" s="1998"/>
    </row>
    <row r="5" spans="1:19" ht="15.75">
      <c r="A5" s="1893">
        <v>18230809</v>
      </c>
      <c r="B5" s="1976"/>
      <c r="E5" s="1866"/>
      <c r="F5" s="1866"/>
      <c r="G5" s="1228">
        <v>2016</v>
      </c>
      <c r="H5" s="1582">
        <f>D15</f>
        <v>91546.79</v>
      </c>
      <c r="I5" s="1549">
        <f>D21</f>
        <v>0</v>
      </c>
      <c r="J5" s="1549">
        <f>D27</f>
        <v>61061.708930000001</v>
      </c>
      <c r="K5" s="1549">
        <f>D34</f>
        <v>0</v>
      </c>
      <c r="L5" s="1549">
        <f>D40</f>
        <v>1044</v>
      </c>
      <c r="M5" s="1549">
        <f>D46</f>
        <v>287100</v>
      </c>
      <c r="N5" s="1549">
        <f>D52</f>
        <v>0</v>
      </c>
      <c r="O5" s="1549">
        <f>D58</f>
        <v>0</v>
      </c>
      <c r="P5" s="1549">
        <v>0</v>
      </c>
      <c r="Q5" s="1549"/>
      <c r="R5" s="1549">
        <f>SUM(H5:P5)</f>
        <v>440752.49893</v>
      </c>
      <c r="S5" s="1999"/>
    </row>
    <row r="6" spans="1:19" ht="16.5" thickBot="1">
      <c r="A6" s="1976" t="s">
        <v>5</v>
      </c>
      <c r="B6" s="1893"/>
      <c r="C6" s="1302"/>
      <c r="E6" s="1866"/>
      <c r="F6" s="1866"/>
      <c r="G6" s="1228">
        <v>2017</v>
      </c>
      <c r="H6" s="57">
        <f>E15</f>
        <v>93835.5</v>
      </c>
      <c r="I6" s="1990">
        <f>E21</f>
        <v>0</v>
      </c>
      <c r="J6" s="1989">
        <f>E27</f>
        <v>63808.140000000007</v>
      </c>
      <c r="K6" s="58">
        <f>E34</f>
        <v>0</v>
      </c>
      <c r="L6" s="58">
        <f>E40</f>
        <v>1044</v>
      </c>
      <c r="M6" s="58">
        <f>E46</f>
        <v>17400</v>
      </c>
      <c r="N6" s="58">
        <f>E52</f>
        <v>0</v>
      </c>
      <c r="O6" s="58">
        <f>E58</f>
        <v>0</v>
      </c>
      <c r="P6" s="58">
        <v>0</v>
      </c>
      <c r="Q6" s="58"/>
      <c r="R6" s="58">
        <f>SUM(H6:P6)</f>
        <v>176087.64</v>
      </c>
      <c r="S6" s="1996"/>
    </row>
    <row r="7" spans="1:19" s="18" customFormat="1" ht="13.5" thickBot="1">
      <c r="A7" s="1762"/>
      <c r="B7" s="1979"/>
      <c r="E7" s="1862"/>
      <c r="F7" s="1862"/>
      <c r="G7" s="598" t="s">
        <v>23</v>
      </c>
      <c r="H7" s="1564">
        <f>SUM(H5:H6)</f>
        <v>185382.28999999998</v>
      </c>
      <c r="I7" s="1991">
        <f t="shared" ref="I7:P7" si="0">SUM(I5:I6)</f>
        <v>0</v>
      </c>
      <c r="J7" s="1992">
        <f t="shared" si="0"/>
        <v>124869.84893000001</v>
      </c>
      <c r="K7" s="1993">
        <f t="shared" si="0"/>
        <v>0</v>
      </c>
      <c r="L7" s="1991">
        <f t="shared" si="0"/>
        <v>2088</v>
      </c>
      <c r="M7" s="1992">
        <f t="shared" si="0"/>
        <v>304500</v>
      </c>
      <c r="N7" s="1991">
        <f t="shared" si="0"/>
        <v>0</v>
      </c>
      <c r="O7" s="1992">
        <f t="shared" si="0"/>
        <v>0</v>
      </c>
      <c r="P7" s="1993">
        <f t="shared" si="0"/>
        <v>0</v>
      </c>
      <c r="Q7" s="1993"/>
      <c r="R7" s="1991">
        <f>SUM(R5:R6)</f>
        <v>616840.13893000002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440752.49893</v>
      </c>
      <c r="E12" s="1948">
        <f>E15+E21+E27+E34+E40+E46+E52+E58</f>
        <v>176087.64</v>
      </c>
      <c r="F12" s="1924">
        <f>D12+E12</f>
        <v>616840.13893000002</v>
      </c>
    </row>
    <row r="13" spans="1:19" ht="13.5" customHeight="1">
      <c r="A13" s="21"/>
      <c r="B13" s="1865"/>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ht="13.5" customHeight="1">
      <c r="A15" s="21"/>
      <c r="B15" s="1886" t="s">
        <v>312</v>
      </c>
      <c r="C15" s="1910" t="s">
        <v>46</v>
      </c>
      <c r="D15" s="1911">
        <f>SUM(D16:D19)</f>
        <v>91546.79</v>
      </c>
      <c r="E15" s="1926">
        <f>SUM(E16:E19)</f>
        <v>93835.5</v>
      </c>
      <c r="F15" s="1924">
        <f>SUM(F16:F19)</f>
        <v>185382.28999999998</v>
      </c>
    </row>
    <row r="16" spans="1:19" ht="13.5" customHeight="1">
      <c r="A16" s="21"/>
      <c r="B16" s="1885">
        <v>0.87</v>
      </c>
      <c r="C16" s="2060" t="s">
        <v>781</v>
      </c>
      <c r="D16" s="2061">
        <v>91546.79</v>
      </c>
      <c r="E16" s="1906">
        <v>93835.5</v>
      </c>
      <c r="F16" s="1879">
        <f>SUM(D16:E16)</f>
        <v>185382.28999999998</v>
      </c>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0.87</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5"/>
      <c r="C24" s="1876"/>
      <c r="D24" s="1898"/>
      <c r="E24" s="1897"/>
      <c r="F24" s="1891">
        <f>SUM(D24:E24)</f>
        <v>0</v>
      </c>
    </row>
    <row r="25" spans="1:7" s="18" customFormat="1" ht="13.5" customHeight="1">
      <c r="A25" s="29"/>
      <c r="B25" s="1863"/>
      <c r="C25" s="1876"/>
      <c r="D25" s="1896"/>
      <c r="E25" s="1899"/>
      <c r="F25" s="1891">
        <f>SUM(D25:E25)</f>
        <v>0</v>
      </c>
    </row>
    <row r="26" spans="1:7" ht="13.5" customHeight="1">
      <c r="A26" s="21"/>
      <c r="B26" s="1865"/>
      <c r="C26" s="1877"/>
      <c r="D26" s="1892"/>
      <c r="E26" s="1884"/>
      <c r="F26" s="1892"/>
    </row>
    <row r="27" spans="1:7" s="18" customFormat="1" ht="13.5" customHeight="1">
      <c r="A27" s="29"/>
      <c r="B27" s="1863"/>
      <c r="C27" s="1910" t="s">
        <v>48</v>
      </c>
      <c r="D27" s="1911">
        <f>SUM(D29:D32)</f>
        <v>61061.708930000001</v>
      </c>
      <c r="E27" s="1926">
        <f>SUM(E29:E32)</f>
        <v>63808.140000000007</v>
      </c>
      <c r="F27" s="1924">
        <f>SUM(F29:F32)</f>
        <v>124869.84893000001</v>
      </c>
    </row>
    <row r="28" spans="1:7" ht="13.5" customHeight="1">
      <c r="A28" s="21"/>
      <c r="B28" s="1865"/>
      <c r="C28" s="1909" t="s">
        <v>315</v>
      </c>
      <c r="D28" s="1912">
        <v>0.66700000000000004</v>
      </c>
      <c r="E28" s="1913">
        <v>0.68</v>
      </c>
      <c r="F28" s="1949"/>
    </row>
    <row r="29" spans="1:7" ht="13.5" customHeight="1">
      <c r="A29" s="21"/>
      <c r="B29" s="1865"/>
      <c r="C29" s="1876" t="s">
        <v>778</v>
      </c>
      <c r="D29" s="1971">
        <f>D15*D28</f>
        <v>61061.708930000001</v>
      </c>
      <c r="E29" s="1972">
        <f>E15*E28</f>
        <v>63808.140000000007</v>
      </c>
      <c r="F29" s="1891">
        <f>SUM(D29:E29)</f>
        <v>124869.84893000001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65"/>
      <c r="C33" s="1952"/>
      <c r="D33" s="1958"/>
      <c r="E33" s="1955"/>
      <c r="F33" s="1958"/>
    </row>
    <row r="34" spans="1:7" ht="13.5" customHeight="1">
      <c r="A34" s="21"/>
      <c r="B34" s="1865"/>
      <c r="C34" s="1910" t="s">
        <v>49</v>
      </c>
      <c r="D34" s="1911">
        <v>0</v>
      </c>
      <c r="E34" s="1926">
        <v>0</v>
      </c>
      <c r="F34" s="1924">
        <v>0</v>
      </c>
      <c r="G34" s="38"/>
    </row>
    <row r="35" spans="1:7" ht="13.5" customHeight="1">
      <c r="A35" s="1807" t="s">
        <v>27</v>
      </c>
      <c r="B35" s="1865"/>
      <c r="C35" s="1876"/>
      <c r="D35" s="1971"/>
      <c r="E35" s="1988"/>
      <c r="F35" s="1891">
        <v>0</v>
      </c>
    </row>
    <row r="36" spans="1:7" s="18" customFormat="1" ht="13.5" customHeight="1">
      <c r="A36" s="1976" t="s">
        <v>25</v>
      </c>
      <c r="B36" s="1863"/>
      <c r="C36" s="1876"/>
      <c r="D36" s="1971"/>
      <c r="E36" s="1988"/>
      <c r="F36" s="1891">
        <v>0</v>
      </c>
    </row>
    <row r="37" spans="1:7" ht="13.5" customHeight="1">
      <c r="A37" s="1893">
        <v>18230809</v>
      </c>
      <c r="B37" s="1865"/>
      <c r="C37" s="1876"/>
      <c r="D37" s="1971"/>
      <c r="E37" s="1988"/>
      <c r="F37" s="1891">
        <v>0</v>
      </c>
    </row>
    <row r="38" spans="1:7" ht="13.5" customHeight="1">
      <c r="A38" s="1976" t="s">
        <v>5</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1044</v>
      </c>
      <c r="E40" s="1926">
        <f>SUM(E41:E44)</f>
        <v>1044</v>
      </c>
      <c r="F40" s="1924">
        <f t="shared" ref="F40:F56" si="1">SUM(D40:E40)</f>
        <v>2088</v>
      </c>
    </row>
    <row r="41" spans="1:7" ht="13.5" customHeight="1">
      <c r="A41" s="21"/>
      <c r="B41" s="1865"/>
      <c r="C41" s="1876"/>
      <c r="D41" s="1971">
        <v>1044</v>
      </c>
      <c r="E41" s="1988">
        <v>1044</v>
      </c>
      <c r="F41" s="1891">
        <f t="shared" si="1"/>
        <v>2088</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287100</v>
      </c>
      <c r="E46" s="1926">
        <f>SUM(E47:E50)</f>
        <v>17400</v>
      </c>
      <c r="F46" s="1924">
        <f t="shared" si="1"/>
        <v>304500</v>
      </c>
    </row>
    <row r="47" spans="1:7" ht="13.5" customHeight="1">
      <c r="A47" s="21"/>
      <c r="B47" s="1865"/>
      <c r="C47" s="2060" t="s">
        <v>782</v>
      </c>
      <c r="D47" s="1971">
        <v>287100</v>
      </c>
      <c r="E47" s="1988">
        <v>17400</v>
      </c>
      <c r="F47" s="1891">
        <f t="shared" si="1"/>
        <v>304500</v>
      </c>
    </row>
    <row r="48" spans="1:7"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2060"/>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17" right="0.21" top="0.41" bottom="0.4" header="0.3" footer="0.3"/>
      <pageSetup paperSize="17" scale="63" orientation="landscape" r:id="rId1"/>
    </customSheetView>
    <customSheetView guid="{D9EFFE19-D14B-4C6F-BDF4-FF696F73968D}" showGridLines="0" fitToPage="1">
      <pane xSplit="1" ySplit="1" topLeftCell="B2" activePane="bottomRight" state="frozen"/>
      <selection pane="bottomRight" activeCell="B17" sqref="B17"/>
      <pageMargins left="0.17" right="0.21" top="0.41" bottom="0.4" header="0.3" footer="0.3"/>
      <pageSetup paperSize="17" scale="63" orientation="landscape" r:id="rId2"/>
    </customSheetView>
  </customSheetViews>
  <pageMargins left="0.17" right="0.21" top="0.41" bottom="0.4" header="0.3" footer="0.3"/>
  <pageSetup paperSize="17" scale="63" orientation="landscape" r:id="rId3"/>
  <drawing r:id="rId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2" sqref="C2"/>
    </sheetView>
  </sheetViews>
  <sheetFormatPr defaultRowHeight="12.75"/>
  <cols>
    <col min="1" max="1" width="18.85546875" customWidth="1"/>
    <col min="2" max="2" width="16" style="1866" customWidth="1"/>
    <col min="3" max="3" width="35.42578125" customWidth="1"/>
    <col min="4" max="4" width="20" style="1" customWidth="1"/>
    <col min="5" max="5" width="20" style="2" customWidth="1"/>
    <col min="6" max="10" width="18.85546875" customWidth="1"/>
    <col min="11" max="11" width="17.5703125" customWidth="1"/>
    <col min="12" max="12" width="19.28515625" customWidth="1"/>
    <col min="13" max="13" width="24.42578125" customWidth="1"/>
    <col min="14" max="14" width="19.42578125" customWidth="1"/>
    <col min="15" max="15" width="13.28515625" customWidth="1"/>
    <col min="16" max="16" width="15.85546875" customWidth="1"/>
    <col min="17" max="17" width="14.140625" customWidth="1"/>
  </cols>
  <sheetData>
    <row r="1" spans="1:19" ht="53.25" customHeight="1">
      <c r="D1" s="1812" t="s">
        <v>30</v>
      </c>
      <c r="E1" s="1977" t="s">
        <v>25</v>
      </c>
      <c r="F1" s="1880">
        <v>18230469</v>
      </c>
      <c r="G1" s="1977" t="s">
        <v>5</v>
      </c>
      <c r="H1" s="1607"/>
      <c r="M1" s="1812" t="s">
        <v>30</v>
      </c>
      <c r="N1" s="1977" t="s">
        <v>25</v>
      </c>
      <c r="O1" s="1880">
        <v>18230469</v>
      </c>
      <c r="P1" s="1977" t="s">
        <v>5</v>
      </c>
    </row>
    <row r="2" spans="1:19" ht="16.5" thickBot="1">
      <c r="D2" s="39"/>
      <c r="E2" s="1614"/>
      <c r="F2" s="1614"/>
      <c r="G2" s="1227"/>
      <c r="H2" s="1576" t="s">
        <v>674</v>
      </c>
      <c r="I2" s="1805"/>
      <c r="J2" s="1805"/>
      <c r="K2" s="1805"/>
      <c r="L2" s="1805"/>
      <c r="M2" s="1805"/>
      <c r="N2" s="1805"/>
      <c r="O2" s="1805"/>
      <c r="P2" s="1805"/>
      <c r="Q2" s="1805"/>
    </row>
    <row r="3" spans="1:19" ht="26.25" thickBot="1">
      <c r="A3" s="1844" t="s">
        <v>510</v>
      </c>
      <c r="B3" s="180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t="s">
        <v>32</v>
      </c>
      <c r="B4" s="1976"/>
      <c r="E4" s="1806"/>
      <c r="F4" s="1806"/>
      <c r="G4" s="1804" t="s">
        <v>668</v>
      </c>
      <c r="H4" s="2003">
        <v>91560</v>
      </c>
      <c r="I4" s="2002">
        <v>0</v>
      </c>
      <c r="J4" s="2002">
        <v>64733</v>
      </c>
      <c r="K4" s="2002">
        <v>0</v>
      </c>
      <c r="L4" s="2002">
        <v>2100</v>
      </c>
      <c r="M4" s="2002">
        <v>0</v>
      </c>
      <c r="N4" s="2002">
        <v>0</v>
      </c>
      <c r="O4" s="2002">
        <v>0</v>
      </c>
      <c r="P4" s="2002">
        <v>0</v>
      </c>
      <c r="Q4" s="2002"/>
      <c r="R4" s="2002">
        <v>158393</v>
      </c>
      <c r="S4" s="1998"/>
    </row>
    <row r="5" spans="1:19" ht="15.75">
      <c r="A5" s="1976" t="s">
        <v>25</v>
      </c>
      <c r="B5" s="1976"/>
      <c r="D5"/>
      <c r="E5" s="1866"/>
      <c r="F5" s="1866"/>
      <c r="G5" s="1228">
        <v>2016</v>
      </c>
      <c r="H5" s="1582">
        <f>D15</f>
        <v>83917.24</v>
      </c>
      <c r="I5" s="1549">
        <f>D21</f>
        <v>0</v>
      </c>
      <c r="J5" s="1549">
        <f>D27</f>
        <v>55972.799080000004</v>
      </c>
      <c r="K5" s="1549">
        <f>D34</f>
        <v>0</v>
      </c>
      <c r="L5" s="1549">
        <f>D40</f>
        <v>1044</v>
      </c>
      <c r="M5" s="1549">
        <f>D46</f>
        <v>0</v>
      </c>
      <c r="N5" s="1549">
        <f>D52</f>
        <v>0</v>
      </c>
      <c r="O5" s="1549">
        <f>D58</f>
        <v>0</v>
      </c>
      <c r="P5" s="1549">
        <v>0</v>
      </c>
      <c r="Q5" s="1549"/>
      <c r="R5" s="1549">
        <f>SUM(H5:P5)</f>
        <v>140934.03908000002</v>
      </c>
      <c r="S5" s="1999"/>
    </row>
    <row r="6" spans="1:19" ht="16.5" thickBot="1">
      <c r="A6" s="1880">
        <v>18230469</v>
      </c>
      <c r="B6" s="1880"/>
      <c r="C6" s="1302"/>
      <c r="D6"/>
      <c r="E6" s="1866"/>
      <c r="F6" s="1866"/>
      <c r="G6" s="1228">
        <v>2017</v>
      </c>
      <c r="H6" s="57">
        <f>E15</f>
        <v>86014.9</v>
      </c>
      <c r="I6" s="1990">
        <f>E21</f>
        <v>0</v>
      </c>
      <c r="J6" s="1989">
        <f>E27</f>
        <v>58490.131999999998</v>
      </c>
      <c r="K6" s="58">
        <f>E34</f>
        <v>0</v>
      </c>
      <c r="L6" s="58">
        <f>E40</f>
        <v>1044</v>
      </c>
      <c r="M6" s="58">
        <f>E46</f>
        <v>0</v>
      </c>
      <c r="N6" s="58">
        <f>E52</f>
        <v>0</v>
      </c>
      <c r="O6" s="58">
        <f>E58</f>
        <v>0</v>
      </c>
      <c r="P6" s="58">
        <v>0</v>
      </c>
      <c r="Q6" s="58"/>
      <c r="R6" s="58">
        <f>SUM(H6:P6)</f>
        <v>145549.03200000001</v>
      </c>
      <c r="S6" s="1996"/>
    </row>
    <row r="7" spans="1:19" s="18" customFormat="1" ht="13.5" thickBot="1">
      <c r="A7" s="1976" t="s">
        <v>5</v>
      </c>
      <c r="B7" s="1978"/>
      <c r="E7" s="1862"/>
      <c r="F7" s="1862"/>
      <c r="G7" s="598" t="s">
        <v>23</v>
      </c>
      <c r="H7" s="1564">
        <f>SUM(H5:H6)</f>
        <v>169932.14</v>
      </c>
      <c r="I7" s="1991">
        <f t="shared" ref="I7:P7" si="0">SUM(I5:I6)</f>
        <v>0</v>
      </c>
      <c r="J7" s="1992">
        <f t="shared" si="0"/>
        <v>114462.93108000001</v>
      </c>
      <c r="K7" s="1993">
        <f t="shared" si="0"/>
        <v>0</v>
      </c>
      <c r="L7" s="1991">
        <f t="shared" si="0"/>
        <v>2088</v>
      </c>
      <c r="M7" s="1992">
        <f t="shared" si="0"/>
        <v>0</v>
      </c>
      <c r="N7" s="1991">
        <f t="shared" si="0"/>
        <v>0</v>
      </c>
      <c r="O7" s="1992">
        <f t="shared" si="0"/>
        <v>0</v>
      </c>
      <c r="P7" s="1993">
        <f t="shared" si="0"/>
        <v>0</v>
      </c>
      <c r="Q7" s="1993"/>
      <c r="R7" s="1991">
        <f>SUM(R5:R6)</f>
        <v>286483.07108000002</v>
      </c>
      <c r="S7" s="1994"/>
    </row>
    <row r="8" spans="1:19" s="18" customFormat="1" ht="25.5">
      <c r="B8" s="1808"/>
      <c r="E8" s="1862"/>
      <c r="F8" s="1862"/>
      <c r="G8" s="1806"/>
      <c r="H8" s="1790"/>
      <c r="I8" s="1866"/>
      <c r="J8" s="1866"/>
      <c r="K8" s="1866"/>
      <c r="L8" s="1866"/>
      <c r="M8" s="1866"/>
      <c r="N8" s="1866"/>
      <c r="O8" s="1866"/>
      <c r="P8" s="1865" t="s">
        <v>20</v>
      </c>
      <c r="Q8" s="1866"/>
    </row>
    <row r="9" spans="1:19" s="18" customFormat="1">
      <c r="A9" s="29"/>
      <c r="B9" s="1863"/>
      <c r="E9" s="1862"/>
      <c r="F9" s="1862"/>
      <c r="G9" s="1806"/>
      <c r="H9" s="1790"/>
      <c r="I9" s="1866"/>
      <c r="J9" s="1866"/>
      <c r="K9" s="1866"/>
      <c r="L9" s="1866"/>
      <c r="M9" s="1866"/>
      <c r="N9" s="1866"/>
      <c r="O9" s="1866"/>
      <c r="P9" s="1865" t="s">
        <v>21</v>
      </c>
      <c r="Q9" s="1866"/>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140934.03908000002</v>
      </c>
      <c r="E12" s="1948">
        <f>E15+E21+E27+E34+E40+E46+E52+E58</f>
        <v>145549.03200000001</v>
      </c>
      <c r="F12" s="1924">
        <f>D12+E12</f>
        <v>286483.07108000002</v>
      </c>
    </row>
    <row r="13" spans="1:19">
      <c r="A13" s="21"/>
      <c r="B13" s="1863"/>
      <c r="C13" s="1947"/>
      <c r="D13" s="1866"/>
      <c r="E13" s="1787"/>
      <c r="F13" s="1866"/>
    </row>
    <row r="14" spans="1:19" s="18" customFormat="1" ht="15.75">
      <c r="A14" s="29"/>
      <c r="B14" s="1863"/>
      <c r="C14" s="1888" t="s">
        <v>45</v>
      </c>
      <c r="D14" s="1969">
        <v>2016</v>
      </c>
      <c r="E14" s="1970">
        <v>2017</v>
      </c>
      <c r="F14" s="1950" t="s">
        <v>23</v>
      </c>
      <c r="G14" s="30"/>
      <c r="H14" s="30"/>
    </row>
    <row r="15" spans="1:19" s="18" customFormat="1" ht="15.75">
      <c r="A15" s="29"/>
      <c r="B15" s="1886" t="s">
        <v>312</v>
      </c>
      <c r="C15" s="1910" t="s">
        <v>46</v>
      </c>
      <c r="D15" s="1911">
        <f>SUM(D16:D19)</f>
        <v>83917.24</v>
      </c>
      <c r="E15" s="1926">
        <f>SUM(E16:E19)</f>
        <v>86014.9</v>
      </c>
      <c r="F15" s="1924">
        <f>SUM(F16:F19)</f>
        <v>169932.14</v>
      </c>
      <c r="G15" s="30"/>
      <c r="H15" s="30"/>
    </row>
    <row r="16" spans="1:19">
      <c r="A16" s="21"/>
      <c r="B16" s="1885">
        <v>0.7</v>
      </c>
      <c r="C16" s="2065" t="s">
        <v>783</v>
      </c>
      <c r="D16" s="1907">
        <v>83917.24</v>
      </c>
      <c r="E16" s="1906">
        <v>86014.9</v>
      </c>
      <c r="F16" s="1879">
        <f>SUM(D16:E16)</f>
        <v>169932.14</v>
      </c>
    </row>
    <row r="17" spans="1:7">
      <c r="A17" s="21"/>
      <c r="B17" s="1885"/>
      <c r="C17" s="1876"/>
      <c r="D17" s="1905"/>
      <c r="E17" s="1904"/>
      <c r="F17" s="1891">
        <f>SUM(D17:E17)</f>
        <v>0</v>
      </c>
    </row>
    <row r="18" spans="1:7">
      <c r="A18" s="21"/>
      <c r="B18" s="1885"/>
      <c r="C18" s="1876"/>
      <c r="D18" s="1905"/>
      <c r="E18" s="1904"/>
      <c r="F18" s="1891">
        <f>SUM(D18:E18)</f>
        <v>0</v>
      </c>
    </row>
    <row r="19" spans="1:7">
      <c r="A19" s="21"/>
      <c r="B19" s="1885"/>
      <c r="C19" s="1876"/>
      <c r="D19" s="1903"/>
      <c r="E19" s="1902"/>
      <c r="F19" s="1891">
        <f>SUM(D19:E19)</f>
        <v>0</v>
      </c>
    </row>
    <row r="20" spans="1:7">
      <c r="A20" s="21"/>
      <c r="B20" s="1908">
        <f>SUM(B16:B19)</f>
        <v>0.7</v>
      </c>
      <c r="C20" s="1952"/>
      <c r="D20" s="1954"/>
      <c r="E20" s="1955"/>
      <c r="F20" s="1957"/>
    </row>
    <row r="21" spans="1:7">
      <c r="A21" s="21"/>
      <c r="B21" s="1865"/>
      <c r="C21" s="1910" t="s">
        <v>47</v>
      </c>
      <c r="D21" s="1911">
        <f>SUM(D22:D25)</f>
        <v>0</v>
      </c>
      <c r="E21" s="1926">
        <f>SUM(E22:E25)</f>
        <v>0</v>
      </c>
      <c r="F21" s="1924">
        <f>SUM(F22:F25)</f>
        <v>0</v>
      </c>
      <c r="G21" s="34" t="s">
        <v>7</v>
      </c>
    </row>
    <row r="22" spans="1:7">
      <c r="A22" s="21"/>
      <c r="B22" s="1865"/>
      <c r="C22" s="1876"/>
      <c r="D22" s="1907"/>
      <c r="E22" s="1906"/>
      <c r="F22" s="1879">
        <f>SUM(D22:E22)</f>
        <v>0</v>
      </c>
      <c r="G22" s="35"/>
    </row>
    <row r="23" spans="1:7">
      <c r="A23" s="21"/>
      <c r="B23" s="1865"/>
      <c r="C23" s="1876"/>
      <c r="D23" s="1900"/>
      <c r="E23" s="1899"/>
      <c r="F23" s="1891">
        <f>SUM(D23:E23)</f>
        <v>0</v>
      </c>
    </row>
    <row r="24" spans="1:7">
      <c r="A24" s="21"/>
      <c r="B24" s="1863"/>
      <c r="C24" s="1876"/>
      <c r="D24" s="1898"/>
      <c r="E24" s="1897"/>
      <c r="F24" s="1891">
        <f>SUM(D24:E24)</f>
        <v>0</v>
      </c>
    </row>
    <row r="25" spans="1:7" s="18" customFormat="1">
      <c r="A25" s="29"/>
      <c r="B25" s="1865"/>
      <c r="C25" s="1876"/>
      <c r="D25" s="1896"/>
      <c r="E25" s="1899"/>
      <c r="F25" s="1891">
        <f>SUM(D25:E25)</f>
        <v>0</v>
      </c>
    </row>
    <row r="26" spans="1:7">
      <c r="A26" s="21"/>
      <c r="B26" s="1863"/>
      <c r="C26" s="1877"/>
      <c r="D26" s="1892"/>
      <c r="E26" s="1884"/>
      <c r="F26" s="1892"/>
    </row>
    <row r="27" spans="1:7" s="18" customFormat="1">
      <c r="A27" s="29"/>
      <c r="B27" s="1865"/>
      <c r="C27" s="1910" t="s">
        <v>48</v>
      </c>
      <c r="D27" s="1911">
        <f>SUM(D29:D32)</f>
        <v>55972.799080000004</v>
      </c>
      <c r="E27" s="1926">
        <f>SUM(E29:E32)</f>
        <v>58490.131999999998</v>
      </c>
      <c r="F27" s="1924">
        <f>SUM(F29:F32)</f>
        <v>114462.93108000001</v>
      </c>
    </row>
    <row r="28" spans="1:7">
      <c r="A28" s="21"/>
      <c r="B28" s="1865"/>
      <c r="C28" s="1909" t="s">
        <v>315</v>
      </c>
      <c r="D28" s="1912">
        <v>0.66700000000000004</v>
      </c>
      <c r="E28" s="1913">
        <v>0.68</v>
      </c>
      <c r="F28" s="1949"/>
    </row>
    <row r="29" spans="1:7">
      <c r="A29" s="21"/>
      <c r="B29" s="1865"/>
      <c r="C29" s="1876" t="s">
        <v>778</v>
      </c>
      <c r="D29" s="1971">
        <f>D15*D28</f>
        <v>55972.799080000004</v>
      </c>
      <c r="E29" s="1972">
        <f>E15*E28</f>
        <v>58490.131999999998</v>
      </c>
      <c r="F29" s="1891">
        <f>SUM(D29:E29)</f>
        <v>114462.93108000001</v>
      </c>
    </row>
    <row r="30" spans="1:7">
      <c r="A30" s="21"/>
      <c r="B30" s="1865"/>
      <c r="C30" s="1876"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21"/>
      <c r="B33" s="1801"/>
      <c r="C33" s="1952"/>
      <c r="D33" s="1958"/>
      <c r="E33" s="1955"/>
      <c r="F33" s="1958"/>
    </row>
    <row r="34" spans="1:7">
      <c r="A34" s="1844" t="s">
        <v>510</v>
      </c>
      <c r="B34" s="1865"/>
      <c r="C34" s="1910" t="s">
        <v>49</v>
      </c>
      <c r="D34" s="1911">
        <v>0</v>
      </c>
      <c r="E34" s="1926">
        <v>0</v>
      </c>
      <c r="F34" s="1924">
        <v>0</v>
      </c>
      <c r="G34" s="38"/>
    </row>
    <row r="35" spans="1:7" ht="18.75" customHeight="1">
      <c r="A35" s="1844" t="s">
        <v>32</v>
      </c>
      <c r="B35" s="1863"/>
      <c r="C35" s="1876"/>
      <c r="D35" s="1971"/>
      <c r="E35" s="1988"/>
      <c r="F35" s="1891">
        <v>0</v>
      </c>
    </row>
    <row r="36" spans="1:7" s="18" customFormat="1">
      <c r="A36" s="1976" t="s">
        <v>25</v>
      </c>
      <c r="B36" s="1865"/>
      <c r="C36" s="1876"/>
      <c r="D36" s="1971"/>
      <c r="E36" s="1988"/>
      <c r="F36" s="1891">
        <v>0</v>
      </c>
    </row>
    <row r="37" spans="1:7">
      <c r="A37" s="1880">
        <v>18230469</v>
      </c>
      <c r="B37" s="1865"/>
      <c r="C37" s="1876"/>
      <c r="D37" s="1971"/>
      <c r="E37" s="1988"/>
      <c r="F37" s="1891">
        <v>0</v>
      </c>
    </row>
    <row r="38" spans="1:7">
      <c r="A38" s="1976" t="s">
        <v>5</v>
      </c>
      <c r="B38" s="1865"/>
      <c r="C38" s="1876"/>
      <c r="D38" s="1971"/>
      <c r="E38" s="1988"/>
      <c r="F38" s="1891">
        <v>0</v>
      </c>
    </row>
    <row r="39" spans="1:7">
      <c r="A39" s="21"/>
      <c r="B39" s="1865"/>
      <c r="C39" s="1952"/>
      <c r="D39" s="1958"/>
      <c r="E39" s="1955"/>
      <c r="F39" s="1958"/>
    </row>
    <row r="40" spans="1:7">
      <c r="A40" s="21"/>
      <c r="B40" s="1865"/>
      <c r="C40" s="2106" t="s">
        <v>506</v>
      </c>
      <c r="D40" s="1911">
        <f>SUM(D41:D44)</f>
        <v>1044</v>
      </c>
      <c r="E40" s="1926">
        <f>SUM(E41:E44)</f>
        <v>1044</v>
      </c>
      <c r="F40" s="1924">
        <f t="shared" ref="F40:F56" si="1">SUM(D40:E40)</f>
        <v>2088</v>
      </c>
    </row>
    <row r="41" spans="1:7">
      <c r="A41" s="21"/>
      <c r="B41" s="1865"/>
      <c r="C41" s="1876"/>
      <c r="D41" s="1971">
        <v>1044</v>
      </c>
      <c r="E41" s="1988">
        <v>1044</v>
      </c>
      <c r="F41" s="1891">
        <f t="shared" si="1"/>
        <v>2088</v>
      </c>
    </row>
    <row r="42" spans="1:7">
      <c r="A42" s="21"/>
      <c r="B42" s="1865"/>
      <c r="C42" s="2197"/>
      <c r="D42" s="2202"/>
      <c r="E42" s="2203"/>
      <c r="F42" s="1891">
        <f t="shared" si="1"/>
        <v>0</v>
      </c>
    </row>
    <row r="43" spans="1:7">
      <c r="A43" s="21"/>
      <c r="B43" s="1865"/>
      <c r="C43" s="1876"/>
      <c r="D43" s="1971"/>
      <c r="E43" s="1988"/>
      <c r="F43" s="1891">
        <f t="shared" si="1"/>
        <v>0</v>
      </c>
    </row>
    <row r="44" spans="1:7">
      <c r="A44" s="21"/>
      <c r="B44" s="1865"/>
      <c r="C44" s="1876"/>
      <c r="D44" s="1971"/>
      <c r="E44" s="1988"/>
      <c r="F44" s="1891">
        <f t="shared" si="1"/>
        <v>0</v>
      </c>
    </row>
    <row r="45" spans="1:7">
      <c r="A45" s="21"/>
      <c r="B45" s="1865"/>
      <c r="C45" s="1952"/>
      <c r="D45" s="1958"/>
      <c r="E45" s="1955"/>
      <c r="F45" s="1958"/>
    </row>
    <row r="46" spans="1:7">
      <c r="A46" s="21"/>
      <c r="B46" s="1865"/>
      <c r="C46" s="1910" t="s">
        <v>50</v>
      </c>
      <c r="D46" s="1911">
        <f>SUM(D47:D50)</f>
        <v>0</v>
      </c>
      <c r="E46" s="1926">
        <f>SUM(E47:E50)</f>
        <v>0</v>
      </c>
      <c r="F46" s="1924">
        <f t="shared" si="1"/>
        <v>0</v>
      </c>
    </row>
    <row r="47" spans="1:7">
      <c r="A47" s="21"/>
      <c r="B47" s="1865"/>
      <c r="C47" s="2081"/>
      <c r="D47" s="1971"/>
      <c r="E47" s="1988"/>
      <c r="F47" s="1891">
        <f t="shared" si="1"/>
        <v>0</v>
      </c>
    </row>
    <row r="48" spans="1:7">
      <c r="A48" s="21"/>
      <c r="B48" s="1865"/>
      <c r="C48" s="1876"/>
      <c r="D48" s="1971"/>
      <c r="E48" s="1988"/>
      <c r="F48" s="1891">
        <f t="shared" si="1"/>
        <v>0</v>
      </c>
    </row>
    <row r="49" spans="1:6">
      <c r="A49" s="21"/>
      <c r="B49" s="1865"/>
      <c r="C49" s="1876"/>
      <c r="D49" s="1971"/>
      <c r="E49" s="1988"/>
      <c r="F49" s="1891">
        <f t="shared" si="1"/>
        <v>0</v>
      </c>
    </row>
    <row r="50" spans="1:6">
      <c r="A50" s="21"/>
      <c r="B50" s="1865"/>
      <c r="C50" s="1876"/>
      <c r="D50" s="1971"/>
      <c r="E50" s="1988"/>
      <c r="F50" s="1891">
        <f t="shared" si="1"/>
        <v>0</v>
      </c>
    </row>
    <row r="51" spans="1:6">
      <c r="A51" s="21"/>
      <c r="B51" s="1865"/>
      <c r="C51" s="1952"/>
      <c r="D51" s="1958"/>
      <c r="E51" s="1955"/>
      <c r="F51" s="1958"/>
    </row>
    <row r="52" spans="1:6">
      <c r="A52" s="21"/>
      <c r="B52" s="1865"/>
      <c r="C52" s="1910" t="s">
        <v>51</v>
      </c>
      <c r="D52" s="1911">
        <f>SUM(D53:D56)</f>
        <v>0</v>
      </c>
      <c r="E52" s="1926">
        <f>SUM(E53:E56)</f>
        <v>0</v>
      </c>
      <c r="F52" s="1924">
        <f t="shared" si="1"/>
        <v>0</v>
      </c>
    </row>
    <row r="53" spans="1:6">
      <c r="A53" s="21"/>
      <c r="B53" s="1865"/>
      <c r="C53" s="2065"/>
      <c r="D53" s="1971"/>
      <c r="E53" s="1972"/>
      <c r="F53" s="1891">
        <f t="shared" si="1"/>
        <v>0</v>
      </c>
    </row>
    <row r="54" spans="1:6">
      <c r="A54" s="21"/>
      <c r="B54" s="1865"/>
      <c r="C54" s="2065"/>
      <c r="D54" s="1971"/>
      <c r="E54" s="1972"/>
      <c r="F54" s="1891">
        <f t="shared" si="1"/>
        <v>0</v>
      </c>
    </row>
    <row r="55" spans="1:6">
      <c r="A55" s="21"/>
      <c r="B55" s="1865"/>
      <c r="C55" s="1876"/>
      <c r="D55" s="1971"/>
      <c r="E55" s="1972"/>
      <c r="F55" s="1891">
        <f t="shared" si="1"/>
        <v>0</v>
      </c>
    </row>
    <row r="56" spans="1:6">
      <c r="A56" s="21"/>
      <c r="B56" s="1865"/>
      <c r="C56" s="1876"/>
      <c r="D56" s="1971"/>
      <c r="E56" s="1972"/>
      <c r="F56" s="1891">
        <f t="shared" si="1"/>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065"/>
      <c r="D59" s="1971"/>
      <c r="E59" s="1988"/>
      <c r="F59" s="1891">
        <f>SUM(D59:E59)</f>
        <v>0</v>
      </c>
    </row>
    <row r="60" spans="1:6">
      <c r="A60" s="21"/>
      <c r="B60" s="1865"/>
      <c r="C60" s="1876"/>
      <c r="D60" s="1971"/>
      <c r="E60" s="1988"/>
      <c r="F60" s="1891">
        <f>SUM(D60:E60)</f>
        <v>0</v>
      </c>
    </row>
    <row r="61" spans="1:6">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17" right="0.22" top="0.38" bottom="0.37" header="0.3" footer="0.3"/>
      <pageSetup paperSize="17" scale="64" orientation="landscape" r:id="rId1"/>
    </customSheetView>
    <customSheetView guid="{D9EFFE19-D14B-4C6F-BDF4-FF696F73968D}" showGridLines="0" fitToPage="1">
      <pane xSplit="1" ySplit="1" topLeftCell="B2" activePane="bottomRight" state="frozen"/>
      <selection pane="bottomRight" activeCell="B17" sqref="B17"/>
      <pageMargins left="0.17" right="0.22" top="0.38" bottom="0.37" header="0.3" footer="0.3"/>
      <pageSetup paperSize="17" scale="64" orientation="landscape" r:id="rId2"/>
    </customSheetView>
  </customSheetViews>
  <pageMargins left="0.17" right="0.22" top="0.38" bottom="0.37" header="0.3" footer="0.3"/>
  <pageSetup paperSize="17" scale="64" orientation="landscape" r:id="rId3"/>
  <drawing r:id="rId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8DB4E3"/>
    <pageSetUpPr fitToPage="1"/>
  </sheetPr>
  <dimension ref="A1:S68"/>
  <sheetViews>
    <sheetView showGridLines="0" zoomScaleNormal="10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8.42578125" customWidth="1"/>
    <col min="2" max="2" width="16" style="1866" customWidth="1"/>
    <col min="3" max="3" width="36.7109375" customWidth="1"/>
    <col min="4" max="4" width="19.140625" style="1" customWidth="1"/>
    <col min="5" max="5" width="19.140625" style="2" customWidth="1"/>
    <col min="6" max="10" width="18.85546875" customWidth="1"/>
    <col min="11" max="11" width="17.5703125" customWidth="1"/>
    <col min="12" max="12" width="19.42578125" customWidth="1"/>
    <col min="13" max="13" width="24.42578125" customWidth="1"/>
    <col min="14" max="14" width="19.42578125" customWidth="1"/>
    <col min="15" max="15" width="13.28515625" customWidth="1"/>
    <col min="16" max="16" width="17.140625" customWidth="1"/>
    <col min="17" max="17" width="10.5703125" customWidth="1"/>
    <col min="18" max="18" width="15" customWidth="1"/>
  </cols>
  <sheetData>
    <row r="1" spans="1:19" ht="54.75" customHeight="1">
      <c r="D1" s="1831" t="s">
        <v>347</v>
      </c>
      <c r="E1" s="1977" t="s">
        <v>25</v>
      </c>
      <c r="F1" s="1880">
        <v>18230437</v>
      </c>
      <c r="G1" s="1977" t="s">
        <v>5</v>
      </c>
      <c r="M1" s="1831" t="s">
        <v>347</v>
      </c>
      <c r="N1" s="1977" t="s">
        <v>25</v>
      </c>
      <c r="O1" s="1880">
        <v>18230437</v>
      </c>
      <c r="P1" s="1977" t="s">
        <v>5</v>
      </c>
    </row>
    <row r="2" spans="1:19" ht="16.5" thickBot="1">
      <c r="D2" s="39"/>
      <c r="E2" s="1800"/>
      <c r="F2" s="1800"/>
      <c r="G2" s="1805"/>
      <c r="H2" s="1576" t="s">
        <v>674</v>
      </c>
      <c r="I2" s="1805"/>
      <c r="J2" s="1805"/>
      <c r="K2" s="1805"/>
      <c r="L2" s="1805"/>
      <c r="M2" s="1805"/>
      <c r="N2" s="1805"/>
      <c r="O2" s="1805"/>
      <c r="P2" s="1805"/>
      <c r="Q2" s="1805"/>
    </row>
    <row r="3" spans="1:19" s="1761" customFormat="1" ht="26.25" thickBot="1">
      <c r="A3" s="1844" t="s">
        <v>507</v>
      </c>
      <c r="B3" s="1808"/>
      <c r="D3" s="1731"/>
      <c r="E3" s="1731"/>
      <c r="F3" s="1731"/>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2193" t="s">
        <v>356</v>
      </c>
      <c r="B4" s="1976"/>
      <c r="E4" s="1806"/>
      <c r="F4" s="1806"/>
      <c r="G4" s="1804" t="s">
        <v>668</v>
      </c>
      <c r="H4" s="2003">
        <v>67624</v>
      </c>
      <c r="I4" s="2002">
        <v>0</v>
      </c>
      <c r="J4" s="2002">
        <v>47810</v>
      </c>
      <c r="K4" s="2002">
        <v>0</v>
      </c>
      <c r="L4" s="2002">
        <v>4250</v>
      </c>
      <c r="M4" s="2002">
        <v>195131</v>
      </c>
      <c r="N4" s="2002">
        <v>1350</v>
      </c>
      <c r="O4" s="2002">
        <v>0</v>
      </c>
      <c r="P4" s="2002">
        <v>0</v>
      </c>
      <c r="Q4" s="2002"/>
      <c r="R4" s="2002">
        <v>316165</v>
      </c>
      <c r="S4" s="2000"/>
    </row>
    <row r="5" spans="1:19" ht="15.75">
      <c r="A5" s="1976" t="s">
        <v>25</v>
      </c>
      <c r="B5" s="1976"/>
      <c r="D5"/>
      <c r="E5" s="1866"/>
      <c r="F5" s="1866"/>
      <c r="G5" s="1228">
        <v>2016</v>
      </c>
      <c r="H5" s="1582">
        <f>D15</f>
        <v>146812.5</v>
      </c>
      <c r="I5" s="1549">
        <f>D21</f>
        <v>0</v>
      </c>
      <c r="J5" s="1549">
        <f>D27</f>
        <v>97923.9375</v>
      </c>
      <c r="K5" s="1549">
        <f>D34</f>
        <v>0</v>
      </c>
      <c r="L5" s="1549">
        <f>D40</f>
        <v>4254.3</v>
      </c>
      <c r="M5" s="1549">
        <f>D47</f>
        <v>31363.5</v>
      </c>
      <c r="N5" s="1549">
        <f>D54</f>
        <v>1348.5</v>
      </c>
      <c r="O5" s="1549">
        <f>D60</f>
        <v>0</v>
      </c>
      <c r="P5" s="1549">
        <v>0</v>
      </c>
      <c r="Q5" s="1549"/>
      <c r="R5" s="1549">
        <f>SUM(H5:P5)</f>
        <v>281702.73749999999</v>
      </c>
      <c r="S5" s="2001"/>
    </row>
    <row r="6" spans="1:19" ht="16.5" thickBot="1">
      <c r="A6" s="1880">
        <v>18230437</v>
      </c>
      <c r="B6" s="1880"/>
      <c r="C6" s="1302"/>
      <c r="D6"/>
      <c r="E6" s="1866"/>
      <c r="F6" s="1866"/>
      <c r="G6" s="1228">
        <v>2017</v>
      </c>
      <c r="H6" s="57">
        <f>E15</f>
        <v>150482.81</v>
      </c>
      <c r="I6" s="1990">
        <f>E21</f>
        <v>0</v>
      </c>
      <c r="J6" s="1989">
        <f>E27</f>
        <v>102328.31080000001</v>
      </c>
      <c r="K6" s="58">
        <f>E34</f>
        <v>0</v>
      </c>
      <c r="L6" s="58">
        <f>E40</f>
        <v>4254.3</v>
      </c>
      <c r="M6" s="58">
        <f>E47</f>
        <v>32552.355</v>
      </c>
      <c r="N6" s="58">
        <f>E54</f>
        <v>1348.5</v>
      </c>
      <c r="O6" s="58">
        <f>E60</f>
        <v>0</v>
      </c>
      <c r="P6" s="58">
        <v>0</v>
      </c>
      <c r="Q6" s="58"/>
      <c r="R6" s="58">
        <f>SUM(H6:P6)</f>
        <v>290966.2758</v>
      </c>
      <c r="S6" s="1997"/>
    </row>
    <row r="7" spans="1:19" s="18" customFormat="1" ht="16.5" thickBot="1">
      <c r="A7" s="1976" t="s">
        <v>5</v>
      </c>
      <c r="B7" s="1819"/>
      <c r="E7" s="1862"/>
      <c r="F7" s="1862"/>
      <c r="G7" s="1751" t="s">
        <v>23</v>
      </c>
      <c r="H7" s="1564">
        <f>SUM(H5:H6)</f>
        <v>297295.31</v>
      </c>
      <c r="I7" s="1991">
        <f t="shared" ref="I7:P7" si="0">SUM(I5:I6)</f>
        <v>0</v>
      </c>
      <c r="J7" s="1992">
        <f t="shared" si="0"/>
        <v>200252.24830000001</v>
      </c>
      <c r="K7" s="1993">
        <f t="shared" si="0"/>
        <v>0</v>
      </c>
      <c r="L7" s="1991">
        <f t="shared" si="0"/>
        <v>8508.6</v>
      </c>
      <c r="M7" s="1992">
        <f t="shared" si="0"/>
        <v>63915.854999999996</v>
      </c>
      <c r="N7" s="1991">
        <f t="shared" si="0"/>
        <v>2697</v>
      </c>
      <c r="O7" s="1992">
        <f t="shared" si="0"/>
        <v>0</v>
      </c>
      <c r="P7" s="1993">
        <f t="shared" si="0"/>
        <v>0</v>
      </c>
      <c r="Q7" s="1993"/>
      <c r="R7" s="1991">
        <f>SUM(R5:R6)</f>
        <v>572669.01329999999</v>
      </c>
      <c r="S7" s="1993"/>
    </row>
    <row r="8" spans="1:19" s="18" customFormat="1" ht="25.5">
      <c r="B8" s="1808"/>
      <c r="E8" s="1862"/>
      <c r="F8" s="1862"/>
      <c r="G8" s="1"/>
      <c r="H8" s="2"/>
      <c r="I8"/>
      <c r="J8"/>
      <c r="K8"/>
      <c r="L8"/>
      <c r="M8"/>
      <c r="N8"/>
      <c r="O8"/>
      <c r="P8" s="21" t="s">
        <v>20</v>
      </c>
      <c r="Q8"/>
    </row>
    <row r="9" spans="1:19" s="18" customFormat="1">
      <c r="A9" s="1819"/>
      <c r="B9" s="1819"/>
      <c r="E9" s="1"/>
      <c r="F9" s="2"/>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D15+D21+D27+D34+D40+D47+D54+D60</f>
        <v>281702.73749999999</v>
      </c>
      <c r="E12" s="1948">
        <f>E15+E21+E27+E34+E40+E47+E54+E60</f>
        <v>290966.2758</v>
      </c>
      <c r="F12" s="1924">
        <f>D12+E12</f>
        <v>572669.01329999999</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146812.5</v>
      </c>
      <c r="E15" s="1926">
        <f>SUM(E16:E19)</f>
        <v>150482.81</v>
      </c>
      <c r="F15" s="1924">
        <f t="shared" ref="F15:F21" si="1">SUM(D15:E15)</f>
        <v>297295.31</v>
      </c>
      <c r="G15" s="30"/>
      <c r="H15" s="30"/>
    </row>
    <row r="16" spans="1:19" ht="13.5" customHeight="1">
      <c r="A16" s="21"/>
      <c r="B16" s="1885">
        <v>1.96</v>
      </c>
      <c r="C16" s="2919" t="s">
        <v>801</v>
      </c>
      <c r="D16" s="2922">
        <v>146812.5</v>
      </c>
      <c r="E16" s="2921">
        <v>150482.81</v>
      </c>
      <c r="F16" s="1879">
        <f t="shared" si="1"/>
        <v>297295.31</v>
      </c>
    </row>
    <row r="17" spans="1:7" ht="13.5" customHeight="1">
      <c r="A17" s="21"/>
      <c r="B17" s="1885"/>
      <c r="C17" s="1876"/>
      <c r="D17" s="1905"/>
      <c r="E17" s="1904"/>
      <c r="F17" s="1891">
        <f t="shared" si="1"/>
        <v>0</v>
      </c>
    </row>
    <row r="18" spans="1:7" ht="13.5" customHeight="1">
      <c r="A18" s="21"/>
      <c r="B18" s="1885"/>
      <c r="C18" s="1876"/>
      <c r="D18" s="1905"/>
      <c r="E18" s="1904"/>
      <c r="F18" s="1891">
        <f t="shared" si="1"/>
        <v>0</v>
      </c>
    </row>
    <row r="19" spans="1:7" ht="13.5" customHeight="1">
      <c r="A19" s="21"/>
      <c r="B19" s="1885"/>
      <c r="C19" s="1876"/>
      <c r="D19" s="1903"/>
      <c r="E19" s="1902"/>
      <c r="F19" s="1891">
        <f t="shared" si="1"/>
        <v>0</v>
      </c>
    </row>
    <row r="20" spans="1:7" ht="13.5" customHeight="1">
      <c r="A20" s="21"/>
      <c r="B20" s="1908">
        <f>SUM(B16:B19)</f>
        <v>1.96</v>
      </c>
      <c r="C20" s="1952"/>
      <c r="D20" s="1954"/>
      <c r="E20" s="1955"/>
      <c r="F20" s="1957"/>
    </row>
    <row r="21" spans="1:7" ht="13.5" customHeight="1">
      <c r="A21" s="21"/>
      <c r="B21" s="1865"/>
      <c r="C21" s="1910" t="s">
        <v>47</v>
      </c>
      <c r="D21" s="1911">
        <v>0</v>
      </c>
      <c r="E21" s="1926">
        <v>0</v>
      </c>
      <c r="F21" s="1924">
        <f t="shared" si="1"/>
        <v>0</v>
      </c>
      <c r="G21" s="34" t="s">
        <v>7</v>
      </c>
    </row>
    <row r="22" spans="1:7" ht="13.5" customHeight="1">
      <c r="A22" s="21"/>
      <c r="B22" s="1865"/>
      <c r="C22" s="1876"/>
      <c r="D22" s="1907"/>
      <c r="E22" s="1906"/>
      <c r="F22" s="1879">
        <v>0</v>
      </c>
      <c r="G22" s="35"/>
    </row>
    <row r="23" spans="1:7" ht="13.5" customHeight="1">
      <c r="A23" s="21"/>
      <c r="B23" s="1865"/>
      <c r="C23" s="1876"/>
      <c r="D23" s="2053"/>
      <c r="E23" s="2054"/>
      <c r="F23" s="1891">
        <v>0</v>
      </c>
    </row>
    <row r="24" spans="1:7" ht="13.5" customHeight="1">
      <c r="A24" s="21"/>
      <c r="B24" s="1863"/>
      <c r="C24" s="1876"/>
      <c r="D24" s="2055"/>
      <c r="E24" s="2056"/>
      <c r="F24" s="1891">
        <v>0</v>
      </c>
    </row>
    <row r="25" spans="1:7" s="18" customFormat="1" ht="13.5" customHeight="1">
      <c r="A25" s="29"/>
      <c r="B25" s="1865"/>
      <c r="C25" s="1876"/>
      <c r="D25" s="2057"/>
      <c r="E25" s="2054"/>
      <c r="F25" s="1891">
        <v>0</v>
      </c>
    </row>
    <row r="26" spans="1:7" ht="13.5" customHeight="1">
      <c r="A26" s="21"/>
      <c r="B26" s="1863"/>
      <c r="C26" s="1877"/>
      <c r="D26" s="1892"/>
      <c r="E26" s="1884"/>
      <c r="F26" s="1892"/>
    </row>
    <row r="27" spans="1:7" s="18" customFormat="1" ht="13.5" customHeight="1">
      <c r="A27" s="29"/>
      <c r="B27" s="1865"/>
      <c r="C27" s="1910" t="s">
        <v>48</v>
      </c>
      <c r="D27" s="1911">
        <f>SUM(D29:D32)</f>
        <v>97923.9375</v>
      </c>
      <c r="E27" s="1926">
        <f>SUM(E29:E32)</f>
        <v>102328.31080000001</v>
      </c>
      <c r="F27" s="1924">
        <f>SUM(F29:F32)</f>
        <v>200252.24830000001</v>
      </c>
    </row>
    <row r="28" spans="1:7" ht="13.5" customHeight="1">
      <c r="A28" s="21"/>
      <c r="B28" s="1865"/>
      <c r="C28" s="1909" t="s">
        <v>315</v>
      </c>
      <c r="D28" s="1912">
        <v>0.66700000000000004</v>
      </c>
      <c r="E28" s="1913">
        <v>0.68</v>
      </c>
      <c r="F28" s="1949"/>
    </row>
    <row r="29" spans="1:7" ht="13.5" customHeight="1">
      <c r="A29" s="21"/>
      <c r="B29" s="1865"/>
      <c r="C29" s="1876" t="s">
        <v>778</v>
      </c>
      <c r="D29" s="1971">
        <f>D15*D28</f>
        <v>97923.9375</v>
      </c>
      <c r="E29" s="1972">
        <f>E15*E28</f>
        <v>102328.31080000001</v>
      </c>
      <c r="F29" s="1891">
        <f>SUM(D29:E29)</f>
        <v>200252.24830000001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1844" t="s">
        <v>507</v>
      </c>
      <c r="B33" s="1801"/>
      <c r="C33" s="1952"/>
      <c r="D33" s="1958"/>
      <c r="E33" s="1955"/>
      <c r="F33" s="1958"/>
    </row>
    <row r="34" spans="1:7">
      <c r="A34" s="1844" t="s">
        <v>356</v>
      </c>
      <c r="B34" s="1865"/>
      <c r="C34" s="1910" t="s">
        <v>49</v>
      </c>
      <c r="D34" s="1911">
        <v>0</v>
      </c>
      <c r="E34" s="1926">
        <v>0</v>
      </c>
      <c r="F34" s="1924">
        <f>SUM(D34:E34)</f>
        <v>0</v>
      </c>
      <c r="G34" s="38"/>
    </row>
    <row r="35" spans="1:7" ht="13.5" customHeight="1">
      <c r="A35" s="1976" t="s">
        <v>25</v>
      </c>
      <c r="B35" s="1863"/>
      <c r="C35" s="1876"/>
      <c r="D35" s="1971"/>
      <c r="E35" s="1988"/>
      <c r="F35" s="1891">
        <v>0</v>
      </c>
    </row>
    <row r="36" spans="1:7" s="18" customFormat="1" ht="13.5" customHeight="1">
      <c r="A36" s="1880">
        <v>18230437</v>
      </c>
      <c r="B36" s="1865"/>
      <c r="C36" s="1876"/>
      <c r="D36" s="1971"/>
      <c r="E36" s="1988"/>
      <c r="F36" s="1891">
        <v>0</v>
      </c>
    </row>
    <row r="37" spans="1:7" ht="13.5" customHeight="1">
      <c r="A37" s="1976" t="s">
        <v>5</v>
      </c>
      <c r="B37" s="1865"/>
      <c r="C37" s="1876"/>
      <c r="D37" s="1971"/>
      <c r="E37" s="1988"/>
      <c r="F37" s="1891">
        <v>0</v>
      </c>
    </row>
    <row r="38" spans="1:7" ht="13.5" customHeight="1">
      <c r="A38" s="21"/>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2183">
        <f>SUM(D41:D45)</f>
        <v>4254.3</v>
      </c>
      <c r="E40" s="2184">
        <f>SUM(E41:E45)</f>
        <v>4254.3</v>
      </c>
      <c r="F40" s="2114">
        <f>SUM(D40:E40)</f>
        <v>8508.6</v>
      </c>
    </row>
    <row r="41" spans="1:7" ht="13.5" customHeight="1">
      <c r="A41" s="21"/>
      <c r="B41" s="1865"/>
      <c r="C41" s="2197" t="s">
        <v>802</v>
      </c>
      <c r="D41" s="2203">
        <f>[3]Total!D41*0.87</f>
        <v>1261.5</v>
      </c>
      <c r="E41" s="2203">
        <f>[3]Total!E41*0.87</f>
        <v>1261.5</v>
      </c>
      <c r="F41" s="1891">
        <f t="shared" ref="F41:F45" si="2">SUM(D41:E41)</f>
        <v>2523</v>
      </c>
    </row>
    <row r="42" spans="1:7" ht="13.5" customHeight="1">
      <c r="A42" s="21"/>
      <c r="B42" s="1865"/>
      <c r="C42" s="2197" t="s">
        <v>803</v>
      </c>
      <c r="D42" s="2203">
        <f>[3]Total!D42*0.87</f>
        <v>1261.5</v>
      </c>
      <c r="E42" s="2203">
        <f>[3]Total!E42*0.87</f>
        <v>1261.5</v>
      </c>
      <c r="F42" s="1891">
        <f t="shared" si="2"/>
        <v>2523</v>
      </c>
    </row>
    <row r="43" spans="1:7" s="2177" customFormat="1" ht="13.5" customHeight="1">
      <c r="A43" s="2178"/>
      <c r="B43" s="2178"/>
      <c r="C43" s="2197" t="s">
        <v>804</v>
      </c>
      <c r="D43" s="2203">
        <f>[3]Total!D43*0.87</f>
        <v>252.3</v>
      </c>
      <c r="E43" s="2203">
        <f>[3]Total!E43*0.87</f>
        <v>252.3</v>
      </c>
      <c r="F43" s="2191">
        <f t="shared" si="2"/>
        <v>504.6</v>
      </c>
    </row>
    <row r="44" spans="1:7" ht="13.5" customHeight="1">
      <c r="A44" s="21"/>
      <c r="B44" s="1865"/>
      <c r="C44" s="2197" t="s">
        <v>805</v>
      </c>
      <c r="D44" s="2203">
        <f>[3]Total!D44*0.87</f>
        <v>1000.5</v>
      </c>
      <c r="E44" s="2203">
        <f>[3]Total!E44*0.87</f>
        <v>1000.5</v>
      </c>
      <c r="F44" s="2191">
        <f t="shared" si="2"/>
        <v>2001</v>
      </c>
    </row>
    <row r="45" spans="1:7" s="2177" customFormat="1" ht="13.5" customHeight="1">
      <c r="A45" s="2178"/>
      <c r="B45" s="2178"/>
      <c r="C45" s="2197" t="s">
        <v>342</v>
      </c>
      <c r="D45" s="2203">
        <f>[3]Total!D45*0.87</f>
        <v>478.5</v>
      </c>
      <c r="E45" s="2203">
        <f>[3]Total!E45*0.87</f>
        <v>478.5</v>
      </c>
      <c r="F45" s="2191">
        <f t="shared" si="2"/>
        <v>957</v>
      </c>
    </row>
    <row r="46" spans="1:7" ht="13.5" customHeight="1">
      <c r="A46" s="21"/>
      <c r="B46" s="1865"/>
      <c r="C46" s="1952"/>
      <c r="D46" s="1958"/>
      <c r="E46" s="1955"/>
      <c r="F46" s="1958"/>
    </row>
    <row r="47" spans="1:7" ht="13.5" customHeight="1">
      <c r="A47" s="21"/>
      <c r="B47" s="1865"/>
      <c r="C47" s="1910" t="s">
        <v>50</v>
      </c>
      <c r="D47" s="2059">
        <f>SUM(D48:D52)</f>
        <v>31363.5</v>
      </c>
      <c r="E47" s="2184">
        <f>SUM(E48:E52)</f>
        <v>32552.355</v>
      </c>
      <c r="F47" s="1924">
        <f t="shared" ref="F47:F52" si="3">SUM(D47:E47)</f>
        <v>63915.854999999996</v>
      </c>
    </row>
    <row r="48" spans="1:7" ht="13.5" customHeight="1">
      <c r="A48" s="21"/>
      <c r="B48" s="1865"/>
      <c r="C48" s="2197" t="s">
        <v>806</v>
      </c>
      <c r="D48" s="2203">
        <f>[3]Total!D48*0.87</f>
        <v>0</v>
      </c>
      <c r="E48" s="2203">
        <f>[3]Total!E48*0.87</f>
        <v>0</v>
      </c>
      <c r="F48" s="1891">
        <f t="shared" si="3"/>
        <v>0</v>
      </c>
    </row>
    <row r="49" spans="1:6" s="2177" customFormat="1" ht="13.5" customHeight="1">
      <c r="A49" s="2178"/>
      <c r="B49" s="2178"/>
      <c r="C49" s="2197" t="s">
        <v>807</v>
      </c>
      <c r="D49" s="2203">
        <v>0</v>
      </c>
      <c r="E49" s="2203">
        <v>0</v>
      </c>
      <c r="F49" s="2191">
        <f>D49+E49</f>
        <v>0</v>
      </c>
    </row>
    <row r="50" spans="1:6" s="2177" customFormat="1" ht="13.5" customHeight="1">
      <c r="A50" s="2178"/>
      <c r="B50" s="2178"/>
      <c r="C50" s="2197" t="s">
        <v>808</v>
      </c>
      <c r="D50" s="2203">
        <f>[3]Total!D50*0.87</f>
        <v>12397.5</v>
      </c>
      <c r="E50" s="2203">
        <f>[3]Total!E50*0.87</f>
        <v>13017.375</v>
      </c>
      <c r="F50" s="2191">
        <f>D50+E50</f>
        <v>25414.875</v>
      </c>
    </row>
    <row r="51" spans="1:6" s="2177" customFormat="1" ht="13.5" customHeight="1">
      <c r="A51" s="2178"/>
      <c r="B51" s="2178"/>
      <c r="C51" s="2197" t="s">
        <v>809</v>
      </c>
      <c r="D51" s="2203">
        <v>17226</v>
      </c>
      <c r="E51" s="2203">
        <v>17742.78</v>
      </c>
      <c r="F51" s="2191">
        <f t="shared" si="3"/>
        <v>34968.78</v>
      </c>
    </row>
    <row r="52" spans="1:6" ht="13.5" customHeight="1">
      <c r="A52" s="21"/>
      <c r="B52" s="1865"/>
      <c r="C52" s="2197" t="s">
        <v>343</v>
      </c>
      <c r="D52" s="2203">
        <f>[3]Total!D53*0.87</f>
        <v>1740</v>
      </c>
      <c r="E52" s="2203">
        <f>[3]Total!E53*0.87</f>
        <v>1792.2</v>
      </c>
      <c r="F52" s="2180">
        <f t="shared" si="3"/>
        <v>3532.2</v>
      </c>
    </row>
    <row r="53" spans="1:6" ht="13.5" customHeight="1">
      <c r="A53" s="21"/>
      <c r="B53" s="1865"/>
      <c r="C53" s="1952"/>
      <c r="D53" s="1958"/>
      <c r="E53" s="1955"/>
      <c r="F53" s="1958"/>
    </row>
    <row r="54" spans="1:6" ht="13.5" customHeight="1">
      <c r="A54" s="21"/>
      <c r="B54" s="1865"/>
      <c r="C54" s="1910" t="s">
        <v>51</v>
      </c>
      <c r="D54" s="2183">
        <f>SUM(D55:D58)</f>
        <v>1348.5</v>
      </c>
      <c r="E54" s="2184">
        <f>SUM(E55:E58)</f>
        <v>1348.5</v>
      </c>
      <c r="F54" s="1924">
        <f>SUM(D54:E54)</f>
        <v>2697</v>
      </c>
    </row>
    <row r="55" spans="1:6" ht="13.5" customHeight="1">
      <c r="A55" s="21"/>
      <c r="B55" s="1865"/>
      <c r="C55" s="2197" t="s">
        <v>810</v>
      </c>
      <c r="D55" s="2163">
        <f>[3]Total!D55*0.87</f>
        <v>1348.5</v>
      </c>
      <c r="E55" s="2163">
        <f>[3]Total!E55*0.87</f>
        <v>1348.5</v>
      </c>
      <c r="F55" s="1891">
        <f>SUM(D55:E55)</f>
        <v>2697</v>
      </c>
    </row>
    <row r="56" spans="1:6" ht="13.5" customHeight="1">
      <c r="A56" s="21"/>
      <c r="B56" s="1865"/>
      <c r="C56" s="1876"/>
      <c r="D56" s="1971"/>
      <c r="E56" s="1972"/>
      <c r="F56" s="1891">
        <f>SUM(D56:E56)</f>
        <v>0</v>
      </c>
    </row>
    <row r="57" spans="1:6" ht="13.5" customHeight="1">
      <c r="A57" s="21"/>
      <c r="B57" s="1865"/>
      <c r="C57" s="1876"/>
      <c r="D57" s="1971"/>
      <c r="E57" s="1972"/>
      <c r="F57" s="1891">
        <v>0</v>
      </c>
    </row>
    <row r="58" spans="1:6" ht="13.5" customHeight="1">
      <c r="A58" s="21"/>
      <c r="B58" s="1865"/>
      <c r="C58" s="1876"/>
      <c r="D58" s="1971"/>
      <c r="E58" s="1972"/>
      <c r="F58" s="1891">
        <v>0</v>
      </c>
    </row>
    <row r="59" spans="1:6" ht="13.5" customHeight="1">
      <c r="A59" s="21"/>
      <c r="B59" s="1865"/>
      <c r="C59" s="1952"/>
      <c r="D59" s="1958"/>
      <c r="E59" s="1955"/>
      <c r="F59" s="1958"/>
    </row>
    <row r="60" spans="1:6" ht="13.5" customHeight="1">
      <c r="A60" s="21"/>
      <c r="B60" s="1865"/>
      <c r="C60" s="1910" t="s">
        <v>52</v>
      </c>
      <c r="D60" s="2183">
        <f>SUM(D61:D63)</f>
        <v>0</v>
      </c>
      <c r="E60" s="2184">
        <f>SUM(E61:E63)</f>
        <v>0</v>
      </c>
      <c r="F60" s="1924">
        <f>SUM(D60:E60)</f>
        <v>0</v>
      </c>
    </row>
    <row r="61" spans="1:6" ht="13.5" customHeight="1">
      <c r="A61" s="21"/>
      <c r="B61" s="1865"/>
      <c r="C61" s="2058"/>
      <c r="D61" s="1971"/>
      <c r="E61" s="1988"/>
      <c r="F61" s="1891">
        <f>SUM(D61:E61)</f>
        <v>0</v>
      </c>
    </row>
    <row r="62" spans="1:6" ht="13.5" customHeight="1">
      <c r="A62" s="21"/>
      <c r="C62" s="1876"/>
      <c r="D62" s="1971"/>
      <c r="E62" s="1988"/>
      <c r="F62" s="1890">
        <v>0</v>
      </c>
    </row>
    <row r="63" spans="1:6">
      <c r="C63" s="1876"/>
      <c r="D63" s="1971"/>
      <c r="E63" s="1988"/>
      <c r="F63" s="1891">
        <v>0</v>
      </c>
    </row>
    <row r="64" spans="1:6">
      <c r="C64" s="1952"/>
      <c r="D64" s="1958"/>
      <c r="E64" s="1955"/>
      <c r="F64" s="1958"/>
    </row>
    <row r="65" spans="3:6">
      <c r="C65" s="1910"/>
      <c r="D65" s="1911"/>
      <c r="E65" s="1926"/>
      <c r="F65" s="1924"/>
    </row>
    <row r="66" spans="3:6">
      <c r="C66" s="1967"/>
      <c r="D66" s="1961"/>
      <c r="E66" s="1962"/>
      <c r="F66" s="1966"/>
    </row>
    <row r="67" spans="3:6">
      <c r="C67" s="1968"/>
      <c r="D67" s="1963"/>
      <c r="E67" s="1964"/>
      <c r="F67" s="1965"/>
    </row>
    <row r="68" spans="3:6">
      <c r="C68" s="1959"/>
      <c r="D68" s="1971"/>
      <c r="E68" s="1971"/>
      <c r="F68" s="1956"/>
    </row>
  </sheetData>
  <customSheetViews>
    <customSheetView guid="{074EB09C-6289-46D7-9513-012B68BCA7BF}" showGridLines="0" fitToPage="1">
      <pane xSplit="1" ySplit="1" topLeftCell="B2" activePane="bottomRight" state="frozen"/>
      <selection pane="bottomRight" activeCell="B41" sqref="B41"/>
      <pageMargins left="0.17" right="0.24" top="0.35" bottom="0.4" header="0.3" footer="0.3"/>
      <pageSetup paperSize="17" scale="62" orientation="landscape" r:id="rId1"/>
    </customSheetView>
    <customSheetView guid="{D9EFFE19-D14B-4C6F-BDF4-FF696F73968D}" showGridLines="0" fitToPage="1">
      <pane xSplit="1" ySplit="1" topLeftCell="B8" activePane="bottomRight" state="frozen"/>
      <selection pane="bottomRight"/>
      <pageMargins left="0.17" right="0.24" top="0.35" bottom="0.4" header="0.3" footer="0.3"/>
      <pageSetup paperSize="17" scale="62" orientation="landscape" r:id="rId2"/>
    </customSheetView>
  </customSheetViews>
  <pageMargins left="0.17" right="0.24" top="0.35" bottom="0.4" header="0.3" footer="0.3"/>
  <pageSetup paperSize="17" scale="62" orientation="landscape" r:id="rId3"/>
  <drawing r:id="rId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8DB4E3"/>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customWidth="1"/>
    <col min="2" max="2" width="16.140625" style="1866" customWidth="1"/>
    <col min="3" max="3" width="31.5703125" customWidth="1"/>
    <col min="4" max="5" width="17.7109375" customWidth="1"/>
    <col min="6" max="6" width="20.28515625" customWidth="1"/>
    <col min="7" max="7" width="18.5703125" customWidth="1"/>
    <col min="8" max="9" width="23.7109375" customWidth="1"/>
    <col min="10" max="10" width="18.140625" customWidth="1"/>
    <col min="11" max="11" width="23.7109375" customWidth="1"/>
    <col min="12" max="12" width="18.28515625" customWidth="1"/>
    <col min="13" max="13" width="18" customWidth="1"/>
    <col min="14" max="14" width="17.5703125" customWidth="1"/>
    <col min="15" max="15" width="15" customWidth="1"/>
    <col min="16" max="16" width="17.85546875" customWidth="1"/>
    <col min="17" max="17" width="10.5703125" customWidth="1"/>
    <col min="18" max="18" width="15" customWidth="1"/>
  </cols>
  <sheetData>
    <row r="1" spans="1:19" ht="57" customHeight="1">
      <c r="D1" s="1811" t="s">
        <v>28</v>
      </c>
      <c r="E1" s="1975" t="s">
        <v>25</v>
      </c>
      <c r="F1" s="1882">
        <v>18230802</v>
      </c>
      <c r="G1" s="1977" t="s">
        <v>5</v>
      </c>
      <c r="M1" s="1811" t="s">
        <v>28</v>
      </c>
      <c r="N1" s="1975" t="s">
        <v>25</v>
      </c>
      <c r="O1" s="1882">
        <v>18230802</v>
      </c>
      <c r="P1" s="1977" t="s">
        <v>5</v>
      </c>
    </row>
    <row r="2" spans="1:19" ht="16.5" thickBot="1">
      <c r="D2" s="39"/>
      <c r="E2" s="1800"/>
      <c r="F2" s="1800"/>
      <c r="G2" s="1805"/>
      <c r="H2" s="1576" t="s">
        <v>674</v>
      </c>
      <c r="I2" s="1805"/>
      <c r="J2" s="1805"/>
      <c r="K2" s="1805"/>
      <c r="L2" s="1805"/>
      <c r="M2" s="1805"/>
      <c r="N2" s="1805"/>
      <c r="O2" s="1805"/>
      <c r="P2" s="1805"/>
      <c r="Q2" s="1805"/>
    </row>
    <row r="3" spans="1:19" ht="26.25" thickBot="1">
      <c r="A3" s="1748" t="s">
        <v>28</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248019</v>
      </c>
      <c r="I4" s="2002">
        <v>0</v>
      </c>
      <c r="J4" s="2002">
        <v>175349</v>
      </c>
      <c r="K4" s="2002">
        <v>0</v>
      </c>
      <c r="L4" s="2002">
        <v>9300</v>
      </c>
      <c r="M4" s="2002">
        <v>1938395</v>
      </c>
      <c r="N4" s="2002">
        <v>0</v>
      </c>
      <c r="O4" s="2002">
        <v>196500</v>
      </c>
      <c r="P4" s="2002">
        <v>0</v>
      </c>
      <c r="Q4" s="2002"/>
      <c r="R4" s="2002">
        <v>2567563</v>
      </c>
      <c r="S4" s="1998"/>
    </row>
    <row r="5" spans="1:19" ht="15.75">
      <c r="A5" s="1882">
        <v>18230802</v>
      </c>
      <c r="B5" s="1974"/>
      <c r="E5" s="1866"/>
      <c r="F5" s="1866"/>
      <c r="G5" s="1228">
        <v>2016</v>
      </c>
      <c r="H5" s="1582">
        <f>D15</f>
        <v>156888.68</v>
      </c>
      <c r="I5" s="1549">
        <f>D21</f>
        <v>0</v>
      </c>
      <c r="J5" s="1549">
        <f>D27</f>
        <v>104644.74956</v>
      </c>
      <c r="K5" s="1549">
        <f>D34</f>
        <v>0</v>
      </c>
      <c r="L5" s="1549">
        <f>D40</f>
        <v>1000.5</v>
      </c>
      <c r="M5" s="1549">
        <f>D46</f>
        <v>1544250</v>
      </c>
      <c r="N5" s="1549">
        <f>D52</f>
        <v>0</v>
      </c>
      <c r="O5" s="1549">
        <f>D58</f>
        <v>3915</v>
      </c>
      <c r="P5" s="1549">
        <v>0</v>
      </c>
      <c r="Q5" s="1549"/>
      <c r="R5" s="1549">
        <f>SUM(H5:P5)</f>
        <v>1810698.9295600001</v>
      </c>
      <c r="S5" s="1999"/>
    </row>
    <row r="6" spans="1:19" ht="16.5" thickBot="1">
      <c r="A6" s="1976" t="s">
        <v>5</v>
      </c>
      <c r="B6" s="1882"/>
      <c r="C6" s="1302"/>
      <c r="E6" s="1866"/>
      <c r="F6" s="1866"/>
      <c r="G6" s="1228">
        <v>2017</v>
      </c>
      <c r="H6" s="57">
        <f>E15</f>
        <v>160860.54999999999</v>
      </c>
      <c r="I6" s="1990">
        <f>E21</f>
        <v>0</v>
      </c>
      <c r="J6" s="1989">
        <f>E27</f>
        <v>109385.174</v>
      </c>
      <c r="K6" s="58">
        <f>E34</f>
        <v>0</v>
      </c>
      <c r="L6" s="58">
        <f>E40</f>
        <v>1000.5</v>
      </c>
      <c r="M6" s="58">
        <f>E46</f>
        <v>1544250</v>
      </c>
      <c r="N6" s="58">
        <f>E52</f>
        <v>0</v>
      </c>
      <c r="O6" s="58">
        <f>E58</f>
        <v>3915</v>
      </c>
      <c r="P6" s="58">
        <v>0</v>
      </c>
      <c r="Q6" s="58"/>
      <c r="R6" s="58">
        <f>SUM(H6:P6)</f>
        <v>1819411.2239999999</v>
      </c>
      <c r="S6" s="1996"/>
    </row>
    <row r="7" spans="1:19" s="18" customFormat="1" ht="13.5" thickBot="1">
      <c r="A7" s="1762"/>
      <c r="B7" s="1978"/>
      <c r="E7" s="1862"/>
      <c r="F7" s="1862"/>
      <c r="G7" s="598" t="s">
        <v>23</v>
      </c>
      <c r="H7" s="1564">
        <f>SUM(H5:H6)</f>
        <v>317749.23</v>
      </c>
      <c r="I7" s="1991">
        <f t="shared" ref="I7:P7" si="0">SUM(I5:I6)</f>
        <v>0</v>
      </c>
      <c r="J7" s="1992">
        <f t="shared" si="0"/>
        <v>214029.92356</v>
      </c>
      <c r="K7" s="1993">
        <f t="shared" si="0"/>
        <v>0</v>
      </c>
      <c r="L7" s="1991">
        <f t="shared" si="0"/>
        <v>2001</v>
      </c>
      <c r="M7" s="1992">
        <f t="shared" si="0"/>
        <v>3088500</v>
      </c>
      <c r="N7" s="1991">
        <f t="shared" si="0"/>
        <v>0</v>
      </c>
      <c r="O7" s="1992">
        <f t="shared" si="0"/>
        <v>7830</v>
      </c>
      <c r="P7" s="1993">
        <f t="shared" si="0"/>
        <v>0</v>
      </c>
      <c r="Q7" s="1993"/>
      <c r="R7" s="1991">
        <f>SUM(R5:R6)</f>
        <v>3630110.15356</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c r="H11" s="2209"/>
      <c r="I11" s="1762"/>
      <c r="J11" s="1762"/>
      <c r="K11" s="1762"/>
      <c r="L11" s="1762"/>
      <c r="M11" s="1762"/>
      <c r="N11" s="1762"/>
    </row>
    <row r="12" spans="1:19" ht="15">
      <c r="A12" s="21"/>
      <c r="B12" s="1865"/>
      <c r="C12" s="1887" t="s">
        <v>314</v>
      </c>
      <c r="D12" s="1924">
        <f>D15+D21+D27+D34+D40+D46+D52+D58</f>
        <v>1810698.9295600001</v>
      </c>
      <c r="E12" s="1948">
        <f>E15+E21+E27+E34+E40+E46+E52+E58</f>
        <v>1819411.2239999999</v>
      </c>
      <c r="F12" s="1924">
        <f>D12+E12</f>
        <v>3630110.15356</v>
      </c>
      <c r="H12" s="2210"/>
      <c r="I12" s="2210"/>
      <c r="J12" s="2211"/>
      <c r="K12" s="2211"/>
      <c r="L12" s="2211"/>
      <c r="M12" s="2211"/>
      <c r="N12" s="2211"/>
    </row>
    <row r="13" spans="1:19" ht="13.5" customHeight="1">
      <c r="A13" s="21"/>
      <c r="B13" s="1865"/>
      <c r="C13" s="1947"/>
      <c r="D13" s="1866"/>
      <c r="E13" s="1787"/>
      <c r="F13" s="1866"/>
      <c r="G13" s="1297"/>
      <c r="H13" s="2212"/>
      <c r="I13" s="1762"/>
      <c r="J13" s="2213"/>
      <c r="K13" s="2214"/>
      <c r="L13" s="2215"/>
      <c r="M13" s="2204"/>
      <c r="N13" s="2216"/>
    </row>
    <row r="14" spans="1:19" s="18" customFormat="1" ht="13.5" customHeight="1">
      <c r="A14" s="29"/>
      <c r="B14" s="1863"/>
      <c r="C14" s="1888" t="s">
        <v>45</v>
      </c>
      <c r="D14" s="1969">
        <v>2016</v>
      </c>
      <c r="E14" s="1970">
        <v>2017</v>
      </c>
      <c r="F14" s="1950" t="s">
        <v>23</v>
      </c>
      <c r="G14" s="30"/>
      <c r="H14" s="2212"/>
      <c r="I14" s="1762"/>
      <c r="J14" s="2213"/>
      <c r="K14" s="2214"/>
      <c r="L14" s="2215"/>
      <c r="M14" s="2204"/>
      <c r="N14" s="2216"/>
    </row>
    <row r="15" spans="1:19" ht="13.5" customHeight="1">
      <c r="A15" s="21"/>
      <c r="B15" s="1886" t="s">
        <v>312</v>
      </c>
      <c r="C15" s="1910" t="s">
        <v>46</v>
      </c>
      <c r="D15" s="1911">
        <f>SUM(D16:D19)</f>
        <v>156888.68</v>
      </c>
      <c r="E15" s="1926">
        <f>SUM(E16:E19)</f>
        <v>160860.54999999999</v>
      </c>
      <c r="F15" s="1924">
        <f>SUM(F16:F19)</f>
        <v>317749.23</v>
      </c>
      <c r="H15" s="2212"/>
      <c r="I15" s="1762"/>
      <c r="J15" s="2213"/>
      <c r="K15" s="2213"/>
      <c r="L15" s="2215"/>
      <c r="M15" s="2204"/>
      <c r="N15" s="2216"/>
    </row>
    <row r="16" spans="1:19" ht="13.5" customHeight="1">
      <c r="A16" s="21"/>
      <c r="B16" s="2610">
        <f>2*0.872</f>
        <v>1.744</v>
      </c>
      <c r="C16" s="2197"/>
      <c r="D16" s="2201">
        <v>156888.68</v>
      </c>
      <c r="E16" s="2200">
        <v>160860.54999999999</v>
      </c>
      <c r="F16" s="1879">
        <f>SUM(D16:E16)</f>
        <v>317749.23</v>
      </c>
      <c r="H16" s="2212"/>
      <c r="I16" s="1762"/>
      <c r="J16" s="2213"/>
      <c r="K16" s="2213"/>
      <c r="L16" s="2215"/>
      <c r="M16" s="2204"/>
      <c r="N16" s="2216"/>
    </row>
    <row r="17" spans="1:14" ht="13.5" customHeight="1">
      <c r="A17" s="21"/>
      <c r="B17" s="1885"/>
      <c r="C17" s="2060"/>
      <c r="D17" s="1905"/>
      <c r="E17" s="1904"/>
      <c r="F17" s="1891">
        <f>SUM(D17:E17)</f>
        <v>0</v>
      </c>
      <c r="H17" s="2212"/>
      <c r="I17" s="1762"/>
      <c r="J17" s="2213"/>
      <c r="K17" s="2213"/>
      <c r="L17" s="2215"/>
      <c r="M17" s="2204"/>
      <c r="N17" s="2216"/>
    </row>
    <row r="18" spans="1:14" ht="13.5" customHeight="1">
      <c r="A18" s="21"/>
      <c r="B18" s="1885"/>
      <c r="C18" s="1876"/>
      <c r="D18" s="1905"/>
      <c r="E18" s="1904"/>
      <c r="F18" s="1891">
        <f>SUM(D18:E18)</f>
        <v>0</v>
      </c>
      <c r="H18" s="2212"/>
      <c r="I18" s="1762"/>
      <c r="J18" s="2213"/>
      <c r="K18" s="2213"/>
      <c r="L18" s="2215"/>
      <c r="M18" s="2204"/>
      <c r="N18" s="2216"/>
    </row>
    <row r="19" spans="1:14" ht="13.5" customHeight="1">
      <c r="A19" s="21"/>
      <c r="B19" s="1885"/>
      <c r="C19" s="1876"/>
      <c r="D19" s="1903"/>
      <c r="E19" s="1902"/>
      <c r="F19" s="1891">
        <f>SUM(D19:E19)</f>
        <v>0</v>
      </c>
      <c r="H19" s="2212"/>
      <c r="I19" s="1762"/>
      <c r="J19" s="2213"/>
      <c r="K19" s="2213"/>
      <c r="L19" s="2215"/>
      <c r="M19" s="2204"/>
      <c r="N19" s="2216"/>
    </row>
    <row r="20" spans="1:14" ht="13.5" customHeight="1">
      <c r="A20" s="21"/>
      <c r="B20" s="1908">
        <f>SUM(B16:B19)</f>
        <v>1.744</v>
      </c>
      <c r="C20" s="1952"/>
      <c r="D20" s="1954"/>
      <c r="E20" s="1955"/>
      <c r="F20" s="1957"/>
      <c r="G20" s="34" t="s">
        <v>7</v>
      </c>
      <c r="H20" s="2212"/>
      <c r="I20" s="1762"/>
      <c r="J20" s="2213"/>
      <c r="K20" s="2213"/>
      <c r="L20" s="2215"/>
      <c r="M20" s="2204"/>
      <c r="N20" s="2216"/>
    </row>
    <row r="21" spans="1:14" ht="13.5" customHeight="1">
      <c r="A21" s="21"/>
      <c r="B21" s="1865"/>
      <c r="C21" s="1910" t="s">
        <v>47</v>
      </c>
      <c r="D21" s="1911">
        <f>SUM(D22:D25)</f>
        <v>0</v>
      </c>
      <c r="E21" s="1926">
        <f>SUM(E22:E25)</f>
        <v>0</v>
      </c>
      <c r="F21" s="1924">
        <f>SUM(F22:F25)</f>
        <v>0</v>
      </c>
      <c r="G21" s="35"/>
      <c r="H21" s="2212"/>
      <c r="I21" s="1762"/>
      <c r="J21" s="2213"/>
      <c r="K21" s="2213"/>
      <c r="L21" s="2215"/>
      <c r="M21" s="2204"/>
      <c r="N21" s="2216"/>
    </row>
    <row r="22" spans="1:14" ht="13.5" customHeight="1">
      <c r="A22" s="21"/>
      <c r="B22" s="1865"/>
      <c r="C22" s="1876"/>
      <c r="D22" s="1907"/>
      <c r="E22" s="1906"/>
      <c r="F22" s="1879">
        <f>SUM(D22:E22)</f>
        <v>0</v>
      </c>
      <c r="H22" s="2212"/>
      <c r="I22" s="1762"/>
      <c r="J22" s="2213"/>
      <c r="K22" s="2213"/>
      <c r="L22" s="2215"/>
      <c r="M22" s="2204"/>
      <c r="N22" s="2216"/>
    </row>
    <row r="23" spans="1:14" ht="13.5" customHeight="1">
      <c r="A23" s="21"/>
      <c r="B23" s="1865"/>
      <c r="C23" s="1876"/>
      <c r="D23" s="1900"/>
      <c r="E23" s="1899"/>
      <c r="F23" s="1891">
        <f>SUM(D23:E23)</f>
        <v>0</v>
      </c>
      <c r="H23" s="2205"/>
      <c r="I23" s="1762"/>
      <c r="J23" s="2206"/>
      <c r="K23" s="2206"/>
      <c r="L23" s="2215"/>
      <c r="M23" s="2207"/>
      <c r="N23" s="2207"/>
    </row>
    <row r="24" spans="1:14" s="18" customFormat="1" ht="13.5" customHeight="1">
      <c r="A24" s="29"/>
      <c r="B24" s="1863"/>
      <c r="C24" s="1876"/>
      <c r="D24" s="1898"/>
      <c r="E24" s="1897"/>
      <c r="F24" s="1891">
        <f>SUM(D24:E24)</f>
        <v>0</v>
      </c>
      <c r="H24" s="2210"/>
      <c r="I24" s="2210"/>
      <c r="J24" s="2211"/>
      <c r="K24" s="2211"/>
      <c r="L24" s="2211"/>
      <c r="M24" s="2211"/>
      <c r="N24" s="2211"/>
    </row>
    <row r="25" spans="1:14" ht="13.5" customHeight="1">
      <c r="A25" s="21"/>
      <c r="B25" s="1865"/>
      <c r="C25" s="1876"/>
      <c r="D25" s="1896"/>
      <c r="E25" s="1899"/>
      <c r="F25" s="1891">
        <f>SUM(D25:E25)</f>
        <v>0</v>
      </c>
      <c r="H25" s="2212"/>
      <c r="I25" s="1762"/>
      <c r="J25" s="2213"/>
      <c r="K25" s="2214"/>
      <c r="L25" s="2215"/>
      <c r="M25" s="2204"/>
      <c r="N25" s="2216"/>
    </row>
    <row r="26" spans="1:14" s="18" customFormat="1" ht="13.5" customHeight="1">
      <c r="A26" s="29"/>
      <c r="B26" s="1863"/>
      <c r="C26" s="1877"/>
      <c r="D26" s="1892"/>
      <c r="E26" s="1884"/>
      <c r="F26" s="1892"/>
      <c r="H26" s="2212"/>
      <c r="I26" s="1762"/>
      <c r="J26" s="2217"/>
      <c r="K26" s="2213"/>
      <c r="L26" s="2215"/>
      <c r="M26" s="2204"/>
      <c r="N26" s="2216"/>
    </row>
    <row r="27" spans="1:14" ht="13.5" customHeight="1">
      <c r="A27" s="21"/>
      <c r="B27" s="1865"/>
      <c r="C27" s="1910" t="s">
        <v>48</v>
      </c>
      <c r="D27" s="1911">
        <f>SUM(D29:D32)</f>
        <v>104644.74956</v>
      </c>
      <c r="E27" s="1926">
        <f>SUM(E29:E32)</f>
        <v>109385.174</v>
      </c>
      <c r="F27" s="1924">
        <f>SUM(F29:F32)</f>
        <v>214029.92356</v>
      </c>
      <c r="H27" s="2212"/>
      <c r="I27" s="1762"/>
      <c r="J27" s="2213"/>
      <c r="K27" s="2213"/>
      <c r="L27" s="2215"/>
      <c r="M27" s="2204"/>
      <c r="N27" s="2216"/>
    </row>
    <row r="28" spans="1:14" ht="13.5" customHeight="1">
      <c r="A28" s="21"/>
      <c r="B28" s="1865"/>
      <c r="C28" s="1909" t="s">
        <v>315</v>
      </c>
      <c r="D28" s="1912">
        <v>0.66700000000000004</v>
      </c>
      <c r="E28" s="1913">
        <v>0.68</v>
      </c>
      <c r="F28" s="1949"/>
      <c r="H28" s="2212"/>
      <c r="I28" s="1762"/>
      <c r="J28" s="2213"/>
      <c r="K28" s="2213"/>
      <c r="L28" s="2215"/>
      <c r="M28" s="2204"/>
      <c r="N28" s="2216"/>
    </row>
    <row r="29" spans="1:14" ht="13.5" customHeight="1">
      <c r="A29" s="21"/>
      <c r="B29" s="1865"/>
      <c r="C29" s="1876" t="s">
        <v>778</v>
      </c>
      <c r="D29" s="1971">
        <f>D15*D28</f>
        <v>104644.74956</v>
      </c>
      <c r="E29" s="1972">
        <f>E15*E28</f>
        <v>109385.174</v>
      </c>
      <c r="F29" s="1891">
        <f>SUM(D29:E29)</f>
        <v>214029.92356</v>
      </c>
      <c r="H29" s="2212"/>
      <c r="I29" s="1762"/>
      <c r="J29" s="2213"/>
      <c r="K29" s="2213"/>
      <c r="L29" s="2215"/>
      <c r="M29" s="2204"/>
      <c r="N29" s="2216"/>
    </row>
    <row r="30" spans="1:14" ht="13.5" customHeight="1">
      <c r="A30" s="21"/>
      <c r="B30" s="1865"/>
      <c r="C30" s="1876" t="s">
        <v>779</v>
      </c>
      <c r="D30" s="1973">
        <f>D21*D28</f>
        <v>0</v>
      </c>
      <c r="E30" s="1972">
        <f>E21*E28</f>
        <v>0</v>
      </c>
      <c r="F30" s="2191">
        <f>SUM(D30:E30)</f>
        <v>0</v>
      </c>
      <c r="H30" s="2067"/>
      <c r="I30" s="1762"/>
      <c r="J30" s="2213"/>
      <c r="K30" s="2218"/>
      <c r="L30" s="2215"/>
      <c r="M30" s="2204"/>
      <c r="N30" s="2216"/>
    </row>
    <row r="31" spans="1:14" ht="13.5" customHeight="1">
      <c r="A31" s="21"/>
      <c r="B31" s="1865"/>
      <c r="C31" s="1901"/>
      <c r="D31" s="1898"/>
      <c r="E31" s="1897"/>
      <c r="F31" s="2191">
        <f>SUM(D31:E31)</f>
        <v>0</v>
      </c>
      <c r="H31" s="2067"/>
      <c r="I31" s="1762"/>
      <c r="J31" s="2213"/>
      <c r="K31" s="2218"/>
      <c r="L31" s="2215"/>
      <c r="M31" s="2204"/>
      <c r="N31" s="2216"/>
    </row>
    <row r="32" spans="1:14" ht="13.5" customHeight="1">
      <c r="A32" s="21"/>
      <c r="B32" s="1865"/>
      <c r="C32" s="1901"/>
      <c r="D32" s="1896"/>
      <c r="E32" s="1899"/>
      <c r="F32" s="2191">
        <f>SUM(D32:E32)</f>
        <v>0</v>
      </c>
      <c r="H32" s="2205"/>
      <c r="I32" s="1762"/>
      <c r="J32" s="2219"/>
      <c r="K32" s="2219"/>
      <c r="L32" s="2215"/>
      <c r="M32" s="2220"/>
      <c r="N32" s="2220"/>
    </row>
    <row r="33" spans="1:14" ht="13.5" customHeight="1">
      <c r="A33" s="42"/>
      <c r="B33" s="1801"/>
      <c r="C33" s="1952"/>
      <c r="D33" s="1958"/>
      <c r="E33" s="1955"/>
      <c r="F33" s="1958"/>
      <c r="G33" s="38"/>
      <c r="H33" s="2210"/>
      <c r="I33" s="2210"/>
      <c r="J33" s="2211"/>
      <c r="K33" s="2211"/>
      <c r="L33" s="2211"/>
      <c r="M33" s="2211"/>
      <c r="N33" s="2211"/>
    </row>
    <row r="34" spans="1:14" ht="13.5" customHeight="1">
      <c r="A34" s="21"/>
      <c r="B34" s="1865"/>
      <c r="C34" s="1910" t="s">
        <v>49</v>
      </c>
      <c r="D34" s="1911">
        <v>0</v>
      </c>
      <c r="E34" s="1926">
        <v>0</v>
      </c>
      <c r="F34" s="1924">
        <v>0</v>
      </c>
      <c r="H34" s="2212"/>
      <c r="I34" s="1762"/>
      <c r="J34" s="2221"/>
      <c r="K34" s="2221"/>
      <c r="L34" s="2215"/>
      <c r="M34" s="2208"/>
      <c r="N34" s="2222"/>
    </row>
    <row r="35" spans="1:14" s="18" customFormat="1" ht="13.5" customHeight="1">
      <c r="A35" s="1748" t="s">
        <v>28</v>
      </c>
      <c r="B35" s="1863"/>
      <c r="C35" s="1876"/>
      <c r="D35" s="1971"/>
      <c r="E35" s="1988"/>
      <c r="F35" s="1891">
        <v>0</v>
      </c>
      <c r="H35" s="2067"/>
      <c r="I35" s="1762"/>
      <c r="J35" s="2222"/>
      <c r="K35" s="2222"/>
      <c r="L35" s="2215"/>
      <c r="M35" s="2208"/>
      <c r="N35" s="2222"/>
    </row>
    <row r="36" spans="1:14" ht="13.5" customHeight="1">
      <c r="A36" s="1974" t="s">
        <v>25</v>
      </c>
      <c r="B36" s="1865"/>
      <c r="C36" s="1876"/>
      <c r="D36" s="1971"/>
      <c r="E36" s="1988"/>
      <c r="F36" s="1891">
        <v>0</v>
      </c>
      <c r="H36" s="2067"/>
      <c r="I36" s="1762"/>
      <c r="J36" s="2222"/>
      <c r="K36" s="2222"/>
      <c r="L36" s="2215"/>
      <c r="M36" s="2208"/>
      <c r="N36" s="2222"/>
    </row>
    <row r="37" spans="1:14" ht="13.5" customHeight="1">
      <c r="A37" s="1882">
        <v>18230802</v>
      </c>
      <c r="B37" s="1865"/>
      <c r="C37" s="1876"/>
      <c r="D37" s="1971"/>
      <c r="E37" s="1988"/>
      <c r="F37" s="1891">
        <v>0</v>
      </c>
      <c r="H37" s="2205"/>
      <c r="I37" s="1762"/>
      <c r="J37" s="2223"/>
      <c r="K37" s="2223"/>
      <c r="L37" s="2215"/>
      <c r="M37" s="2223"/>
      <c r="N37" s="2223"/>
    </row>
    <row r="38" spans="1:14" ht="13.5" customHeight="1">
      <c r="A38" s="1976" t="s">
        <v>5</v>
      </c>
      <c r="B38" s="1865"/>
      <c r="C38" s="1876"/>
      <c r="D38" s="1971"/>
      <c r="E38" s="1988"/>
      <c r="F38" s="1891">
        <v>0</v>
      </c>
      <c r="H38" s="2210"/>
      <c r="I38" s="2210"/>
      <c r="J38" s="2224"/>
      <c r="K38" s="2224"/>
      <c r="L38" s="2224"/>
      <c r="M38" s="2225"/>
      <c r="N38" s="2225"/>
    </row>
    <row r="39" spans="1:14" ht="13.5" customHeight="1">
      <c r="A39" s="21"/>
      <c r="B39" s="1865"/>
      <c r="C39" s="1952"/>
      <c r="D39" s="1958"/>
      <c r="E39" s="1955"/>
      <c r="F39" s="1958"/>
      <c r="H39" s="2067"/>
      <c r="I39" s="1762"/>
      <c r="J39" s="1762"/>
      <c r="K39" s="1762"/>
      <c r="L39" s="1762"/>
      <c r="M39" s="1762"/>
      <c r="N39" s="1762"/>
    </row>
    <row r="40" spans="1:14" ht="13.5" customHeight="1">
      <c r="A40" s="21"/>
      <c r="B40" s="1865"/>
      <c r="C40" s="2106" t="s">
        <v>506</v>
      </c>
      <c r="D40" s="1911">
        <f>SUM(D41:D44)</f>
        <v>1000.5</v>
      </c>
      <c r="E40" s="1926">
        <f>SUM(E41:E44)</f>
        <v>1000.5</v>
      </c>
      <c r="F40" s="1924">
        <f t="shared" ref="F40:F56" si="1">SUM(D40:E40)</f>
        <v>2001</v>
      </c>
      <c r="H40" s="2067"/>
      <c r="I40" s="1762"/>
      <c r="J40" s="1762"/>
      <c r="K40" s="1762"/>
      <c r="L40" s="1762"/>
      <c r="M40" s="1762"/>
      <c r="N40" s="1762"/>
    </row>
    <row r="41" spans="1:14" ht="13.5" customHeight="1">
      <c r="A41" s="21"/>
      <c r="B41" s="1865"/>
      <c r="C41" s="2197" t="s">
        <v>883</v>
      </c>
      <c r="D41" s="2202">
        <v>1000.5</v>
      </c>
      <c r="E41" s="2203">
        <v>1000.5</v>
      </c>
      <c r="F41" s="1891">
        <f t="shared" si="1"/>
        <v>2001</v>
      </c>
      <c r="H41" s="1762"/>
      <c r="I41" s="1762"/>
      <c r="J41" s="1762"/>
      <c r="K41" s="1762"/>
      <c r="L41" s="1762"/>
      <c r="M41" s="1762"/>
      <c r="N41" s="1762"/>
    </row>
    <row r="42" spans="1:14" ht="13.5" customHeight="1">
      <c r="A42" s="21"/>
      <c r="B42" s="1865"/>
      <c r="C42" s="2197"/>
      <c r="D42" s="2202"/>
      <c r="E42" s="2203"/>
      <c r="F42" s="1891">
        <f t="shared" si="1"/>
        <v>0</v>
      </c>
      <c r="H42" s="1762"/>
      <c r="I42" s="1762"/>
      <c r="J42" s="1762"/>
      <c r="K42" s="1762"/>
      <c r="L42" s="1762"/>
      <c r="M42" s="1762"/>
      <c r="N42" s="1762"/>
    </row>
    <row r="43" spans="1:14" ht="13.5" customHeight="1">
      <c r="A43" s="21"/>
      <c r="B43" s="1865"/>
      <c r="C43" s="1876"/>
      <c r="D43" s="1971"/>
      <c r="E43" s="1988"/>
      <c r="F43" s="1891">
        <f t="shared" si="1"/>
        <v>0</v>
      </c>
    </row>
    <row r="44" spans="1:14" ht="13.5" customHeight="1">
      <c r="A44" s="21"/>
      <c r="B44" s="1865"/>
      <c r="C44" s="1876"/>
      <c r="D44" s="1971"/>
      <c r="E44" s="1988"/>
      <c r="F44" s="1891">
        <f t="shared" si="1"/>
        <v>0</v>
      </c>
    </row>
    <row r="45" spans="1:14" ht="13.5" customHeight="1">
      <c r="A45" s="21"/>
      <c r="B45" s="1865"/>
      <c r="C45" s="1952"/>
      <c r="D45" s="1958"/>
      <c r="E45" s="1955"/>
      <c r="F45" s="1958"/>
    </row>
    <row r="46" spans="1:14" ht="13.5" customHeight="1">
      <c r="A46" s="21"/>
      <c r="B46" s="1865"/>
      <c r="C46" s="1910" t="s">
        <v>50</v>
      </c>
      <c r="D46" s="1911">
        <f>SUM(D47:D50)</f>
        <v>1544250</v>
      </c>
      <c r="E46" s="1926">
        <f>SUM(E47:E50)</f>
        <v>1544250</v>
      </c>
      <c r="F46" s="1924">
        <f t="shared" si="1"/>
        <v>3088500</v>
      </c>
    </row>
    <row r="47" spans="1:14" ht="13.5" customHeight="1">
      <c r="A47" s="21"/>
      <c r="B47" s="1865"/>
      <c r="C47" s="2197" t="s">
        <v>882</v>
      </c>
      <c r="D47" s="2202">
        <v>1544250</v>
      </c>
      <c r="E47" s="2203">
        <v>1544250</v>
      </c>
      <c r="F47" s="1891">
        <f t="shared" si="1"/>
        <v>3088500</v>
      </c>
    </row>
    <row r="48" spans="1:14"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3915</v>
      </c>
      <c r="E58" s="1926">
        <f>SUM(E59:E60)</f>
        <v>3915</v>
      </c>
      <c r="F58" s="1924">
        <f>SUM(F59:F60)</f>
        <v>7830</v>
      </c>
    </row>
    <row r="59" spans="1:6" ht="13.5" customHeight="1">
      <c r="A59" s="21"/>
      <c r="B59" s="1865"/>
      <c r="C59" s="2197" t="s">
        <v>884</v>
      </c>
      <c r="D59" s="2202">
        <v>3915</v>
      </c>
      <c r="E59" s="2202">
        <v>3915</v>
      </c>
      <c r="F59" s="1891">
        <f>SUM(D59:E59)</f>
        <v>7830</v>
      </c>
    </row>
    <row r="60" spans="1:6" ht="13.5" customHeight="1">
      <c r="A60" s="21"/>
      <c r="B60" s="1865"/>
      <c r="C60" s="1876"/>
      <c r="D60" s="1971"/>
      <c r="E60" s="1988"/>
      <c r="F60" s="1891">
        <f>SUM(D60:E60)</f>
        <v>0</v>
      </c>
    </row>
    <row r="61" spans="1:6">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C12" sqref="C12:F14"/>
      <pageMargins left="0.24" right="0.21" top="0.38" bottom="0.35" header="0.3" footer="0.3"/>
      <pageSetup paperSize="17" scale="63" orientation="landscape" r:id="rId1"/>
    </customSheetView>
    <customSheetView guid="{D9EFFE19-D14B-4C6F-BDF4-FF696F73968D}" showGridLines="0" fitToPage="1">
      <pane xSplit="1" ySplit="1" topLeftCell="B14" activePane="bottomRight" state="frozen"/>
      <selection pane="bottomRight" activeCell="H48" sqref="H48"/>
      <pageMargins left="0.24" right="0.21" top="0.38" bottom="0.35" header="0.3" footer="0.3"/>
      <pageSetup paperSize="17" scale="63" orientation="landscape" r:id="rId2"/>
    </customSheetView>
  </customSheetViews>
  <pageMargins left="0.24" right="0.21" top="0.38" bottom="0.35" header="0.3" footer="0.3"/>
  <pageSetup paperSize="17" scale="63" orientation="landscape" r:id="rId3"/>
  <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66"/>
  <sheetViews>
    <sheetView showGridLines="0" workbookViewId="0">
      <pane xSplit="1" ySplit="1" topLeftCell="B2" activePane="bottomRight" state="frozen"/>
      <selection pane="topRight" activeCell="B1" sqref="B1"/>
      <selection pane="bottomLeft" activeCell="A2" sqref="A2"/>
      <selection pane="bottomRight" activeCell="G21" sqref="G21"/>
    </sheetView>
  </sheetViews>
  <sheetFormatPr defaultRowHeight="12.75"/>
  <cols>
    <col min="1" max="2" width="16.140625" style="2177" customWidth="1"/>
    <col min="3" max="3" width="28.85546875" style="2177" customWidth="1"/>
    <col min="4" max="5" width="17.7109375" style="2177" customWidth="1"/>
    <col min="6" max="6" width="20.28515625" style="2177" customWidth="1"/>
    <col min="7" max="7" width="18.5703125" style="2177" customWidth="1"/>
    <col min="8" max="9" width="23.7109375" style="2177" customWidth="1"/>
    <col min="10" max="10" width="18.140625" style="2177" customWidth="1"/>
    <col min="11" max="11" width="23.7109375" style="2177" customWidth="1"/>
    <col min="12" max="12" width="19.85546875" style="2177" customWidth="1"/>
    <col min="13" max="13" width="18" style="2177" customWidth="1"/>
    <col min="14" max="14" width="17.5703125" style="2177" customWidth="1"/>
    <col min="15" max="15" width="15" style="2177" customWidth="1"/>
    <col min="16" max="16" width="17.85546875" style="2177" customWidth="1"/>
    <col min="17" max="17" width="10.5703125" style="2177" customWidth="1"/>
    <col min="18" max="18" width="15" style="2177" customWidth="1"/>
    <col min="19" max="16384" width="9.140625" style="2177"/>
  </cols>
  <sheetData>
    <row r="1" spans="1:19" ht="44.25" customHeight="1">
      <c r="D1" s="1831" t="s">
        <v>436</v>
      </c>
      <c r="E1" s="1975" t="s">
        <v>25</v>
      </c>
      <c r="F1" s="2262">
        <v>18230624</v>
      </c>
      <c r="G1" s="1977" t="s">
        <v>5</v>
      </c>
      <c r="M1" s="1831" t="s">
        <v>436</v>
      </c>
      <c r="N1" s="1975" t="s">
        <v>25</v>
      </c>
      <c r="O1" s="2262">
        <v>18230624</v>
      </c>
      <c r="P1" s="1977" t="s">
        <v>5</v>
      </c>
    </row>
    <row r="2" spans="1:19" ht="16.5" thickBot="1">
      <c r="D2" s="1800"/>
      <c r="E2" s="1800"/>
      <c r="F2" s="1800"/>
      <c r="G2" s="1805"/>
      <c r="H2" s="1576" t="s">
        <v>674</v>
      </c>
      <c r="I2" s="1805"/>
      <c r="J2" s="1805"/>
      <c r="K2" s="1805"/>
      <c r="L2" s="1805"/>
      <c r="M2" s="1805"/>
      <c r="N2" s="1805"/>
      <c r="O2" s="1805"/>
      <c r="P2" s="1805"/>
      <c r="Q2" s="1805"/>
    </row>
    <row r="3" spans="1:19" ht="26.25" thickBot="1">
      <c r="A3" s="1831" t="s">
        <v>511</v>
      </c>
      <c r="B3" s="1748"/>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2193" t="s">
        <v>512</v>
      </c>
      <c r="B4" s="1974"/>
      <c r="G4" s="1804" t="s">
        <v>668</v>
      </c>
      <c r="H4" s="2003">
        <v>0</v>
      </c>
      <c r="I4" s="2002">
        <v>0</v>
      </c>
      <c r="J4" s="2002">
        <v>0</v>
      </c>
      <c r="K4" s="2002">
        <v>0</v>
      </c>
      <c r="L4" s="2002">
        <v>0</v>
      </c>
      <c r="M4" s="2002">
        <v>110000</v>
      </c>
      <c r="N4" s="2002">
        <v>0</v>
      </c>
      <c r="O4" s="2002">
        <v>0</v>
      </c>
      <c r="P4" s="2002">
        <v>0</v>
      </c>
      <c r="Q4" s="2002"/>
      <c r="R4" s="2002">
        <f>SUM(H4:P4)</f>
        <v>110000</v>
      </c>
      <c r="S4" s="1998"/>
    </row>
    <row r="5" spans="1:19" ht="15.75">
      <c r="A5" s="2193" t="s">
        <v>513</v>
      </c>
      <c r="B5" s="1974"/>
      <c r="G5" s="1228">
        <v>2016</v>
      </c>
      <c r="H5" s="1582">
        <f>D15</f>
        <v>0</v>
      </c>
      <c r="I5" s="1549">
        <f>D21</f>
        <v>0</v>
      </c>
      <c r="J5" s="1549">
        <f>D27</f>
        <v>0</v>
      </c>
      <c r="K5" s="1549">
        <f>D34</f>
        <v>0</v>
      </c>
      <c r="L5" s="1549">
        <f>D40</f>
        <v>0</v>
      </c>
      <c r="M5" s="1549">
        <f>D46</f>
        <v>70000</v>
      </c>
      <c r="N5" s="1549">
        <f>D52</f>
        <v>0</v>
      </c>
      <c r="O5" s="1549">
        <f>D58</f>
        <v>0</v>
      </c>
      <c r="P5" s="1549">
        <v>0</v>
      </c>
      <c r="Q5" s="1549"/>
      <c r="R5" s="1549">
        <f>SUM(H5:P5)</f>
        <v>70000</v>
      </c>
      <c r="S5" s="1999"/>
    </row>
    <row r="6" spans="1:19" ht="16.5" thickBot="1">
      <c r="A6" s="1974" t="s">
        <v>25</v>
      </c>
      <c r="B6" s="1882"/>
      <c r="C6" s="1803"/>
      <c r="G6" s="1228">
        <v>2017</v>
      </c>
      <c r="H6" s="57">
        <f>E15</f>
        <v>0</v>
      </c>
      <c r="I6" s="1990">
        <f>E21</f>
        <v>0</v>
      </c>
      <c r="J6" s="1989">
        <f>E27</f>
        <v>0</v>
      </c>
      <c r="K6" s="58">
        <f>E34</f>
        <v>0</v>
      </c>
      <c r="L6" s="58">
        <f>E40</f>
        <v>0</v>
      </c>
      <c r="M6" s="58">
        <f>E46</f>
        <v>100000</v>
      </c>
      <c r="N6" s="58">
        <f>E52</f>
        <v>0</v>
      </c>
      <c r="O6" s="58">
        <f>E58</f>
        <v>0</v>
      </c>
      <c r="P6" s="58">
        <v>0</v>
      </c>
      <c r="Q6" s="58"/>
      <c r="R6" s="58">
        <f>SUM(H6:P6)</f>
        <v>100000</v>
      </c>
      <c r="S6" s="1996"/>
    </row>
    <row r="7" spans="1:19" s="2194" customFormat="1" ht="13.5" thickBot="1">
      <c r="A7" s="2262">
        <v>18230624</v>
      </c>
      <c r="B7" s="1978"/>
      <c r="G7" s="598" t="s">
        <v>23</v>
      </c>
      <c r="H7" s="1564">
        <f>SUM(H5:H6)</f>
        <v>0</v>
      </c>
      <c r="I7" s="1991">
        <f t="shared" ref="I7:P7" si="0">SUM(I5:I6)</f>
        <v>0</v>
      </c>
      <c r="J7" s="1992">
        <f t="shared" si="0"/>
        <v>0</v>
      </c>
      <c r="K7" s="1993">
        <f t="shared" si="0"/>
        <v>0</v>
      </c>
      <c r="L7" s="1991">
        <f t="shared" si="0"/>
        <v>0</v>
      </c>
      <c r="M7" s="1992">
        <f t="shared" si="0"/>
        <v>170000</v>
      </c>
      <c r="N7" s="1991">
        <f t="shared" si="0"/>
        <v>0</v>
      </c>
      <c r="O7" s="1992">
        <f t="shared" si="0"/>
        <v>0</v>
      </c>
      <c r="P7" s="1993">
        <f t="shared" si="0"/>
        <v>0</v>
      </c>
      <c r="Q7" s="1993"/>
      <c r="R7" s="1991">
        <f>SUM(R5:R6)</f>
        <v>170000</v>
      </c>
      <c r="S7" s="1994"/>
    </row>
    <row r="8" spans="1:19" s="2194" customFormat="1" ht="25.5">
      <c r="A8" s="1976" t="s">
        <v>5</v>
      </c>
      <c r="B8" s="2261"/>
      <c r="G8" s="2192"/>
      <c r="H8" s="1790"/>
      <c r="I8" s="2177"/>
      <c r="J8" s="2177"/>
      <c r="K8" s="2177"/>
      <c r="L8" s="2177"/>
      <c r="M8" s="2177"/>
      <c r="N8" s="2177"/>
      <c r="O8" s="2177"/>
      <c r="P8" s="2178" t="s">
        <v>20</v>
      </c>
      <c r="Q8" s="2177"/>
    </row>
    <row r="9" spans="1:19" s="2194" customFormat="1">
      <c r="A9" s="1863"/>
      <c r="B9" s="1863"/>
      <c r="G9" s="2192"/>
      <c r="H9" s="1790"/>
      <c r="I9" s="2177"/>
      <c r="J9" s="2177"/>
      <c r="K9" s="2177"/>
      <c r="L9" s="2177"/>
      <c r="M9" s="2177"/>
      <c r="N9" s="2177"/>
      <c r="O9" s="2177"/>
      <c r="P9" s="2178" t="s">
        <v>21</v>
      </c>
      <c r="Q9" s="2177"/>
    </row>
    <row r="10" spans="1:19" s="2193" customFormat="1">
      <c r="A10" s="2178"/>
      <c r="B10" s="2178"/>
      <c r="C10" s="1915" t="s">
        <v>329</v>
      </c>
      <c r="D10" s="1915"/>
      <c r="E10" s="1915"/>
      <c r="F10" s="1915"/>
    </row>
    <row r="11" spans="1:19" ht="18" customHeight="1">
      <c r="A11" s="2178"/>
      <c r="B11" s="2178"/>
      <c r="E11" s="2193"/>
      <c r="H11" s="2209"/>
      <c r="I11" s="1762"/>
      <c r="J11" s="1762"/>
      <c r="K11" s="1762"/>
      <c r="L11" s="1762"/>
      <c r="M11" s="1762"/>
      <c r="N11" s="1762"/>
    </row>
    <row r="12" spans="1:19" ht="15">
      <c r="A12" s="2178"/>
      <c r="B12" s="2178"/>
      <c r="C12" s="1887" t="s">
        <v>314</v>
      </c>
      <c r="D12" s="2157">
        <f>D15+D21+D27+D34+D40+D46+D52+D58</f>
        <v>70000</v>
      </c>
      <c r="E12" s="1948">
        <f>E15+E21+E27+E34+E40+E46+E52+E58</f>
        <v>100000</v>
      </c>
      <c r="F12" s="2157">
        <f>D12+E12</f>
        <v>170000</v>
      </c>
      <c r="H12" s="2210"/>
      <c r="I12" s="2210"/>
      <c r="J12" s="2211"/>
      <c r="K12" s="2211"/>
      <c r="L12" s="2211"/>
      <c r="M12" s="2211"/>
      <c r="N12" s="2211"/>
    </row>
    <row r="13" spans="1:19" ht="13.5" customHeight="1">
      <c r="A13" s="2178"/>
      <c r="B13" s="2178"/>
      <c r="C13" s="1947"/>
      <c r="E13" s="1787"/>
      <c r="G13" s="1802"/>
      <c r="H13" s="2212"/>
      <c r="I13" s="1762"/>
      <c r="J13" s="2213"/>
      <c r="K13" s="2214"/>
      <c r="L13" s="2215"/>
      <c r="M13" s="2204"/>
      <c r="N13" s="2216"/>
    </row>
    <row r="14" spans="1:19" s="2194" customFormat="1" ht="13.5" customHeight="1">
      <c r="A14" s="1863"/>
      <c r="B14" s="1863"/>
      <c r="C14" s="1888" t="s">
        <v>45</v>
      </c>
      <c r="D14" s="1969">
        <v>2016</v>
      </c>
      <c r="E14" s="1970">
        <v>2017</v>
      </c>
      <c r="F14" s="1950" t="s">
        <v>23</v>
      </c>
      <c r="G14" s="1796"/>
      <c r="H14" s="2212"/>
      <c r="I14" s="1762"/>
      <c r="J14" s="2213"/>
      <c r="K14" s="2214"/>
      <c r="L14" s="2215"/>
      <c r="M14" s="2204"/>
      <c r="N14" s="2216"/>
    </row>
    <row r="15" spans="1:19" ht="13.5" customHeight="1">
      <c r="A15" s="2178"/>
      <c r="B15" s="1886" t="s">
        <v>312</v>
      </c>
      <c r="C15" s="2106" t="s">
        <v>46</v>
      </c>
      <c r="D15" s="2158">
        <f>SUM(D16:D19)</f>
        <v>0</v>
      </c>
      <c r="E15" s="1926">
        <f>SUM(E16:E19)</f>
        <v>0</v>
      </c>
      <c r="F15" s="2157">
        <f>SUM(F16:F19)</f>
        <v>0</v>
      </c>
      <c r="H15" s="2212"/>
      <c r="I15" s="1762"/>
      <c r="J15" s="2213"/>
      <c r="K15" s="2213"/>
      <c r="L15" s="2215"/>
      <c r="M15" s="2204"/>
      <c r="N15" s="2216"/>
    </row>
    <row r="16" spans="1:19" ht="13.5" customHeight="1">
      <c r="A16" s="2178"/>
      <c r="B16" s="2121"/>
      <c r="C16" s="2197"/>
      <c r="D16" s="2201"/>
      <c r="E16" s="2200"/>
      <c r="F16" s="1879">
        <f>SUM(D16:E16)</f>
        <v>0</v>
      </c>
      <c r="H16" s="2212"/>
      <c r="I16" s="1762"/>
      <c r="J16" s="2213"/>
      <c r="K16" s="2213"/>
      <c r="L16" s="2215"/>
      <c r="M16" s="2204"/>
      <c r="N16" s="2216"/>
    </row>
    <row r="17" spans="1:14">
      <c r="A17" s="2178"/>
      <c r="B17" s="2121"/>
      <c r="C17" s="2197"/>
      <c r="D17" s="2199"/>
      <c r="E17" s="2198"/>
      <c r="F17" s="2191">
        <f>SUM(D17:E17)</f>
        <v>0</v>
      </c>
      <c r="H17" s="2212"/>
      <c r="I17" s="1762"/>
      <c r="J17" s="2213"/>
      <c r="K17" s="2213"/>
      <c r="L17" s="2215"/>
      <c r="M17" s="2204"/>
      <c r="N17" s="2216"/>
    </row>
    <row r="18" spans="1:14">
      <c r="A18" s="2178"/>
      <c r="B18" s="2121"/>
      <c r="C18" s="2197"/>
      <c r="D18" s="2199"/>
      <c r="E18" s="2198"/>
      <c r="F18" s="2191">
        <f>SUM(D18:E18)</f>
        <v>0</v>
      </c>
      <c r="H18" s="2212"/>
      <c r="I18" s="1762"/>
      <c r="J18" s="2213"/>
      <c r="K18" s="2213"/>
      <c r="L18" s="2215"/>
      <c r="M18" s="2204"/>
      <c r="N18" s="2216"/>
    </row>
    <row r="19" spans="1:14">
      <c r="A19" s="2178"/>
      <c r="B19" s="2121"/>
      <c r="C19" s="2197"/>
      <c r="D19" s="1903"/>
      <c r="E19" s="1902"/>
      <c r="F19" s="2191">
        <f>SUM(D19:E19)</f>
        <v>0</v>
      </c>
      <c r="H19" s="2212"/>
      <c r="I19" s="1762"/>
      <c r="J19" s="2213"/>
      <c r="K19" s="2213"/>
      <c r="L19" s="2215"/>
      <c r="M19" s="2204"/>
      <c r="N19" s="2216"/>
    </row>
    <row r="20" spans="1:14">
      <c r="A20" s="2178"/>
      <c r="B20" s="1908">
        <f>SUM(B16:B19)</f>
        <v>0</v>
      </c>
      <c r="C20" s="1952"/>
      <c r="D20" s="1954"/>
      <c r="E20" s="1955"/>
      <c r="F20" s="1957"/>
      <c r="G20" s="1797" t="s">
        <v>7</v>
      </c>
      <c r="H20" s="2212"/>
      <c r="I20" s="1762"/>
      <c r="J20" s="2213"/>
      <c r="K20" s="2213"/>
      <c r="L20" s="2215"/>
      <c r="M20" s="2204"/>
      <c r="N20" s="2216"/>
    </row>
    <row r="21" spans="1:14">
      <c r="A21" s="2178"/>
      <c r="B21" s="2178"/>
      <c r="C21" s="2106" t="s">
        <v>47</v>
      </c>
      <c r="D21" s="2158">
        <f>SUM(D22:D25)</f>
        <v>0</v>
      </c>
      <c r="E21" s="1926">
        <f>SUM(E22:E25)</f>
        <v>0</v>
      </c>
      <c r="F21" s="2157">
        <f>SUM(F22:F25)</f>
        <v>0</v>
      </c>
      <c r="G21" s="1798"/>
      <c r="H21" s="2212"/>
      <c r="I21" s="1762"/>
      <c r="J21" s="2213"/>
      <c r="K21" s="2213"/>
      <c r="L21" s="2215"/>
      <c r="M21" s="2204"/>
      <c r="N21" s="2216"/>
    </row>
    <row r="22" spans="1:14">
      <c r="A22" s="2178"/>
      <c r="B22" s="2178"/>
      <c r="C22" s="2197"/>
      <c r="D22" s="2201"/>
      <c r="E22" s="2200"/>
      <c r="F22" s="1879">
        <f>SUM(D22:E22)</f>
        <v>0</v>
      </c>
      <c r="H22" s="2212"/>
      <c r="I22" s="1762"/>
      <c r="J22" s="2213"/>
      <c r="K22" s="2213"/>
      <c r="L22" s="2215"/>
      <c r="M22" s="2204"/>
      <c r="N22" s="2216"/>
    </row>
    <row r="23" spans="1:14" ht="15">
      <c r="A23" s="2178"/>
      <c r="B23" s="2178"/>
      <c r="C23" s="2197"/>
      <c r="D23" s="1900"/>
      <c r="E23" s="1899"/>
      <c r="F23" s="2191">
        <f>SUM(D23:E23)</f>
        <v>0</v>
      </c>
      <c r="H23" s="2205"/>
      <c r="I23" s="1762"/>
      <c r="J23" s="2206"/>
      <c r="K23" s="2206"/>
      <c r="L23" s="2215"/>
      <c r="M23" s="2207"/>
      <c r="N23" s="2207"/>
    </row>
    <row r="24" spans="1:14" s="2194" customFormat="1" ht="15">
      <c r="A24" s="1863"/>
      <c r="B24" s="1863"/>
      <c r="C24" s="2197"/>
      <c r="D24" s="1898"/>
      <c r="E24" s="1897"/>
      <c r="F24" s="2191">
        <f>SUM(D24:E24)</f>
        <v>0</v>
      </c>
      <c r="H24" s="2210"/>
      <c r="I24" s="2210"/>
      <c r="J24" s="2211"/>
      <c r="K24" s="2211"/>
      <c r="L24" s="2211"/>
      <c r="M24" s="2211"/>
      <c r="N24" s="2211"/>
    </row>
    <row r="25" spans="1:14">
      <c r="A25" s="2178"/>
      <c r="B25" s="2178"/>
      <c r="C25" s="2197"/>
      <c r="D25" s="1896"/>
      <c r="E25" s="1899"/>
      <c r="F25" s="2191">
        <f>SUM(D25:E25)</f>
        <v>0</v>
      </c>
      <c r="H25" s="2212"/>
      <c r="I25" s="1762"/>
      <c r="J25" s="2213"/>
      <c r="K25" s="2214"/>
      <c r="L25" s="2215"/>
      <c r="M25" s="2204"/>
      <c r="N25" s="2216"/>
    </row>
    <row r="26" spans="1:14" s="2194" customFormat="1">
      <c r="A26" s="1863"/>
      <c r="B26" s="1863"/>
      <c r="C26" s="1877"/>
      <c r="D26" s="1892"/>
      <c r="E26" s="1884"/>
      <c r="F26" s="1892"/>
      <c r="H26" s="2212"/>
      <c r="I26" s="1762"/>
      <c r="J26" s="2217"/>
      <c r="K26" s="2213"/>
      <c r="L26" s="2215"/>
      <c r="M26" s="2204"/>
      <c r="N26" s="2216"/>
    </row>
    <row r="27" spans="1:14">
      <c r="A27" s="2178"/>
      <c r="B27" s="2178"/>
      <c r="C27" s="2106" t="s">
        <v>48</v>
      </c>
      <c r="D27" s="2158">
        <f>SUM(D29:D32)</f>
        <v>0</v>
      </c>
      <c r="E27" s="1926">
        <f>SUM(E29:E32)</f>
        <v>0</v>
      </c>
      <c r="F27" s="2157">
        <f>SUM(F29:F32)</f>
        <v>0</v>
      </c>
      <c r="H27" s="2212"/>
      <c r="I27" s="1762"/>
      <c r="J27" s="2213"/>
      <c r="K27" s="2213"/>
      <c r="L27" s="2215"/>
      <c r="M27" s="2204"/>
      <c r="N27" s="2216"/>
    </row>
    <row r="28" spans="1:14">
      <c r="A28" s="2178"/>
      <c r="B28" s="2178"/>
      <c r="C28" s="1909" t="s">
        <v>315</v>
      </c>
      <c r="D28" s="1912">
        <v>0.66700000000000004</v>
      </c>
      <c r="E28" s="1913">
        <v>0.68</v>
      </c>
      <c r="F28" s="1949"/>
      <c r="H28" s="2212"/>
      <c r="I28" s="1762"/>
      <c r="J28" s="2213"/>
      <c r="K28" s="2213"/>
      <c r="L28" s="2215"/>
      <c r="M28" s="2204"/>
      <c r="N28" s="2216"/>
    </row>
    <row r="29" spans="1:14">
      <c r="A29" s="2178"/>
      <c r="B29" s="2178"/>
      <c r="C29" s="2197" t="s">
        <v>778</v>
      </c>
      <c r="D29" s="2202">
        <f>D15*D28</f>
        <v>0</v>
      </c>
      <c r="E29" s="2163">
        <f>E15*E28</f>
        <v>0</v>
      </c>
      <c r="F29" s="2191">
        <f>SUM(D29:E29)</f>
        <v>0</v>
      </c>
      <c r="H29" s="2212"/>
      <c r="I29" s="1762"/>
      <c r="J29" s="2213"/>
      <c r="K29" s="2213"/>
      <c r="L29" s="2215"/>
      <c r="M29" s="2204"/>
      <c r="N29" s="2216"/>
    </row>
    <row r="30" spans="1:14">
      <c r="A30" s="2178"/>
      <c r="B30" s="2178"/>
      <c r="C30" s="2197" t="s">
        <v>779</v>
      </c>
      <c r="D30" s="1973">
        <f>D21*D28</f>
        <v>0</v>
      </c>
      <c r="E30" s="2163">
        <f>E21*E28</f>
        <v>0</v>
      </c>
      <c r="F30" s="2191">
        <f>SUM(D30:E30)</f>
        <v>0</v>
      </c>
      <c r="H30" s="2067"/>
      <c r="I30" s="1762"/>
      <c r="J30" s="2213"/>
      <c r="K30" s="2218"/>
      <c r="L30" s="2215"/>
      <c r="M30" s="2204"/>
      <c r="N30" s="2216"/>
    </row>
    <row r="31" spans="1:14">
      <c r="A31" s="2178"/>
      <c r="B31" s="2178"/>
      <c r="C31" s="1901"/>
      <c r="D31" s="1898"/>
      <c r="E31" s="1897"/>
      <c r="F31" s="2191">
        <f>SUM(D31:E31)</f>
        <v>0</v>
      </c>
      <c r="H31" s="2067"/>
      <c r="I31" s="1762"/>
      <c r="J31" s="2213"/>
      <c r="K31" s="2218"/>
      <c r="L31" s="2215"/>
      <c r="M31" s="2204"/>
      <c r="N31" s="2216"/>
    </row>
    <row r="32" spans="1:14" ht="15">
      <c r="A32" s="2178"/>
      <c r="B32" s="2178"/>
      <c r="C32" s="1901"/>
      <c r="D32" s="1896"/>
      <c r="E32" s="1899"/>
      <c r="F32" s="2191">
        <f>SUM(D32:E32)</f>
        <v>0</v>
      </c>
      <c r="H32" s="2205"/>
      <c r="I32" s="1762"/>
      <c r="J32" s="2219"/>
      <c r="K32" s="2219"/>
      <c r="L32" s="2215"/>
      <c r="M32" s="2220"/>
      <c r="N32" s="2220"/>
    </row>
    <row r="33" spans="1:14" ht="15">
      <c r="A33" s="1801"/>
      <c r="B33" s="1801"/>
      <c r="C33" s="1952"/>
      <c r="D33" s="1958"/>
      <c r="E33" s="1955"/>
      <c r="F33" s="1958"/>
      <c r="G33" s="1799"/>
      <c r="H33" s="2210"/>
      <c r="I33" s="2210"/>
      <c r="J33" s="2211"/>
      <c r="K33" s="2211"/>
      <c r="L33" s="2211"/>
      <c r="M33" s="2211"/>
      <c r="N33" s="2211"/>
    </row>
    <row r="34" spans="1:14">
      <c r="A34" s="1831" t="s">
        <v>514</v>
      </c>
      <c r="B34" s="2178"/>
      <c r="C34" s="2106" t="s">
        <v>49</v>
      </c>
      <c r="D34" s="2158">
        <v>0</v>
      </c>
      <c r="E34" s="1926">
        <v>0</v>
      </c>
      <c r="F34" s="2157">
        <v>0</v>
      </c>
      <c r="H34" s="2212"/>
      <c r="I34" s="1762"/>
      <c r="J34" s="2221"/>
      <c r="K34" s="2221"/>
      <c r="L34" s="2215"/>
      <c r="M34" s="2208"/>
      <c r="N34" s="2222"/>
    </row>
    <row r="35" spans="1:14" s="2194" customFormat="1">
      <c r="A35" s="2301" t="s">
        <v>510</v>
      </c>
      <c r="B35" s="1863"/>
      <c r="C35" s="2197"/>
      <c r="D35" s="2202"/>
      <c r="E35" s="2203"/>
      <c r="F35" s="2191">
        <v>0</v>
      </c>
      <c r="H35" s="2067"/>
      <c r="I35" s="1762"/>
      <c r="J35" s="2222"/>
      <c r="K35" s="2222"/>
      <c r="L35" s="2215"/>
      <c r="M35" s="2208"/>
      <c r="N35" s="2222"/>
    </row>
    <row r="36" spans="1:14">
      <c r="A36" s="2193" t="s">
        <v>513</v>
      </c>
      <c r="B36" s="2178"/>
      <c r="C36" s="2197"/>
      <c r="D36" s="2202"/>
      <c r="E36" s="2203"/>
      <c r="F36" s="2191">
        <v>0</v>
      </c>
      <c r="H36" s="2067"/>
      <c r="I36" s="1762"/>
      <c r="J36" s="2222"/>
      <c r="K36" s="2222"/>
      <c r="L36" s="2215"/>
      <c r="M36" s="2208"/>
      <c r="N36" s="2222"/>
    </row>
    <row r="37" spans="1:14" ht="15">
      <c r="A37" s="1974" t="s">
        <v>25</v>
      </c>
      <c r="B37" s="2178"/>
      <c r="C37" s="2197"/>
      <c r="D37" s="2202"/>
      <c r="E37" s="2203"/>
      <c r="F37" s="2191">
        <v>0</v>
      </c>
      <c r="H37" s="2205"/>
      <c r="I37" s="1762"/>
      <c r="J37" s="2223"/>
      <c r="K37" s="2223"/>
      <c r="L37" s="2215"/>
      <c r="M37" s="2223"/>
      <c r="N37" s="2223"/>
    </row>
    <row r="38" spans="1:14" ht="15">
      <c r="A38" s="2262">
        <v>18230624</v>
      </c>
      <c r="B38" s="2178"/>
      <c r="C38" s="2197"/>
      <c r="D38" s="2202"/>
      <c r="E38" s="2203"/>
      <c r="F38" s="2191">
        <v>0</v>
      </c>
      <c r="H38" s="2210"/>
      <c r="I38" s="2210"/>
      <c r="J38" s="2224"/>
      <c r="K38" s="2224"/>
      <c r="L38" s="2224"/>
      <c r="M38" s="2225"/>
      <c r="N38" s="2225"/>
    </row>
    <row r="39" spans="1:14">
      <c r="A39" s="1976" t="s">
        <v>5</v>
      </c>
      <c r="B39" s="2178"/>
      <c r="C39" s="1952"/>
      <c r="D39" s="1958"/>
      <c r="E39" s="1955"/>
      <c r="F39" s="1958"/>
      <c r="H39" s="2067"/>
      <c r="I39" s="1762"/>
      <c r="J39" s="1762"/>
      <c r="K39" s="1762"/>
      <c r="L39" s="1762"/>
      <c r="M39" s="1762"/>
      <c r="N39" s="1762"/>
    </row>
    <row r="40" spans="1:14">
      <c r="A40" s="2178"/>
      <c r="B40" s="2178"/>
      <c r="C40" s="2106" t="s">
        <v>506</v>
      </c>
      <c r="D40" s="2158">
        <f>SUM(D41:D44)</f>
        <v>0</v>
      </c>
      <c r="E40" s="1926">
        <f>SUM(E41:E44)</f>
        <v>0</v>
      </c>
      <c r="F40" s="2157">
        <f t="shared" ref="F40:F56" si="1">SUM(D40:E40)</f>
        <v>0</v>
      </c>
      <c r="H40" s="2067"/>
      <c r="I40" s="1762"/>
      <c r="J40" s="1762"/>
      <c r="K40" s="1762"/>
      <c r="L40" s="1762"/>
      <c r="M40" s="1762"/>
      <c r="N40" s="1762"/>
    </row>
    <row r="41" spans="1:14">
      <c r="A41" s="2178"/>
      <c r="B41" s="2178"/>
      <c r="C41" s="2197"/>
      <c r="D41" s="2202"/>
      <c r="E41" s="2203"/>
      <c r="F41" s="2191">
        <f t="shared" si="1"/>
        <v>0</v>
      </c>
      <c r="H41" s="1762"/>
      <c r="I41" s="1762"/>
      <c r="J41" s="1762"/>
      <c r="K41" s="1762"/>
      <c r="L41" s="1762"/>
      <c r="M41" s="1762"/>
      <c r="N41" s="1762"/>
    </row>
    <row r="42" spans="1:14">
      <c r="A42" s="2178"/>
      <c r="B42" s="2178"/>
      <c r="C42" s="2197"/>
      <c r="D42" s="2202"/>
      <c r="E42" s="2203"/>
      <c r="F42" s="2191">
        <f t="shared" si="1"/>
        <v>0</v>
      </c>
      <c r="H42" s="1762"/>
      <c r="I42" s="1762"/>
      <c r="J42" s="1762"/>
      <c r="K42" s="1762"/>
      <c r="L42" s="1762"/>
      <c r="M42" s="1762"/>
      <c r="N42" s="1762"/>
    </row>
    <row r="43" spans="1:14">
      <c r="A43" s="2178"/>
      <c r="B43" s="2178"/>
      <c r="C43" s="2197"/>
      <c r="D43" s="2202"/>
      <c r="E43" s="2203"/>
      <c r="F43" s="2191">
        <f t="shared" si="1"/>
        <v>0</v>
      </c>
    </row>
    <row r="44" spans="1:14">
      <c r="A44" s="2178"/>
      <c r="B44" s="2178"/>
      <c r="C44" s="2197"/>
      <c r="D44" s="2202"/>
      <c r="E44" s="2203"/>
      <c r="F44" s="2191">
        <f t="shared" si="1"/>
        <v>0</v>
      </c>
    </row>
    <row r="45" spans="1:14">
      <c r="A45" s="2178"/>
      <c r="B45" s="2178"/>
      <c r="C45" s="1952"/>
      <c r="D45" s="1958"/>
      <c r="E45" s="1955"/>
      <c r="F45" s="1958"/>
    </row>
    <row r="46" spans="1:14">
      <c r="A46" s="2178"/>
      <c r="B46" s="2178"/>
      <c r="C46" s="2106" t="s">
        <v>50</v>
      </c>
      <c r="D46" s="2158">
        <f>SUM(D47:D50)</f>
        <v>70000</v>
      </c>
      <c r="E46" s="1926">
        <f>SUM(E47:E50)</f>
        <v>100000</v>
      </c>
      <c r="F46" s="2157">
        <f t="shared" si="1"/>
        <v>170000</v>
      </c>
    </row>
    <row r="47" spans="1:14">
      <c r="A47" s="2178"/>
      <c r="B47" s="2178"/>
      <c r="C47" s="2197" t="s">
        <v>784</v>
      </c>
      <c r="D47" s="2202">
        <v>50000</v>
      </c>
      <c r="E47" s="2203"/>
      <c r="F47" s="2191">
        <f t="shared" si="1"/>
        <v>50000</v>
      </c>
    </row>
    <row r="48" spans="1:14">
      <c r="A48" s="2178"/>
      <c r="B48" s="2178"/>
      <c r="C48" s="2197" t="s">
        <v>785</v>
      </c>
      <c r="D48" s="2202">
        <v>20000</v>
      </c>
      <c r="E48" s="2203">
        <v>100000</v>
      </c>
      <c r="F48" s="2191">
        <f t="shared" si="1"/>
        <v>120000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2" activePane="bottomRight" state="frozen"/>
      <selection pane="bottomRight" activeCell="B17" sqref="B17"/>
      <pageMargins left="0.25" right="0.22" top="0.43" bottom="0.75" header="0.3" footer="0.3"/>
      <pageSetup paperSize="3" scale="62" orientation="landscape" r:id="rId1"/>
    </customSheetView>
    <customSheetView guid="{D9EFFE19-D14B-4C6F-BDF4-FF696F73968D}" showGridLines="0">
      <pane xSplit="1" ySplit="1" topLeftCell="E2" activePane="bottomRight" state="frozen"/>
      <selection pane="bottomRight"/>
      <pageMargins left="0.25" right="0.22" top="0.43" bottom="0.75" header="0.3" footer="0.3"/>
      <pageSetup paperSize="3" scale="62" orientation="landscape" r:id="rId2"/>
    </customSheetView>
  </customSheetViews>
  <pageMargins left="0.25" right="0.22" top="0.43" bottom="0.75" header="0.3" footer="0.3"/>
  <pageSetup paperSize="3" scale="62" orientation="landscape" r:id="rId3"/>
  <drawing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8DB4E3"/>
  </sheetPr>
  <dimension ref="A1:S66"/>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style="1602" customWidth="1"/>
    <col min="2" max="2" width="16.140625" style="1866" customWidth="1"/>
    <col min="3" max="3" width="27.85546875" style="1602" customWidth="1"/>
    <col min="4" max="5" width="20.85546875" style="1602" customWidth="1"/>
    <col min="6" max="6" width="20.28515625" style="1602" customWidth="1"/>
    <col min="7" max="7" width="18.5703125" style="1602" customWidth="1"/>
    <col min="8" max="9" width="23.7109375" style="1602" customWidth="1"/>
    <col min="10" max="10" width="18.140625" style="1602" customWidth="1"/>
    <col min="11" max="11" width="23.7109375" style="1602" customWidth="1"/>
    <col min="12" max="12" width="20.42578125" style="1602" customWidth="1"/>
    <col min="13" max="13" width="18" style="1602" customWidth="1"/>
    <col min="14" max="14" width="23.7109375" style="1602" customWidth="1"/>
    <col min="15" max="15" width="15" style="1602" customWidth="1"/>
    <col min="16" max="16" width="15.5703125" style="1602" customWidth="1"/>
    <col min="17" max="17" width="10.5703125" style="1602" customWidth="1"/>
    <col min="18" max="18" width="15" style="1602" customWidth="1"/>
    <col min="19" max="16384" width="9.140625" style="1602"/>
  </cols>
  <sheetData>
    <row r="1" spans="1:19" ht="54.75" customHeight="1">
      <c r="D1" s="1811" t="s">
        <v>267</v>
      </c>
      <c r="E1" s="1975" t="s">
        <v>25</v>
      </c>
      <c r="F1" s="1882">
        <v>18230418</v>
      </c>
      <c r="G1" s="1977" t="s">
        <v>5</v>
      </c>
      <c r="M1" s="1811" t="s">
        <v>267</v>
      </c>
      <c r="N1" s="1975" t="s">
        <v>25</v>
      </c>
      <c r="O1" s="1882">
        <v>18230418</v>
      </c>
      <c r="P1" s="1977" t="s">
        <v>5</v>
      </c>
    </row>
    <row r="2" spans="1:19" ht="16.5" thickBot="1">
      <c r="D2" s="1606"/>
      <c r="E2" s="1800"/>
      <c r="F2" s="1800"/>
      <c r="G2" s="1805"/>
      <c r="H2" s="1576" t="s">
        <v>674</v>
      </c>
      <c r="I2" s="1805"/>
      <c r="J2" s="1805"/>
      <c r="K2" s="1805"/>
      <c r="L2" s="1805"/>
      <c r="M2" s="1805"/>
      <c r="N2" s="1805"/>
      <c r="O2" s="1805"/>
      <c r="P2" s="1805"/>
      <c r="Q2" s="1805"/>
    </row>
    <row r="3" spans="1:19" ht="26.25" thickBot="1">
      <c r="A3" s="1748" t="s">
        <v>267</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2037"/>
    </row>
    <row r="4" spans="1:19" ht="15.75">
      <c r="A4" s="1974" t="s">
        <v>25</v>
      </c>
      <c r="B4" s="1974"/>
      <c r="E4" s="1866"/>
      <c r="F4" s="1866"/>
      <c r="G4" s="1804" t="s">
        <v>668</v>
      </c>
      <c r="H4" s="2003">
        <v>2017255</v>
      </c>
      <c r="I4" s="2002">
        <v>0</v>
      </c>
      <c r="J4" s="2002">
        <v>146529</v>
      </c>
      <c r="K4" s="2002">
        <v>0</v>
      </c>
      <c r="L4" s="2002">
        <v>5655</v>
      </c>
      <c r="M4" s="2002">
        <v>95700</v>
      </c>
      <c r="N4" s="2002">
        <v>2610</v>
      </c>
      <c r="O4" s="2002">
        <v>0</v>
      </c>
      <c r="P4" s="2002">
        <v>0</v>
      </c>
      <c r="Q4" s="2002"/>
      <c r="R4" s="2002">
        <v>457749</v>
      </c>
      <c r="S4" s="2002"/>
    </row>
    <row r="5" spans="1:19" ht="15.75">
      <c r="A5" s="1882">
        <v>18230418</v>
      </c>
      <c r="B5" s="1974"/>
      <c r="E5" s="1866"/>
      <c r="F5" s="1866"/>
      <c r="G5" s="1228">
        <v>2016</v>
      </c>
      <c r="H5" s="1582">
        <f>D15</f>
        <v>191236.788</v>
      </c>
      <c r="I5" s="1549">
        <f>D21</f>
        <v>0</v>
      </c>
      <c r="J5" s="1549">
        <f>D27</f>
        <v>127554.937596</v>
      </c>
      <c r="K5" s="1549">
        <f>D34</f>
        <v>0</v>
      </c>
      <c r="L5" s="1549">
        <f>D40</f>
        <v>8526</v>
      </c>
      <c r="M5" s="1549">
        <f>D46</f>
        <v>78300</v>
      </c>
      <c r="N5" s="1549">
        <f>D52</f>
        <v>4785</v>
      </c>
      <c r="O5" s="1549">
        <f>D58</f>
        <v>0</v>
      </c>
      <c r="P5" s="1549">
        <v>0</v>
      </c>
      <c r="Q5" s="1549"/>
      <c r="R5" s="1549">
        <f>SUM(H5:P5)</f>
        <v>410402.72559599997</v>
      </c>
      <c r="S5" s="1549"/>
    </row>
    <row r="6" spans="1:19" ht="16.5" thickBot="1">
      <c r="A6" s="1976" t="s">
        <v>5</v>
      </c>
      <c r="B6" s="1882"/>
      <c r="C6" s="1302"/>
      <c r="E6" s="1866"/>
      <c r="F6" s="1866"/>
      <c r="G6" s="1228">
        <v>2017</v>
      </c>
      <c r="H6" s="57">
        <f>E15</f>
        <v>196017.003</v>
      </c>
      <c r="I6" s="1990">
        <f>E21</f>
        <v>0</v>
      </c>
      <c r="J6" s="1989">
        <f>E27</f>
        <v>133291.56204000002</v>
      </c>
      <c r="K6" s="58">
        <f>E34</f>
        <v>0</v>
      </c>
      <c r="L6" s="58">
        <f>E40</f>
        <v>8526</v>
      </c>
      <c r="M6" s="58">
        <f>E46</f>
        <v>78300</v>
      </c>
      <c r="N6" s="58">
        <f>E52</f>
        <v>4785</v>
      </c>
      <c r="O6" s="58">
        <f>E58</f>
        <v>0</v>
      </c>
      <c r="P6" s="58">
        <v>0</v>
      </c>
      <c r="Q6" s="58"/>
      <c r="R6" s="58">
        <f>SUM(H6:P6)</f>
        <v>420919.56504000002</v>
      </c>
      <c r="S6" s="58"/>
    </row>
    <row r="7" spans="1:19" s="1697" customFormat="1" ht="13.5" thickBot="1">
      <c r="A7" s="1762"/>
      <c r="B7" s="1978"/>
      <c r="E7" s="1862"/>
      <c r="F7" s="1862"/>
      <c r="G7" s="598" t="s">
        <v>23</v>
      </c>
      <c r="H7" s="1564">
        <f>SUM(H5:H6)</f>
        <v>387253.79099999997</v>
      </c>
      <c r="I7" s="1991">
        <f t="shared" ref="I7:P7" si="0">SUM(I5:I6)</f>
        <v>0</v>
      </c>
      <c r="J7" s="1992">
        <f t="shared" si="0"/>
        <v>260846.49963600002</v>
      </c>
      <c r="K7" s="1993">
        <f t="shared" si="0"/>
        <v>0</v>
      </c>
      <c r="L7" s="1991">
        <f t="shared" si="0"/>
        <v>17052</v>
      </c>
      <c r="M7" s="1992">
        <f t="shared" si="0"/>
        <v>156600</v>
      </c>
      <c r="N7" s="1991">
        <f t="shared" si="0"/>
        <v>9570</v>
      </c>
      <c r="O7" s="1992">
        <f t="shared" si="0"/>
        <v>0</v>
      </c>
      <c r="P7" s="1993">
        <f t="shared" si="0"/>
        <v>0</v>
      </c>
      <c r="Q7" s="1993"/>
      <c r="R7" s="1991">
        <f>SUM(R5:R6)</f>
        <v>831322.29063599999</v>
      </c>
      <c r="S7" s="1991"/>
    </row>
    <row r="8" spans="1:19" s="1697" customFormat="1" ht="25.5">
      <c r="B8" s="1808"/>
      <c r="E8" s="1862"/>
      <c r="F8" s="1862"/>
      <c r="G8" s="1603"/>
      <c r="H8" s="2"/>
      <c r="I8" s="1602"/>
      <c r="J8" s="1602"/>
      <c r="K8" s="1602"/>
      <c r="L8" s="1602"/>
      <c r="M8" s="1602"/>
      <c r="N8" s="1602"/>
      <c r="O8" s="1602"/>
      <c r="P8" s="21" t="s">
        <v>20</v>
      </c>
      <c r="Q8" s="1602"/>
    </row>
    <row r="9" spans="1:19" s="1697" customFormat="1">
      <c r="A9" s="29"/>
      <c r="B9" s="1863"/>
      <c r="E9" s="1862"/>
      <c r="F9" s="1862"/>
      <c r="G9" s="1603"/>
      <c r="H9" s="2"/>
      <c r="I9" s="1602"/>
      <c r="J9" s="1602"/>
      <c r="K9" s="1602"/>
      <c r="L9" s="1602"/>
      <c r="M9" s="1602"/>
      <c r="N9" s="1602"/>
      <c r="O9" s="1602"/>
      <c r="P9" s="21" t="s">
        <v>21</v>
      </c>
      <c r="Q9" s="1602"/>
    </row>
    <row r="10" spans="1:19" s="1604"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410402.72559599997</v>
      </c>
      <c r="E12" s="1948">
        <f>E15+E21+E27+E34+E40+E46+E52+E58</f>
        <v>420919.56504000002</v>
      </c>
      <c r="F12" s="1924">
        <f>D12+E12</f>
        <v>831322.29063599999</v>
      </c>
    </row>
    <row r="13" spans="1:19" ht="13.5" customHeight="1">
      <c r="A13" s="21"/>
      <c r="B13" s="1865"/>
      <c r="C13" s="1947"/>
      <c r="D13" s="1866"/>
      <c r="E13" s="1787"/>
      <c r="F13" s="1866"/>
      <c r="G13" s="1297"/>
      <c r="H13" s="1297"/>
    </row>
    <row r="14" spans="1:19" s="1697" customFormat="1" ht="13.5" customHeight="1">
      <c r="A14" s="29"/>
      <c r="B14" s="1863"/>
      <c r="C14" s="1888" t="s">
        <v>45</v>
      </c>
      <c r="D14" s="1969">
        <v>2016</v>
      </c>
      <c r="E14" s="1970">
        <v>2017</v>
      </c>
      <c r="F14" s="1950" t="s">
        <v>23</v>
      </c>
      <c r="G14" s="30"/>
      <c r="H14" s="30"/>
    </row>
    <row r="15" spans="1:19" ht="13.5" customHeight="1">
      <c r="A15" s="21"/>
      <c r="B15" s="1886" t="s">
        <v>312</v>
      </c>
      <c r="C15" s="1910" t="s">
        <v>46</v>
      </c>
      <c r="D15" s="1911">
        <f>SUM(D16:D19)</f>
        <v>191236.788</v>
      </c>
      <c r="E15" s="1926">
        <f>SUM(E16:E19)</f>
        <v>196017.003</v>
      </c>
      <c r="F15" s="1924">
        <f>SUM(F16:F19)</f>
        <v>387253.79099999997</v>
      </c>
    </row>
    <row r="16" spans="1:19">
      <c r="A16" s="21"/>
      <c r="B16" s="2610">
        <v>2.61</v>
      </c>
      <c r="C16" s="2197" t="s">
        <v>1554</v>
      </c>
      <c r="D16" s="2201">
        <f>73270.8*2.61</f>
        <v>191236.788</v>
      </c>
      <c r="E16" s="2200">
        <f>75102.3*2.61</f>
        <v>196017.003</v>
      </c>
      <c r="F16" s="1879">
        <f t="shared" ref="F16:F19" si="1">SUM(D16:E16)</f>
        <v>387253.79099999997</v>
      </c>
    </row>
    <row r="17" spans="1:7" s="2117" customFormat="1">
      <c r="A17" s="2119"/>
      <c r="B17" s="2121"/>
      <c r="C17" s="2120"/>
      <c r="D17" s="2124"/>
      <c r="E17" s="2123"/>
      <c r="F17" s="1879">
        <f t="shared" si="1"/>
        <v>0</v>
      </c>
    </row>
    <row r="18" spans="1:7">
      <c r="A18" s="21"/>
      <c r="B18" s="1885"/>
      <c r="C18" s="2120"/>
      <c r="D18" s="1905"/>
      <c r="E18" s="1904"/>
      <c r="F18" s="1891">
        <f t="shared" si="1"/>
        <v>0</v>
      </c>
    </row>
    <row r="19" spans="1:7">
      <c r="A19" s="21"/>
      <c r="B19" s="1885"/>
      <c r="C19" s="2120"/>
      <c r="D19" s="2199"/>
      <c r="E19" s="2198"/>
      <c r="F19" s="1891">
        <f t="shared" si="1"/>
        <v>0</v>
      </c>
    </row>
    <row r="20" spans="1:7">
      <c r="A20" s="21"/>
      <c r="B20" s="1908">
        <f>SUM(B16:B19)</f>
        <v>2.61</v>
      </c>
      <c r="C20" s="1952"/>
      <c r="D20" s="1954"/>
      <c r="E20" s="1955"/>
      <c r="F20" s="1957"/>
      <c r="G20" s="34" t="s">
        <v>7</v>
      </c>
    </row>
    <row r="21" spans="1:7">
      <c r="A21" s="21"/>
      <c r="B21" s="1865"/>
      <c r="C21" s="1910" t="s">
        <v>47</v>
      </c>
      <c r="D21" s="1911">
        <f>SUM(D22:D25)</f>
        <v>0</v>
      </c>
      <c r="E21" s="1926">
        <f>SUM(E22:E25)</f>
        <v>0</v>
      </c>
      <c r="F21" s="1924">
        <f>SUM(F22:F25)</f>
        <v>0</v>
      </c>
      <c r="G21" s="35"/>
    </row>
    <row r="22" spans="1:7">
      <c r="A22" s="21"/>
      <c r="B22" s="1865"/>
      <c r="C22" s="1876"/>
      <c r="D22" s="1907"/>
      <c r="E22" s="1906"/>
      <c r="F22" s="1879">
        <f>SUM(D22:E22)</f>
        <v>0</v>
      </c>
    </row>
    <row r="23" spans="1:7">
      <c r="A23" s="21"/>
      <c r="B23" s="1865"/>
      <c r="C23" s="1876"/>
      <c r="D23" s="1900"/>
      <c r="E23" s="1899"/>
      <c r="F23" s="1891">
        <f>SUM(D23:E23)</f>
        <v>0</v>
      </c>
    </row>
    <row r="24" spans="1:7" s="1697" customFormat="1">
      <c r="A24" s="29"/>
      <c r="B24" s="1863"/>
      <c r="C24" s="1876"/>
      <c r="D24" s="1898"/>
      <c r="E24" s="1897"/>
      <c r="F24" s="1891">
        <f>SUM(D24:E24)</f>
        <v>0</v>
      </c>
    </row>
    <row r="25" spans="1:7">
      <c r="A25" s="21"/>
      <c r="B25" s="1865"/>
      <c r="C25" s="1876"/>
      <c r="D25" s="1896"/>
      <c r="E25" s="1899"/>
      <c r="F25" s="1891">
        <f>SUM(D25:E25)</f>
        <v>0</v>
      </c>
    </row>
    <row r="26" spans="1:7" s="1697" customFormat="1">
      <c r="A26" s="29"/>
      <c r="B26" s="1863"/>
      <c r="C26" s="1877"/>
      <c r="D26" s="1892"/>
      <c r="E26" s="1884"/>
      <c r="F26" s="1892"/>
    </row>
    <row r="27" spans="1:7">
      <c r="A27" s="21"/>
      <c r="B27" s="1865"/>
      <c r="C27" s="1910" t="s">
        <v>48</v>
      </c>
      <c r="D27" s="1911">
        <f>SUM(D29:D32)</f>
        <v>127554.937596</v>
      </c>
      <c r="E27" s="1926">
        <f>SUM(E29:E32)</f>
        <v>133291.56204000002</v>
      </c>
      <c r="F27" s="1924">
        <f>SUM(F29:F32)</f>
        <v>260846.49963600002</v>
      </c>
    </row>
    <row r="28" spans="1:7">
      <c r="A28" s="21"/>
      <c r="B28" s="1865"/>
      <c r="C28" s="1909" t="s">
        <v>315</v>
      </c>
      <c r="D28" s="1912">
        <v>0.66700000000000004</v>
      </c>
      <c r="E28" s="1913">
        <v>0.68</v>
      </c>
      <c r="F28" s="1949"/>
    </row>
    <row r="29" spans="1:7">
      <c r="A29" s="21"/>
      <c r="B29" s="1865"/>
      <c r="C29" s="2120" t="s">
        <v>778</v>
      </c>
      <c r="D29" s="1971">
        <f>D15*D28</f>
        <v>127554.937596</v>
      </c>
      <c r="E29" s="1972">
        <f>E15*E28</f>
        <v>133291.56204000002</v>
      </c>
      <c r="F29" s="1891">
        <f>SUM(D29:E29)</f>
        <v>260846.49963600002</v>
      </c>
    </row>
    <row r="30" spans="1:7">
      <c r="A30" s="21"/>
      <c r="B30" s="1865"/>
      <c r="C30" s="2120"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547"/>
      <c r="B33" s="1801"/>
      <c r="C33" s="1952"/>
      <c r="D33" s="1958"/>
      <c r="E33" s="1955"/>
      <c r="F33" s="1958"/>
      <c r="G33" s="38"/>
    </row>
    <row r="34" spans="1:7">
      <c r="A34" s="21"/>
      <c r="B34" s="1865"/>
      <c r="C34" s="1910" t="s">
        <v>49</v>
      </c>
      <c r="D34" s="1911">
        <v>0</v>
      </c>
      <c r="E34" s="1926">
        <v>0</v>
      </c>
      <c r="F34" s="1924">
        <v>0</v>
      </c>
    </row>
    <row r="35" spans="1:7" s="1697" customFormat="1">
      <c r="A35" s="1748" t="s">
        <v>267</v>
      </c>
      <c r="B35" s="1863"/>
      <c r="C35" s="1876"/>
      <c r="D35" s="1971"/>
      <c r="E35" s="1988"/>
      <c r="F35" s="1891">
        <v>0</v>
      </c>
    </row>
    <row r="36" spans="1:7">
      <c r="A36" s="1974" t="s">
        <v>25</v>
      </c>
      <c r="B36" s="1865"/>
      <c r="C36" s="1876"/>
      <c r="D36" s="1971"/>
      <c r="E36" s="1988"/>
      <c r="F36" s="1891">
        <v>0</v>
      </c>
    </row>
    <row r="37" spans="1:7">
      <c r="A37" s="1882">
        <v>18230418</v>
      </c>
      <c r="B37" s="1865"/>
      <c r="C37" s="1876"/>
      <c r="D37" s="1971"/>
      <c r="E37" s="1988"/>
      <c r="F37" s="1891">
        <v>0</v>
      </c>
    </row>
    <row r="38" spans="1:7">
      <c r="A38" s="1976" t="s">
        <v>5</v>
      </c>
      <c r="B38" s="1865"/>
      <c r="C38" s="1876"/>
      <c r="D38" s="1971"/>
      <c r="E38" s="1988"/>
      <c r="F38" s="1891">
        <v>0</v>
      </c>
    </row>
    <row r="39" spans="1:7">
      <c r="A39" s="21"/>
      <c r="B39" s="1865"/>
      <c r="C39" s="1952"/>
      <c r="D39" s="1958"/>
      <c r="E39" s="1955"/>
      <c r="F39" s="1958"/>
    </row>
    <row r="40" spans="1:7">
      <c r="A40" s="21"/>
      <c r="B40" s="1865"/>
      <c r="C40" s="2106" t="s">
        <v>506</v>
      </c>
      <c r="D40" s="1911">
        <f>SUM(D41:D44)</f>
        <v>8526</v>
      </c>
      <c r="E40" s="1926">
        <f>SUM(E41:E44)</f>
        <v>8526</v>
      </c>
      <c r="F40" s="1924">
        <f t="shared" ref="F40:F56" si="2">SUM(D40:E40)</f>
        <v>17052</v>
      </c>
    </row>
    <row r="41" spans="1:7">
      <c r="A41" s="21"/>
      <c r="B41" s="1865"/>
      <c r="C41" s="2197" t="s">
        <v>1555</v>
      </c>
      <c r="D41" s="2202">
        <f>8000*0.87</f>
        <v>6960</v>
      </c>
      <c r="E41" s="2203">
        <f>8000*0.87</f>
        <v>6960</v>
      </c>
      <c r="F41" s="1891">
        <f t="shared" si="2"/>
        <v>13920</v>
      </c>
    </row>
    <row r="42" spans="1:7">
      <c r="A42" s="21"/>
      <c r="B42" s="1865"/>
      <c r="C42" s="2197" t="s">
        <v>1556</v>
      </c>
      <c r="D42" s="2202">
        <f>1800*0.87</f>
        <v>1566</v>
      </c>
      <c r="E42" s="2203">
        <f>1800*0.87</f>
        <v>1566</v>
      </c>
      <c r="F42" s="1891">
        <f t="shared" si="2"/>
        <v>3132</v>
      </c>
    </row>
    <row r="43" spans="1:7">
      <c r="A43" s="21"/>
      <c r="B43" s="1865"/>
      <c r="C43" s="1876"/>
      <c r="D43" s="1971"/>
      <c r="E43" s="1988"/>
      <c r="F43" s="1891">
        <f t="shared" si="2"/>
        <v>0</v>
      </c>
    </row>
    <row r="44" spans="1:7">
      <c r="A44" s="21"/>
      <c r="B44" s="1865"/>
      <c r="C44" s="1876"/>
      <c r="D44" s="1971"/>
      <c r="E44" s="1988"/>
      <c r="F44" s="1891">
        <f t="shared" si="2"/>
        <v>0</v>
      </c>
    </row>
    <row r="45" spans="1:7">
      <c r="A45" s="21"/>
      <c r="B45" s="1865"/>
      <c r="C45" s="1952"/>
      <c r="D45" s="1958"/>
      <c r="E45" s="1955"/>
      <c r="F45" s="1958"/>
    </row>
    <row r="46" spans="1:7">
      <c r="A46" s="21"/>
      <c r="B46" s="1865"/>
      <c r="C46" s="1910" t="s">
        <v>50</v>
      </c>
      <c r="D46" s="1911">
        <f>SUM(D47:D50)</f>
        <v>78300</v>
      </c>
      <c r="E46" s="1926">
        <f>SUM(E47:E50)</f>
        <v>78300</v>
      </c>
      <c r="F46" s="1924">
        <f t="shared" si="2"/>
        <v>156600</v>
      </c>
    </row>
    <row r="47" spans="1:7">
      <c r="A47" s="21"/>
      <c r="B47" s="1865"/>
      <c r="C47" s="2197" t="s">
        <v>1557</v>
      </c>
      <c r="D47" s="2202">
        <f>90000*0.87</f>
        <v>78300</v>
      </c>
      <c r="E47" s="2203">
        <f>90000*0.87</f>
        <v>78300</v>
      </c>
      <c r="F47" s="1891">
        <f t="shared" si="2"/>
        <v>156600</v>
      </c>
    </row>
    <row r="48" spans="1:7">
      <c r="A48" s="21"/>
      <c r="B48" s="1865"/>
      <c r="C48" s="1876"/>
      <c r="D48" s="1971"/>
      <c r="E48" s="1988"/>
      <c r="F48" s="1891">
        <f t="shared" si="2"/>
        <v>0</v>
      </c>
    </row>
    <row r="49" spans="1:6">
      <c r="A49" s="21"/>
      <c r="B49" s="1865"/>
      <c r="C49" s="1876"/>
      <c r="D49" s="1971"/>
      <c r="E49" s="1988"/>
      <c r="F49" s="1891">
        <f t="shared" si="2"/>
        <v>0</v>
      </c>
    </row>
    <row r="50" spans="1:6">
      <c r="A50" s="21"/>
      <c r="B50" s="1865"/>
      <c r="C50" s="1876"/>
      <c r="D50" s="1971"/>
      <c r="E50" s="1988"/>
      <c r="F50" s="1891">
        <f t="shared" si="2"/>
        <v>0</v>
      </c>
    </row>
    <row r="51" spans="1:6">
      <c r="A51" s="21"/>
      <c r="B51" s="1865"/>
      <c r="C51" s="1952"/>
      <c r="D51" s="1958"/>
      <c r="E51" s="1955"/>
      <c r="F51" s="1958"/>
    </row>
    <row r="52" spans="1:6">
      <c r="A52" s="21"/>
      <c r="B52" s="1865"/>
      <c r="C52" s="1910" t="s">
        <v>51</v>
      </c>
      <c r="D52" s="1911">
        <f>SUM(D53:D56)</f>
        <v>4785</v>
      </c>
      <c r="E52" s="1926">
        <f>SUM(E53:E56)</f>
        <v>4785</v>
      </c>
      <c r="F52" s="1924">
        <f t="shared" si="2"/>
        <v>9570</v>
      </c>
    </row>
    <row r="53" spans="1:6">
      <c r="A53" s="21"/>
      <c r="B53" s="1865"/>
      <c r="C53" s="2197" t="s">
        <v>1558</v>
      </c>
      <c r="D53" s="2202">
        <f>4000*0.87</f>
        <v>3480</v>
      </c>
      <c r="E53" s="2163">
        <f>4000*0.87</f>
        <v>3480</v>
      </c>
      <c r="F53" s="1891">
        <f t="shared" si="2"/>
        <v>6960</v>
      </c>
    </row>
    <row r="54" spans="1:6">
      <c r="A54" s="21"/>
      <c r="B54" s="1865"/>
      <c r="C54" s="2197" t="s">
        <v>1559</v>
      </c>
      <c r="D54" s="2202">
        <f>1500*0.87</f>
        <v>1305</v>
      </c>
      <c r="E54" s="2163">
        <f>1500*0.87</f>
        <v>1305</v>
      </c>
      <c r="F54" s="1891">
        <f t="shared" si="2"/>
        <v>2610</v>
      </c>
    </row>
    <row r="55" spans="1:6">
      <c r="A55" s="21"/>
      <c r="B55" s="1865"/>
      <c r="C55" s="1876"/>
      <c r="D55" s="1971"/>
      <c r="E55" s="1972"/>
      <c r="F55" s="1891">
        <f t="shared" si="2"/>
        <v>0</v>
      </c>
    </row>
    <row r="56" spans="1:6">
      <c r="A56" s="21"/>
      <c r="B56" s="1865"/>
      <c r="C56" s="1876"/>
      <c r="D56" s="1971"/>
      <c r="E56" s="1972"/>
      <c r="F56" s="1891">
        <f t="shared" si="2"/>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120"/>
      <c r="D59" s="1971"/>
      <c r="E59" s="1988"/>
      <c r="F59" s="1891">
        <f>SUM(D59:E59)</f>
        <v>0</v>
      </c>
    </row>
    <row r="60" spans="1:6">
      <c r="A60" s="21"/>
      <c r="B60" s="1865"/>
      <c r="C60" s="1876"/>
      <c r="D60" s="1971"/>
      <c r="E60" s="1988"/>
      <c r="F60" s="1891">
        <f>SUM(D60:E60)</f>
        <v>0</v>
      </c>
    </row>
    <row r="61" spans="1:6">
      <c r="C61" s="1876"/>
      <c r="D61" s="1971"/>
      <c r="E61" s="1988"/>
      <c r="F61" s="1891">
        <v>0</v>
      </c>
    </row>
    <row r="62" spans="1:6">
      <c r="C62" s="1952"/>
      <c r="D62" s="1958"/>
      <c r="E62" s="1955"/>
      <c r="F62" s="1958"/>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pane xSplit="1" ySplit="1" topLeftCell="B2" activePane="bottomRight" state="frozen"/>
      <selection pane="bottomRight" activeCell="E17" sqref="E17"/>
      <pageMargins left="0.21" right="0.22" top="0.75" bottom="0.75" header="0.3" footer="0.3"/>
      <pageSetup paperSize="3" scale="60" orientation="landscape" r:id="rId1"/>
    </customSheetView>
    <customSheetView guid="{D9EFFE19-D14B-4C6F-BDF4-FF696F73968D}" showGridLines="0">
      <pane xSplit="1" ySplit="1" topLeftCell="B2" activePane="bottomRight" state="frozen"/>
      <selection pane="bottomRight" activeCell="E31" sqref="E31"/>
      <pageMargins left="0.21" right="0.22" top="0.75" bottom="0.75" header="0.3" footer="0.3"/>
      <pageSetup paperSize="3" scale="60" orientation="landscape" r:id="rId2"/>
    </customSheetView>
  </customSheetViews>
  <pageMargins left="0.21" right="0.22" top="0.75" bottom="0.75" header="0.3" footer="0.3"/>
  <pageSetup paperSize="3" scale="60" orientation="landscape"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C000"/>
    <pageSetUpPr fitToPage="1"/>
  </sheetPr>
  <dimension ref="A1:S66"/>
  <sheetViews>
    <sheetView showGridLines="0" zoomScaleNormal="100" workbookViewId="0">
      <pane xSplit="1" ySplit="1" topLeftCell="B5" activePane="bottomRight" state="frozen"/>
      <selection pane="topRight" activeCell="B1" sqref="B1"/>
      <selection pane="bottomLeft" activeCell="A2" sqref="A2"/>
      <selection pane="bottomRight" activeCell="J37" sqref="J37"/>
    </sheetView>
  </sheetViews>
  <sheetFormatPr defaultRowHeight="12.75"/>
  <cols>
    <col min="1" max="1" width="18.7109375" customWidth="1"/>
    <col min="2" max="2" width="16.7109375" style="1866" customWidth="1"/>
    <col min="3" max="3" width="28.5703125" customWidth="1"/>
    <col min="4" max="5" width="19.5703125" customWidth="1"/>
    <col min="6" max="6" width="23.7109375" customWidth="1"/>
    <col min="7" max="7" width="18.7109375" customWidth="1"/>
    <col min="8" max="8" width="23.7109375" customWidth="1"/>
    <col min="9" max="9" width="19.5703125" customWidth="1"/>
    <col min="10" max="10" width="17.140625" customWidth="1"/>
    <col min="11" max="11" width="23.7109375" customWidth="1"/>
    <col min="12" max="12" width="20.140625" customWidth="1"/>
    <col min="13" max="13" width="19" customWidth="1"/>
    <col min="14" max="14" width="19.7109375" customWidth="1"/>
    <col min="15" max="15" width="16.28515625" customWidth="1"/>
    <col min="16" max="16" width="17.42578125" customWidth="1"/>
    <col min="17" max="17" width="10.5703125" customWidth="1"/>
    <col min="18" max="18" width="15" customWidth="1"/>
  </cols>
  <sheetData>
    <row r="1" spans="1:19" ht="51.75" customHeight="1">
      <c r="D1" s="1831" t="s">
        <v>27</v>
      </c>
      <c r="E1" s="1811" t="s">
        <v>25</v>
      </c>
      <c r="F1" s="1882">
        <v>18230703</v>
      </c>
      <c r="G1" s="1812" t="s">
        <v>31</v>
      </c>
      <c r="M1" s="1831" t="s">
        <v>27</v>
      </c>
      <c r="N1" s="1811" t="s">
        <v>25</v>
      </c>
      <c r="O1" s="1882">
        <v>18230703</v>
      </c>
      <c r="P1" s="1812" t="s">
        <v>31</v>
      </c>
    </row>
    <row r="2" spans="1:19" ht="16.5" thickBot="1">
      <c r="D2" s="39"/>
      <c r="E2" s="1800"/>
      <c r="F2" s="1800"/>
      <c r="G2" s="1805"/>
      <c r="H2" s="1576" t="s">
        <v>674</v>
      </c>
      <c r="I2" s="1805"/>
      <c r="J2" s="1805"/>
      <c r="K2" s="1805"/>
      <c r="L2" s="1805"/>
      <c r="M2" s="1805"/>
      <c r="N2" s="1805"/>
      <c r="O2" s="1805"/>
      <c r="P2" s="1805"/>
      <c r="Q2" s="1805"/>
    </row>
    <row r="3" spans="1:19" ht="26.25" thickBot="1">
      <c r="A3" s="1844" t="s">
        <v>27</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14843</v>
      </c>
      <c r="I4" s="2002">
        <v>0</v>
      </c>
      <c r="J4" s="2002">
        <v>10494</v>
      </c>
      <c r="K4" s="2002">
        <v>0</v>
      </c>
      <c r="L4" s="2002">
        <v>30</v>
      </c>
      <c r="M4" s="2002">
        <v>4030</v>
      </c>
      <c r="N4" s="2002">
        <v>0</v>
      </c>
      <c r="O4" s="2002">
        <v>0</v>
      </c>
      <c r="P4" s="2002">
        <v>0</v>
      </c>
      <c r="Q4" s="2002"/>
      <c r="R4" s="2002">
        <v>29397</v>
      </c>
      <c r="S4" s="1998"/>
    </row>
    <row r="5" spans="1:19" ht="15.75">
      <c r="A5" s="1882">
        <v>18230703</v>
      </c>
      <c r="B5" s="1974"/>
      <c r="E5" s="1866"/>
      <c r="F5" s="1866"/>
      <c r="G5" s="1228">
        <v>2016</v>
      </c>
      <c r="H5" s="1582">
        <f>D15</f>
        <v>13679.41</v>
      </c>
      <c r="I5" s="1549">
        <f>D21</f>
        <v>0</v>
      </c>
      <c r="J5" s="1549">
        <f>D27</f>
        <v>9124.1664700000001</v>
      </c>
      <c r="K5" s="1549">
        <f>D34</f>
        <v>0</v>
      </c>
      <c r="L5" s="1549">
        <f>D40</f>
        <v>156</v>
      </c>
      <c r="M5" s="1549">
        <f>D46</f>
        <v>42900</v>
      </c>
      <c r="N5" s="1549">
        <f>D52</f>
        <v>0</v>
      </c>
      <c r="O5" s="1549">
        <f>D58</f>
        <v>0</v>
      </c>
      <c r="P5" s="1549">
        <v>0</v>
      </c>
      <c r="Q5" s="1549"/>
      <c r="R5" s="1549">
        <f>SUM(H5:P5)</f>
        <v>65859.57647</v>
      </c>
      <c r="S5" s="1999"/>
    </row>
    <row r="6" spans="1:19" ht="16.5" thickBot="1">
      <c r="A6" s="1976" t="s">
        <v>31</v>
      </c>
      <c r="B6" s="1882"/>
      <c r="C6" s="244"/>
      <c r="E6" s="1866"/>
      <c r="F6" s="1866"/>
      <c r="G6" s="1228">
        <v>2017</v>
      </c>
      <c r="H6" s="57">
        <f>E15</f>
        <v>14021.4</v>
      </c>
      <c r="I6" s="1990">
        <f>E21</f>
        <v>0</v>
      </c>
      <c r="J6" s="1989">
        <f>E27</f>
        <v>9534.5519999999997</v>
      </c>
      <c r="K6" s="58">
        <f>E34</f>
        <v>0</v>
      </c>
      <c r="L6" s="58">
        <f>E40</f>
        <v>156</v>
      </c>
      <c r="M6" s="58">
        <f>E46</f>
        <v>2600</v>
      </c>
      <c r="N6" s="58">
        <f>E52</f>
        <v>0</v>
      </c>
      <c r="O6" s="58">
        <f>E58</f>
        <v>0</v>
      </c>
      <c r="P6" s="58">
        <v>0</v>
      </c>
      <c r="Q6" s="58"/>
      <c r="R6" s="58">
        <f>SUM(H6:P6)</f>
        <v>26311.951999999997</v>
      </c>
      <c r="S6" s="1996"/>
    </row>
    <row r="7" spans="1:19" s="18" customFormat="1" ht="13.5" thickBot="1">
      <c r="B7" s="1978"/>
      <c r="E7" s="1862"/>
      <c r="F7" s="1862"/>
      <c r="G7" s="598" t="s">
        <v>23</v>
      </c>
      <c r="H7" s="1564">
        <f>SUM(H5:H6)</f>
        <v>27700.809999999998</v>
      </c>
      <c r="I7" s="1991">
        <f t="shared" ref="I7:P7" si="0">SUM(I5:I6)</f>
        <v>0</v>
      </c>
      <c r="J7" s="1992">
        <f t="shared" si="0"/>
        <v>18658.71847</v>
      </c>
      <c r="K7" s="1993">
        <f t="shared" si="0"/>
        <v>0</v>
      </c>
      <c r="L7" s="1991">
        <f t="shared" si="0"/>
        <v>312</v>
      </c>
      <c r="M7" s="1992">
        <f t="shared" si="0"/>
        <v>45500</v>
      </c>
      <c r="N7" s="1991">
        <f t="shared" si="0"/>
        <v>0</v>
      </c>
      <c r="O7" s="1992">
        <f t="shared" si="0"/>
        <v>0</v>
      </c>
      <c r="P7" s="1993">
        <f t="shared" si="0"/>
        <v>0</v>
      </c>
      <c r="Q7" s="1993"/>
      <c r="R7" s="1991">
        <f>SUM(R5:R6)</f>
        <v>92171.52846999999</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65859.57647</v>
      </c>
      <c r="E12" s="1948">
        <f>E15+E21+E27+E34+E40+E46+E52+E58</f>
        <v>26311.951999999997</v>
      </c>
      <c r="F12" s="1924">
        <f>D12+E12</f>
        <v>92171.52846999999</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13679.41</v>
      </c>
      <c r="E15" s="1926">
        <f>SUM(E16:E19)</f>
        <v>14021.4</v>
      </c>
      <c r="F15" s="1924">
        <f>SUM(F16:F19)</f>
        <v>27700.809999999998</v>
      </c>
      <c r="G15" s="30"/>
      <c r="H15" s="30"/>
    </row>
    <row r="16" spans="1:19" ht="13.5" customHeight="1">
      <c r="A16" s="21"/>
      <c r="B16" s="1885">
        <v>0.13</v>
      </c>
      <c r="C16" s="2060" t="s">
        <v>781</v>
      </c>
      <c r="D16" s="1907">
        <v>13679.41</v>
      </c>
      <c r="E16" s="1906">
        <v>14021.4</v>
      </c>
      <c r="F16" s="1879">
        <f>SUM(D16:E16)</f>
        <v>27700.809999999998</v>
      </c>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0.13</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9124.1664700000001</v>
      </c>
      <c r="E27" s="1926">
        <f>SUM(E29:E32)</f>
        <v>9534.5519999999997</v>
      </c>
      <c r="F27" s="1924">
        <f>SUM(F29:F32)</f>
        <v>18658.71847</v>
      </c>
    </row>
    <row r="28" spans="1:7" ht="13.5" customHeight="1">
      <c r="A28" s="21"/>
      <c r="B28" s="1865"/>
      <c r="C28" s="1909" t="s">
        <v>315</v>
      </c>
      <c r="D28" s="1912">
        <v>0.66700000000000004</v>
      </c>
      <c r="E28" s="1913">
        <v>0.68</v>
      </c>
      <c r="F28" s="1949"/>
    </row>
    <row r="29" spans="1:7" ht="13.5" customHeight="1">
      <c r="A29" s="21"/>
      <c r="B29" s="1865"/>
      <c r="C29" s="1876" t="s">
        <v>778</v>
      </c>
      <c r="D29" s="1971">
        <f>D15*D28</f>
        <v>9124.1664700000001</v>
      </c>
      <c r="E29" s="1972">
        <f>E15*E28</f>
        <v>9534.5519999999997</v>
      </c>
      <c r="F29" s="1891">
        <f>SUM(D29:E29)</f>
        <v>18658.71847</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42"/>
      <c r="B34" s="1865"/>
      <c r="C34" s="1910" t="s">
        <v>49</v>
      </c>
      <c r="D34" s="1911">
        <v>0</v>
      </c>
      <c r="E34" s="1926">
        <v>0</v>
      </c>
      <c r="F34" s="1924">
        <v>0</v>
      </c>
      <c r="G34" s="38"/>
    </row>
    <row r="35" spans="1:7">
      <c r="A35" s="1844" t="s">
        <v>510</v>
      </c>
      <c r="B35" s="1863"/>
      <c r="C35" s="1876"/>
      <c r="D35" s="1971"/>
      <c r="E35" s="1988"/>
      <c r="F35" s="1891">
        <v>0</v>
      </c>
    </row>
    <row r="36" spans="1:7" s="18" customFormat="1" ht="13.5" customHeight="1">
      <c r="A36" s="2301" t="s">
        <v>517</v>
      </c>
      <c r="B36" s="1865"/>
      <c r="C36" s="1876"/>
      <c r="D36" s="1971"/>
      <c r="E36" s="1988"/>
      <c r="F36" s="1891">
        <v>0</v>
      </c>
    </row>
    <row r="37" spans="1:7" ht="13.5" customHeight="1">
      <c r="A37" s="1974" t="s">
        <v>25</v>
      </c>
      <c r="B37" s="1865"/>
      <c r="C37" s="1876"/>
      <c r="D37" s="1971"/>
      <c r="E37" s="1988"/>
      <c r="F37" s="1891">
        <v>0</v>
      </c>
    </row>
    <row r="38" spans="1:7" ht="13.5" customHeight="1">
      <c r="A38" s="1882">
        <v>18230703</v>
      </c>
      <c r="B38" s="1865"/>
      <c r="C38" s="1876"/>
      <c r="D38" s="1971"/>
      <c r="E38" s="1988"/>
      <c r="F38" s="1891">
        <v>0</v>
      </c>
    </row>
    <row r="39" spans="1:7" ht="13.5" customHeight="1">
      <c r="A39" s="1976" t="s">
        <v>31</v>
      </c>
      <c r="B39" s="1865"/>
      <c r="C39" s="1952"/>
      <c r="D39" s="1958"/>
      <c r="E39" s="1955"/>
      <c r="F39" s="1958"/>
    </row>
    <row r="40" spans="1:7" ht="13.5" customHeight="1">
      <c r="A40" s="21"/>
      <c r="B40" s="1865"/>
      <c r="C40" s="2106" t="s">
        <v>506</v>
      </c>
      <c r="D40" s="1911">
        <f>SUM(D41:D44)</f>
        <v>156</v>
      </c>
      <c r="E40" s="1926">
        <f>SUM(E41:E44)</f>
        <v>156</v>
      </c>
      <c r="F40" s="1924">
        <f t="shared" ref="F40:F56" si="1">SUM(D40:E40)</f>
        <v>312</v>
      </c>
    </row>
    <row r="41" spans="1:7" ht="13.5" customHeight="1">
      <c r="A41" s="21"/>
      <c r="B41" s="1865"/>
      <c r="C41" s="1876" t="s">
        <v>816</v>
      </c>
      <c r="D41" s="1971">
        <v>156</v>
      </c>
      <c r="E41" s="1988">
        <v>156</v>
      </c>
      <c r="F41" s="1891">
        <f t="shared" si="1"/>
        <v>312</v>
      </c>
    </row>
    <row r="42" spans="1:7" ht="13.5" customHeight="1">
      <c r="A42" s="21"/>
      <c r="B42" s="1865"/>
      <c r="C42" s="1876"/>
      <c r="D42" s="1971"/>
      <c r="E42" s="1988"/>
      <c r="F42" s="1891">
        <f t="shared" si="1"/>
        <v>0</v>
      </c>
    </row>
    <row r="43" spans="1:7" ht="13.5" customHeight="1">
      <c r="A43" s="21"/>
      <c r="B43" s="1865"/>
      <c r="C43" s="1876"/>
      <c r="D43" s="1971"/>
      <c r="E43" s="1988"/>
      <c r="F43" s="1891">
        <f t="shared" si="1"/>
        <v>0</v>
      </c>
    </row>
    <row r="44" spans="1:7" ht="13.5" customHeight="1">
      <c r="A44" s="21"/>
      <c r="B44" s="1865"/>
      <c r="C44" s="1876"/>
      <c r="D44" s="1971"/>
      <c r="E44" s="1988"/>
      <c r="F44" s="1891">
        <f t="shared" si="1"/>
        <v>0</v>
      </c>
    </row>
    <row r="45" spans="1:7" ht="13.5" customHeight="1">
      <c r="A45" s="21"/>
      <c r="B45" s="1865"/>
      <c r="C45" s="1952"/>
      <c r="D45" s="1958"/>
      <c r="E45" s="1955"/>
      <c r="F45" s="1958"/>
    </row>
    <row r="46" spans="1:7" ht="13.5" customHeight="1">
      <c r="A46" s="21"/>
      <c r="B46" s="1865"/>
      <c r="C46" s="1910" t="s">
        <v>50</v>
      </c>
      <c r="D46" s="1911">
        <f>SUM(D47:D50)</f>
        <v>42900</v>
      </c>
      <c r="E46" s="1926">
        <f>SUM(E47:E50)</f>
        <v>2600</v>
      </c>
      <c r="F46" s="1924">
        <f t="shared" si="1"/>
        <v>45500</v>
      </c>
    </row>
    <row r="47" spans="1:7" ht="13.5" customHeight="1">
      <c r="A47" s="21"/>
      <c r="B47" s="1865"/>
      <c r="C47" s="2060" t="s">
        <v>782</v>
      </c>
      <c r="D47" s="1971">
        <v>42900</v>
      </c>
      <c r="E47" s="1988">
        <v>2600</v>
      </c>
      <c r="F47" s="1891">
        <f t="shared" si="1"/>
        <v>45500</v>
      </c>
    </row>
    <row r="48" spans="1:7"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5"/>
      <c r="D53" s="1971"/>
      <c r="E53" s="1972"/>
      <c r="F53" s="1891">
        <f t="shared" si="1"/>
        <v>0</v>
      </c>
    </row>
    <row r="54" spans="1:6" ht="13.5" customHeight="1">
      <c r="A54" s="21"/>
      <c r="B54" s="1865"/>
      <c r="C54" s="2065"/>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5" activePane="bottomRight" state="frozen"/>
      <selection pane="bottomRight" activeCell="E17" sqref="E17"/>
      <pageMargins left="0.24" right="0.21" top="0.38" bottom="0.37" header="0.3" footer="0.3"/>
      <pageSetup paperSize="17" scale="62" orientation="landscape" r:id="rId1"/>
    </customSheetView>
    <customSheetView guid="{D9EFFE19-D14B-4C6F-BDF4-FF696F73968D}" showGridLines="0" fitToPage="1">
      <pane xSplit="1" ySplit="1" topLeftCell="B5" activePane="bottomRight" state="frozen"/>
      <selection pane="bottomRight"/>
      <pageMargins left="0.24" right="0.21" top="0.38" bottom="0.37" header="0.3" footer="0.3"/>
      <pageSetup paperSize="17" scale="62" orientation="landscape" r:id="rId2"/>
    </customSheetView>
  </customSheetViews>
  <pageMargins left="0.24" right="0.21" top="0.38" bottom="0.37" header="0.3" footer="0.3"/>
  <pageSetup paperSize="17" scale="62"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B1:V91"/>
  <sheetViews>
    <sheetView workbookViewId="0">
      <pane xSplit="8" ySplit="5" topLeftCell="P51" activePane="bottomRight" state="frozen"/>
      <selection pane="topRight" activeCell="I1" sqref="I1"/>
      <selection pane="bottomLeft" activeCell="A6" sqref="A6"/>
      <selection pane="bottomRight" activeCell="S64" sqref="S64"/>
    </sheetView>
  </sheetViews>
  <sheetFormatPr defaultRowHeight="12.75"/>
  <cols>
    <col min="1" max="1" width="1.7109375" style="1866" customWidth="1"/>
    <col min="2" max="2" width="19.85546875" style="1867" customWidth="1"/>
    <col min="3" max="3" width="9.5703125" style="1866" customWidth="1"/>
    <col min="4" max="4" width="15.85546875" style="2177" customWidth="1"/>
    <col min="5" max="5" width="3.42578125" style="1866" customWidth="1"/>
    <col min="6" max="6" width="3.42578125" style="2007" customWidth="1"/>
    <col min="7" max="7" width="32" style="2007" customWidth="1"/>
    <col min="8" max="8" width="19.28515625" style="1866" customWidth="1"/>
    <col min="9" max="9" width="15.28515625" style="1605" customWidth="1"/>
    <col min="10" max="10" width="16.5703125" style="1605" customWidth="1"/>
    <col min="11" max="11" width="16.42578125" style="1605" customWidth="1"/>
    <col min="12" max="12" width="15.42578125" style="1605" customWidth="1"/>
    <col min="13" max="13" width="18.42578125" style="1605" customWidth="1"/>
    <col min="14" max="14" width="20" style="1605" customWidth="1"/>
    <col min="15" max="15" width="13.42578125" style="1605" customWidth="1"/>
    <col min="16" max="16" width="15.42578125" style="1605" customWidth="1"/>
    <col min="17" max="17" width="14.7109375" style="1605" customWidth="1"/>
    <col min="18" max="18" width="12.5703125" style="1605" customWidth="1"/>
    <col min="19" max="19" width="16.7109375" style="1605" customWidth="1"/>
    <col min="20" max="20" width="15.140625" style="600" customWidth="1"/>
    <col min="21" max="21" width="2.42578125" style="1866" customWidth="1"/>
    <col min="22" max="22" width="42.7109375" style="1866" customWidth="1"/>
    <col min="23" max="16384" width="9.140625" style="1866"/>
  </cols>
  <sheetData>
    <row r="1" spans="2:22">
      <c r="I1" s="2144">
        <v>5</v>
      </c>
      <c r="J1" s="2144">
        <v>6</v>
      </c>
      <c r="K1" s="2144">
        <v>7</v>
      </c>
      <c r="L1" s="2144">
        <v>8</v>
      </c>
      <c r="M1" s="2144">
        <v>9</v>
      </c>
      <c r="N1" s="2144">
        <v>10</v>
      </c>
      <c r="O1" s="2144">
        <v>11</v>
      </c>
      <c r="P1" s="2144">
        <v>12</v>
      </c>
      <c r="Q1" s="2144">
        <v>13</v>
      </c>
      <c r="R1" s="2144">
        <v>14</v>
      </c>
      <c r="S1" s="2144">
        <v>15</v>
      </c>
      <c r="T1" s="2144">
        <v>16</v>
      </c>
    </row>
    <row r="2" spans="2:22" ht="18">
      <c r="C2" s="551" t="s">
        <v>647</v>
      </c>
      <c r="D2" s="551"/>
    </row>
    <row r="3" spans="2:22" ht="15">
      <c r="C3" s="552" t="s">
        <v>176</v>
      </c>
      <c r="D3" s="552"/>
      <c r="H3" s="1451"/>
      <c r="I3" s="2728" t="s">
        <v>623</v>
      </c>
      <c r="J3" s="2727"/>
    </row>
    <row r="4" spans="2:22" ht="36.75" customHeight="1" thickBot="1">
      <c r="I4" s="2012" t="s">
        <v>45</v>
      </c>
    </row>
    <row r="5" spans="2:22" ht="47.25" thickBot="1">
      <c r="B5" s="1844" t="s">
        <v>366</v>
      </c>
      <c r="C5" s="1866" t="s">
        <v>79</v>
      </c>
      <c r="D5" s="2177" t="s">
        <v>614</v>
      </c>
      <c r="E5" s="3593" t="s">
        <v>728</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1518" t="s">
        <v>174</v>
      </c>
    </row>
    <row r="6" spans="2:22">
      <c r="C6" s="1866" t="s">
        <v>78</v>
      </c>
    </row>
    <row r="7" spans="2:22">
      <c r="B7" s="2259" t="s">
        <v>402</v>
      </c>
      <c r="C7" s="1866" t="s">
        <v>310</v>
      </c>
      <c r="E7" s="1229" t="s">
        <v>175</v>
      </c>
      <c r="H7" s="1340">
        <v>18230661</v>
      </c>
      <c r="I7" s="1605">
        <f>VLOOKUP($E7,'2016 Sector View Gas'!$E$7:$T$78,I$1,FALSE)+VLOOKUP($E7,'2017 Sector View Gas'!$E$7:$T$78,I$1,FALSE)</f>
        <v>40947.11</v>
      </c>
      <c r="J7" s="2142">
        <f>VLOOKUP($E7,'2016 Sector View Gas'!$E$7:$T$78,J$1,FALSE)+VLOOKUP($E7,'2017 Sector View Gas'!$E$7:$T$78,J$1,FALSE)</f>
        <v>3200</v>
      </c>
      <c r="K7" s="2142">
        <f>VLOOKUP($E7,'2016 Sector View Gas'!$E$7:$T$78,K$1,FALSE)+VLOOKUP($E7,'2017 Sector View Gas'!$E$7:$T$78,K$1,FALSE)</f>
        <v>29736.364530000006</v>
      </c>
      <c r="L7" s="2142">
        <f>VLOOKUP($E7,'2016 Sector View Gas'!$E$7:$T$78,L$1,FALSE)+VLOOKUP($E7,'2017 Sector View Gas'!$E$7:$T$78,L$1,FALSE)</f>
        <v>10000</v>
      </c>
      <c r="M7" s="2142">
        <f>VLOOKUP($E7,'2016 Sector View Gas'!$E$7:$T$78,M$1,FALSE)+VLOOKUP($E7,'2017 Sector View Gas'!$E$7:$T$78,M$1,FALSE)</f>
        <v>2000</v>
      </c>
      <c r="N7" s="2142">
        <f>VLOOKUP($E7,'2016 Sector View Gas'!$E$7:$T$78,N$1,FALSE)+VLOOKUP($E7,'2017 Sector View Gas'!$E$7:$T$78,N$1,FALSE)</f>
        <v>2000</v>
      </c>
      <c r="O7" s="2142">
        <f>VLOOKUP($E7,'2016 Sector View Gas'!$E$7:$T$78,O$1,FALSE)+VLOOKUP($E7,'2017 Sector View Gas'!$E$7:$T$78,O$1,FALSE)</f>
        <v>1000</v>
      </c>
      <c r="P7" s="2142">
        <f>VLOOKUP($E7,'2016 Sector View Gas'!$E$7:$T$78,P$1,FALSE)+VLOOKUP($E7,'2017 Sector View Gas'!$E$7:$T$78,P$1,FALSE)</f>
        <v>1000</v>
      </c>
      <c r="Q7" s="2142">
        <f>VLOOKUP($E7,'2016 Sector View Gas'!$E$7:$T$78,Q$1,FALSE)+VLOOKUP($E7,'2017 Sector View Gas'!$E$7:$T$78,Q$1,FALSE)</f>
        <v>478206.71999999997</v>
      </c>
      <c r="R7" s="2142">
        <f>VLOOKUP($E7,'2016 Sector View Gas'!$E$7:$T$78,R$1,FALSE)+VLOOKUP($E7,'2017 Sector View Gas'!$E$7:$T$78,R$1,FALSE)</f>
        <v>0</v>
      </c>
      <c r="S7" s="2142">
        <f>VLOOKUP($E7,'2016 Sector View Gas'!$E$7:$T$78,S$1,FALSE)+VLOOKUP($E7,'2017 Sector View Gas'!$E$7:$T$78,S$1,FALSE)</f>
        <v>568090.19452999998</v>
      </c>
      <c r="T7" s="2144">
        <f>VLOOKUP($E7,'2016 Sector View Gas'!$E$7:$T$78,T$1,FALSE)+VLOOKUP($E7,'2017 Sector View Gas'!$E$7:$T$78,T$1,FALSE)</f>
        <v>37282.520000000004</v>
      </c>
    </row>
    <row r="8" spans="2:22">
      <c r="B8" s="2259" t="s">
        <v>403</v>
      </c>
      <c r="C8" s="1866" t="s">
        <v>82</v>
      </c>
      <c r="E8" s="2177" t="s">
        <v>1656</v>
      </c>
      <c r="H8" s="1340">
        <v>18230635</v>
      </c>
      <c r="I8" s="2142">
        <f>VLOOKUP($E8,'2016 Sector View Gas'!$E$7:$T$78,I$1,FALSE)+VLOOKUP($E8,'2017 Sector View Gas'!$E$7:$T$78,I$1,FALSE)</f>
        <v>0</v>
      </c>
      <c r="J8" s="2142">
        <f>VLOOKUP($E8,'2016 Sector View Gas'!$E$7:$T$78,J$1,FALSE)+VLOOKUP($E8,'2017 Sector View Gas'!$E$7:$T$78,J$1,FALSE)</f>
        <v>0</v>
      </c>
      <c r="K8" s="2142">
        <f>VLOOKUP($E8,'2016 Sector View Gas'!$E$7:$T$78,K$1,FALSE)+VLOOKUP($E8,'2017 Sector View Gas'!$E$7:$T$78,K$1,FALSE)</f>
        <v>0</v>
      </c>
      <c r="L8" s="2142">
        <f>VLOOKUP($E8,'2016 Sector View Gas'!$E$7:$T$78,L$1,FALSE)+VLOOKUP($E8,'2017 Sector View Gas'!$E$7:$T$78,L$1,FALSE)</f>
        <v>0</v>
      </c>
      <c r="M8" s="2142">
        <f>VLOOKUP($E8,'2016 Sector View Gas'!$E$7:$T$78,M$1,FALSE)+VLOOKUP($E8,'2017 Sector View Gas'!$E$7:$T$78,M$1,FALSE)</f>
        <v>0</v>
      </c>
      <c r="N8" s="2142">
        <f>VLOOKUP($E8,'2016 Sector View Gas'!$E$7:$T$78,N$1,FALSE)+VLOOKUP($E8,'2017 Sector View Gas'!$E$7:$T$78,N$1,FALSE)</f>
        <v>0</v>
      </c>
      <c r="O8" s="2142">
        <f>VLOOKUP($E8,'2016 Sector View Gas'!$E$7:$T$78,O$1,FALSE)+VLOOKUP($E8,'2017 Sector View Gas'!$E$7:$T$78,O$1,FALSE)</f>
        <v>0</v>
      </c>
      <c r="P8" s="2142">
        <f>VLOOKUP($E8,'2016 Sector View Gas'!$E$7:$T$78,P$1,FALSE)+VLOOKUP($E8,'2017 Sector View Gas'!$E$7:$T$78,P$1,FALSE)</f>
        <v>0</v>
      </c>
      <c r="Q8" s="2142">
        <f>VLOOKUP($E8,'2016 Sector View Gas'!$E$7:$T$78,Q$1,FALSE)+VLOOKUP($E8,'2017 Sector View Gas'!$E$7:$T$78,Q$1,FALSE)</f>
        <v>0</v>
      </c>
      <c r="R8" s="2142">
        <f>VLOOKUP($E8,'2016 Sector View Gas'!$E$7:$T$78,R$1,FALSE)+VLOOKUP($E8,'2017 Sector View Gas'!$E$7:$T$78,R$1,FALSE)</f>
        <v>0</v>
      </c>
      <c r="S8" s="2142">
        <f>VLOOKUP($E8,'2016 Sector View Gas'!$E$7:$T$78,S$1,FALSE)+VLOOKUP($E8,'2017 Sector View Gas'!$E$7:$T$78,S$1,FALSE)</f>
        <v>0</v>
      </c>
      <c r="T8" s="2144">
        <f>VLOOKUP($E8,'2016 Sector View Gas'!$E$7:$T$78,T$1,FALSE)+VLOOKUP($E8,'2017 Sector View Gas'!$E$7:$T$78,T$1,FALSE)</f>
        <v>0</v>
      </c>
    </row>
    <row r="9" spans="2:22">
      <c r="B9" s="2259" t="s">
        <v>404</v>
      </c>
      <c r="C9" s="1866" t="s">
        <v>82</v>
      </c>
      <c r="E9" s="2177" t="s">
        <v>296</v>
      </c>
      <c r="H9" s="1340">
        <v>18230636</v>
      </c>
      <c r="I9" s="2142">
        <f>VLOOKUP($E9,'2016 Sector View Gas'!$E$7:$T$78,I$1,FALSE)+VLOOKUP($E9,'2017 Sector View Gas'!$E$7:$T$78,I$1,FALSE)</f>
        <v>0</v>
      </c>
      <c r="J9" s="2142">
        <f>VLOOKUP($E9,'2016 Sector View Gas'!$E$7:$T$78,J$1,FALSE)+VLOOKUP($E9,'2017 Sector View Gas'!$E$7:$T$78,J$1,FALSE)</f>
        <v>0</v>
      </c>
      <c r="K9" s="2142">
        <f>VLOOKUP($E9,'2016 Sector View Gas'!$E$7:$T$78,K$1,FALSE)+VLOOKUP($E9,'2017 Sector View Gas'!$E$7:$T$78,K$1,FALSE)</f>
        <v>0</v>
      </c>
      <c r="L9" s="2142">
        <f>VLOOKUP($E9,'2016 Sector View Gas'!$E$7:$T$78,L$1,FALSE)+VLOOKUP($E9,'2017 Sector View Gas'!$E$7:$T$78,L$1,FALSE)</f>
        <v>0</v>
      </c>
      <c r="M9" s="2142">
        <f>VLOOKUP($E9,'2016 Sector View Gas'!$E$7:$T$78,M$1,FALSE)+VLOOKUP($E9,'2017 Sector View Gas'!$E$7:$T$78,M$1,FALSE)</f>
        <v>0</v>
      </c>
      <c r="N9" s="2142">
        <f>VLOOKUP($E9,'2016 Sector View Gas'!$E$7:$T$78,N$1,FALSE)+VLOOKUP($E9,'2017 Sector View Gas'!$E$7:$T$78,N$1,FALSE)</f>
        <v>0</v>
      </c>
      <c r="O9" s="2142">
        <f>VLOOKUP($E9,'2016 Sector View Gas'!$E$7:$T$78,O$1,FALSE)+VLOOKUP($E9,'2017 Sector View Gas'!$E$7:$T$78,O$1,FALSE)</f>
        <v>0</v>
      </c>
      <c r="P9" s="2142">
        <f>VLOOKUP($E9,'2016 Sector View Gas'!$E$7:$T$78,P$1,FALSE)+VLOOKUP($E9,'2017 Sector View Gas'!$E$7:$T$78,P$1,FALSE)</f>
        <v>0</v>
      </c>
      <c r="Q9" s="2142">
        <f>VLOOKUP($E9,'2016 Sector View Gas'!$E$7:$T$78,Q$1,FALSE)+VLOOKUP($E9,'2017 Sector View Gas'!$E$7:$T$78,Q$1,FALSE)</f>
        <v>0</v>
      </c>
      <c r="R9" s="2142">
        <f>VLOOKUP($E9,'2016 Sector View Gas'!$E$7:$T$78,R$1,FALSE)+VLOOKUP($E9,'2017 Sector View Gas'!$E$7:$T$78,R$1,FALSE)</f>
        <v>0</v>
      </c>
      <c r="S9" s="2142">
        <f>VLOOKUP($E9,'2016 Sector View Gas'!$E$7:$T$78,S$1,FALSE)+VLOOKUP($E9,'2017 Sector View Gas'!$E$7:$T$78,S$1,FALSE)</f>
        <v>0</v>
      </c>
      <c r="T9" s="2144">
        <f>VLOOKUP($E9,'2016 Sector View Gas'!$E$7:$T$78,T$1,FALSE)+VLOOKUP($E9,'2017 Sector View Gas'!$E$7:$T$78,T$1,FALSE)</f>
        <v>0</v>
      </c>
    </row>
    <row r="10" spans="2:22">
      <c r="B10" s="2259" t="s">
        <v>405</v>
      </c>
      <c r="C10" s="1866" t="s">
        <v>82</v>
      </c>
      <c r="E10" s="2177" t="s">
        <v>303</v>
      </c>
      <c r="H10" s="1340">
        <v>18230637</v>
      </c>
      <c r="I10" s="2142">
        <f>VLOOKUP($E10,'2016 Sector View Gas'!$E$7:$T$78,I$1,FALSE)+VLOOKUP($E10,'2017 Sector View Gas'!$E$7:$T$78,I$1,FALSE)</f>
        <v>62400.880000000005</v>
      </c>
      <c r="J10" s="2142">
        <f>VLOOKUP($E10,'2016 Sector View Gas'!$E$7:$T$78,J$1,FALSE)+VLOOKUP($E10,'2017 Sector View Gas'!$E$7:$T$78,J$1,FALSE)</f>
        <v>24312.15</v>
      </c>
      <c r="K10" s="2142">
        <f>VLOOKUP($E10,'2016 Sector View Gas'!$E$7:$T$78,K$1,FALSE)+VLOOKUP($E10,'2017 Sector View Gas'!$E$7:$T$78,K$1,FALSE)</f>
        <v>58408.184540000009</v>
      </c>
      <c r="L10" s="2142">
        <f>VLOOKUP($E10,'2016 Sector View Gas'!$E$7:$T$78,L$1,FALSE)+VLOOKUP($E10,'2017 Sector View Gas'!$E$7:$T$78,L$1,FALSE)</f>
        <v>82357.88</v>
      </c>
      <c r="M10" s="2142">
        <f>VLOOKUP($E10,'2016 Sector View Gas'!$E$7:$T$78,M$1,FALSE)+VLOOKUP($E10,'2017 Sector View Gas'!$E$7:$T$78,M$1,FALSE)</f>
        <v>5000</v>
      </c>
      <c r="N10" s="2142">
        <f>VLOOKUP($E10,'2016 Sector View Gas'!$E$7:$T$78,N$1,FALSE)+VLOOKUP($E10,'2017 Sector View Gas'!$E$7:$T$78,N$1,FALSE)</f>
        <v>560000</v>
      </c>
      <c r="O10" s="2142">
        <f>VLOOKUP($E10,'2016 Sector View Gas'!$E$7:$T$78,O$1,FALSE)+VLOOKUP($E10,'2017 Sector View Gas'!$E$7:$T$78,O$1,FALSE)</f>
        <v>0</v>
      </c>
      <c r="P10" s="2142">
        <f>VLOOKUP($E10,'2016 Sector View Gas'!$E$7:$T$78,P$1,FALSE)+VLOOKUP($E10,'2017 Sector View Gas'!$E$7:$T$78,P$1,FALSE)</f>
        <v>30000</v>
      </c>
      <c r="Q10" s="2142">
        <f>VLOOKUP($E10,'2016 Sector View Gas'!$E$7:$T$78,Q$1,FALSE)+VLOOKUP($E10,'2017 Sector View Gas'!$E$7:$T$78,Q$1,FALSE)</f>
        <v>4454610</v>
      </c>
      <c r="R10" s="2142">
        <f>VLOOKUP($E10,'2016 Sector View Gas'!$E$7:$T$78,R$1,FALSE)+VLOOKUP($E10,'2017 Sector View Gas'!$E$7:$T$78,R$1,FALSE)</f>
        <v>0</v>
      </c>
      <c r="S10" s="2142">
        <f>VLOOKUP($E10,'2016 Sector View Gas'!$E$7:$T$78,S$1,FALSE)+VLOOKUP($E10,'2017 Sector View Gas'!$E$7:$T$78,S$1,FALSE)</f>
        <v>5277089.09454</v>
      </c>
      <c r="T10" s="2144">
        <f>VLOOKUP($E10,'2016 Sector View Gas'!$E$7:$T$78,T$1,FALSE)+VLOOKUP($E10,'2017 Sector View Gas'!$E$7:$T$78,T$1,FALSE)</f>
        <v>782375</v>
      </c>
    </row>
    <row r="11" spans="2:22">
      <c r="B11" s="2259" t="s">
        <v>406</v>
      </c>
      <c r="C11" s="1866" t="s">
        <v>82</v>
      </c>
      <c r="E11" s="2177" t="s">
        <v>302</v>
      </c>
      <c r="H11" s="1340">
        <v>18230638</v>
      </c>
      <c r="I11" s="2142">
        <f>VLOOKUP($E11,'2016 Sector View Gas'!$E$7:$T$78,I$1,FALSE)+VLOOKUP($E11,'2017 Sector View Gas'!$E$7:$T$78,I$1,FALSE)</f>
        <v>88095.360000000015</v>
      </c>
      <c r="J11" s="2142">
        <f>VLOOKUP($E11,'2016 Sector View Gas'!$E$7:$T$78,J$1,FALSE)+VLOOKUP($E11,'2017 Sector View Gas'!$E$7:$T$78,J$1,FALSE)</f>
        <v>28364.174999999999</v>
      </c>
      <c r="K11" s="2142">
        <f>VLOOKUP($E11,'2016 Sector View Gas'!$E$7:$T$78,K$1,FALSE)+VLOOKUP($E11,'2017 Sector View Gas'!$E$7:$T$78,K$1,FALSE)</f>
        <v>78444.842880000011</v>
      </c>
      <c r="L11" s="2142">
        <f>VLOOKUP($E11,'2016 Sector View Gas'!$E$7:$T$78,L$1,FALSE)+VLOOKUP($E11,'2017 Sector View Gas'!$E$7:$T$78,L$1,FALSE)</f>
        <v>450000</v>
      </c>
      <c r="M11" s="2142">
        <f>VLOOKUP($E11,'2016 Sector View Gas'!$E$7:$T$78,M$1,FALSE)+VLOOKUP($E11,'2017 Sector View Gas'!$E$7:$T$78,M$1,FALSE)</f>
        <v>10800</v>
      </c>
      <c r="N11" s="2142">
        <f>VLOOKUP($E11,'2016 Sector View Gas'!$E$7:$T$78,N$1,FALSE)+VLOOKUP($E11,'2017 Sector View Gas'!$E$7:$T$78,N$1,FALSE)</f>
        <v>36000</v>
      </c>
      <c r="O11" s="2142">
        <f>VLOOKUP($E11,'2016 Sector View Gas'!$E$7:$T$78,O$1,FALSE)+VLOOKUP($E11,'2017 Sector View Gas'!$E$7:$T$78,O$1,FALSE)</f>
        <v>34400</v>
      </c>
      <c r="P11" s="2142">
        <f>VLOOKUP($E11,'2016 Sector View Gas'!$E$7:$T$78,P$1,FALSE)+VLOOKUP($E11,'2017 Sector View Gas'!$E$7:$T$78,P$1,FALSE)</f>
        <v>8000</v>
      </c>
      <c r="Q11" s="2142">
        <f>VLOOKUP($E11,'2016 Sector View Gas'!$E$7:$T$78,Q$1,FALSE)+VLOOKUP($E11,'2017 Sector View Gas'!$E$7:$T$78,Q$1,FALSE)</f>
        <v>4110500</v>
      </c>
      <c r="R11" s="2142">
        <f>VLOOKUP($E11,'2016 Sector View Gas'!$E$7:$T$78,R$1,FALSE)+VLOOKUP($E11,'2017 Sector View Gas'!$E$7:$T$78,R$1,FALSE)</f>
        <v>0</v>
      </c>
      <c r="S11" s="2142">
        <f>VLOOKUP($E11,'2016 Sector View Gas'!$E$7:$T$78,S$1,FALSE)+VLOOKUP($E11,'2017 Sector View Gas'!$E$7:$T$78,S$1,FALSE)</f>
        <v>4844604.3778799996</v>
      </c>
      <c r="T11" s="2144">
        <f>VLOOKUP($E11,'2016 Sector View Gas'!$E$7:$T$78,T$1,FALSE)+VLOOKUP($E11,'2017 Sector View Gas'!$E$7:$T$78,T$1,FALSE)</f>
        <v>1291410</v>
      </c>
    </row>
    <row r="12" spans="2:22">
      <c r="B12" s="2259" t="s">
        <v>407</v>
      </c>
      <c r="C12" s="1866" t="s">
        <v>82</v>
      </c>
      <c r="E12" s="2177" t="s">
        <v>293</v>
      </c>
      <c r="H12" s="1340">
        <v>18230700</v>
      </c>
      <c r="I12" s="2142">
        <f>VLOOKUP($E12,'2016 Sector View Gas'!$E$7:$T$78,I$1,FALSE)+VLOOKUP($E12,'2017 Sector View Gas'!$E$7:$T$78,I$1,FALSE)</f>
        <v>30021.119999999995</v>
      </c>
      <c r="J12" s="2142">
        <f>VLOOKUP($E12,'2016 Sector View Gas'!$E$7:$T$78,J$1,FALSE)+VLOOKUP($E12,'2017 Sector View Gas'!$E$7:$T$78,J$1,FALSE)</f>
        <v>3240</v>
      </c>
      <c r="K12" s="2142">
        <f>VLOOKUP($E12,'2016 Sector View Gas'!$E$7:$T$78,K$1,FALSE)+VLOOKUP($E12,'2017 Sector View Gas'!$E$7:$T$78,K$1,FALSE)</f>
        <v>22404.03296</v>
      </c>
      <c r="L12" s="2142">
        <f>VLOOKUP($E12,'2016 Sector View Gas'!$E$7:$T$78,L$1,FALSE)+VLOOKUP($E12,'2017 Sector View Gas'!$E$7:$T$78,L$1,FALSE)</f>
        <v>206900.84999999998</v>
      </c>
      <c r="M12" s="2142">
        <f>VLOOKUP($E12,'2016 Sector View Gas'!$E$7:$T$78,M$1,FALSE)+VLOOKUP($E12,'2017 Sector View Gas'!$E$7:$T$78,M$1,FALSE)</f>
        <v>600</v>
      </c>
      <c r="N12" s="2142">
        <f>VLOOKUP($E12,'2016 Sector View Gas'!$E$7:$T$78,N$1,FALSE)+VLOOKUP($E12,'2017 Sector View Gas'!$E$7:$T$78,N$1,FALSE)</f>
        <v>40000</v>
      </c>
      <c r="O12" s="2142">
        <f>VLOOKUP($E12,'2016 Sector View Gas'!$E$7:$T$78,O$1,FALSE)+VLOOKUP($E12,'2017 Sector View Gas'!$E$7:$T$78,O$1,FALSE)</f>
        <v>1000</v>
      </c>
      <c r="P12" s="2142">
        <f>VLOOKUP($E12,'2016 Sector View Gas'!$E$7:$T$78,P$1,FALSE)+VLOOKUP($E12,'2017 Sector View Gas'!$E$7:$T$78,P$1,FALSE)</f>
        <v>600</v>
      </c>
      <c r="Q12" s="2142">
        <f>VLOOKUP($E12,'2016 Sector View Gas'!$E$7:$T$78,Q$1,FALSE)+VLOOKUP($E12,'2017 Sector View Gas'!$E$7:$T$78,Q$1,FALSE)</f>
        <v>754782</v>
      </c>
      <c r="R12" s="2142">
        <f>VLOOKUP($E12,'2016 Sector View Gas'!$E$7:$T$78,R$1,FALSE)+VLOOKUP($E12,'2017 Sector View Gas'!$E$7:$T$78,R$1,FALSE)</f>
        <v>0</v>
      </c>
      <c r="S12" s="2142">
        <f>VLOOKUP($E12,'2016 Sector View Gas'!$E$7:$T$78,S$1,FALSE)+VLOOKUP($E12,'2017 Sector View Gas'!$E$7:$T$78,S$1,FALSE)</f>
        <v>1059548.00296</v>
      </c>
      <c r="T12" s="2144">
        <f>VLOOKUP($E12,'2016 Sector View Gas'!$E$7:$T$78,T$1,FALSE)+VLOOKUP($E12,'2017 Sector View Gas'!$E$7:$T$78,T$1,FALSE)</f>
        <v>653261.52</v>
      </c>
    </row>
    <row r="13" spans="2:22">
      <c r="B13" s="2259" t="s">
        <v>408</v>
      </c>
      <c r="C13" s="1866" t="s">
        <v>82</v>
      </c>
      <c r="E13" s="1866" t="s">
        <v>68</v>
      </c>
      <c r="H13" s="1340" t="s">
        <v>258</v>
      </c>
      <c r="I13" s="2142">
        <f>VLOOKUP($E13,'2016 Sector View Gas'!$E$7:$T$78,I$1,FALSE)+VLOOKUP($E13,'2017 Sector View Gas'!$E$7:$T$78,I$1,FALSE)</f>
        <v>0</v>
      </c>
      <c r="J13" s="2142">
        <f>VLOOKUP($E13,'2016 Sector View Gas'!$E$7:$T$78,J$1,FALSE)+VLOOKUP($E13,'2017 Sector View Gas'!$E$7:$T$78,J$1,FALSE)</f>
        <v>0</v>
      </c>
      <c r="K13" s="2142">
        <f>VLOOKUP($E13,'2016 Sector View Gas'!$E$7:$T$78,K$1,FALSE)+VLOOKUP($E13,'2017 Sector View Gas'!$E$7:$T$78,K$1,FALSE)</f>
        <v>0</v>
      </c>
      <c r="L13" s="2142">
        <f>VLOOKUP($E13,'2016 Sector View Gas'!$E$7:$T$78,L$1,FALSE)+VLOOKUP($E13,'2017 Sector View Gas'!$E$7:$T$78,L$1,FALSE)</f>
        <v>0</v>
      </c>
      <c r="M13" s="2142">
        <f>VLOOKUP($E13,'2016 Sector View Gas'!$E$7:$T$78,M$1,FALSE)+VLOOKUP($E13,'2017 Sector View Gas'!$E$7:$T$78,M$1,FALSE)</f>
        <v>0</v>
      </c>
      <c r="N13" s="2142">
        <f>VLOOKUP($E13,'2016 Sector View Gas'!$E$7:$T$78,N$1,FALSE)+VLOOKUP($E13,'2017 Sector View Gas'!$E$7:$T$78,N$1,FALSE)</f>
        <v>0</v>
      </c>
      <c r="O13" s="2142">
        <f>VLOOKUP($E13,'2016 Sector View Gas'!$E$7:$T$78,O$1,FALSE)+VLOOKUP($E13,'2017 Sector View Gas'!$E$7:$T$78,O$1,FALSE)</f>
        <v>0</v>
      </c>
      <c r="P13" s="2142">
        <f>VLOOKUP($E13,'2016 Sector View Gas'!$E$7:$T$78,P$1,FALSE)+VLOOKUP($E13,'2017 Sector View Gas'!$E$7:$T$78,P$1,FALSE)</f>
        <v>0</v>
      </c>
      <c r="Q13" s="2142">
        <f>VLOOKUP($E13,'2016 Sector View Gas'!$E$7:$T$78,Q$1,FALSE)+VLOOKUP($E13,'2017 Sector View Gas'!$E$7:$T$78,Q$1,FALSE)</f>
        <v>33300</v>
      </c>
      <c r="R13" s="2142">
        <f>VLOOKUP($E13,'2016 Sector View Gas'!$E$7:$T$78,R$1,FALSE)+VLOOKUP($E13,'2017 Sector View Gas'!$E$7:$T$78,R$1,FALSE)</f>
        <v>0</v>
      </c>
      <c r="S13" s="2142">
        <f>VLOOKUP($E13,'2016 Sector View Gas'!$E$7:$T$78,S$1,FALSE)+VLOOKUP($E13,'2017 Sector View Gas'!$E$7:$T$78,S$1,FALSE)</f>
        <v>33300</v>
      </c>
      <c r="T13" s="2144">
        <f>VLOOKUP($E13,'2016 Sector View Gas'!$E$7:$T$78,T$1,FALSE)+VLOOKUP($E13,'2017 Sector View Gas'!$E$7:$T$78,T$1,FALSE)</f>
        <v>93860</v>
      </c>
    </row>
    <row r="14" spans="2:22" s="2140" customFormat="1">
      <c r="B14" s="2259" t="s">
        <v>409</v>
      </c>
      <c r="C14" s="2140" t="s">
        <v>82</v>
      </c>
      <c r="D14" s="2177"/>
      <c r="E14" s="2140" t="s">
        <v>292</v>
      </c>
      <c r="H14" s="2143">
        <v>18230680</v>
      </c>
      <c r="I14" s="2142">
        <f>VLOOKUP($E14,'2016 Sector View Gas'!$E$7:$T$78,I$1,FALSE)+VLOOKUP($E14,'2017 Sector View Gas'!$E$7:$T$78,I$1,FALSE)</f>
        <v>0</v>
      </c>
      <c r="J14" s="2142">
        <f>VLOOKUP($E14,'2016 Sector View Gas'!$E$7:$T$78,J$1,FALSE)+VLOOKUP($E14,'2017 Sector View Gas'!$E$7:$T$78,J$1,FALSE)</f>
        <v>0</v>
      </c>
      <c r="K14" s="2142">
        <f>VLOOKUP($E14,'2016 Sector View Gas'!$E$7:$T$78,K$1,FALSE)+VLOOKUP($E14,'2017 Sector View Gas'!$E$7:$T$78,K$1,FALSE)</f>
        <v>0</v>
      </c>
      <c r="L14" s="2142">
        <f>VLOOKUP($E14,'2016 Sector View Gas'!$E$7:$T$78,L$1,FALSE)+VLOOKUP($E14,'2017 Sector View Gas'!$E$7:$T$78,L$1,FALSE)</f>
        <v>0</v>
      </c>
      <c r="M14" s="2142">
        <f>VLOOKUP($E14,'2016 Sector View Gas'!$E$7:$T$78,M$1,FALSE)+VLOOKUP($E14,'2017 Sector View Gas'!$E$7:$T$78,M$1,FALSE)</f>
        <v>0</v>
      </c>
      <c r="N14" s="2142">
        <f>VLOOKUP($E14,'2016 Sector View Gas'!$E$7:$T$78,N$1,FALSE)+VLOOKUP($E14,'2017 Sector View Gas'!$E$7:$T$78,N$1,FALSE)</f>
        <v>0</v>
      </c>
      <c r="O14" s="2142">
        <f>VLOOKUP($E14,'2016 Sector View Gas'!$E$7:$T$78,O$1,FALSE)+VLOOKUP($E14,'2017 Sector View Gas'!$E$7:$T$78,O$1,FALSE)</f>
        <v>0</v>
      </c>
      <c r="P14" s="2142">
        <f>VLOOKUP($E14,'2016 Sector View Gas'!$E$7:$T$78,P$1,FALSE)+VLOOKUP($E14,'2017 Sector View Gas'!$E$7:$T$78,P$1,FALSE)</f>
        <v>0</v>
      </c>
      <c r="Q14" s="2142">
        <f>VLOOKUP($E14,'2016 Sector View Gas'!$E$7:$T$78,Q$1,FALSE)+VLOOKUP($E14,'2017 Sector View Gas'!$E$7:$T$78,Q$1,FALSE)</f>
        <v>0</v>
      </c>
      <c r="R14" s="2142">
        <f>VLOOKUP($E14,'2016 Sector View Gas'!$E$7:$T$78,R$1,FALSE)+VLOOKUP($E14,'2017 Sector View Gas'!$E$7:$T$78,R$1,FALSE)</f>
        <v>0</v>
      </c>
      <c r="S14" s="2142">
        <f>VLOOKUP($E14,'2016 Sector View Gas'!$E$7:$T$78,S$1,FALSE)+VLOOKUP($E14,'2017 Sector View Gas'!$E$7:$T$78,S$1,FALSE)</f>
        <v>0</v>
      </c>
      <c r="T14" s="2144">
        <f>VLOOKUP($E14,'2016 Sector View Gas'!$E$7:$T$78,T$1,FALSE)+VLOOKUP($E14,'2017 Sector View Gas'!$E$7:$T$78,T$1,FALSE)</f>
        <v>0</v>
      </c>
    </row>
    <row r="15" spans="2:22" s="2140" customFormat="1">
      <c r="B15" s="2259" t="s">
        <v>410</v>
      </c>
      <c r="C15" s="2140" t="s">
        <v>82</v>
      </c>
      <c r="D15" s="2177"/>
      <c r="E15" s="2140" t="s">
        <v>345</v>
      </c>
      <c r="H15" s="2143">
        <v>18230687</v>
      </c>
      <c r="I15" s="2142">
        <f>VLOOKUP($E15,'2016 Sector View Gas'!$E$7:$T$78,I$1,FALSE)+VLOOKUP($E15,'2017 Sector View Gas'!$E$7:$T$78,I$1,FALSE)</f>
        <v>24392.218500000003</v>
      </c>
      <c r="J15" s="2142">
        <f>VLOOKUP($E15,'2016 Sector View Gas'!$E$7:$T$78,J$1,FALSE)+VLOOKUP($E15,'2017 Sector View Gas'!$E$7:$T$78,J$1,FALSE)</f>
        <v>2532</v>
      </c>
      <c r="K15" s="2142">
        <f>VLOOKUP($E15,'2016 Sector View Gas'!$E$7:$T$78,K$1,FALSE)+VLOOKUP($E15,'2017 Sector View Gas'!$E$7:$T$78,K$1,FALSE)</f>
        <v>18135.626560000004</v>
      </c>
      <c r="L15" s="2142">
        <f>VLOOKUP($E15,'2016 Sector View Gas'!$E$7:$T$78,L$1,FALSE)+VLOOKUP($E15,'2017 Sector View Gas'!$E$7:$T$78,L$1,FALSE)</f>
        <v>39822.15</v>
      </c>
      <c r="M15" s="2142">
        <f>VLOOKUP($E15,'2016 Sector View Gas'!$E$7:$T$78,M$1,FALSE)+VLOOKUP($E15,'2017 Sector View Gas'!$E$7:$T$78,M$1,FALSE)</f>
        <v>500</v>
      </c>
      <c r="N15" s="2142">
        <f>VLOOKUP($E15,'2016 Sector View Gas'!$E$7:$T$78,N$1,FALSE)+VLOOKUP($E15,'2017 Sector View Gas'!$E$7:$T$78,N$1,FALSE)</f>
        <v>20000</v>
      </c>
      <c r="O15" s="2142">
        <f>VLOOKUP($E15,'2016 Sector View Gas'!$E$7:$T$78,O$1,FALSE)+VLOOKUP($E15,'2017 Sector View Gas'!$E$7:$T$78,O$1,FALSE)</f>
        <v>500</v>
      </c>
      <c r="P15" s="2142">
        <f>VLOOKUP($E15,'2016 Sector View Gas'!$E$7:$T$78,P$1,FALSE)+VLOOKUP($E15,'2017 Sector View Gas'!$E$7:$T$78,P$1,FALSE)</f>
        <v>500</v>
      </c>
      <c r="Q15" s="2142">
        <f>VLOOKUP($E15,'2016 Sector View Gas'!$E$7:$T$78,Q$1,FALSE)+VLOOKUP($E15,'2017 Sector View Gas'!$E$7:$T$78,Q$1,FALSE)</f>
        <v>300000</v>
      </c>
      <c r="R15" s="2142">
        <f>VLOOKUP($E15,'2016 Sector View Gas'!$E$7:$T$78,R$1,FALSE)+VLOOKUP($E15,'2017 Sector View Gas'!$E$7:$T$78,R$1,FALSE)</f>
        <v>0</v>
      </c>
      <c r="S15" s="2142">
        <f>VLOOKUP($E15,'2016 Sector View Gas'!$E$7:$T$78,S$1,FALSE)+VLOOKUP($E15,'2017 Sector View Gas'!$E$7:$T$78,S$1,FALSE)</f>
        <v>406381.99505999999</v>
      </c>
      <c r="T15" s="2144">
        <f>VLOOKUP($E15,'2016 Sector View Gas'!$E$7:$T$78,T$1,FALSE)+VLOOKUP($E15,'2017 Sector View Gas'!$E$7:$T$78,T$1,FALSE)</f>
        <v>68000</v>
      </c>
    </row>
    <row r="16" spans="2:22">
      <c r="B16" s="2259" t="s">
        <v>411</v>
      </c>
      <c r="C16" s="1866" t="s">
        <v>82</v>
      </c>
      <c r="E16" s="2177" t="s">
        <v>290</v>
      </c>
      <c r="H16" s="1340">
        <v>18230738</v>
      </c>
      <c r="I16" s="2142">
        <f>VLOOKUP($E16,'2016 Sector View Gas'!$E$7:$T$78,I$1,FALSE)+VLOOKUP($E16,'2017 Sector View Gas'!$E$7:$T$78,I$1,FALSE)</f>
        <v>2779.74</v>
      </c>
      <c r="J16" s="2142">
        <f>VLOOKUP($E16,'2016 Sector View Gas'!$E$7:$T$78,J$1,FALSE)+VLOOKUP($E16,'2017 Sector View Gas'!$E$7:$T$78,J$1,FALSE)</f>
        <v>0</v>
      </c>
      <c r="K16" s="2142">
        <f>VLOOKUP($E16,'2016 Sector View Gas'!$E$7:$T$78,K$1,FALSE)+VLOOKUP($E16,'2017 Sector View Gas'!$E$7:$T$78,K$1,FALSE)</f>
        <v>1854.0865799999999</v>
      </c>
      <c r="L16" s="2142">
        <f>VLOOKUP($E16,'2016 Sector View Gas'!$E$7:$T$78,L$1,FALSE)+VLOOKUP($E16,'2017 Sector View Gas'!$E$7:$T$78,L$1,FALSE)</f>
        <v>10142.77</v>
      </c>
      <c r="M16" s="2142">
        <f>VLOOKUP($E16,'2016 Sector View Gas'!$E$7:$T$78,M$1,FALSE)+VLOOKUP($E16,'2017 Sector View Gas'!$E$7:$T$78,M$1,FALSE)</f>
        <v>250</v>
      </c>
      <c r="N16" s="2142">
        <f>VLOOKUP($E16,'2016 Sector View Gas'!$E$7:$T$78,N$1,FALSE)+VLOOKUP($E16,'2017 Sector View Gas'!$E$7:$T$78,N$1,FALSE)</f>
        <v>25243</v>
      </c>
      <c r="O16" s="2142">
        <f>VLOOKUP($E16,'2016 Sector View Gas'!$E$7:$T$78,O$1,FALSE)+VLOOKUP($E16,'2017 Sector View Gas'!$E$7:$T$78,O$1,FALSE)</f>
        <v>100</v>
      </c>
      <c r="P16" s="2142">
        <f>VLOOKUP($E16,'2016 Sector View Gas'!$E$7:$T$78,P$1,FALSE)+VLOOKUP($E16,'2017 Sector View Gas'!$E$7:$T$78,P$1,FALSE)</f>
        <v>150</v>
      </c>
      <c r="Q16" s="2142">
        <f>VLOOKUP($E16,'2016 Sector View Gas'!$E$7:$T$78,Q$1,FALSE)+VLOOKUP($E16,'2017 Sector View Gas'!$E$7:$T$78,Q$1,FALSE)</f>
        <v>25658.01</v>
      </c>
      <c r="R16" s="2142">
        <f>VLOOKUP($E16,'2016 Sector View Gas'!$E$7:$T$78,R$1,FALSE)+VLOOKUP($E16,'2017 Sector View Gas'!$E$7:$T$78,R$1,FALSE)</f>
        <v>0</v>
      </c>
      <c r="S16" s="2142">
        <f>VLOOKUP($E16,'2016 Sector View Gas'!$E$7:$T$78,S$1,FALSE)+VLOOKUP($E16,'2017 Sector View Gas'!$E$7:$T$78,S$1,FALSE)</f>
        <v>66177.606579999992</v>
      </c>
      <c r="T16" s="2144">
        <f>VLOOKUP($E16,'2016 Sector View Gas'!$E$7:$T$78,T$1,FALSE)+VLOOKUP($E16,'2017 Sector View Gas'!$E$7:$T$78,T$1,FALSE)</f>
        <v>239967</v>
      </c>
    </row>
    <row r="17" spans="2:20">
      <c r="B17" s="2259" t="s">
        <v>412</v>
      </c>
      <c r="C17" s="1866" t="s">
        <v>83</v>
      </c>
      <c r="D17" s="2828" t="s">
        <v>591</v>
      </c>
      <c r="E17" s="2177" t="s">
        <v>288</v>
      </c>
      <c r="H17" s="1340">
        <v>18230442</v>
      </c>
      <c r="I17" s="2142">
        <f>VLOOKUP($E17,'2016 Sector View Gas'!$E$7:$T$78,I$1,FALSE)+VLOOKUP($E17,'2017 Sector View Gas'!$E$7:$T$78,I$1,FALSE)</f>
        <v>0</v>
      </c>
      <c r="J17" s="2142">
        <f>VLOOKUP($E17,'2016 Sector View Gas'!$E$7:$T$78,J$1,FALSE)+VLOOKUP($E17,'2017 Sector View Gas'!$E$7:$T$78,J$1,FALSE)</f>
        <v>0</v>
      </c>
      <c r="K17" s="2142">
        <f>VLOOKUP($E17,'2016 Sector View Gas'!$E$7:$T$78,K$1,FALSE)+VLOOKUP($E17,'2017 Sector View Gas'!$E$7:$T$78,K$1,FALSE)</f>
        <v>0</v>
      </c>
      <c r="L17" s="2142">
        <f>VLOOKUP($E17,'2016 Sector View Gas'!$E$7:$T$78,L$1,FALSE)+VLOOKUP($E17,'2017 Sector View Gas'!$E$7:$T$78,L$1,FALSE)</f>
        <v>0</v>
      </c>
      <c r="M17" s="2142">
        <f>VLOOKUP($E17,'2016 Sector View Gas'!$E$7:$T$78,M$1,FALSE)+VLOOKUP($E17,'2017 Sector View Gas'!$E$7:$T$78,M$1,FALSE)</f>
        <v>0</v>
      </c>
      <c r="N17" s="2142">
        <f>VLOOKUP($E17,'2016 Sector View Gas'!$E$7:$T$78,N$1,FALSE)+VLOOKUP($E17,'2017 Sector View Gas'!$E$7:$T$78,N$1,FALSE)</f>
        <v>0</v>
      </c>
      <c r="O17" s="2142">
        <f>VLOOKUP($E17,'2016 Sector View Gas'!$E$7:$T$78,O$1,FALSE)+VLOOKUP($E17,'2017 Sector View Gas'!$E$7:$T$78,O$1,FALSE)</f>
        <v>0</v>
      </c>
      <c r="P17" s="2142">
        <f>VLOOKUP($E17,'2016 Sector View Gas'!$E$7:$T$78,P$1,FALSE)+VLOOKUP($E17,'2017 Sector View Gas'!$E$7:$T$78,P$1,FALSE)</f>
        <v>0</v>
      </c>
      <c r="Q17" s="2142">
        <f>VLOOKUP($E17,'2016 Sector View Gas'!$E$7:$T$78,Q$1,FALSE)+VLOOKUP($E17,'2017 Sector View Gas'!$E$7:$T$78,Q$1,FALSE)</f>
        <v>0</v>
      </c>
      <c r="R17" s="2142">
        <f>VLOOKUP($E17,'2016 Sector View Gas'!$E$7:$T$78,R$1,FALSE)+VLOOKUP($E17,'2017 Sector View Gas'!$E$7:$T$78,R$1,FALSE)</f>
        <v>0</v>
      </c>
      <c r="S17" s="2142">
        <f>VLOOKUP($E17,'2016 Sector View Gas'!$E$7:$T$78,S$1,FALSE)+VLOOKUP($E17,'2017 Sector View Gas'!$E$7:$T$78,S$1,FALSE)</f>
        <v>0</v>
      </c>
      <c r="T17" s="2144">
        <f>VLOOKUP($E17,'2016 Sector View Gas'!$E$7:$T$78,T$1,FALSE)+VLOOKUP($E17,'2017 Sector View Gas'!$E$7:$T$78,T$1,FALSE)</f>
        <v>0</v>
      </c>
    </row>
    <row r="18" spans="2:20">
      <c r="B18" s="2259" t="s">
        <v>413</v>
      </c>
      <c r="C18" s="1866" t="s">
        <v>83</v>
      </c>
      <c r="D18" s="2828" t="s">
        <v>591</v>
      </c>
      <c r="E18" s="2177" t="s">
        <v>189</v>
      </c>
      <c r="H18" s="1340">
        <v>18230684</v>
      </c>
      <c r="I18" s="2142">
        <f>VLOOKUP($E18,'2016 Sector View Gas'!$E$7:$T$78,I$1,FALSE)+VLOOKUP($E18,'2017 Sector View Gas'!$E$7:$T$78,I$1,FALSE)</f>
        <v>27000</v>
      </c>
      <c r="J18" s="2142">
        <f>VLOOKUP($E18,'2016 Sector View Gas'!$E$7:$T$78,J$1,FALSE)+VLOOKUP($E18,'2017 Sector View Gas'!$E$7:$T$78,J$1,FALSE)</f>
        <v>21968.400000000001</v>
      </c>
      <c r="K18" s="2142">
        <f>VLOOKUP($E18,'2016 Sector View Gas'!$E$7:$T$78,K$1,FALSE)+VLOOKUP($E18,'2017 Sector View Gas'!$E$7:$T$78,K$1,FALSE)</f>
        <v>32980.217400000001</v>
      </c>
      <c r="L18" s="2142">
        <f>VLOOKUP($E18,'2016 Sector View Gas'!$E$7:$T$78,L$1,FALSE)+VLOOKUP($E18,'2017 Sector View Gas'!$E$7:$T$78,L$1,FALSE)</f>
        <v>12000</v>
      </c>
      <c r="M18" s="2142">
        <f>VLOOKUP($E18,'2016 Sector View Gas'!$E$7:$T$78,M$1,FALSE)+VLOOKUP($E18,'2017 Sector View Gas'!$E$7:$T$78,M$1,FALSE)</f>
        <v>0</v>
      </c>
      <c r="N18" s="2142">
        <f>VLOOKUP($E18,'2016 Sector View Gas'!$E$7:$T$78,N$1,FALSE)+VLOOKUP($E18,'2017 Sector View Gas'!$E$7:$T$78,N$1,FALSE)</f>
        <v>0</v>
      </c>
      <c r="O18" s="2142">
        <f>VLOOKUP($E18,'2016 Sector View Gas'!$E$7:$T$78,O$1,FALSE)+VLOOKUP($E18,'2017 Sector View Gas'!$E$7:$T$78,O$1,FALSE)</f>
        <v>2000</v>
      </c>
      <c r="P18" s="2142">
        <f>VLOOKUP($E18,'2016 Sector View Gas'!$E$7:$T$78,P$1,FALSE)+VLOOKUP($E18,'2017 Sector View Gas'!$E$7:$T$78,P$1,FALSE)</f>
        <v>0</v>
      </c>
      <c r="Q18" s="2142">
        <f>VLOOKUP($E18,'2016 Sector View Gas'!$E$7:$T$78,Q$1,FALSE)+VLOOKUP($E18,'2017 Sector View Gas'!$E$7:$T$78,Q$1,FALSE)</f>
        <v>0</v>
      </c>
      <c r="R18" s="2142">
        <f>VLOOKUP($E18,'2016 Sector View Gas'!$E$7:$T$78,R$1,FALSE)+VLOOKUP($E18,'2017 Sector View Gas'!$E$7:$T$78,R$1,FALSE)</f>
        <v>0</v>
      </c>
      <c r="S18" s="2142">
        <f>VLOOKUP($E18,'2016 Sector View Gas'!$E$7:$T$78,S$1,FALSE)+VLOOKUP($E18,'2017 Sector View Gas'!$E$7:$T$78,S$1,FALSE)</f>
        <v>95948.617400000003</v>
      </c>
      <c r="T18" s="2144">
        <f>VLOOKUP($E18,'2016 Sector View Gas'!$E$7:$T$78,T$1,FALSE)+VLOOKUP($E18,'2017 Sector View Gas'!$E$7:$T$78,T$1,FALSE)</f>
        <v>0</v>
      </c>
    </row>
    <row r="19" spans="2:20">
      <c r="B19" s="2259" t="s">
        <v>414</v>
      </c>
      <c r="C19" s="1866" t="s">
        <v>84</v>
      </c>
      <c r="D19" s="2829"/>
      <c r="E19" s="2177" t="s">
        <v>350</v>
      </c>
      <c r="H19" s="1340">
        <v>18230736</v>
      </c>
      <c r="I19" s="2142">
        <f>VLOOKUP($E19,'2016 Sector View Gas'!$E$7:$T$78,I$1,FALSE)+VLOOKUP($E19,'2017 Sector View Gas'!$E$7:$T$78,I$1,FALSE)</f>
        <v>109858.10000000002</v>
      </c>
      <c r="J19" s="2142">
        <f>VLOOKUP($E19,'2016 Sector View Gas'!$E$7:$T$78,J$1,FALSE)+VLOOKUP($E19,'2017 Sector View Gas'!$E$7:$T$78,J$1,FALSE)</f>
        <v>28800.000000000004</v>
      </c>
      <c r="K19" s="2142">
        <f>VLOOKUP($E19,'2016 Sector View Gas'!$E$7:$T$78,K$1,FALSE)+VLOOKUP($E19,'2017 Sector View Gas'!$E$7:$T$78,K$1,FALSE)</f>
        <v>93395.046300000016</v>
      </c>
      <c r="L19" s="2142">
        <f>VLOOKUP($E19,'2016 Sector View Gas'!$E$7:$T$78,L$1,FALSE)+VLOOKUP($E19,'2017 Sector View Gas'!$E$7:$T$78,L$1,FALSE)</f>
        <v>8000</v>
      </c>
      <c r="M19" s="2142">
        <f>VLOOKUP($E19,'2016 Sector View Gas'!$E$7:$T$78,M$1,FALSE)+VLOOKUP($E19,'2017 Sector View Gas'!$E$7:$T$78,M$1,FALSE)</f>
        <v>2000</v>
      </c>
      <c r="N19" s="2142">
        <f>VLOOKUP($E19,'2016 Sector View Gas'!$E$7:$T$78,N$1,FALSE)+VLOOKUP($E19,'2017 Sector View Gas'!$E$7:$T$78,N$1,FALSE)</f>
        <v>400000</v>
      </c>
      <c r="O19" s="2142">
        <f>VLOOKUP($E19,'2016 Sector View Gas'!$E$7:$T$78,O$1,FALSE)+VLOOKUP($E19,'2017 Sector View Gas'!$E$7:$T$78,O$1,FALSE)</f>
        <v>1000</v>
      </c>
      <c r="P19" s="2142">
        <f>VLOOKUP($E19,'2016 Sector View Gas'!$E$7:$T$78,P$1,FALSE)+VLOOKUP($E19,'2017 Sector View Gas'!$E$7:$T$78,P$1,FALSE)</f>
        <v>1000</v>
      </c>
      <c r="Q19" s="2142">
        <f>VLOOKUP($E19,'2016 Sector View Gas'!$E$7:$T$78,Q$1,FALSE)+VLOOKUP($E19,'2017 Sector View Gas'!$E$7:$T$78,Q$1,FALSE)</f>
        <v>1314428</v>
      </c>
      <c r="R19" s="2142">
        <f>VLOOKUP($E19,'2016 Sector View Gas'!$E$7:$T$78,R$1,FALSE)+VLOOKUP($E19,'2017 Sector View Gas'!$E$7:$T$78,R$1,FALSE)</f>
        <v>0</v>
      </c>
      <c r="S19" s="2142">
        <f>VLOOKUP($E19,'2016 Sector View Gas'!$E$7:$T$78,S$1,FALSE)+VLOOKUP($E19,'2017 Sector View Gas'!$E$7:$T$78,S$1,FALSE)</f>
        <v>1958481.1463000001</v>
      </c>
      <c r="T19" s="2144">
        <f>VLOOKUP($E19,'2016 Sector View Gas'!$E$7:$T$78,T$1,FALSE)+VLOOKUP($E19,'2017 Sector View Gas'!$E$7:$T$78,T$1,FALSE)</f>
        <v>233891.6</v>
      </c>
    </row>
    <row r="20" spans="2:20">
      <c r="B20" s="2259" t="s">
        <v>415</v>
      </c>
      <c r="C20" s="1866" t="s">
        <v>85</v>
      </c>
      <c r="D20" s="2828" t="s">
        <v>591</v>
      </c>
      <c r="E20" s="2177" t="s">
        <v>298</v>
      </c>
      <c r="H20" s="1340">
        <v>18230673</v>
      </c>
      <c r="I20" s="2142">
        <f>VLOOKUP($E20,'2016 Sector View Gas'!$E$7:$T$78,I$1,FALSE)+VLOOKUP($E20,'2017 Sector View Gas'!$E$7:$T$78,I$1,FALSE)</f>
        <v>61062</v>
      </c>
      <c r="J20" s="2142">
        <f>VLOOKUP($E20,'2016 Sector View Gas'!$E$7:$T$78,J$1,FALSE)+VLOOKUP($E20,'2017 Sector View Gas'!$E$7:$T$78,J$1,FALSE)</f>
        <v>12000</v>
      </c>
      <c r="K20" s="2142">
        <f>VLOOKUP($E20,'2016 Sector View Gas'!$E$7:$T$78,K$1,FALSE)+VLOOKUP($E20,'2017 Sector View Gas'!$E$7:$T$78,K$1,FALSE)</f>
        <v>49207.256999999998</v>
      </c>
      <c r="L20" s="2142">
        <f>VLOOKUP($E20,'2016 Sector View Gas'!$E$7:$T$78,L$1,FALSE)+VLOOKUP($E20,'2017 Sector View Gas'!$E$7:$T$78,L$1,FALSE)</f>
        <v>20000</v>
      </c>
      <c r="M20" s="2142">
        <f>VLOOKUP($E20,'2016 Sector View Gas'!$E$7:$T$78,M$1,FALSE)+VLOOKUP($E20,'2017 Sector View Gas'!$E$7:$T$78,M$1,FALSE)</f>
        <v>1000</v>
      </c>
      <c r="N20" s="2142">
        <f>VLOOKUP($E20,'2016 Sector View Gas'!$E$7:$T$78,N$1,FALSE)+VLOOKUP($E20,'2017 Sector View Gas'!$E$7:$T$78,N$1,FALSE)</f>
        <v>0</v>
      </c>
      <c r="O20" s="2142">
        <f>VLOOKUP($E20,'2016 Sector View Gas'!$E$7:$T$78,O$1,FALSE)+VLOOKUP($E20,'2017 Sector View Gas'!$E$7:$T$78,O$1,FALSE)</f>
        <v>1000</v>
      </c>
      <c r="P20" s="2142">
        <f>VLOOKUP($E20,'2016 Sector View Gas'!$E$7:$T$78,P$1,FALSE)+VLOOKUP($E20,'2017 Sector View Gas'!$E$7:$T$78,P$1,FALSE)</f>
        <v>1000</v>
      </c>
      <c r="Q20" s="2142">
        <f>VLOOKUP($E20,'2016 Sector View Gas'!$E$7:$T$78,Q$1,FALSE)+VLOOKUP($E20,'2017 Sector View Gas'!$E$7:$T$78,Q$1,FALSE)</f>
        <v>216240</v>
      </c>
      <c r="R20" s="2142">
        <f>VLOOKUP($E20,'2016 Sector View Gas'!$E$7:$T$78,R$1,FALSE)+VLOOKUP($E20,'2017 Sector View Gas'!$E$7:$T$78,R$1,FALSE)</f>
        <v>0</v>
      </c>
      <c r="S20" s="2142">
        <f>VLOOKUP($E20,'2016 Sector View Gas'!$E$7:$T$78,S$1,FALSE)+VLOOKUP($E20,'2017 Sector View Gas'!$E$7:$T$78,S$1,FALSE)</f>
        <v>361509.25699999998</v>
      </c>
      <c r="T20" s="2144">
        <f>VLOOKUP($E20,'2016 Sector View Gas'!$E$7:$T$78,T$1,FALSE)+VLOOKUP($E20,'2017 Sector View Gas'!$E$7:$T$78,T$1,FALSE)</f>
        <v>105260</v>
      </c>
    </row>
    <row r="21" spans="2:20" s="2064" customFormat="1">
      <c r="B21" s="2011"/>
      <c r="F21" s="2010"/>
      <c r="H21" s="2010" t="s">
        <v>648</v>
      </c>
      <c r="I21" s="2762">
        <f>SUM(I7:I20)</f>
        <v>446556.52850000007</v>
      </c>
      <c r="J21" s="2763">
        <f t="shared" ref="J21:T21" si="0">SUM(J7:J20)</f>
        <v>124416.72500000001</v>
      </c>
      <c r="K21" s="2763">
        <f t="shared" si="0"/>
        <v>384565.65875000006</v>
      </c>
      <c r="L21" s="2763">
        <f t="shared" si="0"/>
        <v>839223.65</v>
      </c>
      <c r="M21" s="2763">
        <f t="shared" si="0"/>
        <v>22150</v>
      </c>
      <c r="N21" s="2763">
        <f t="shared" si="0"/>
        <v>1083243</v>
      </c>
      <c r="O21" s="2763">
        <f t="shared" si="0"/>
        <v>41000</v>
      </c>
      <c r="P21" s="2763">
        <f t="shared" si="0"/>
        <v>42250</v>
      </c>
      <c r="Q21" s="2763">
        <f t="shared" si="0"/>
        <v>11687724.729999999</v>
      </c>
      <c r="R21" s="2763">
        <f t="shared" si="0"/>
        <v>0</v>
      </c>
      <c r="S21" s="2764">
        <f t="shared" si="0"/>
        <v>14671130.29225</v>
      </c>
      <c r="T21" s="2013">
        <f t="shared" si="0"/>
        <v>3505307.64</v>
      </c>
    </row>
    <row r="22" spans="2:20" s="2177" customFormat="1">
      <c r="B22" s="2193"/>
      <c r="H22" s="2005"/>
      <c r="I22" s="2142"/>
      <c r="J22" s="2142"/>
      <c r="K22" s="2142"/>
      <c r="L22" s="2142"/>
      <c r="M22" s="2142"/>
      <c r="N22" s="2142"/>
      <c r="O22" s="2142"/>
      <c r="P22" s="2142"/>
      <c r="Q22" s="3209">
        <f>Q21/S21</f>
        <v>0.79664787219387045</v>
      </c>
      <c r="R22" s="2142"/>
      <c r="S22" s="2142"/>
      <c r="T22" s="2144"/>
    </row>
    <row r="23" spans="2:20" s="2765" customFormat="1" ht="11.25">
      <c r="B23" s="2259"/>
      <c r="H23" s="2766" t="s">
        <v>649</v>
      </c>
      <c r="I23" s="2767">
        <v>695822.4</v>
      </c>
      <c r="J23" s="2768">
        <v>85242.5</v>
      </c>
      <c r="K23" s="2768">
        <v>542071.14059999993</v>
      </c>
      <c r="L23" s="2768">
        <v>485700</v>
      </c>
      <c r="M23" s="2768">
        <v>56420</v>
      </c>
      <c r="N23" s="2768">
        <v>855955</v>
      </c>
      <c r="O23" s="2768">
        <v>39150</v>
      </c>
      <c r="P23" s="2768">
        <v>52660</v>
      </c>
      <c r="Q23" s="2768">
        <v>11271908.18</v>
      </c>
      <c r="R23" s="2768">
        <v>0</v>
      </c>
      <c r="S23" s="2768">
        <v>14084900</v>
      </c>
      <c r="T23" s="3371">
        <v>3250500</v>
      </c>
    </row>
    <row r="24" spans="2:20">
      <c r="T24" s="2144"/>
    </row>
    <row r="25" spans="2:20">
      <c r="C25" s="1866" t="s">
        <v>157</v>
      </c>
      <c r="T25" s="2144"/>
    </row>
    <row r="26" spans="2:20">
      <c r="B26" s="2259" t="s">
        <v>416</v>
      </c>
      <c r="C26" s="1866" t="s">
        <v>308</v>
      </c>
      <c r="E26" s="1866" t="s">
        <v>146</v>
      </c>
      <c r="H26" s="1340">
        <v>18230731</v>
      </c>
      <c r="I26" s="1605">
        <f>VLOOKUP($E26,'2016 Sector View Gas'!$E$7:$T$78,I$1,FALSE)+VLOOKUP($E26,'2017 Sector View Gas'!$E$7:$T$78,I$1,FALSE)</f>
        <v>563400</v>
      </c>
      <c r="J26" s="2142">
        <f>VLOOKUP($E26,'2016 Sector View Gas'!$E$7:$T$78,J$1,FALSE)+VLOOKUP($E26,'2017 Sector View Gas'!$E$7:$T$78,J$1,FALSE)</f>
        <v>9454.73</v>
      </c>
      <c r="K26" s="2142">
        <f>VLOOKUP($E26,'2016 Sector View Gas'!$E$7:$T$78,K$1,FALSE)+VLOOKUP($E26,'2017 Sector View Gas'!$E$7:$T$78,K$1,FALSE)</f>
        <v>385800</v>
      </c>
      <c r="L26" s="2142">
        <f>VLOOKUP($E26,'2016 Sector View Gas'!$E$7:$T$78,L$1,FALSE)+VLOOKUP($E26,'2017 Sector View Gas'!$E$7:$T$78,L$1,FALSE)</f>
        <v>0</v>
      </c>
      <c r="M26" s="2142">
        <f>VLOOKUP($E26,'2016 Sector View Gas'!$E$7:$T$78,M$1,FALSE)+VLOOKUP($E26,'2017 Sector View Gas'!$E$7:$T$78,M$1,FALSE)</f>
        <v>16000</v>
      </c>
      <c r="N26" s="2142">
        <f>VLOOKUP($E26,'2016 Sector View Gas'!$E$7:$T$78,N$1,FALSE)+VLOOKUP($E26,'2017 Sector View Gas'!$E$7:$T$78,N$1,FALSE)</f>
        <v>80000</v>
      </c>
      <c r="O26" s="2142">
        <f>VLOOKUP($E26,'2016 Sector View Gas'!$E$7:$T$78,O$1,FALSE)+VLOOKUP($E26,'2017 Sector View Gas'!$E$7:$T$78,O$1,FALSE)</f>
        <v>4000</v>
      </c>
      <c r="P26" s="2142">
        <f>VLOOKUP($E26,'2016 Sector View Gas'!$E$7:$T$78,P$1,FALSE)+VLOOKUP($E26,'2017 Sector View Gas'!$E$7:$T$78,P$1,FALSE)</f>
        <v>0</v>
      </c>
      <c r="Q26" s="2142">
        <f>VLOOKUP($E26,'2016 Sector View Gas'!$E$7:$T$78,Q$1,FALSE)+VLOOKUP($E26,'2017 Sector View Gas'!$E$7:$T$78,Q$1,FALSE)</f>
        <v>2600000</v>
      </c>
      <c r="R26" s="2142">
        <f>VLOOKUP($E26,'2016 Sector View Gas'!$E$7:$T$78,R$1,FALSE)+VLOOKUP($E26,'2017 Sector View Gas'!$E$7:$T$78,R$1,FALSE)</f>
        <v>0</v>
      </c>
      <c r="S26" s="2142">
        <f>VLOOKUP($E26,'2016 Sector View Gas'!$E$7:$T$78,S$1,FALSE)+VLOOKUP($E26,'2017 Sector View Gas'!$E$7:$T$78,S$1,FALSE)</f>
        <v>3658654.73</v>
      </c>
      <c r="T26" s="2144">
        <f>VLOOKUP($E26,'2016 Sector View Gas'!$E$7:$T$78,T$1,FALSE)+VLOOKUP($E26,'2017 Sector View Gas'!$E$7:$T$78,T$1,FALSE)</f>
        <v>730000</v>
      </c>
    </row>
    <row r="27" spans="2:20">
      <c r="B27" s="2259" t="s">
        <v>417</v>
      </c>
      <c r="C27" s="1866" t="s">
        <v>152</v>
      </c>
      <c r="E27" s="1866" t="s">
        <v>147</v>
      </c>
      <c r="H27" s="1340">
        <v>18230706</v>
      </c>
      <c r="I27" s="2142">
        <f>VLOOKUP($E27,'2016 Sector View Gas'!$E$7:$T$78,I$1,FALSE)+VLOOKUP($E27,'2017 Sector View Gas'!$E$7:$T$78,I$1,FALSE)</f>
        <v>98550</v>
      </c>
      <c r="J27" s="2142">
        <f>VLOOKUP($E27,'2016 Sector View Gas'!$E$7:$T$78,J$1,FALSE)+VLOOKUP($E27,'2017 Sector View Gas'!$E$7:$T$78,J$1,FALSE)</f>
        <v>2701.35</v>
      </c>
      <c r="K27" s="2142">
        <f>VLOOKUP($E27,'2016 Sector View Gas'!$E$7:$T$78,K$1,FALSE)+VLOOKUP($E27,'2017 Sector View Gas'!$E$7:$T$78,K$1,FALSE)</f>
        <v>68200</v>
      </c>
      <c r="L27" s="2142">
        <f>VLOOKUP($E27,'2016 Sector View Gas'!$E$7:$T$78,L$1,FALSE)+VLOOKUP($E27,'2017 Sector View Gas'!$E$7:$T$78,L$1,FALSE)</f>
        <v>18000</v>
      </c>
      <c r="M27" s="2142">
        <f>VLOOKUP($E27,'2016 Sector View Gas'!$E$7:$T$78,M$1,FALSE)+VLOOKUP($E27,'2017 Sector View Gas'!$E$7:$T$78,M$1,FALSE)</f>
        <v>2000</v>
      </c>
      <c r="N27" s="2142">
        <f>VLOOKUP($E27,'2016 Sector View Gas'!$E$7:$T$78,N$1,FALSE)+VLOOKUP($E27,'2017 Sector View Gas'!$E$7:$T$78,N$1,FALSE)</f>
        <v>24000</v>
      </c>
      <c r="O27" s="2142">
        <f>VLOOKUP($E27,'2016 Sector View Gas'!$E$7:$T$78,O$1,FALSE)+VLOOKUP($E27,'2017 Sector View Gas'!$E$7:$T$78,O$1,FALSE)</f>
        <v>2000</v>
      </c>
      <c r="P27" s="2142">
        <f>VLOOKUP($E27,'2016 Sector View Gas'!$E$7:$T$78,P$1,FALSE)+VLOOKUP($E27,'2017 Sector View Gas'!$E$7:$T$78,P$1,FALSE)</f>
        <v>4000</v>
      </c>
      <c r="Q27" s="2142">
        <f>VLOOKUP($E27,'2016 Sector View Gas'!$E$7:$T$78,Q$1,FALSE)+VLOOKUP($E27,'2017 Sector View Gas'!$E$7:$T$78,Q$1,FALSE)</f>
        <v>1075000</v>
      </c>
      <c r="R27" s="2142">
        <f>VLOOKUP($E27,'2016 Sector View Gas'!$E$7:$T$78,R$1,FALSE)+VLOOKUP($E27,'2017 Sector View Gas'!$E$7:$T$78,R$1,FALSE)</f>
        <v>0</v>
      </c>
      <c r="S27" s="2142">
        <f>VLOOKUP($E27,'2016 Sector View Gas'!$E$7:$T$78,S$1,FALSE)+VLOOKUP($E27,'2017 Sector View Gas'!$E$7:$T$78,S$1,FALSE)</f>
        <v>1294451.3500000001</v>
      </c>
      <c r="T27" s="2144">
        <f>VLOOKUP($E27,'2016 Sector View Gas'!$E$7:$T$78,T$1,FALSE)+VLOOKUP($E27,'2017 Sector View Gas'!$E$7:$T$78,T$1,FALSE)</f>
        <v>322875</v>
      </c>
    </row>
    <row r="28" spans="2:20">
      <c r="B28" s="1866"/>
      <c r="C28" s="1866" t="s">
        <v>309</v>
      </c>
      <c r="E28" s="2177" t="s">
        <v>748</v>
      </c>
      <c r="I28" s="25">
        <f>VLOOKUP($E28,'2016 Sector View Gas'!$E$7:$T$78,I$1,FALSE)+VLOOKUP($E28,'2017 Sector View Gas'!$E$7:$T$78,I$1,FALSE)</f>
        <v>346163.05</v>
      </c>
      <c r="J28" s="25">
        <f>VLOOKUP($E28,'2016 Sector View Gas'!$E$7:$T$78,J$1,FALSE)+VLOOKUP($E28,'2017 Sector View Gas'!$E$7:$T$78,J$1,FALSE)</f>
        <v>1000</v>
      </c>
      <c r="K28" s="25">
        <f>VLOOKUP($E28,'2016 Sector View Gas'!$E$7:$T$78,K$1,FALSE)+VLOOKUP($E28,'2017 Sector View Gas'!$E$7:$T$78,K$1,FALSE)</f>
        <v>233887.57416000002</v>
      </c>
      <c r="L28" s="25">
        <f>VLOOKUP($E28,'2016 Sector View Gas'!$E$7:$T$78,L$1,FALSE)+VLOOKUP($E28,'2017 Sector View Gas'!$E$7:$T$78,L$1,FALSE)</f>
        <v>0</v>
      </c>
      <c r="M28" s="25">
        <f>VLOOKUP($E28,'2016 Sector View Gas'!$E$7:$T$78,M$1,FALSE)+VLOOKUP($E28,'2017 Sector View Gas'!$E$7:$T$78,M$1,FALSE)</f>
        <v>17400</v>
      </c>
      <c r="N28" s="25">
        <f>VLOOKUP($E28,'2016 Sector View Gas'!$E$7:$T$78,N$1,FALSE)+VLOOKUP($E28,'2017 Sector View Gas'!$E$7:$T$78,N$1,FALSE)</f>
        <v>86500</v>
      </c>
      <c r="O28" s="25">
        <f>VLOOKUP($E28,'2016 Sector View Gas'!$E$7:$T$78,O$1,FALSE)+VLOOKUP($E28,'2017 Sector View Gas'!$E$7:$T$78,O$1,FALSE)</f>
        <v>2000</v>
      </c>
      <c r="P28" s="25">
        <f>VLOOKUP($E28,'2016 Sector View Gas'!$E$7:$T$78,P$1,FALSE)+VLOOKUP($E28,'2017 Sector View Gas'!$E$7:$T$78,P$1,FALSE)</f>
        <v>10000</v>
      </c>
      <c r="Q28" s="25">
        <f>VLOOKUP($E28,'2016 Sector View Gas'!$E$7:$T$78,Q$1,FALSE)+VLOOKUP($E28,'2017 Sector View Gas'!$E$7:$T$78,Q$1,FALSE)</f>
        <v>310000</v>
      </c>
      <c r="R28" s="25">
        <f>VLOOKUP($E28,'2016 Sector View Gas'!$E$7:$T$78,R$1,FALSE)+VLOOKUP($E28,'2017 Sector View Gas'!$E$7:$T$78,R$1,FALSE)</f>
        <v>0</v>
      </c>
      <c r="S28" s="25">
        <f>VLOOKUP($E28,'2016 Sector View Gas'!$E$7:$T$78,S$1,FALSE)+VLOOKUP($E28,'2017 Sector View Gas'!$E$7:$T$78,S$1,FALSE)</f>
        <v>1006950.62416</v>
      </c>
      <c r="T28" s="2144">
        <f>VLOOKUP($E28,'2016 Sector View Gas'!$E$7:$T$78,T$1,FALSE)+VLOOKUP($E28,'2017 Sector View Gas'!$E$7:$T$78,T$1,FALSE)</f>
        <v>1050000</v>
      </c>
    </row>
    <row r="29" spans="2:20" s="2822" customFormat="1">
      <c r="B29" s="2821" t="s">
        <v>418</v>
      </c>
      <c r="E29" s="3366" t="s">
        <v>542</v>
      </c>
      <c r="H29" s="2825">
        <v>18230691</v>
      </c>
      <c r="I29" s="2824">
        <f>VLOOKUP($E29,'2016 Sector View Gas'!$E$7:$T$78,I$1,FALSE)+VLOOKUP($E29,'2017 Sector View Gas'!$E$7:$T$78,I$1,FALSE)</f>
        <v>326100</v>
      </c>
      <c r="J29" s="2824">
        <f>VLOOKUP($E29,'2016 Sector View Gas'!$E$7:$T$78,J$1,FALSE)+VLOOKUP($E29,'2017 Sector View Gas'!$E$7:$T$78,J$1,FALSE)</f>
        <v>0</v>
      </c>
      <c r="K29" s="2824">
        <f>VLOOKUP($E29,'2016 Sector View Gas'!$E$7:$T$78,K$1,FALSE)+VLOOKUP($E29,'2017 Sector View Gas'!$E$7:$T$78,K$1,FALSE)</f>
        <v>219700</v>
      </c>
      <c r="L29" s="2824">
        <f>VLOOKUP($E29,'2016 Sector View Gas'!$E$7:$T$78,L$1,FALSE)+VLOOKUP($E29,'2017 Sector View Gas'!$E$7:$T$78,L$1,FALSE)</f>
        <v>0</v>
      </c>
      <c r="M29" s="2824">
        <f>VLOOKUP($E29,'2016 Sector View Gas'!$E$7:$T$78,M$1,FALSE)+VLOOKUP($E29,'2017 Sector View Gas'!$E$7:$T$78,M$1,FALSE)</f>
        <v>16000</v>
      </c>
      <c r="N29" s="2824">
        <f>VLOOKUP($E29,'2016 Sector View Gas'!$E$7:$T$78,N$1,FALSE)+VLOOKUP($E29,'2017 Sector View Gas'!$E$7:$T$78,N$1,FALSE)</f>
        <v>80000</v>
      </c>
      <c r="O29" s="2824">
        <f>VLOOKUP($E29,'2016 Sector View Gas'!$E$7:$T$78,O$1,FALSE)+VLOOKUP($E29,'2017 Sector View Gas'!$E$7:$T$78,O$1,FALSE)</f>
        <v>2000</v>
      </c>
      <c r="P29" s="2824">
        <f>VLOOKUP($E29,'2016 Sector View Gas'!$E$7:$T$78,P$1,FALSE)+VLOOKUP($E29,'2017 Sector View Gas'!$E$7:$T$78,P$1,FALSE)</f>
        <v>10000</v>
      </c>
      <c r="Q29" s="2824">
        <f>VLOOKUP($E29,'2016 Sector View Gas'!$E$7:$T$78,Q$1,FALSE)+VLOOKUP($E29,'2017 Sector View Gas'!$E$7:$T$78,Q$1,FALSE)</f>
        <v>310000</v>
      </c>
      <c r="R29" s="2824">
        <f>VLOOKUP($E29,'2016 Sector View Gas'!$E$7:$T$78,R$1,FALSE)+VLOOKUP($E29,'2017 Sector View Gas'!$E$7:$T$78,R$1,FALSE)</f>
        <v>0</v>
      </c>
      <c r="S29" s="2824">
        <f>VLOOKUP($E29,'2016 Sector View Gas'!$E$7:$T$78,S$1,FALSE)+VLOOKUP($E29,'2017 Sector View Gas'!$E$7:$T$78,S$1,FALSE)</f>
        <v>963800</v>
      </c>
      <c r="T29" s="2826">
        <f>VLOOKUP($E29,'2016 Sector View Gas'!$E$7:$T$78,T$1,FALSE)+VLOOKUP($E29,'2017 Sector View Gas'!$E$7:$T$78,T$1,FALSE)</f>
        <v>1050000</v>
      </c>
    </row>
    <row r="30" spans="2:20" s="2822" customFormat="1">
      <c r="B30" s="2821" t="s">
        <v>1640</v>
      </c>
      <c r="E30" s="3366" t="s">
        <v>1639</v>
      </c>
      <c r="H30" s="3116" t="s">
        <v>1494</v>
      </c>
      <c r="I30" s="2824">
        <f>VLOOKUP($E30,'2016 Sector View Gas'!$E$7:$T$78,I$1,FALSE)+VLOOKUP($E30,'2017 Sector View Gas'!$E$7:$T$78,I$1,FALSE)</f>
        <v>20063.050000000003</v>
      </c>
      <c r="J30" s="2824">
        <f>VLOOKUP($E30,'2016 Sector View Gas'!$E$7:$T$78,J$1,FALSE)+VLOOKUP($E30,'2017 Sector View Gas'!$E$7:$T$78,J$1,FALSE)</f>
        <v>1000</v>
      </c>
      <c r="K30" s="2824">
        <f>VLOOKUP($E30,'2016 Sector View Gas'!$E$7:$T$78,K$1,FALSE)+VLOOKUP($E30,'2017 Sector View Gas'!$E$7:$T$78,K$1,FALSE)</f>
        <v>14187.574160000002</v>
      </c>
      <c r="L30" s="2824">
        <f>VLOOKUP($E30,'2016 Sector View Gas'!$E$7:$T$78,L$1,FALSE)+VLOOKUP($E30,'2017 Sector View Gas'!$E$7:$T$78,L$1,FALSE)</f>
        <v>0</v>
      </c>
      <c r="M30" s="2824">
        <f>VLOOKUP($E30,'2016 Sector View Gas'!$E$7:$T$78,M$1,FALSE)+VLOOKUP($E30,'2017 Sector View Gas'!$E$7:$T$78,M$1,FALSE)</f>
        <v>1400</v>
      </c>
      <c r="N30" s="2824">
        <f>VLOOKUP($E30,'2016 Sector View Gas'!$E$7:$T$78,N$1,FALSE)+VLOOKUP($E30,'2017 Sector View Gas'!$E$7:$T$78,N$1,FALSE)</f>
        <v>6500</v>
      </c>
      <c r="O30" s="2824">
        <f>VLOOKUP($E30,'2016 Sector View Gas'!$E$7:$T$78,O$1,FALSE)+VLOOKUP($E30,'2017 Sector View Gas'!$E$7:$T$78,O$1,FALSE)</f>
        <v>0</v>
      </c>
      <c r="P30" s="2824">
        <f>VLOOKUP($E30,'2016 Sector View Gas'!$E$7:$T$78,P$1,FALSE)+VLOOKUP($E30,'2017 Sector View Gas'!$E$7:$T$78,P$1,FALSE)</f>
        <v>0</v>
      </c>
      <c r="Q30" s="2824">
        <f>VLOOKUP($E30,'2016 Sector View Gas'!$E$7:$T$78,Q$1,FALSE)+VLOOKUP($E30,'2017 Sector View Gas'!$E$7:$T$78,Q$1,FALSE)</f>
        <v>0</v>
      </c>
      <c r="R30" s="2824">
        <f>VLOOKUP($E30,'2016 Sector View Gas'!$E$7:$T$78,R$1,FALSE)+VLOOKUP($E30,'2017 Sector View Gas'!$E$7:$T$78,R$1,FALSE)</f>
        <v>0</v>
      </c>
      <c r="S30" s="2824">
        <f>VLOOKUP($E30,'2016 Sector View Gas'!$E$7:$T$78,S$1,FALSE)+VLOOKUP($E30,'2017 Sector View Gas'!$E$7:$T$78,S$1,FALSE)</f>
        <v>43150.624159999999</v>
      </c>
      <c r="T30" s="2826">
        <f>VLOOKUP($E30,'2016 Sector View Gas'!$E$7:$T$78,T$1,FALSE)+VLOOKUP($E30,'2017 Sector View Gas'!$E$7:$T$78,T$1,FALSE)</f>
        <v>0</v>
      </c>
    </row>
    <row r="31" spans="2:20">
      <c r="B31" s="2259" t="s">
        <v>419</v>
      </c>
      <c r="C31" s="1866" t="s">
        <v>153</v>
      </c>
      <c r="E31" s="1866" t="s">
        <v>150</v>
      </c>
      <c r="H31" s="1340">
        <v>18230694</v>
      </c>
      <c r="I31" s="2142">
        <f>VLOOKUP($E31,'2016 Sector View Gas'!$E$7:$T$78,I$1,FALSE)+VLOOKUP($E31,'2017 Sector View Gas'!$E$7:$T$78,I$1,FALSE)</f>
        <v>0</v>
      </c>
      <c r="J31" s="2142">
        <f>VLOOKUP($E31,'2016 Sector View Gas'!$E$7:$T$78,J$1,FALSE)+VLOOKUP($E31,'2017 Sector View Gas'!$E$7:$T$78,J$1,FALSE)</f>
        <v>0</v>
      </c>
      <c r="K31" s="2142">
        <f>VLOOKUP($E31,'2016 Sector View Gas'!$E$7:$T$78,K$1,FALSE)+VLOOKUP($E31,'2017 Sector View Gas'!$E$7:$T$78,K$1,FALSE)</f>
        <v>0</v>
      </c>
      <c r="L31" s="2142">
        <f>VLOOKUP($E31,'2016 Sector View Gas'!$E$7:$T$78,L$1,FALSE)+VLOOKUP($E31,'2017 Sector View Gas'!$E$7:$T$78,L$1,FALSE)</f>
        <v>0</v>
      </c>
      <c r="M31" s="2142">
        <f>VLOOKUP($E31,'2016 Sector View Gas'!$E$7:$T$78,M$1,FALSE)+VLOOKUP($E31,'2017 Sector View Gas'!$E$7:$T$78,M$1,FALSE)</f>
        <v>0</v>
      </c>
      <c r="N31" s="2142">
        <f>VLOOKUP($E31,'2016 Sector View Gas'!$E$7:$T$78,N$1,FALSE)+VLOOKUP($E31,'2017 Sector View Gas'!$E$7:$T$78,N$1,FALSE)</f>
        <v>0</v>
      </c>
      <c r="O31" s="2142">
        <f>VLOOKUP($E31,'2016 Sector View Gas'!$E$7:$T$78,O$1,FALSE)+VLOOKUP($E31,'2017 Sector View Gas'!$E$7:$T$78,O$1,FALSE)</f>
        <v>0</v>
      </c>
      <c r="P31" s="2142">
        <f>VLOOKUP($E31,'2016 Sector View Gas'!$E$7:$T$78,P$1,FALSE)+VLOOKUP($E31,'2017 Sector View Gas'!$E$7:$T$78,P$1,FALSE)</f>
        <v>0</v>
      </c>
      <c r="Q31" s="2142">
        <f>VLOOKUP($E31,'2016 Sector View Gas'!$E$7:$T$78,Q$1,FALSE)+VLOOKUP($E31,'2017 Sector View Gas'!$E$7:$T$78,Q$1,FALSE)</f>
        <v>0</v>
      </c>
      <c r="R31" s="2142">
        <f>VLOOKUP($E31,'2016 Sector View Gas'!$E$7:$T$78,R$1,FALSE)+VLOOKUP($E31,'2017 Sector View Gas'!$E$7:$T$78,R$1,FALSE)</f>
        <v>0</v>
      </c>
      <c r="S31" s="2142">
        <f>VLOOKUP($E31,'2016 Sector View Gas'!$E$7:$T$78,S$1,FALSE)+VLOOKUP($E31,'2017 Sector View Gas'!$E$7:$T$78,S$1,FALSE)</f>
        <v>0</v>
      </c>
      <c r="T31" s="2144">
        <f>VLOOKUP($E31,'2016 Sector View Gas'!$E$7:$T$78,T$1,FALSE)+VLOOKUP($E31,'2017 Sector View Gas'!$E$7:$T$78,T$1,FALSE)</f>
        <v>0</v>
      </c>
    </row>
    <row r="32" spans="2:20">
      <c r="B32" s="2259" t="s">
        <v>420</v>
      </c>
      <c r="C32" s="1866" t="s">
        <v>154</v>
      </c>
      <c r="E32" s="1866" t="s">
        <v>151</v>
      </c>
      <c r="H32" s="1340"/>
      <c r="I32" s="2142">
        <f>VLOOKUP($E32,'2016 Sector View Gas'!$E$7:$T$78,I$1,FALSE)+VLOOKUP($E32,'2017 Sector View Gas'!$E$7:$T$78,I$1,FALSE)</f>
        <v>178026.04</v>
      </c>
      <c r="J32" s="2142">
        <f>VLOOKUP($E32,'2016 Sector View Gas'!$E$7:$T$78,J$1,FALSE)+VLOOKUP($E32,'2017 Sector View Gas'!$E$7:$T$78,J$1,FALSE)</f>
        <v>0</v>
      </c>
      <c r="K32" s="2142">
        <f>VLOOKUP($E32,'2016 Sector View Gas'!$E$7:$T$78,K$1,FALSE)+VLOOKUP($E32,'2017 Sector View Gas'!$E$7:$T$78,K$1,FALSE)</f>
        <v>119914.82507000002</v>
      </c>
      <c r="L32" s="2142">
        <f>VLOOKUP($E32,'2016 Sector View Gas'!$E$7:$T$78,L$1,FALSE)+VLOOKUP($E32,'2017 Sector View Gas'!$E$7:$T$78,L$1,FALSE)</f>
        <v>50500</v>
      </c>
      <c r="M32" s="2142">
        <f>VLOOKUP($E32,'2016 Sector View Gas'!$E$7:$T$78,M$1,FALSE)+VLOOKUP($E32,'2017 Sector View Gas'!$E$7:$T$78,M$1,FALSE)</f>
        <v>12450</v>
      </c>
      <c r="N32" s="2142">
        <f>VLOOKUP($E32,'2016 Sector View Gas'!$E$7:$T$78,N$1,FALSE)+VLOOKUP($E32,'2017 Sector View Gas'!$E$7:$T$78,N$1,FALSE)</f>
        <v>13830</v>
      </c>
      <c r="O32" s="2142">
        <f>VLOOKUP($E32,'2016 Sector View Gas'!$E$7:$T$78,O$1,FALSE)+VLOOKUP($E32,'2017 Sector View Gas'!$E$7:$T$78,O$1,FALSE)</f>
        <v>1680</v>
      </c>
      <c r="P32" s="2142">
        <f>VLOOKUP($E32,'2016 Sector View Gas'!$E$7:$T$78,P$1,FALSE)+VLOOKUP($E32,'2017 Sector View Gas'!$E$7:$T$78,P$1,FALSE)</f>
        <v>148309</v>
      </c>
      <c r="Q32" s="2142">
        <f>VLOOKUP($E32,'2016 Sector View Gas'!$E$7:$T$78,Q$1,FALSE)+VLOOKUP($E32,'2017 Sector View Gas'!$E$7:$T$78,Q$1,FALSE)</f>
        <v>3051972.8259999999</v>
      </c>
      <c r="R32" s="2142">
        <f>VLOOKUP($E32,'2016 Sector View Gas'!$E$7:$T$78,R$1,FALSE)+VLOOKUP($E32,'2017 Sector View Gas'!$E$7:$T$78,R$1,FALSE)</f>
        <v>0</v>
      </c>
      <c r="S32" s="2142">
        <f>VLOOKUP($E32,'2016 Sector View Gas'!$E$7:$T$78,S$1,FALSE)+VLOOKUP($E32,'2017 Sector View Gas'!$E$7:$T$78,S$1,FALSE)</f>
        <v>3576682.6910699997</v>
      </c>
      <c r="T32" s="2144">
        <f>VLOOKUP($E32,'2016 Sector View Gas'!$E$7:$T$78,T$1,FALSE)+VLOOKUP($E32,'2017 Sector View Gas'!$E$7:$T$78,T$1,FALSE)</f>
        <v>1350103.4</v>
      </c>
    </row>
    <row r="33" spans="2:22" s="2822" customFormat="1">
      <c r="B33" s="2821" t="s">
        <v>740</v>
      </c>
      <c r="C33" s="2822" t="s">
        <v>154</v>
      </c>
      <c r="E33" s="3366" t="s">
        <v>665</v>
      </c>
      <c r="H33" s="246">
        <v>18231027</v>
      </c>
      <c r="I33" s="2824">
        <f>VLOOKUP($E33,'2016 Sector View Gas'!$E$7:$T$78,I$1,FALSE)+VLOOKUP($E33,'2017 Sector View Gas'!$E$7:$T$78,I$1,FALSE)</f>
        <v>60565.560000000005</v>
      </c>
      <c r="J33" s="2824">
        <f>VLOOKUP($E33,'2016 Sector View Gas'!$E$7:$T$78,J$1,FALSE)+VLOOKUP($E33,'2017 Sector View Gas'!$E$7:$T$78,J$1,FALSE)</f>
        <v>0</v>
      </c>
      <c r="K33" s="2824">
        <f>VLOOKUP($E33,'2016 Sector View Gas'!$E$7:$T$78,K$1,FALSE)+VLOOKUP($E33,'2017 Sector View Gas'!$E$7:$T$78,K$1,FALSE)</f>
        <v>40795.765230000005</v>
      </c>
      <c r="L33" s="2824">
        <f>VLOOKUP($E33,'2016 Sector View Gas'!$E$7:$T$78,L$1,FALSE)+VLOOKUP($E33,'2017 Sector View Gas'!$E$7:$T$78,L$1,FALSE)</f>
        <v>30000</v>
      </c>
      <c r="M33" s="2824">
        <f>VLOOKUP($E33,'2016 Sector View Gas'!$E$7:$T$78,M$1,FALSE)+VLOOKUP($E33,'2017 Sector View Gas'!$E$7:$T$78,M$1,FALSE)</f>
        <v>10450</v>
      </c>
      <c r="N33" s="2824">
        <f>VLOOKUP($E33,'2016 Sector View Gas'!$E$7:$T$78,N$1,FALSE)+VLOOKUP($E33,'2017 Sector View Gas'!$E$7:$T$78,N$1,FALSE)</f>
        <v>1200</v>
      </c>
      <c r="O33" s="2824">
        <f>VLOOKUP($E33,'2016 Sector View Gas'!$E$7:$T$78,O$1,FALSE)+VLOOKUP($E33,'2017 Sector View Gas'!$E$7:$T$78,O$1,FALSE)</f>
        <v>480</v>
      </c>
      <c r="P33" s="2824">
        <f>VLOOKUP($E33,'2016 Sector View Gas'!$E$7:$T$78,P$1,FALSE)+VLOOKUP($E33,'2017 Sector View Gas'!$E$7:$T$78,P$1,FALSE)</f>
        <v>0</v>
      </c>
      <c r="Q33" s="2824">
        <f>VLOOKUP($E33,'2016 Sector View Gas'!$E$7:$T$78,Q$1,FALSE)+VLOOKUP($E33,'2017 Sector View Gas'!$E$7:$T$78,Q$1,FALSE)</f>
        <v>681860</v>
      </c>
      <c r="R33" s="2824">
        <f>VLOOKUP($E33,'2016 Sector View Gas'!$E$7:$T$78,R$1,FALSE)+VLOOKUP($E33,'2017 Sector View Gas'!$E$7:$T$78,R$1,FALSE)</f>
        <v>0</v>
      </c>
      <c r="S33" s="2824">
        <f>VLOOKUP($E33,'2016 Sector View Gas'!$E$7:$T$78,S$1,FALSE)+VLOOKUP($E33,'2017 Sector View Gas'!$E$7:$T$78,S$1,FALSE)</f>
        <v>825351.32522999996</v>
      </c>
      <c r="T33" s="2826">
        <f>VLOOKUP($E33,'2016 Sector View Gas'!$E$7:$T$78,T$1,FALSE)+VLOOKUP($E33,'2017 Sector View Gas'!$E$7:$T$78,T$1,FALSE)</f>
        <v>435063.4</v>
      </c>
    </row>
    <row r="34" spans="2:22" s="2822" customFormat="1">
      <c r="B34" s="2821" t="s">
        <v>741</v>
      </c>
      <c r="C34" s="2822" t="s">
        <v>154</v>
      </c>
      <c r="E34" s="3366" t="s">
        <v>666</v>
      </c>
      <c r="H34" s="246">
        <v>18231028</v>
      </c>
      <c r="I34" s="2824">
        <f>VLOOKUP($E34,'2016 Sector View Gas'!$E$7:$T$78,I$1,FALSE)+VLOOKUP($E34,'2017 Sector View Gas'!$E$7:$T$78,I$1,FALSE)</f>
        <v>0</v>
      </c>
      <c r="J34" s="2824">
        <f>VLOOKUP($E34,'2016 Sector View Gas'!$E$7:$T$78,J$1,FALSE)+VLOOKUP($E34,'2017 Sector View Gas'!$E$7:$T$78,J$1,FALSE)</f>
        <v>0</v>
      </c>
      <c r="K34" s="2824">
        <f>VLOOKUP($E34,'2016 Sector View Gas'!$E$7:$T$78,K$1,FALSE)+VLOOKUP($E34,'2017 Sector View Gas'!$E$7:$T$78,K$1,FALSE)</f>
        <v>0</v>
      </c>
      <c r="L34" s="2824">
        <f>VLOOKUP($E34,'2016 Sector View Gas'!$E$7:$T$78,L$1,FALSE)+VLOOKUP($E34,'2017 Sector View Gas'!$E$7:$T$78,L$1,FALSE)</f>
        <v>0</v>
      </c>
      <c r="M34" s="2824">
        <f>VLOOKUP($E34,'2016 Sector View Gas'!$E$7:$T$78,M$1,FALSE)+VLOOKUP($E34,'2017 Sector View Gas'!$E$7:$T$78,M$1,FALSE)</f>
        <v>0</v>
      </c>
      <c r="N34" s="2824">
        <f>VLOOKUP($E34,'2016 Sector View Gas'!$E$7:$T$78,N$1,FALSE)+VLOOKUP($E34,'2017 Sector View Gas'!$E$7:$T$78,N$1,FALSE)</f>
        <v>0</v>
      </c>
      <c r="O34" s="2824">
        <f>VLOOKUP($E34,'2016 Sector View Gas'!$E$7:$T$78,O$1,FALSE)+VLOOKUP($E34,'2017 Sector View Gas'!$E$7:$T$78,O$1,FALSE)</f>
        <v>0</v>
      </c>
      <c r="P34" s="2824">
        <f>VLOOKUP($E34,'2016 Sector View Gas'!$E$7:$T$78,P$1,FALSE)+VLOOKUP($E34,'2017 Sector View Gas'!$E$7:$T$78,P$1,FALSE)</f>
        <v>0</v>
      </c>
      <c r="Q34" s="2824">
        <f>VLOOKUP($E34,'2016 Sector View Gas'!$E$7:$T$78,Q$1,FALSE)+VLOOKUP($E34,'2017 Sector View Gas'!$E$7:$T$78,Q$1,FALSE)</f>
        <v>0</v>
      </c>
      <c r="R34" s="2824">
        <f>VLOOKUP($E34,'2016 Sector View Gas'!$E$7:$T$78,R$1,FALSE)+VLOOKUP($E34,'2017 Sector View Gas'!$E$7:$T$78,R$1,FALSE)</f>
        <v>0</v>
      </c>
      <c r="S34" s="2824">
        <f>VLOOKUP($E34,'2016 Sector View Gas'!$E$7:$T$78,S$1,FALSE)+VLOOKUP($E34,'2017 Sector View Gas'!$E$7:$T$78,S$1,FALSE)</f>
        <v>0</v>
      </c>
      <c r="T34" s="2826">
        <f>VLOOKUP($E34,'2016 Sector View Gas'!$E$7:$T$78,T$1,FALSE)+VLOOKUP($E34,'2017 Sector View Gas'!$E$7:$T$78,T$1,FALSE)</f>
        <v>0</v>
      </c>
    </row>
    <row r="35" spans="2:22" s="2822" customFormat="1">
      <c r="B35" s="2821" t="s">
        <v>742</v>
      </c>
      <c r="C35" s="2822" t="s">
        <v>154</v>
      </c>
      <c r="E35" s="3366" t="s">
        <v>660</v>
      </c>
      <c r="H35" s="246">
        <v>18231029</v>
      </c>
      <c r="I35" s="2824">
        <f>VLOOKUP($E35,'2016 Sector View Gas'!$E$7:$T$78,I$1,FALSE)+VLOOKUP($E35,'2017 Sector View Gas'!$E$7:$T$78,I$1,FALSE)</f>
        <v>27529.8</v>
      </c>
      <c r="J35" s="2824">
        <f>VLOOKUP($E35,'2016 Sector View Gas'!$E$7:$T$78,J$1,FALSE)+VLOOKUP($E35,'2017 Sector View Gas'!$E$7:$T$78,J$1,FALSE)</f>
        <v>0</v>
      </c>
      <c r="K35" s="2824">
        <f>VLOOKUP($E35,'2016 Sector View Gas'!$E$7:$T$78,K$1,FALSE)+VLOOKUP($E35,'2017 Sector View Gas'!$E$7:$T$78,K$1,FALSE)</f>
        <v>18543.529650000004</v>
      </c>
      <c r="L35" s="2824">
        <f>VLOOKUP($E35,'2016 Sector View Gas'!$E$7:$T$78,L$1,FALSE)+VLOOKUP($E35,'2017 Sector View Gas'!$E$7:$T$78,L$1,FALSE)</f>
        <v>0</v>
      </c>
      <c r="M35" s="2824">
        <f>VLOOKUP($E35,'2016 Sector View Gas'!$E$7:$T$78,M$1,FALSE)+VLOOKUP($E35,'2017 Sector View Gas'!$E$7:$T$78,M$1,FALSE)</f>
        <v>1000</v>
      </c>
      <c r="N35" s="2824">
        <f>VLOOKUP($E35,'2016 Sector View Gas'!$E$7:$T$78,N$1,FALSE)+VLOOKUP($E35,'2017 Sector View Gas'!$E$7:$T$78,N$1,FALSE)</f>
        <v>0</v>
      </c>
      <c r="O35" s="2824">
        <f>VLOOKUP($E35,'2016 Sector View Gas'!$E$7:$T$78,O$1,FALSE)+VLOOKUP($E35,'2017 Sector View Gas'!$E$7:$T$78,O$1,FALSE)</f>
        <v>200</v>
      </c>
      <c r="P35" s="2824">
        <f>VLOOKUP($E35,'2016 Sector View Gas'!$E$7:$T$78,P$1,FALSE)+VLOOKUP($E35,'2017 Sector View Gas'!$E$7:$T$78,P$1,FALSE)</f>
        <v>240</v>
      </c>
      <c r="Q35" s="2824">
        <f>VLOOKUP($E35,'2016 Sector View Gas'!$E$7:$T$78,Q$1,FALSE)+VLOOKUP($E35,'2017 Sector View Gas'!$E$7:$T$78,Q$1,FALSE)</f>
        <v>56250.005999999994</v>
      </c>
      <c r="R35" s="2824">
        <f>VLOOKUP($E35,'2016 Sector View Gas'!$E$7:$T$78,R$1,FALSE)+VLOOKUP($E35,'2017 Sector View Gas'!$E$7:$T$78,R$1,FALSE)</f>
        <v>0</v>
      </c>
      <c r="S35" s="2824">
        <f>VLOOKUP($E35,'2016 Sector View Gas'!$E$7:$T$78,S$1,FALSE)+VLOOKUP($E35,'2017 Sector View Gas'!$E$7:$T$78,S$1,FALSE)</f>
        <v>103763.33564999999</v>
      </c>
      <c r="T35" s="2826">
        <f>VLOOKUP($E35,'2016 Sector View Gas'!$E$7:$T$78,T$1,FALSE)+VLOOKUP($E35,'2017 Sector View Gas'!$E$7:$T$78,T$1,FALSE)</f>
        <v>51000</v>
      </c>
    </row>
    <row r="36" spans="2:22" s="2822" customFormat="1">
      <c r="B36" s="3117" t="s">
        <v>1614</v>
      </c>
      <c r="C36" s="3118" t="s">
        <v>154</v>
      </c>
      <c r="D36" s="3118"/>
      <c r="E36" s="3367" t="s">
        <v>1491</v>
      </c>
      <c r="G36" s="3118"/>
      <c r="H36" s="246" t="s">
        <v>1615</v>
      </c>
      <c r="I36" s="2824">
        <f>VLOOKUP($E36,'2016 Sector View Gas'!$E$7:$T$78,I$1,FALSE)+VLOOKUP($E36,'2017 Sector View Gas'!$E$7:$T$78,I$1,FALSE)</f>
        <v>33035.760000000002</v>
      </c>
      <c r="J36" s="2824">
        <f>VLOOKUP($E36,'2016 Sector View Gas'!$E$7:$T$78,J$1,FALSE)+VLOOKUP($E36,'2017 Sector View Gas'!$E$7:$T$78,J$1,FALSE)</f>
        <v>0</v>
      </c>
      <c r="K36" s="2824">
        <f>VLOOKUP($E36,'2016 Sector View Gas'!$E$7:$T$78,K$1,FALSE)+VLOOKUP($E36,'2017 Sector View Gas'!$E$7:$T$78,K$1,FALSE)</f>
        <v>22252.235580000004</v>
      </c>
      <c r="L36" s="2824">
        <f>VLOOKUP($E36,'2016 Sector View Gas'!$E$7:$T$78,L$1,FALSE)+VLOOKUP($E36,'2017 Sector View Gas'!$E$7:$T$78,L$1,FALSE)</f>
        <v>0</v>
      </c>
      <c r="M36" s="2824">
        <f>VLOOKUP($E36,'2016 Sector View Gas'!$E$7:$T$78,M$1,FALSE)+VLOOKUP($E36,'2017 Sector View Gas'!$E$7:$T$78,M$1,FALSE)</f>
        <v>0</v>
      </c>
      <c r="N36" s="2824">
        <f>VLOOKUP($E36,'2016 Sector View Gas'!$E$7:$T$78,N$1,FALSE)+VLOOKUP($E36,'2017 Sector View Gas'!$E$7:$T$78,N$1,FALSE)</f>
        <v>630</v>
      </c>
      <c r="O36" s="2824">
        <f>VLOOKUP($E36,'2016 Sector View Gas'!$E$7:$T$78,O$1,FALSE)+VLOOKUP($E36,'2017 Sector View Gas'!$E$7:$T$78,O$1,FALSE)</f>
        <v>0</v>
      </c>
      <c r="P36" s="2824">
        <f>VLOOKUP($E36,'2016 Sector View Gas'!$E$7:$T$78,P$1,FALSE)+VLOOKUP($E36,'2017 Sector View Gas'!$E$7:$T$78,P$1,FALSE)</f>
        <v>9450</v>
      </c>
      <c r="Q36" s="2824">
        <f>VLOOKUP($E36,'2016 Sector View Gas'!$E$7:$T$78,Q$1,FALSE)+VLOOKUP($E36,'2017 Sector View Gas'!$E$7:$T$78,Q$1,FALSE)</f>
        <v>25826.33</v>
      </c>
      <c r="R36" s="2824">
        <f>VLOOKUP($E36,'2016 Sector View Gas'!$E$7:$T$78,R$1,FALSE)+VLOOKUP($E36,'2017 Sector View Gas'!$E$7:$T$78,R$1,FALSE)</f>
        <v>0</v>
      </c>
      <c r="S36" s="2824">
        <f>VLOOKUP($E36,'2016 Sector View Gas'!$E$7:$T$78,S$1,FALSE)+VLOOKUP($E36,'2017 Sector View Gas'!$E$7:$T$78,S$1,FALSE)</f>
        <v>91194.325580000004</v>
      </c>
      <c r="T36" s="2826">
        <f>VLOOKUP($E36,'2016 Sector View Gas'!$E$7:$T$78,T$1,FALSE)+VLOOKUP($E36,'2017 Sector View Gas'!$E$7:$T$78,T$1,FALSE)</f>
        <v>38790</v>
      </c>
      <c r="V36" s="3405">
        <f>91194-S36</f>
        <v>-0.32558000000426546</v>
      </c>
    </row>
    <row r="37" spans="2:22" s="2822" customFormat="1">
      <c r="B37" s="3117" t="s">
        <v>1617</v>
      </c>
      <c r="C37" s="3118" t="s">
        <v>154</v>
      </c>
      <c r="D37" s="3118"/>
      <c r="E37" s="3367" t="s">
        <v>1492</v>
      </c>
      <c r="G37" s="3118"/>
      <c r="H37" s="246" t="s">
        <v>1619</v>
      </c>
      <c r="I37" s="2824">
        <f>VLOOKUP($E37,'2016 Sector View Gas'!$E$7:$T$78,I$1,FALSE)+VLOOKUP($E37,'2017 Sector View Gas'!$E$7:$T$78,I$1,FALSE)</f>
        <v>18353.2</v>
      </c>
      <c r="J37" s="2824">
        <f>VLOOKUP($E37,'2016 Sector View Gas'!$E$7:$T$78,J$1,FALSE)+VLOOKUP($E37,'2017 Sector View Gas'!$E$7:$T$78,J$1,FALSE)</f>
        <v>0</v>
      </c>
      <c r="K37" s="2824">
        <f>VLOOKUP($E37,'2016 Sector View Gas'!$E$7:$T$78,K$1,FALSE)+VLOOKUP($E37,'2017 Sector View Gas'!$E$7:$T$78,K$1,FALSE)</f>
        <v>12362.3531</v>
      </c>
      <c r="L37" s="2824">
        <f>VLOOKUP($E37,'2016 Sector View Gas'!$E$7:$T$78,L$1,FALSE)+VLOOKUP($E37,'2017 Sector View Gas'!$E$7:$T$78,L$1,FALSE)</f>
        <v>20000</v>
      </c>
      <c r="M37" s="2824">
        <f>VLOOKUP($E37,'2016 Sector View Gas'!$E$7:$T$78,M$1,FALSE)+VLOOKUP($E37,'2017 Sector View Gas'!$E$7:$T$78,M$1,FALSE)</f>
        <v>1000</v>
      </c>
      <c r="N37" s="2824">
        <f>VLOOKUP($E37,'2016 Sector View Gas'!$E$7:$T$78,N$1,FALSE)+VLOOKUP($E37,'2017 Sector View Gas'!$E$7:$T$78,N$1,FALSE)</f>
        <v>0</v>
      </c>
      <c r="O37" s="2824">
        <f>VLOOKUP($E37,'2016 Sector View Gas'!$E$7:$T$78,O$1,FALSE)+VLOOKUP($E37,'2017 Sector View Gas'!$E$7:$T$78,O$1,FALSE)</f>
        <v>1000</v>
      </c>
      <c r="P37" s="2824">
        <f>VLOOKUP($E37,'2016 Sector View Gas'!$E$7:$T$78,P$1,FALSE)+VLOOKUP($E37,'2017 Sector View Gas'!$E$7:$T$78,P$1,FALSE)</f>
        <v>1000</v>
      </c>
      <c r="Q37" s="2824">
        <f>VLOOKUP($E37,'2016 Sector View Gas'!$E$7:$T$78,Q$1,FALSE)+VLOOKUP($E37,'2017 Sector View Gas'!$E$7:$T$78,Q$1,FALSE)</f>
        <v>799103.26</v>
      </c>
      <c r="R37" s="2824">
        <f>VLOOKUP($E37,'2016 Sector View Gas'!$E$7:$T$78,R$1,FALSE)+VLOOKUP($E37,'2017 Sector View Gas'!$E$7:$T$78,R$1,FALSE)</f>
        <v>0</v>
      </c>
      <c r="S37" s="2824">
        <f>VLOOKUP($E37,'2016 Sector View Gas'!$E$7:$T$78,S$1,FALSE)+VLOOKUP($E37,'2017 Sector View Gas'!$E$7:$T$78,S$1,FALSE)</f>
        <v>852818.81310000003</v>
      </c>
      <c r="T37" s="2826">
        <f>VLOOKUP($E37,'2016 Sector View Gas'!$E$7:$T$78,T$1,FALSE)+VLOOKUP($E37,'2017 Sector View Gas'!$E$7:$T$78,T$1,FALSE)</f>
        <v>266340</v>
      </c>
    </row>
    <row r="38" spans="2:22" s="2822" customFormat="1">
      <c r="B38" s="2821" t="s">
        <v>743</v>
      </c>
      <c r="C38" s="2822" t="s">
        <v>154</v>
      </c>
      <c r="E38" s="3366" t="s">
        <v>553</v>
      </c>
      <c r="H38" s="246">
        <v>18231022</v>
      </c>
      <c r="I38" s="2824">
        <f>VLOOKUP($E38,'2016 Sector View Gas'!$E$7:$T$78,I$1,FALSE)+VLOOKUP($E38,'2017 Sector View Gas'!$E$7:$T$78,I$1,FALSE)</f>
        <v>38541.72</v>
      </c>
      <c r="J38" s="2824">
        <f>VLOOKUP($E38,'2016 Sector View Gas'!$E$7:$T$78,J$1,FALSE)+VLOOKUP($E38,'2017 Sector View Gas'!$E$7:$T$78,J$1,FALSE)</f>
        <v>0</v>
      </c>
      <c r="K38" s="2824">
        <f>VLOOKUP($E38,'2016 Sector View Gas'!$E$7:$T$78,K$1,FALSE)+VLOOKUP($E38,'2017 Sector View Gas'!$E$7:$T$78,K$1,FALSE)</f>
        <v>25960.941510000004</v>
      </c>
      <c r="L38" s="2824">
        <f>VLOOKUP($E38,'2016 Sector View Gas'!$E$7:$T$78,L$1,FALSE)+VLOOKUP($E38,'2017 Sector View Gas'!$E$7:$T$78,L$1,FALSE)</f>
        <v>500</v>
      </c>
      <c r="M38" s="2824">
        <f>VLOOKUP($E38,'2016 Sector View Gas'!$E$7:$T$78,M$1,FALSE)+VLOOKUP($E38,'2017 Sector View Gas'!$E$7:$T$78,M$1,FALSE)</f>
        <v>0</v>
      </c>
      <c r="N38" s="2824">
        <f>VLOOKUP($E38,'2016 Sector View Gas'!$E$7:$T$78,N$1,FALSE)+VLOOKUP($E38,'2017 Sector View Gas'!$E$7:$T$78,N$1,FALSE)</f>
        <v>12000</v>
      </c>
      <c r="O38" s="2824">
        <f>VLOOKUP($E38,'2016 Sector View Gas'!$E$7:$T$78,O$1,FALSE)+VLOOKUP($E38,'2017 Sector View Gas'!$E$7:$T$78,O$1,FALSE)</f>
        <v>0</v>
      </c>
      <c r="P38" s="2824">
        <f>VLOOKUP($E38,'2016 Sector View Gas'!$E$7:$T$78,P$1,FALSE)+VLOOKUP($E38,'2017 Sector View Gas'!$E$7:$T$78,P$1,FALSE)</f>
        <v>137619</v>
      </c>
      <c r="Q38" s="2824">
        <f>VLOOKUP($E38,'2016 Sector View Gas'!$E$7:$T$78,Q$1,FALSE)+VLOOKUP($E38,'2017 Sector View Gas'!$E$7:$T$78,Q$1,FALSE)</f>
        <v>1488933.23</v>
      </c>
      <c r="R38" s="2824">
        <f>VLOOKUP($E38,'2016 Sector View Gas'!$E$7:$T$78,R$1,FALSE)+VLOOKUP($E38,'2017 Sector View Gas'!$E$7:$T$78,R$1,FALSE)</f>
        <v>0</v>
      </c>
      <c r="S38" s="2824">
        <f>VLOOKUP($E38,'2016 Sector View Gas'!$E$7:$T$78,S$1,FALSE)+VLOOKUP($E38,'2017 Sector View Gas'!$E$7:$T$78,S$1,FALSE)</f>
        <v>1703554.89151</v>
      </c>
      <c r="T38" s="2826">
        <f>VLOOKUP($E38,'2016 Sector View Gas'!$E$7:$T$78,T$1,FALSE)+VLOOKUP($E38,'2017 Sector View Gas'!$E$7:$T$78,T$1,FALSE)</f>
        <v>558910</v>
      </c>
      <c r="V38" s="3404">
        <f>558910-599795</f>
        <v>-40885</v>
      </c>
    </row>
    <row r="39" spans="2:22" s="2064" customFormat="1">
      <c r="B39" s="2011"/>
      <c r="F39" s="2010"/>
      <c r="H39" s="2010" t="s">
        <v>650</v>
      </c>
      <c r="I39" s="2762">
        <f>SUM(I26:I28)+I31+I32</f>
        <v>1186139.0900000001</v>
      </c>
      <c r="J39" s="2762">
        <f t="shared" ref="J39:S39" si="1">SUM(J26:J28)+J31+J32</f>
        <v>13156.08</v>
      </c>
      <c r="K39" s="2762">
        <f t="shared" si="1"/>
        <v>807802.3992300001</v>
      </c>
      <c r="L39" s="2762">
        <f t="shared" si="1"/>
        <v>68500</v>
      </c>
      <c r="M39" s="2762">
        <f t="shared" si="1"/>
        <v>47850</v>
      </c>
      <c r="N39" s="2762">
        <f t="shared" si="1"/>
        <v>204330</v>
      </c>
      <c r="O39" s="2762">
        <f t="shared" si="1"/>
        <v>9680</v>
      </c>
      <c r="P39" s="2762">
        <f t="shared" si="1"/>
        <v>162309</v>
      </c>
      <c r="Q39" s="2762">
        <f t="shared" si="1"/>
        <v>7036972.8259999994</v>
      </c>
      <c r="R39" s="2762">
        <f t="shared" si="1"/>
        <v>0</v>
      </c>
      <c r="S39" s="2762">
        <f t="shared" si="1"/>
        <v>9536739.395229999</v>
      </c>
      <c r="T39" s="2013">
        <f>SUM(T26:T28)+T31+T32</f>
        <v>3452978.4</v>
      </c>
    </row>
    <row r="40" spans="2:22" s="2177" customFormat="1">
      <c r="B40" s="2193"/>
      <c r="H40" s="2005"/>
      <c r="I40" s="2142"/>
      <c r="J40" s="2142"/>
      <c r="K40" s="2142"/>
      <c r="L40" s="2142"/>
      <c r="M40" s="2142"/>
      <c r="N40" s="2142"/>
      <c r="O40" s="2142"/>
      <c r="P40" s="2142"/>
      <c r="Q40" s="3209">
        <f>Q39/S39</f>
        <v>0.73788037340306156</v>
      </c>
      <c r="R40" s="2142"/>
      <c r="S40" s="2142"/>
      <c r="T40" s="2144"/>
    </row>
    <row r="41" spans="2:22" s="2765" customFormat="1" ht="11.25">
      <c r="B41" s="2259"/>
      <c r="H41" s="2766" t="s">
        <v>649</v>
      </c>
      <c r="I41" s="2767">
        <v>1717500</v>
      </c>
      <c r="J41" s="2768">
        <v>39000</v>
      </c>
      <c r="K41" s="2768">
        <v>1219100</v>
      </c>
      <c r="L41" s="2768">
        <v>104562</v>
      </c>
      <c r="M41" s="2768">
        <v>43460</v>
      </c>
      <c r="N41" s="2768">
        <v>552854</v>
      </c>
      <c r="O41" s="2768">
        <v>20640</v>
      </c>
      <c r="P41" s="2768">
        <v>152906</v>
      </c>
      <c r="Q41" s="2768">
        <v>3622148</v>
      </c>
      <c r="R41" s="2768">
        <v>0</v>
      </c>
      <c r="S41" s="2768">
        <v>7472200</v>
      </c>
      <c r="T41" s="3371">
        <v>2920000</v>
      </c>
    </row>
    <row r="42" spans="2:22" s="1569" customFormat="1">
      <c r="B42" s="2706"/>
      <c r="E42" s="2707"/>
      <c r="F42" s="2707"/>
      <c r="G42" s="2707"/>
      <c r="H42" s="2708"/>
      <c r="I42" s="2709"/>
      <c r="J42" s="2709"/>
      <c r="K42" s="2709"/>
      <c r="L42" s="2709"/>
      <c r="M42" s="2709"/>
      <c r="N42" s="2709"/>
      <c r="O42" s="2709"/>
      <c r="P42" s="2709"/>
      <c r="Q42" s="2709"/>
      <c r="R42" s="2709"/>
      <c r="S42" s="2709"/>
      <c r="T42" s="2710"/>
    </row>
    <row r="43" spans="2:22" s="1569" customFormat="1">
      <c r="B43" s="2706"/>
      <c r="C43" s="2195" t="s">
        <v>77</v>
      </c>
      <c r="E43" s="2707"/>
      <c r="F43" s="2707"/>
      <c r="G43" s="2707"/>
      <c r="H43" s="2708"/>
      <c r="I43" s="2709"/>
      <c r="J43" s="2709"/>
      <c r="K43" s="2709"/>
      <c r="L43" s="2709"/>
      <c r="M43" s="2709"/>
      <c r="N43" s="2709"/>
      <c r="O43" s="2709"/>
      <c r="P43" s="2709"/>
      <c r="Q43" s="2709"/>
      <c r="R43" s="2709"/>
      <c r="S43" s="2709"/>
      <c r="T43" s="2710"/>
    </row>
    <row r="44" spans="2:22">
      <c r="B44" s="2259" t="s">
        <v>600</v>
      </c>
      <c r="C44" s="2177" t="s">
        <v>86</v>
      </c>
      <c r="E44" s="2177" t="s">
        <v>597</v>
      </c>
      <c r="H44" s="2711">
        <v>18230622</v>
      </c>
      <c r="I44" s="1605">
        <f>VLOOKUP($E44,'2016 Sector View Gas'!$E$7:$T$78,I$1,FALSE)+VLOOKUP($E44,'2017 Sector View Gas'!$E$7:$T$78,I$1,FALSE)</f>
        <v>12045.54</v>
      </c>
      <c r="J44" s="2142">
        <f>VLOOKUP($E44,'2016 Sector View Gas'!$E$7:$T$78,J$1,FALSE)+VLOOKUP($E44,'2017 Sector View Gas'!$E$7:$T$78,J$1,FALSE)</f>
        <v>1992</v>
      </c>
      <c r="K44" s="2142">
        <f>VLOOKUP($E44,'2016 Sector View Gas'!$E$7:$T$78,K$1,FALSE)+VLOOKUP($E44,'2017 Sector View Gas'!$E$7:$T$78,K$1,FALSE)</f>
        <v>9363.0391800000016</v>
      </c>
      <c r="L44" s="2142">
        <f>VLOOKUP($E44,'2016 Sector View Gas'!$E$7:$T$78,L$1,FALSE)+VLOOKUP($E44,'2017 Sector View Gas'!$E$7:$T$78,L$1,FALSE)</f>
        <v>0</v>
      </c>
      <c r="M44" s="2142">
        <f>VLOOKUP($E44,'2016 Sector View Gas'!$E$7:$T$78,M$1,FALSE)+VLOOKUP($E44,'2017 Sector View Gas'!$E$7:$T$78,M$1,FALSE)</f>
        <v>2000</v>
      </c>
      <c r="N44" s="2142">
        <f>VLOOKUP($E44,'2016 Sector View Gas'!$E$7:$T$78,N$1,FALSE)+VLOOKUP($E44,'2017 Sector View Gas'!$E$7:$T$78,N$1,FALSE)</f>
        <v>77000</v>
      </c>
      <c r="O44" s="2142">
        <f>VLOOKUP($E44,'2016 Sector View Gas'!$E$7:$T$78,O$1,FALSE)+VLOOKUP($E44,'2017 Sector View Gas'!$E$7:$T$78,O$1,FALSE)</f>
        <v>500</v>
      </c>
      <c r="P44" s="2142">
        <f>VLOOKUP($E44,'2016 Sector View Gas'!$E$7:$T$78,P$1,FALSE)+VLOOKUP($E44,'2017 Sector View Gas'!$E$7:$T$78,P$1,FALSE)</f>
        <v>649.41999999999996</v>
      </c>
      <c r="Q44" s="2142">
        <f>VLOOKUP($E44,'2016 Sector View Gas'!$E$7:$T$78,Q$1,FALSE)+VLOOKUP($E44,'2017 Sector View Gas'!$E$7:$T$78,Q$1,FALSE)</f>
        <v>77479</v>
      </c>
      <c r="R44" s="2142">
        <f>VLOOKUP($E44,'2016 Sector View Gas'!$E$7:$T$78,R$1,FALSE)+VLOOKUP($E44,'2017 Sector View Gas'!$E$7:$T$78,R$1,FALSE)</f>
        <v>0</v>
      </c>
      <c r="S44" s="2142">
        <f>VLOOKUP($E44,'2016 Sector View Gas'!$E$7:$T$78,S$1,FALSE)+VLOOKUP($E44,'2017 Sector View Gas'!$E$7:$T$78,S$1,FALSE)</f>
        <v>181028.99917999998</v>
      </c>
      <c r="T44" s="3402">
        <f>VLOOKUP($E44,'2016 Sector View Gas'!$E$7:$T$78,T$1,FALSE)+VLOOKUP($E44,'2017 Sector View Gas'!$E$7:$T$78,T$1,FALSE)</f>
        <v>430529</v>
      </c>
    </row>
    <row r="45" spans="2:22">
      <c r="B45" s="2259" t="s">
        <v>599</v>
      </c>
      <c r="C45" s="1866" t="s">
        <v>86</v>
      </c>
      <c r="E45" s="2177" t="s">
        <v>621</v>
      </c>
      <c r="H45" s="1340">
        <v>18230639</v>
      </c>
      <c r="I45" s="2142">
        <f>VLOOKUP($E45,'2016 Sector View Gas'!$E$7:$T$78,I$1,FALSE)+VLOOKUP($E45,'2017 Sector View Gas'!$E$7:$T$78,I$1,FALSE)</f>
        <v>0</v>
      </c>
      <c r="J45" s="2142">
        <f>VLOOKUP($E45,'2016 Sector View Gas'!$E$7:$T$78,J$1,FALSE)+VLOOKUP($E45,'2017 Sector View Gas'!$E$7:$T$78,J$1,FALSE)</f>
        <v>0</v>
      </c>
      <c r="K45" s="2142">
        <f>VLOOKUP($E45,'2016 Sector View Gas'!$E$7:$T$78,K$1,FALSE)+VLOOKUP($E45,'2017 Sector View Gas'!$E$7:$T$78,K$1,FALSE)</f>
        <v>0</v>
      </c>
      <c r="L45" s="2142">
        <f>VLOOKUP($E45,'2016 Sector View Gas'!$E$7:$T$78,L$1,FALSE)+VLOOKUP($E45,'2017 Sector View Gas'!$E$7:$T$78,L$1,FALSE)</f>
        <v>0</v>
      </c>
      <c r="M45" s="2142">
        <f>VLOOKUP($E45,'2016 Sector View Gas'!$E$7:$T$78,M$1,FALSE)+VLOOKUP($E45,'2017 Sector View Gas'!$E$7:$T$78,M$1,FALSE)</f>
        <v>0</v>
      </c>
      <c r="N45" s="2142">
        <f>VLOOKUP($E45,'2016 Sector View Gas'!$E$7:$T$78,N$1,FALSE)+VLOOKUP($E45,'2017 Sector View Gas'!$E$7:$T$78,N$1,FALSE)</f>
        <v>0</v>
      </c>
      <c r="O45" s="2142">
        <f>VLOOKUP($E45,'2016 Sector View Gas'!$E$7:$T$78,O$1,FALSE)+VLOOKUP($E45,'2017 Sector View Gas'!$E$7:$T$78,O$1,FALSE)</f>
        <v>0</v>
      </c>
      <c r="P45" s="2142">
        <f>VLOOKUP($E45,'2016 Sector View Gas'!$E$7:$T$78,P$1,FALSE)+VLOOKUP($E45,'2017 Sector View Gas'!$E$7:$T$78,P$1,FALSE)</f>
        <v>0</v>
      </c>
      <c r="Q45" s="2142">
        <f>VLOOKUP($E45,'2016 Sector View Gas'!$E$7:$T$78,Q$1,FALSE)+VLOOKUP($E45,'2017 Sector View Gas'!$E$7:$T$78,Q$1,FALSE)</f>
        <v>0</v>
      </c>
      <c r="R45" s="2142">
        <f>VLOOKUP($E45,'2016 Sector View Gas'!$E$7:$T$78,R$1,FALSE)+VLOOKUP($E45,'2017 Sector View Gas'!$E$7:$T$78,R$1,FALSE)</f>
        <v>0</v>
      </c>
      <c r="S45" s="2142">
        <f>VLOOKUP($E45,'2016 Sector View Gas'!$E$7:$T$78,S$1,FALSE)+VLOOKUP($E45,'2017 Sector View Gas'!$E$7:$T$78,S$1,FALSE)</f>
        <v>0</v>
      </c>
      <c r="T45" s="2144">
        <f>ROUND('2016 Sector View Gas'!T43+'2017 Sector View Gas'!T43,-2)</f>
        <v>0</v>
      </c>
    </row>
    <row r="46" spans="2:22" s="2064" customFormat="1">
      <c r="B46" s="2011"/>
      <c r="F46" s="2010"/>
      <c r="H46" s="2010" t="s">
        <v>651</v>
      </c>
      <c r="I46" s="2762">
        <f>SUM(I44:I45)</f>
        <v>12045.54</v>
      </c>
      <c r="J46" s="2763">
        <f t="shared" ref="J46:T46" si="2">SUM(J44:J45)</f>
        <v>1992</v>
      </c>
      <c r="K46" s="2763">
        <f t="shared" si="2"/>
        <v>9363.0391800000016</v>
      </c>
      <c r="L46" s="2763">
        <f t="shared" si="2"/>
        <v>0</v>
      </c>
      <c r="M46" s="2763">
        <f t="shared" si="2"/>
        <v>2000</v>
      </c>
      <c r="N46" s="2763">
        <f t="shared" si="2"/>
        <v>77000</v>
      </c>
      <c r="O46" s="2763">
        <f t="shared" si="2"/>
        <v>500</v>
      </c>
      <c r="P46" s="2763">
        <f t="shared" si="2"/>
        <v>649.41999999999996</v>
      </c>
      <c r="Q46" s="2763">
        <f t="shared" si="2"/>
        <v>77479</v>
      </c>
      <c r="R46" s="2763">
        <f t="shared" si="2"/>
        <v>0</v>
      </c>
      <c r="S46" s="2764">
        <f t="shared" si="2"/>
        <v>181028.99917999998</v>
      </c>
      <c r="T46" s="2013">
        <f t="shared" si="2"/>
        <v>430529</v>
      </c>
    </row>
    <row r="47" spans="2:22" s="2177" customFormat="1">
      <c r="B47" s="2193"/>
      <c r="H47" s="2005"/>
      <c r="I47" s="2142"/>
      <c r="J47" s="2142"/>
      <c r="K47" s="2142"/>
      <c r="L47" s="2142"/>
      <c r="M47" s="2142"/>
      <c r="N47" s="2142"/>
      <c r="O47" s="2142"/>
      <c r="P47" s="2142"/>
      <c r="Q47" s="2142"/>
      <c r="R47" s="2142"/>
      <c r="S47" s="2142"/>
      <c r="T47" s="2144"/>
    </row>
    <row r="48" spans="2:22" s="2765" customFormat="1" ht="11.25">
      <c r="B48" s="2259"/>
      <c r="H48" s="2766" t="s">
        <v>649</v>
      </c>
      <c r="I48" s="2767">
        <v>40162.5</v>
      </c>
      <c r="J48" s="2768">
        <v>7087.5</v>
      </c>
      <c r="K48" s="2768">
        <v>32796</v>
      </c>
      <c r="L48" s="2768">
        <v>0</v>
      </c>
      <c r="M48" s="2768">
        <v>3780</v>
      </c>
      <c r="N48" s="2768">
        <v>226818</v>
      </c>
      <c r="O48" s="2768">
        <v>0</v>
      </c>
      <c r="P48" s="2768">
        <v>1890</v>
      </c>
      <c r="Q48" s="2768">
        <v>177898</v>
      </c>
      <c r="R48" s="2768">
        <v>0</v>
      </c>
      <c r="S48" s="2768">
        <v>490400</v>
      </c>
      <c r="T48" s="3371">
        <v>770000</v>
      </c>
    </row>
    <row r="49" spans="2:20" s="2177" customFormat="1">
      <c r="B49" s="2011"/>
      <c r="G49" s="2010"/>
      <c r="I49" s="2142"/>
      <c r="J49" s="2142"/>
      <c r="K49" s="2142"/>
      <c r="L49" s="2142"/>
      <c r="M49" s="2142"/>
      <c r="N49" s="2142"/>
      <c r="O49" s="2142"/>
      <c r="P49" s="2142"/>
      <c r="Q49" s="2142"/>
      <c r="R49" s="2142"/>
      <c r="S49" s="2142"/>
      <c r="T49" s="2144"/>
    </row>
    <row r="50" spans="2:20" s="2177" customFormat="1">
      <c r="B50" s="2011"/>
      <c r="C50" s="2177" t="s">
        <v>158</v>
      </c>
      <c r="I50" s="2142"/>
      <c r="J50" s="2142"/>
      <c r="K50" s="2142"/>
      <c r="L50" s="2142"/>
      <c r="M50" s="2142"/>
      <c r="N50" s="2142"/>
      <c r="O50" s="2142"/>
      <c r="P50" s="2142"/>
      <c r="Q50" s="2142"/>
      <c r="R50" s="2142"/>
      <c r="S50" s="2142"/>
      <c r="T50" s="2144"/>
    </row>
    <row r="51" spans="2:20" s="2177" customFormat="1">
      <c r="B51" s="2259" t="s">
        <v>744</v>
      </c>
      <c r="E51" s="2177" t="s">
        <v>643</v>
      </c>
      <c r="H51" s="1340">
        <v>18230660</v>
      </c>
      <c r="I51" s="2142">
        <f>VLOOKUP($E51,'2016 Sector View Gas'!$E$7:$T$78,I$1,FALSE)+VLOOKUP($E51,'2017 Sector View Gas'!$E$7:$T$78,I$1,FALSE)</f>
        <v>0</v>
      </c>
      <c r="J51" s="2142">
        <f>VLOOKUP($E51,'2016 Sector View Gas'!$E$7:$T$78,J$1,FALSE)+VLOOKUP($E51,'2017 Sector View Gas'!$E$7:$T$78,J$1,FALSE)</f>
        <v>0</v>
      </c>
      <c r="K51" s="2142">
        <f>VLOOKUP($E51,'2016 Sector View Gas'!$E$7:$T$78,K$1,FALSE)+VLOOKUP($E51,'2017 Sector View Gas'!$E$7:$T$78,K$1,FALSE)</f>
        <v>0</v>
      </c>
      <c r="L51" s="2142">
        <f>VLOOKUP($E51,'2016 Sector View Gas'!$E$7:$T$78,L$1,FALSE)+VLOOKUP($E51,'2017 Sector View Gas'!$E$7:$T$78,L$1,FALSE)</f>
        <v>0</v>
      </c>
      <c r="M51" s="2142">
        <f>VLOOKUP($E51,'2016 Sector View Gas'!$E$7:$T$78,M$1,FALSE)+VLOOKUP($E51,'2017 Sector View Gas'!$E$7:$T$78,M$1,FALSE)</f>
        <v>0</v>
      </c>
      <c r="N51" s="2142">
        <f>VLOOKUP($E51,'2016 Sector View Gas'!$E$7:$T$78,N$1,FALSE)+VLOOKUP($E51,'2017 Sector View Gas'!$E$7:$T$78,N$1,FALSE)</f>
        <v>2475756</v>
      </c>
      <c r="O51" s="2142">
        <f>VLOOKUP($E51,'2016 Sector View Gas'!$E$7:$T$78,O$1,FALSE)+VLOOKUP($E51,'2017 Sector View Gas'!$E$7:$T$78,O$1,FALSE)</f>
        <v>0</v>
      </c>
      <c r="P51" s="2142">
        <f>VLOOKUP($E51,'2016 Sector View Gas'!$E$7:$T$78,P$1,FALSE)+VLOOKUP($E51,'2017 Sector View Gas'!$E$7:$T$78,P$1,FALSE)</f>
        <v>0</v>
      </c>
      <c r="Q51" s="2142">
        <f>VLOOKUP($E51,'2016 Sector View Gas'!$E$7:$T$78,Q$1,FALSE)+VLOOKUP($E51,'2017 Sector View Gas'!$E$7:$T$78,Q$1,FALSE)</f>
        <v>0</v>
      </c>
      <c r="R51" s="2142">
        <f>VLOOKUP($E51,'2016 Sector View Gas'!$E$7:$T$78,R$1,FALSE)+VLOOKUP($E51,'2017 Sector View Gas'!$E$7:$T$78,R$1,FALSE)</f>
        <v>0</v>
      </c>
      <c r="S51" s="2142">
        <f>VLOOKUP($E51,'2016 Sector View Gas'!$E$7:$T$78,S$1,FALSE)+VLOOKUP($E51,'2017 Sector View Gas'!$E$7:$T$78,S$1,FALSE)</f>
        <v>2475756</v>
      </c>
      <c r="T51" s="2144">
        <f>VLOOKUP($E51,'2016 Sector View Gas'!$E$7:$T$78,T$1,FALSE)+VLOOKUP($E51,'2017 Sector View Gas'!$E$7:$T$78,T$1,FALSE)</f>
        <v>37680</v>
      </c>
    </row>
    <row r="52" spans="2:20" s="2177" customFormat="1">
      <c r="B52" s="2193"/>
      <c r="F52" s="2010"/>
      <c r="H52" s="2010" t="s">
        <v>162</v>
      </c>
      <c r="I52" s="2762">
        <f t="shared" ref="I52:T52" si="3">SUM(I51:I51)</f>
        <v>0</v>
      </c>
      <c r="J52" s="2763">
        <f t="shared" si="3"/>
        <v>0</v>
      </c>
      <c r="K52" s="2763">
        <f t="shared" si="3"/>
        <v>0</v>
      </c>
      <c r="L52" s="2763">
        <f t="shared" si="3"/>
        <v>0</v>
      </c>
      <c r="M52" s="2763">
        <f t="shared" si="3"/>
        <v>0</v>
      </c>
      <c r="N52" s="2763">
        <f t="shared" si="3"/>
        <v>2475756</v>
      </c>
      <c r="O52" s="2763">
        <f t="shared" si="3"/>
        <v>0</v>
      </c>
      <c r="P52" s="2763">
        <f t="shared" si="3"/>
        <v>0</v>
      </c>
      <c r="Q52" s="2763">
        <f t="shared" si="3"/>
        <v>0</v>
      </c>
      <c r="R52" s="2763">
        <f t="shared" si="3"/>
        <v>0</v>
      </c>
      <c r="S52" s="2764">
        <f t="shared" si="3"/>
        <v>2475756</v>
      </c>
      <c r="T52" s="2013">
        <f t="shared" si="3"/>
        <v>37680</v>
      </c>
    </row>
    <row r="53" spans="2:20" s="1569" customFormat="1">
      <c r="B53" s="2706"/>
      <c r="E53" s="2707"/>
      <c r="F53" s="2707"/>
      <c r="G53" s="2707"/>
      <c r="H53" s="2708"/>
      <c r="I53" s="2709"/>
      <c r="J53" s="2709"/>
      <c r="K53" s="2709"/>
      <c r="L53" s="2709"/>
      <c r="M53" s="2709"/>
      <c r="N53" s="2709"/>
      <c r="O53" s="2709"/>
      <c r="P53" s="2709"/>
      <c r="Q53" s="3211">
        <f>(Q21+Q39+Q46)/(S21+S39+S46+S52)</f>
        <v>0.69988528701753494</v>
      </c>
      <c r="R53" s="3210" t="s">
        <v>1674</v>
      </c>
      <c r="S53" s="2709"/>
      <c r="T53" s="2710"/>
    </row>
    <row r="54" spans="2:20" s="2765" customFormat="1" ht="11.25">
      <c r="B54" s="2259"/>
      <c r="H54" s="2766" t="s">
        <v>649</v>
      </c>
      <c r="I54" s="2767">
        <v>0</v>
      </c>
      <c r="J54" s="2768">
        <v>0</v>
      </c>
      <c r="K54" s="2768">
        <v>0</v>
      </c>
      <c r="L54" s="2768">
        <v>0</v>
      </c>
      <c r="M54" s="2768">
        <v>0</v>
      </c>
      <c r="N54" s="2768">
        <v>0</v>
      </c>
      <c r="O54" s="2768">
        <v>0</v>
      </c>
      <c r="P54" s="2768">
        <v>0</v>
      </c>
      <c r="Q54" s="2768">
        <v>0</v>
      </c>
      <c r="R54" s="2768">
        <v>0</v>
      </c>
      <c r="S54" s="2768">
        <v>0</v>
      </c>
      <c r="T54" s="3371">
        <v>0</v>
      </c>
    </row>
    <row r="55" spans="2:20" s="2177" customFormat="1">
      <c r="B55" s="2011"/>
      <c r="G55" s="2010"/>
      <c r="I55" s="2142"/>
      <c r="J55" s="2142"/>
      <c r="K55" s="2142"/>
      <c r="L55" s="2142"/>
      <c r="M55" s="2142"/>
      <c r="N55" s="2142"/>
      <c r="O55" s="2142"/>
      <c r="P55" s="2142"/>
      <c r="Q55" s="2142"/>
      <c r="R55" s="2142"/>
      <c r="S55" s="2142"/>
      <c r="T55" s="2144"/>
    </row>
    <row r="56" spans="2:20">
      <c r="C56" s="2177" t="s">
        <v>335</v>
      </c>
      <c r="T56" s="2144"/>
    </row>
    <row r="57" spans="2:20">
      <c r="B57" s="2259"/>
      <c r="C57" s="1866" t="s">
        <v>252</v>
      </c>
      <c r="E57" s="1866" t="s">
        <v>163</v>
      </c>
      <c r="H57" s="2194"/>
      <c r="I57" s="1605">
        <f>VLOOKUP($E57,'2016 Sector View Gas'!$E$7:$T$78,I$1,FALSE)+VLOOKUP($E57,'2017 Sector View Gas'!$E$7:$T$78,I$1,FALSE)</f>
        <v>214973.11254999999</v>
      </c>
      <c r="J57" s="2142">
        <f>VLOOKUP($E57,'2016 Sector View Gas'!$E$7:$T$78,J$1,FALSE)+VLOOKUP($E57,'2017 Sector View Gas'!$E$7:$T$78,J$1,FALSE)</f>
        <v>4959.8999999999996</v>
      </c>
      <c r="K57" s="2142">
        <f>VLOOKUP($E57,'2016 Sector View Gas'!$E$7:$T$78,K$1,FALSE)+VLOOKUP($E57,'2017 Sector View Gas'!$E$7:$T$78,K$1,FALSE)</f>
        <v>148148.53438799997</v>
      </c>
      <c r="L57" s="2142">
        <f>VLOOKUP($E57,'2016 Sector View Gas'!$E$7:$T$78,L$1,FALSE)+VLOOKUP($E57,'2017 Sector View Gas'!$E$7:$T$78,L$1,FALSE)</f>
        <v>5710</v>
      </c>
      <c r="M57" s="2142">
        <f>VLOOKUP($E57,'2016 Sector View Gas'!$E$7:$T$78,M$1,FALSE)+VLOOKUP($E57,'2017 Sector View Gas'!$E$7:$T$78,M$1,FALSE)</f>
        <v>18224</v>
      </c>
      <c r="N57" s="2142">
        <f>VLOOKUP($E57,'2016 Sector View Gas'!$E$7:$T$78,N$1,FALSE)+VLOOKUP($E57,'2017 Sector View Gas'!$E$7:$T$78,N$1,FALSE)</f>
        <v>25880</v>
      </c>
      <c r="O57" s="2142">
        <f>VLOOKUP($E57,'2016 Sector View Gas'!$E$7:$T$78,O$1,FALSE)+VLOOKUP($E57,'2017 Sector View Gas'!$E$7:$T$78,O$1,FALSE)</f>
        <v>11956</v>
      </c>
      <c r="P57" s="2142">
        <f>VLOOKUP($E57,'2016 Sector View Gas'!$E$7:$T$78,P$1,FALSE)+VLOOKUP($E57,'2017 Sector View Gas'!$E$7:$T$78,P$1,FALSE)</f>
        <v>404</v>
      </c>
      <c r="Q57" s="2142">
        <f>VLOOKUP($E57,'2016 Sector View Gas'!$E$7:$T$78,Q$1,FALSE)+VLOOKUP($E57,'2017 Sector View Gas'!$E$7:$T$78,Q$1,FALSE)</f>
        <v>0</v>
      </c>
      <c r="R57" s="2142">
        <f>VLOOKUP($E57,'2016 Sector View Gas'!$E$7:$T$78,R$1,FALSE)+VLOOKUP($E57,'2017 Sector View Gas'!$E$7:$T$78,R$1,FALSE)</f>
        <v>0</v>
      </c>
      <c r="S57" s="2142">
        <f>VLOOKUP($E57,'2016 Sector View Gas'!$E$7:$T$78,S$1,FALSE)+VLOOKUP($E57,'2017 Sector View Gas'!$E$7:$T$78,S$1,FALSE)</f>
        <v>430255.54693799996</v>
      </c>
      <c r="T57" s="2144"/>
    </row>
    <row r="58" spans="2:20" s="2822" customFormat="1">
      <c r="B58" s="2821" t="s">
        <v>421</v>
      </c>
      <c r="E58" s="3366" t="s">
        <v>203</v>
      </c>
      <c r="H58" s="2825">
        <v>18230704</v>
      </c>
      <c r="I58" s="2824">
        <f>VLOOKUP($E58,'2016 Sector View Gas'!$E$7:$T$78,I$1,FALSE)+VLOOKUP($E58,'2017 Sector View Gas'!$E$7:$T$78,I$1,FALSE)</f>
        <v>91410.51999999999</v>
      </c>
      <c r="J58" s="2824">
        <f>VLOOKUP($E58,'2016 Sector View Gas'!$E$7:$T$78,J$1,FALSE)+VLOOKUP($E58,'2017 Sector View Gas'!$E$7:$T$78,J$1,FALSE)</f>
        <v>0</v>
      </c>
      <c r="K58" s="2824">
        <f>VLOOKUP($E58,'2016 Sector View Gas'!$E$7:$T$78,K$1,FALSE)+VLOOKUP($E58,'2017 Sector View Gas'!$E$7:$T$78,K$1,FALSE)</f>
        <v>61572.320600000006</v>
      </c>
      <c r="L58" s="2824">
        <f>VLOOKUP($E58,'2016 Sector View Gas'!$E$7:$T$78,L$1,FALSE)+VLOOKUP($E58,'2017 Sector View Gas'!$E$7:$T$78,L$1,FALSE)</f>
        <v>0</v>
      </c>
      <c r="M58" s="2824">
        <f>VLOOKUP($E58,'2016 Sector View Gas'!$E$7:$T$78,M$1,FALSE)+VLOOKUP($E58,'2017 Sector View Gas'!$E$7:$T$78,M$1,FALSE)</f>
        <v>15664</v>
      </c>
      <c r="N58" s="2824">
        <f>VLOOKUP($E58,'2016 Sector View Gas'!$E$7:$T$78,N$1,FALSE)+VLOOKUP($E58,'2017 Sector View Gas'!$E$7:$T$78,N$1,FALSE)</f>
        <v>400</v>
      </c>
      <c r="O58" s="2824">
        <f>VLOOKUP($E58,'2016 Sector View Gas'!$E$7:$T$78,O$1,FALSE)+VLOOKUP($E58,'2017 Sector View Gas'!$E$7:$T$78,O$1,FALSE)</f>
        <v>906</v>
      </c>
      <c r="P58" s="2824">
        <f>VLOOKUP($E58,'2016 Sector View Gas'!$E$7:$T$78,P$1,FALSE)+VLOOKUP($E58,'2017 Sector View Gas'!$E$7:$T$78,P$1,FALSE)</f>
        <v>404</v>
      </c>
      <c r="Q58" s="2824">
        <f>VLOOKUP($E58,'2016 Sector View Gas'!$E$7:$T$78,Q$1,FALSE)+VLOOKUP($E58,'2017 Sector View Gas'!$E$7:$T$78,Q$1,FALSE)</f>
        <v>0</v>
      </c>
      <c r="R58" s="2824">
        <f>VLOOKUP($E58,'2016 Sector View Gas'!$E$7:$T$78,R$1,FALSE)+VLOOKUP($E58,'2017 Sector View Gas'!$E$7:$T$78,R$1,FALSE)</f>
        <v>0</v>
      </c>
      <c r="S58" s="2824">
        <f>VLOOKUP($E58,'2016 Sector View Gas'!$E$7:$T$78,S$1,FALSE)+VLOOKUP($E58,'2017 Sector View Gas'!$E$7:$T$78,S$1,FALSE)</f>
        <v>170356.8406</v>
      </c>
      <c r="T58" s="2826"/>
    </row>
    <row r="59" spans="2:20" s="2822" customFormat="1">
      <c r="B59" s="2821" t="s">
        <v>422</v>
      </c>
      <c r="E59" s="3366" t="s">
        <v>204</v>
      </c>
      <c r="H59" s="2825">
        <v>18230653</v>
      </c>
      <c r="I59" s="2824">
        <f>VLOOKUP($E59,'2016 Sector View Gas'!$E$7:$T$78,I$1,FALSE)+VLOOKUP($E59,'2017 Sector View Gas'!$E$7:$T$78,I$1,FALSE)</f>
        <v>119070.16649999999</v>
      </c>
      <c r="J59" s="2824">
        <f>VLOOKUP($E59,'2016 Sector View Gas'!$E$7:$T$78,J$1,FALSE)+VLOOKUP($E59,'2017 Sector View Gas'!$E$7:$T$78,J$1,FALSE)</f>
        <v>0</v>
      </c>
      <c r="K59" s="2824">
        <f>VLOOKUP($E59,'2016 Sector View Gas'!$E$7:$T$78,K$1,FALSE)+VLOOKUP($E59,'2017 Sector View Gas'!$E$7:$T$78,K$1,FALSE)</f>
        <v>80203.341039999999</v>
      </c>
      <c r="L59" s="2824">
        <f>VLOOKUP($E59,'2016 Sector View Gas'!$E$7:$T$78,L$1,FALSE)+VLOOKUP($E59,'2017 Sector View Gas'!$E$7:$T$78,L$1,FALSE)</f>
        <v>1710</v>
      </c>
      <c r="M59" s="2824">
        <f>VLOOKUP($E59,'2016 Sector View Gas'!$E$7:$T$78,M$1,FALSE)+VLOOKUP($E59,'2017 Sector View Gas'!$E$7:$T$78,M$1,FALSE)</f>
        <v>2560</v>
      </c>
      <c r="N59" s="2824">
        <f>VLOOKUP($E59,'2016 Sector View Gas'!$E$7:$T$78,N$1,FALSE)+VLOOKUP($E59,'2017 Sector View Gas'!$E$7:$T$78,N$1,FALSE)</f>
        <v>22750</v>
      </c>
      <c r="O59" s="2824">
        <f>VLOOKUP($E59,'2016 Sector View Gas'!$E$7:$T$78,O$1,FALSE)+VLOOKUP($E59,'2017 Sector View Gas'!$E$7:$T$78,O$1,FALSE)</f>
        <v>1430</v>
      </c>
      <c r="P59" s="2824">
        <f>VLOOKUP($E59,'2016 Sector View Gas'!$E$7:$T$78,P$1,FALSE)+VLOOKUP($E59,'2017 Sector View Gas'!$E$7:$T$78,P$1,FALSE)</f>
        <v>0</v>
      </c>
      <c r="Q59" s="2824">
        <f>VLOOKUP($E59,'2016 Sector View Gas'!$E$7:$T$78,Q$1,FALSE)+VLOOKUP($E59,'2017 Sector View Gas'!$E$7:$T$78,Q$1,FALSE)</f>
        <v>0</v>
      </c>
      <c r="R59" s="2824">
        <f>VLOOKUP($E59,'2016 Sector View Gas'!$E$7:$T$78,R$1,FALSE)+VLOOKUP($E59,'2017 Sector View Gas'!$E$7:$T$78,R$1,FALSE)</f>
        <v>0</v>
      </c>
      <c r="S59" s="2824">
        <f>VLOOKUP($E59,'2016 Sector View Gas'!$E$7:$T$78,S$1,FALSE)+VLOOKUP($E59,'2017 Sector View Gas'!$E$7:$T$78,S$1,FALSE)</f>
        <v>227723.50753999996</v>
      </c>
      <c r="T59" s="2826"/>
    </row>
    <row r="60" spans="2:20" s="2822" customFormat="1">
      <c r="B60" s="2821" t="s">
        <v>423</v>
      </c>
      <c r="E60" s="3366" t="s">
        <v>357</v>
      </c>
      <c r="H60" s="2825">
        <v>18230685</v>
      </c>
      <c r="I60" s="2824">
        <f>VLOOKUP($E60,'2016 Sector View Gas'!$E$7:$T$78,I$1,FALSE)+VLOOKUP($E60,'2017 Sector View Gas'!$E$7:$T$78,I$1,FALSE)</f>
        <v>4492.42605</v>
      </c>
      <c r="J60" s="2824">
        <f>VLOOKUP($E60,'2016 Sector View Gas'!$E$7:$T$78,J$1,FALSE)+VLOOKUP($E60,'2017 Sector View Gas'!$E$7:$T$78,J$1,FALSE)</f>
        <v>4959.8999999999996</v>
      </c>
      <c r="K60" s="2824">
        <f>VLOOKUP($E60,'2016 Sector View Gas'!$E$7:$T$78,K$1,FALSE)+VLOOKUP($E60,'2017 Sector View Gas'!$E$7:$T$78,K$1,FALSE)</f>
        <v>6372.8727479999998</v>
      </c>
      <c r="L60" s="2824">
        <f>VLOOKUP($E60,'2016 Sector View Gas'!$E$7:$T$78,L$1,FALSE)+VLOOKUP($E60,'2017 Sector View Gas'!$E$7:$T$78,L$1,FALSE)</f>
        <v>4000</v>
      </c>
      <c r="M60" s="2824">
        <f>VLOOKUP($E60,'2016 Sector View Gas'!$E$7:$T$78,M$1,FALSE)+VLOOKUP($E60,'2017 Sector View Gas'!$E$7:$T$78,M$1,FALSE)</f>
        <v>0</v>
      </c>
      <c r="N60" s="2824">
        <f>VLOOKUP($E60,'2016 Sector View Gas'!$E$7:$T$78,N$1,FALSE)+VLOOKUP($E60,'2017 Sector View Gas'!$E$7:$T$78,N$1,FALSE)</f>
        <v>780</v>
      </c>
      <c r="O60" s="2824">
        <f>VLOOKUP($E60,'2016 Sector View Gas'!$E$7:$T$78,O$1,FALSE)+VLOOKUP($E60,'2017 Sector View Gas'!$E$7:$T$78,O$1,FALSE)</f>
        <v>9620</v>
      </c>
      <c r="P60" s="2824">
        <f>VLOOKUP($E60,'2016 Sector View Gas'!$E$7:$T$78,P$1,FALSE)+VLOOKUP($E60,'2017 Sector View Gas'!$E$7:$T$78,P$1,FALSE)</f>
        <v>0</v>
      </c>
      <c r="Q60" s="2824">
        <f>VLOOKUP($E60,'2016 Sector View Gas'!$E$7:$T$78,Q$1,FALSE)+VLOOKUP($E60,'2017 Sector View Gas'!$E$7:$T$78,Q$1,FALSE)</f>
        <v>0</v>
      </c>
      <c r="R60" s="2824">
        <f>VLOOKUP($E60,'2016 Sector View Gas'!$E$7:$T$78,R$1,FALSE)+VLOOKUP($E60,'2017 Sector View Gas'!$E$7:$T$78,R$1,FALSE)</f>
        <v>0</v>
      </c>
      <c r="S60" s="2824">
        <f>VLOOKUP($E60,'2016 Sector View Gas'!$E$7:$T$78,S$1,FALSE)+VLOOKUP($E60,'2017 Sector View Gas'!$E$7:$T$78,S$1,FALSE)</f>
        <v>30225.198797999998</v>
      </c>
      <c r="T60" s="2826"/>
    </row>
    <row r="61" spans="2:20" s="2822" customFormat="1">
      <c r="B61" s="2821" t="s">
        <v>424</v>
      </c>
      <c r="C61" s="2822" t="s">
        <v>354</v>
      </c>
      <c r="E61" s="3366" t="s">
        <v>205</v>
      </c>
      <c r="H61" s="2825">
        <v>18230671</v>
      </c>
      <c r="I61" s="2824">
        <f>VLOOKUP($E61,'2016 Sector View Gas'!$E$7:$T$78,I$1,FALSE)+VLOOKUP($E61,'2017 Sector View Gas'!$E$7:$T$78,I$1,FALSE)</f>
        <v>0</v>
      </c>
      <c r="J61" s="2824">
        <f>VLOOKUP($E61,'2016 Sector View Gas'!$E$7:$T$78,J$1,FALSE)+VLOOKUP($E61,'2017 Sector View Gas'!$E$7:$T$78,J$1,FALSE)</f>
        <v>0</v>
      </c>
      <c r="K61" s="2824">
        <f>VLOOKUP($E61,'2016 Sector View Gas'!$E$7:$T$78,K$1,FALSE)+VLOOKUP($E61,'2017 Sector View Gas'!$E$7:$T$78,K$1,FALSE)</f>
        <v>0</v>
      </c>
      <c r="L61" s="2824">
        <f>VLOOKUP($E61,'2016 Sector View Gas'!$E$7:$T$78,L$1,FALSE)+VLOOKUP($E61,'2017 Sector View Gas'!$E$7:$T$78,L$1,FALSE)</f>
        <v>0</v>
      </c>
      <c r="M61" s="2824">
        <f>VLOOKUP($E61,'2016 Sector View Gas'!$E$7:$T$78,M$1,FALSE)+VLOOKUP($E61,'2017 Sector View Gas'!$E$7:$T$78,M$1,FALSE)</f>
        <v>0</v>
      </c>
      <c r="N61" s="2824">
        <f>VLOOKUP($E61,'2016 Sector View Gas'!$E$7:$T$78,N$1,FALSE)+VLOOKUP($E61,'2017 Sector View Gas'!$E$7:$T$78,N$1,FALSE)</f>
        <v>1950</v>
      </c>
      <c r="O61" s="2824">
        <f>VLOOKUP($E61,'2016 Sector View Gas'!$E$7:$T$78,O$1,FALSE)+VLOOKUP($E61,'2017 Sector View Gas'!$E$7:$T$78,O$1,FALSE)</f>
        <v>0</v>
      </c>
      <c r="P61" s="2824">
        <f>VLOOKUP($E61,'2016 Sector View Gas'!$E$7:$T$78,P$1,FALSE)+VLOOKUP($E61,'2017 Sector View Gas'!$E$7:$T$78,P$1,FALSE)</f>
        <v>0</v>
      </c>
      <c r="Q61" s="2824">
        <f>VLOOKUP($E61,'2016 Sector View Gas'!$E$7:$T$78,Q$1,FALSE)+VLOOKUP($E61,'2017 Sector View Gas'!$E$7:$T$78,Q$1,FALSE)</f>
        <v>0</v>
      </c>
      <c r="R61" s="2824">
        <f>VLOOKUP($E61,'2016 Sector View Gas'!$E$7:$T$78,R$1,FALSE)+VLOOKUP($E61,'2017 Sector View Gas'!$E$7:$T$78,R$1,FALSE)</f>
        <v>0</v>
      </c>
      <c r="S61" s="2824">
        <f>VLOOKUP($E61,'2016 Sector View Gas'!$E$7:$T$78,S$1,FALSE)+VLOOKUP($E61,'2017 Sector View Gas'!$E$7:$T$78,S$1,FALSE)</f>
        <v>1950</v>
      </c>
      <c r="T61" s="2826"/>
    </row>
    <row r="62" spans="2:20">
      <c r="B62" s="2259"/>
      <c r="C62" s="1866" t="s">
        <v>252</v>
      </c>
      <c r="E62" s="2708" t="s">
        <v>756</v>
      </c>
      <c r="H62" s="1340"/>
      <c r="I62" s="2009">
        <f>VLOOKUP($E62,'2016 Sector View Gas'!$E$7:$T$78,I$1,FALSE)+VLOOKUP($E62,'2017 Sector View Gas'!$E$7:$T$78,I$1,FALSE)</f>
        <v>77007.06</v>
      </c>
      <c r="J62" s="2142">
        <f>VLOOKUP($E62,'2016 Sector View Gas'!$E$7:$T$78,J$1,FALSE)+VLOOKUP($E62,'2017 Sector View Gas'!$E$7:$T$78,J$1,FALSE)</f>
        <v>1000</v>
      </c>
      <c r="K62" s="2142">
        <f>VLOOKUP($E62,'2016 Sector View Gas'!$E$7:$T$78,K$1,FALSE)+VLOOKUP($E62,'2017 Sector View Gas'!$E$7:$T$78,K$1,FALSE)</f>
        <v>52543.937580000005</v>
      </c>
      <c r="L62" s="2142">
        <f>VLOOKUP($E62,'2016 Sector View Gas'!$E$7:$T$78,L$1,FALSE)+VLOOKUP($E62,'2017 Sector View Gas'!$E$7:$T$78,L$1,FALSE)</f>
        <v>0</v>
      </c>
      <c r="M62" s="2142">
        <f>VLOOKUP($E62,'2016 Sector View Gas'!$E$7:$T$78,M$1,FALSE)+VLOOKUP($E62,'2017 Sector View Gas'!$E$7:$T$78,M$1,FALSE)</f>
        <v>4000</v>
      </c>
      <c r="N62" s="2142">
        <f>VLOOKUP($E62,'2016 Sector View Gas'!$E$7:$T$78,N$1,FALSE)+VLOOKUP($E62,'2017 Sector View Gas'!$E$7:$T$78,N$1,FALSE)</f>
        <v>185380</v>
      </c>
      <c r="O62" s="2142">
        <f>VLOOKUP($E62,'2016 Sector View Gas'!$E$7:$T$78,O$1,FALSE)+VLOOKUP($E62,'2017 Sector View Gas'!$E$7:$T$78,O$1,FALSE)</f>
        <v>0</v>
      </c>
      <c r="P62" s="2142">
        <f>VLOOKUP($E62,'2016 Sector View Gas'!$E$7:$T$78,P$1,FALSE)+VLOOKUP($E62,'2017 Sector View Gas'!$E$7:$T$78,P$1,FALSE)</f>
        <v>0</v>
      </c>
      <c r="Q62" s="2142">
        <f>VLOOKUP($E62,'2016 Sector View Gas'!$E$7:$T$78,Q$1,FALSE)+VLOOKUP($E62,'2017 Sector View Gas'!$E$7:$T$78,Q$1,FALSE)</f>
        <v>0</v>
      </c>
      <c r="R62" s="2142">
        <f>VLOOKUP($E62,'2016 Sector View Gas'!$E$7:$T$78,R$1,FALSE)+VLOOKUP($E62,'2017 Sector View Gas'!$E$7:$T$78,R$1,FALSE)</f>
        <v>0</v>
      </c>
      <c r="S62" s="2142">
        <f>VLOOKUP($E62,'2016 Sector View Gas'!$E$7:$T$78,S$1,FALSE)+VLOOKUP($E62,'2017 Sector View Gas'!$E$7:$T$78,S$1,FALSE)</f>
        <v>319930.99757999997</v>
      </c>
      <c r="T62" s="2144"/>
    </row>
    <row r="63" spans="2:20" s="2822" customFormat="1">
      <c r="B63" s="2821" t="s">
        <v>425</v>
      </c>
      <c r="E63" s="3366" t="s">
        <v>786</v>
      </c>
      <c r="H63" s="2825">
        <v>18230737</v>
      </c>
      <c r="I63" s="2824">
        <f>VLOOKUP($E63,'2016 Sector View Gas'!$E$7:$T$78,I$1,FALSE)+VLOOKUP($E63,'2017 Sector View Gas'!$E$7:$T$78,I$1,FALSE)</f>
        <v>0</v>
      </c>
      <c r="J63" s="2824">
        <f>VLOOKUP($E63,'2016 Sector View Gas'!$E$7:$T$78,J$1,FALSE)+VLOOKUP($E63,'2017 Sector View Gas'!$E$7:$T$78,J$1,FALSE)</f>
        <v>0</v>
      </c>
      <c r="K63" s="2824">
        <f>VLOOKUP($E63,'2016 Sector View Gas'!$E$7:$T$78,K$1,FALSE)+VLOOKUP($E63,'2017 Sector View Gas'!$E$7:$T$78,K$1,FALSE)</f>
        <v>0</v>
      </c>
      <c r="L63" s="2824">
        <f>VLOOKUP($E63,'2016 Sector View Gas'!$E$7:$T$78,L$1,FALSE)+VLOOKUP($E63,'2017 Sector View Gas'!$E$7:$T$78,L$1,FALSE)</f>
        <v>0</v>
      </c>
      <c r="M63" s="2824">
        <f>VLOOKUP($E63,'2016 Sector View Gas'!$E$7:$T$78,M$1,FALSE)+VLOOKUP($E63,'2017 Sector View Gas'!$E$7:$T$78,M$1,FALSE)</f>
        <v>0</v>
      </c>
      <c r="N63" s="2824">
        <f>VLOOKUP($E63,'2016 Sector View Gas'!$E$7:$T$78,N$1,FALSE)+VLOOKUP($E63,'2017 Sector View Gas'!$E$7:$T$78,N$1,FALSE)</f>
        <v>176020</v>
      </c>
      <c r="O63" s="2824">
        <f>VLOOKUP($E63,'2016 Sector View Gas'!$E$7:$T$78,O$1,FALSE)+VLOOKUP($E63,'2017 Sector View Gas'!$E$7:$T$78,O$1,FALSE)</f>
        <v>0</v>
      </c>
      <c r="P63" s="2824">
        <f>VLOOKUP($E63,'2016 Sector View Gas'!$E$7:$T$78,P$1,FALSE)+VLOOKUP($E63,'2017 Sector View Gas'!$E$7:$T$78,P$1,FALSE)</f>
        <v>0</v>
      </c>
      <c r="Q63" s="2824">
        <f>VLOOKUP($E63,'2016 Sector View Gas'!$E$7:$T$78,Q$1,FALSE)+VLOOKUP($E63,'2017 Sector View Gas'!$E$7:$T$78,Q$1,FALSE)</f>
        <v>0</v>
      </c>
      <c r="R63" s="2824">
        <f>VLOOKUP($E63,'2016 Sector View Gas'!$E$7:$T$78,R$1,FALSE)+VLOOKUP($E63,'2017 Sector View Gas'!$E$7:$T$78,R$1,FALSE)</f>
        <v>0</v>
      </c>
      <c r="S63" s="2824">
        <f>VLOOKUP($E63,'2016 Sector View Gas'!$E$7:$T$78,S$1,FALSE)+VLOOKUP($E63,'2017 Sector View Gas'!$E$7:$T$78,S$1,FALSE)</f>
        <v>176020</v>
      </c>
      <c r="T63" s="2826"/>
    </row>
    <row r="64" spans="2:20" s="2822" customFormat="1">
      <c r="B64" s="2821" t="s">
        <v>426</v>
      </c>
      <c r="E64" s="3366" t="s">
        <v>341</v>
      </c>
      <c r="H64" s="2825">
        <v>18230732</v>
      </c>
      <c r="I64" s="2824">
        <f>VLOOKUP($E64,'2016 Sector View Gas'!$E$7:$T$78,I$1,FALSE)+VLOOKUP($E64,'2017 Sector View Gas'!$E$7:$T$78,I$1,FALSE)</f>
        <v>58118</v>
      </c>
      <c r="J64" s="2824">
        <f>VLOOKUP($E64,'2016 Sector View Gas'!$E$7:$T$78,J$1,FALSE)+VLOOKUP($E64,'2017 Sector View Gas'!$E$7:$T$78,J$1,FALSE)</f>
        <v>0</v>
      </c>
      <c r="K64" s="2824">
        <f>VLOOKUP($E64,'2016 Sector View Gas'!$E$7:$T$78,K$1,FALSE)+VLOOKUP($E64,'2017 Sector View Gas'!$E$7:$T$78,K$1,FALSE)</f>
        <v>39147.14</v>
      </c>
      <c r="L64" s="2824">
        <f>VLOOKUP($E64,'2016 Sector View Gas'!$E$7:$T$78,L$1,FALSE)+VLOOKUP($E64,'2017 Sector View Gas'!$E$7:$T$78,L$1,FALSE)</f>
        <v>0</v>
      </c>
      <c r="M64" s="2824">
        <f>VLOOKUP($E64,'2016 Sector View Gas'!$E$7:$T$78,M$1,FALSE)+VLOOKUP($E64,'2017 Sector View Gas'!$E$7:$T$78,M$1,FALSE)</f>
        <v>2600</v>
      </c>
      <c r="N64" s="2824">
        <f>VLOOKUP($E64,'2016 Sector View Gas'!$E$7:$T$78,N$1,FALSE)+VLOOKUP($E64,'2017 Sector View Gas'!$E$7:$T$78,N$1,FALSE)</f>
        <v>4160</v>
      </c>
      <c r="O64" s="2824">
        <f>VLOOKUP($E64,'2016 Sector View Gas'!$E$7:$T$78,O$1,FALSE)+VLOOKUP($E64,'2017 Sector View Gas'!$E$7:$T$78,O$1,FALSE)</f>
        <v>0</v>
      </c>
      <c r="P64" s="2824">
        <f>VLOOKUP($E64,'2016 Sector View Gas'!$E$7:$T$78,P$1,FALSE)+VLOOKUP($E64,'2017 Sector View Gas'!$E$7:$T$78,P$1,FALSE)</f>
        <v>0</v>
      </c>
      <c r="Q64" s="2824">
        <f>VLOOKUP($E64,'2016 Sector View Gas'!$E$7:$T$78,Q$1,FALSE)+VLOOKUP($E64,'2017 Sector View Gas'!$E$7:$T$78,Q$1,FALSE)</f>
        <v>0</v>
      </c>
      <c r="R64" s="2824">
        <f>VLOOKUP($E64,'2016 Sector View Gas'!$E$7:$T$78,R$1,FALSE)+VLOOKUP($E64,'2017 Sector View Gas'!$E$7:$T$78,R$1,FALSE)</f>
        <v>0</v>
      </c>
      <c r="S64" s="2824">
        <f>VLOOKUP($E64,'2016 Sector View Gas'!$E$7:$T$78,S$1,FALSE)+VLOOKUP($E64,'2017 Sector View Gas'!$E$7:$T$78,S$1,FALSE)</f>
        <v>104025.14000000001</v>
      </c>
      <c r="T64" s="2826"/>
    </row>
    <row r="65" spans="2:20" s="2822" customFormat="1">
      <c r="B65" s="2821" t="s">
        <v>1641</v>
      </c>
      <c r="E65" s="3366" t="s">
        <v>1636</v>
      </c>
      <c r="H65" s="3156">
        <v>18230667</v>
      </c>
      <c r="I65" s="2824">
        <f>VLOOKUP($E65,'2016 Sector View Gas'!$E$7:$T$78,I$1,FALSE)+VLOOKUP($E65,'2017 Sector View Gas'!$E$7:$T$78,I$1,FALSE)</f>
        <v>18889.060000000001</v>
      </c>
      <c r="J65" s="2824">
        <f>VLOOKUP($E65,'2016 Sector View Gas'!$E$7:$T$78,J$1,FALSE)+VLOOKUP($E65,'2017 Sector View Gas'!$E$7:$T$78,J$1,FALSE)</f>
        <v>1000</v>
      </c>
      <c r="K65" s="2824">
        <f>VLOOKUP($E65,'2016 Sector View Gas'!$E$7:$T$78,K$1,FALSE)+VLOOKUP($E65,'2017 Sector View Gas'!$E$7:$T$78,K$1,FALSE)</f>
        <v>13396.797580000002</v>
      </c>
      <c r="L65" s="2824">
        <f>VLOOKUP($E65,'2016 Sector View Gas'!$E$7:$T$78,L$1,FALSE)+VLOOKUP($E65,'2017 Sector View Gas'!$E$7:$T$78,L$1,FALSE)</f>
        <v>0</v>
      </c>
      <c r="M65" s="2824">
        <f>VLOOKUP($E65,'2016 Sector View Gas'!$E$7:$T$78,M$1,FALSE)+VLOOKUP($E65,'2017 Sector View Gas'!$E$7:$T$78,M$1,FALSE)</f>
        <v>1400</v>
      </c>
      <c r="N65" s="2824">
        <f>VLOOKUP($E65,'2016 Sector View Gas'!$E$7:$T$78,N$1,FALSE)+VLOOKUP($E65,'2017 Sector View Gas'!$E$7:$T$78,N$1,FALSE)</f>
        <v>5200</v>
      </c>
      <c r="O65" s="2824">
        <f>VLOOKUP($E65,'2016 Sector View Gas'!$E$7:$T$78,O$1,FALSE)+VLOOKUP($E65,'2017 Sector View Gas'!$E$7:$T$78,O$1,FALSE)</f>
        <v>0</v>
      </c>
      <c r="P65" s="2824">
        <f>VLOOKUP($E65,'2016 Sector View Gas'!$E$7:$T$78,P$1,FALSE)+VLOOKUP($E65,'2017 Sector View Gas'!$E$7:$T$78,P$1,FALSE)</f>
        <v>0</v>
      </c>
      <c r="Q65" s="2824">
        <f>VLOOKUP($E65,'2016 Sector View Gas'!$E$7:$T$78,Q$1,FALSE)+VLOOKUP($E65,'2017 Sector View Gas'!$E$7:$T$78,Q$1,FALSE)</f>
        <v>0</v>
      </c>
      <c r="R65" s="2824">
        <f>VLOOKUP($E65,'2016 Sector View Gas'!$E$7:$T$78,R$1,FALSE)+VLOOKUP($E65,'2017 Sector View Gas'!$E$7:$T$78,R$1,FALSE)</f>
        <v>0</v>
      </c>
      <c r="S65" s="2824">
        <f>VLOOKUP($E65,'2016 Sector View Gas'!$E$7:$T$78,S$1,FALSE)+VLOOKUP($E65,'2017 Sector View Gas'!$E$7:$T$78,S$1,FALSE)</f>
        <v>39885.857580000004</v>
      </c>
      <c r="T65" s="2826"/>
    </row>
    <row r="66" spans="2:20" s="2177" customFormat="1">
      <c r="B66" s="2259" t="s">
        <v>745</v>
      </c>
      <c r="E66" s="2177" t="s">
        <v>1564</v>
      </c>
      <c r="H66" s="2263">
        <v>18230507</v>
      </c>
      <c r="I66" s="2142">
        <f>VLOOKUP($E66,'2016 Sector View Gas'!$E$7:$T$78,I$1,FALSE)+VLOOKUP($E66,'2017 Sector View Gas'!$E$7:$T$78,I$1,FALSE)</f>
        <v>115731.01800000001</v>
      </c>
      <c r="J66" s="2142">
        <f>VLOOKUP($E66,'2016 Sector View Gas'!$E$7:$T$78,J$1,FALSE)+VLOOKUP($E66,'2017 Sector View Gas'!$E$7:$T$78,J$1,FALSE)</f>
        <v>0</v>
      </c>
      <c r="K66" s="2142">
        <f>VLOOKUP($E66,'2016 Sector View Gas'!$E$7:$T$78,K$1,FALSE)+VLOOKUP($E66,'2017 Sector View Gas'!$E$7:$T$78,K$1,FALSE)</f>
        <v>77954.126328000013</v>
      </c>
      <c r="L66" s="2142">
        <f>VLOOKUP($E66,'2016 Sector View Gas'!$E$7:$T$78,L$1,FALSE)+VLOOKUP($E66,'2017 Sector View Gas'!$E$7:$T$78,L$1,FALSE)</f>
        <v>0</v>
      </c>
      <c r="M66" s="2142">
        <f>VLOOKUP($E66,'2016 Sector View Gas'!$E$7:$T$78,M$1,FALSE)+VLOOKUP($E66,'2017 Sector View Gas'!$E$7:$T$78,M$1,FALSE)</f>
        <v>5408</v>
      </c>
      <c r="N66" s="2142">
        <f>VLOOKUP($E66,'2016 Sector View Gas'!$E$7:$T$78,N$1,FALSE)+VLOOKUP($E66,'2017 Sector View Gas'!$E$7:$T$78,N$1,FALSE)</f>
        <v>0</v>
      </c>
      <c r="O66" s="2142">
        <f>VLOOKUP($E66,'2016 Sector View Gas'!$E$7:$T$78,O$1,FALSE)+VLOOKUP($E66,'2017 Sector View Gas'!$E$7:$T$78,O$1,FALSE)</f>
        <v>1300</v>
      </c>
      <c r="P66" s="2142">
        <f>VLOOKUP($E66,'2016 Sector View Gas'!$E$7:$T$78,P$1,FALSE)+VLOOKUP($E66,'2017 Sector View Gas'!$E$7:$T$78,P$1,FALSE)</f>
        <v>0</v>
      </c>
      <c r="Q66" s="2142">
        <f>VLOOKUP($E66,'2016 Sector View Gas'!$E$7:$T$78,Q$1,FALSE)+VLOOKUP($E66,'2017 Sector View Gas'!$E$7:$T$78,Q$1,FALSE)</f>
        <v>0</v>
      </c>
      <c r="R66" s="2142">
        <f>VLOOKUP($E66,'2016 Sector View Gas'!$E$7:$T$78,R$1,FALSE)+VLOOKUP($E66,'2017 Sector View Gas'!$E$7:$T$78,R$1,FALSE)</f>
        <v>0</v>
      </c>
      <c r="S66" s="2142">
        <f>VLOOKUP($E66,'2016 Sector View Gas'!$E$7:$T$78,S$1,FALSE)+VLOOKUP($E66,'2017 Sector View Gas'!$E$7:$T$78,S$1,FALSE)</f>
        <v>200393.14432800002</v>
      </c>
      <c r="T66" s="2144"/>
    </row>
    <row r="67" spans="2:20" s="2177" customFormat="1">
      <c r="B67" s="2259" t="s">
        <v>400</v>
      </c>
      <c r="E67" s="2195" t="s">
        <v>636</v>
      </c>
      <c r="F67" s="2194"/>
      <c r="G67" s="2194"/>
      <c r="H67" s="1340">
        <v>18230688</v>
      </c>
      <c r="I67" s="2142">
        <f>VLOOKUP($E67,'2016 Sector View Gas'!$E$7:$T$78,I$1,FALSE)+VLOOKUP($E67,'2017 Sector View Gas'!$E$7:$T$78,I$1,FALSE)</f>
        <v>52489.240000000005</v>
      </c>
      <c r="J67" s="2142">
        <f>VLOOKUP($E67,'2016 Sector View Gas'!$E$7:$T$78,J$1,FALSE)+VLOOKUP($E67,'2017 Sector View Gas'!$E$7:$T$78,J$1,FALSE)</f>
        <v>0</v>
      </c>
      <c r="K67" s="2142">
        <f>VLOOKUP($E67,'2016 Sector View Gas'!$E$7:$T$78,K$1,FALSE)+VLOOKUP($E67,'2017 Sector View Gas'!$E$7:$T$78,K$1,FALSE)</f>
        <v>35355.714749999999</v>
      </c>
      <c r="L67" s="2142">
        <f>VLOOKUP($E67,'2016 Sector View Gas'!$E$7:$T$78,L$1,FALSE)+VLOOKUP($E67,'2017 Sector View Gas'!$E$7:$T$78,L$1,FALSE)</f>
        <v>0</v>
      </c>
      <c r="M67" s="2142">
        <f>VLOOKUP($E67,'2016 Sector View Gas'!$E$7:$T$78,M$1,FALSE)+VLOOKUP($E67,'2017 Sector View Gas'!$E$7:$T$78,M$1,FALSE)</f>
        <v>4000</v>
      </c>
      <c r="N67" s="2142">
        <f>VLOOKUP($E67,'2016 Sector View Gas'!$E$7:$T$78,N$1,FALSE)+VLOOKUP($E67,'2017 Sector View Gas'!$E$7:$T$78,N$1,FALSE)</f>
        <v>0</v>
      </c>
      <c r="O67" s="2142">
        <f>VLOOKUP($E67,'2016 Sector View Gas'!$E$7:$T$78,O$1,FALSE)+VLOOKUP($E67,'2017 Sector View Gas'!$E$7:$T$78,O$1,FALSE)</f>
        <v>0</v>
      </c>
      <c r="P67" s="2142">
        <f>VLOOKUP($E67,'2016 Sector View Gas'!$E$7:$T$78,P$1,FALSE)+VLOOKUP($E67,'2017 Sector View Gas'!$E$7:$T$78,P$1,FALSE)</f>
        <v>0</v>
      </c>
      <c r="Q67" s="2142">
        <f>VLOOKUP($E67,'2016 Sector View Gas'!$E$7:$T$78,Q$1,FALSE)+VLOOKUP($E67,'2017 Sector View Gas'!$E$7:$T$78,Q$1,FALSE)</f>
        <v>0</v>
      </c>
      <c r="R67" s="2142">
        <f>VLOOKUP($E67,'2016 Sector View Gas'!$E$7:$T$78,R$1,FALSE)+VLOOKUP($E67,'2017 Sector View Gas'!$E$7:$T$78,R$1,FALSE)</f>
        <v>0</v>
      </c>
      <c r="S67" s="2142">
        <f>VLOOKUP($E67,'2016 Sector View Gas'!$E$7:$T$78,S$1,FALSE)+VLOOKUP($E67,'2017 Sector View Gas'!$E$7:$T$78,S$1,FALSE)</f>
        <v>91844.954750000004</v>
      </c>
      <c r="T67" s="2144"/>
    </row>
    <row r="68" spans="2:20" s="2177" customFormat="1">
      <c r="B68" s="2259" t="s">
        <v>746</v>
      </c>
      <c r="E68" s="2177" t="s">
        <v>637</v>
      </c>
      <c r="H68" s="2263">
        <v>18231005</v>
      </c>
      <c r="I68" s="2142">
        <f>VLOOKUP($E68,'2016 Sector View Gas'!$E$7:$T$78,I$1,FALSE)+VLOOKUP($E68,'2017 Sector View Gas'!$E$7:$T$78,I$1,FALSE)</f>
        <v>131223.1</v>
      </c>
      <c r="J68" s="2142">
        <f>VLOOKUP($E68,'2016 Sector View Gas'!$E$7:$T$78,J$1,FALSE)+VLOOKUP($E68,'2017 Sector View Gas'!$E$7:$T$78,J$1,FALSE)</f>
        <v>0</v>
      </c>
      <c r="K68" s="2142">
        <f>VLOOKUP($E68,'2016 Sector View Gas'!$E$7:$T$78,K$1,FALSE)+VLOOKUP($E68,'2017 Sector View Gas'!$E$7:$T$78,K$1,FALSE)</f>
        <v>88389.287200000006</v>
      </c>
      <c r="L68" s="2142">
        <f>VLOOKUP($E68,'2016 Sector View Gas'!$E$7:$T$78,L$1,FALSE)+VLOOKUP($E68,'2017 Sector View Gas'!$E$7:$T$78,L$1,FALSE)</f>
        <v>0</v>
      </c>
      <c r="M68" s="2142">
        <f>VLOOKUP($E68,'2016 Sector View Gas'!$E$7:$T$78,M$1,FALSE)+VLOOKUP($E68,'2017 Sector View Gas'!$E$7:$T$78,M$1,FALSE)</f>
        <v>4000</v>
      </c>
      <c r="N68" s="2142">
        <f>VLOOKUP($E68,'2016 Sector View Gas'!$E$7:$T$78,N$1,FALSE)+VLOOKUP($E68,'2017 Sector View Gas'!$E$7:$T$78,N$1,FALSE)</f>
        <v>85800</v>
      </c>
      <c r="O68" s="2142">
        <f>VLOOKUP($E68,'2016 Sector View Gas'!$E$7:$T$78,O$1,FALSE)+VLOOKUP($E68,'2017 Sector View Gas'!$E$7:$T$78,O$1,FALSE)</f>
        <v>0</v>
      </c>
      <c r="P68" s="2142">
        <f>VLOOKUP($E68,'2016 Sector View Gas'!$E$7:$T$78,P$1,FALSE)+VLOOKUP($E68,'2017 Sector View Gas'!$E$7:$T$78,P$1,FALSE)</f>
        <v>0</v>
      </c>
      <c r="Q68" s="2142">
        <f>VLOOKUP($E68,'2016 Sector View Gas'!$E$7:$T$78,Q$1,FALSE)+VLOOKUP($E68,'2017 Sector View Gas'!$E$7:$T$78,Q$1,FALSE)</f>
        <v>0</v>
      </c>
      <c r="R68" s="2142">
        <f>VLOOKUP($E68,'2016 Sector View Gas'!$E$7:$T$78,R$1,FALSE)+VLOOKUP($E68,'2017 Sector View Gas'!$E$7:$T$78,R$1,FALSE)</f>
        <v>0</v>
      </c>
      <c r="S68" s="2142">
        <f>VLOOKUP($E68,'2016 Sector View Gas'!$E$7:$T$78,S$1,FALSE)+VLOOKUP($E68,'2017 Sector View Gas'!$E$7:$T$78,S$1,FALSE)</f>
        <v>309412.3872</v>
      </c>
      <c r="T68" s="2144"/>
    </row>
    <row r="69" spans="2:20">
      <c r="B69" s="2259" t="s">
        <v>427</v>
      </c>
      <c r="E69" s="1866" t="s">
        <v>26</v>
      </c>
      <c r="H69" s="1340">
        <v>18230657</v>
      </c>
      <c r="I69" s="2009">
        <f>VLOOKUP($E69,'2016 Sector View Gas'!$E$7:$T$78,I$1,FALSE)+VLOOKUP($E69,'2017 Sector View Gas'!$E$7:$T$78,I$1,FALSE)</f>
        <v>113807.57985000001</v>
      </c>
      <c r="J69" s="2009">
        <f>VLOOKUP($E69,'2016 Sector View Gas'!$E$7:$T$78,J$1,FALSE)+VLOOKUP($E69,'2017 Sector View Gas'!$E$7:$T$78,J$1,FALSE)</f>
        <v>2822.3</v>
      </c>
      <c r="K69" s="2009">
        <f>VLOOKUP($E69,'2016 Sector View Gas'!$E$7:$T$78,K$1,FALSE)+VLOOKUP($E69,'2017 Sector View Gas'!$E$7:$T$78,K$1,FALSE)</f>
        <v>78562.981836000006</v>
      </c>
      <c r="L69" s="2009">
        <f>VLOOKUP($E69,'2016 Sector View Gas'!$E$7:$T$78,L$1,FALSE)+VLOOKUP($E69,'2017 Sector View Gas'!$E$7:$T$78,L$1,FALSE)</f>
        <v>26390</v>
      </c>
      <c r="M69" s="2009">
        <f>VLOOKUP($E69,'2016 Sector View Gas'!$E$7:$T$78,M$1,FALSE)+VLOOKUP($E69,'2017 Sector View Gas'!$E$7:$T$78,M$1,FALSE)</f>
        <v>21840</v>
      </c>
      <c r="N69" s="2009">
        <f>VLOOKUP($E69,'2016 Sector View Gas'!$E$7:$T$78,N$1,FALSE)+VLOOKUP($E69,'2017 Sector View Gas'!$E$7:$T$78,N$1,FALSE)</f>
        <v>8450</v>
      </c>
      <c r="O69" s="2009">
        <f>VLOOKUP($E69,'2016 Sector View Gas'!$E$7:$T$78,O$1,FALSE)+VLOOKUP($E69,'2017 Sector View Gas'!$E$7:$T$78,O$1,FALSE)</f>
        <v>14380</v>
      </c>
      <c r="P69" s="2009">
        <f>VLOOKUP($E69,'2016 Sector View Gas'!$E$7:$T$78,P$1,FALSE)+VLOOKUP($E69,'2017 Sector View Gas'!$E$7:$T$78,P$1,FALSE)</f>
        <v>0</v>
      </c>
      <c r="Q69" s="2009">
        <f>VLOOKUP($E69,'2016 Sector View Gas'!$E$7:$T$78,Q$1,FALSE)+VLOOKUP($E69,'2017 Sector View Gas'!$E$7:$T$78,Q$1,FALSE)</f>
        <v>0</v>
      </c>
      <c r="R69" s="2009">
        <f>VLOOKUP($E69,'2016 Sector View Gas'!$E$7:$T$78,R$1,FALSE)+VLOOKUP($E69,'2017 Sector View Gas'!$E$7:$T$78,R$1,FALSE)</f>
        <v>0</v>
      </c>
      <c r="S69" s="2009">
        <f>VLOOKUP($E69,'2016 Sector View Gas'!$E$7:$T$78,S$1,FALSE)+VLOOKUP($E69,'2017 Sector View Gas'!$E$7:$T$78,S$1,FALSE)</f>
        <v>266252.86168600002</v>
      </c>
      <c r="T69" s="2144"/>
    </row>
    <row r="70" spans="2:20">
      <c r="B70" s="2259" t="s">
        <v>428</v>
      </c>
      <c r="E70" s="1862" t="s">
        <v>164</v>
      </c>
      <c r="F70" s="1862"/>
      <c r="G70" s="1862"/>
      <c r="H70" s="1340">
        <v>18230698</v>
      </c>
      <c r="I70" s="2009">
        <f>VLOOKUP($E70,'2016 Sector View Gas'!$E$7:$T$78,I$1,FALSE)+VLOOKUP($E70,'2017 Sector View Gas'!$E$7:$T$78,I$1,FALSE)</f>
        <v>0</v>
      </c>
      <c r="J70" s="2009">
        <f>VLOOKUP($E70,'2016 Sector View Gas'!$E$7:$T$78,J$1,FALSE)+VLOOKUP($E70,'2017 Sector View Gas'!$E$7:$T$78,J$1,FALSE)</f>
        <v>0</v>
      </c>
      <c r="K70" s="2009">
        <f>VLOOKUP($E70,'2016 Sector View Gas'!$E$7:$T$78,K$1,FALSE)+VLOOKUP($E70,'2017 Sector View Gas'!$E$7:$T$78,K$1,FALSE)</f>
        <v>0</v>
      </c>
      <c r="L70" s="2009">
        <f>VLOOKUP($E70,'2016 Sector View Gas'!$E$7:$T$78,L$1,FALSE)+VLOOKUP($E70,'2017 Sector View Gas'!$E$7:$T$78,L$1,FALSE)</f>
        <v>0</v>
      </c>
      <c r="M70" s="2009">
        <f>VLOOKUP($E70,'2016 Sector View Gas'!$E$7:$T$78,M$1,FALSE)+VLOOKUP($E70,'2017 Sector View Gas'!$E$7:$T$78,M$1,FALSE)</f>
        <v>0</v>
      </c>
      <c r="N70" s="2009">
        <f>VLOOKUP($E70,'2016 Sector View Gas'!$E$7:$T$78,N$1,FALSE)+VLOOKUP($E70,'2017 Sector View Gas'!$E$7:$T$78,N$1,FALSE)</f>
        <v>16900</v>
      </c>
      <c r="O70" s="2009">
        <f>VLOOKUP($E70,'2016 Sector View Gas'!$E$7:$T$78,O$1,FALSE)+VLOOKUP($E70,'2017 Sector View Gas'!$E$7:$T$78,O$1,FALSE)</f>
        <v>0</v>
      </c>
      <c r="P70" s="2009">
        <f>VLOOKUP($E70,'2016 Sector View Gas'!$E$7:$T$78,P$1,FALSE)+VLOOKUP($E70,'2017 Sector View Gas'!$E$7:$T$78,P$1,FALSE)</f>
        <v>25130</v>
      </c>
      <c r="Q70" s="2009">
        <f>VLOOKUP($E70,'2016 Sector View Gas'!$E$7:$T$78,Q$1,FALSE)+VLOOKUP($E70,'2017 Sector View Gas'!$E$7:$T$78,Q$1,FALSE)</f>
        <v>0</v>
      </c>
      <c r="R70" s="2009">
        <f>VLOOKUP($E70,'2016 Sector View Gas'!$E$7:$T$78,R$1,FALSE)+VLOOKUP($E70,'2017 Sector View Gas'!$E$7:$T$78,R$1,FALSE)</f>
        <v>0</v>
      </c>
      <c r="S70" s="2009">
        <f>VLOOKUP($E70,'2016 Sector View Gas'!$E$7:$T$78,S$1,FALSE)+VLOOKUP($E70,'2017 Sector View Gas'!$E$7:$T$78,S$1,FALSE)</f>
        <v>42030</v>
      </c>
      <c r="T70" s="2144"/>
    </row>
    <row r="71" spans="2:20" s="2177" customFormat="1">
      <c r="B71" s="2259" t="s">
        <v>747</v>
      </c>
      <c r="E71" s="2194" t="s">
        <v>662</v>
      </c>
      <c r="F71" s="2194"/>
      <c r="G71" s="2194"/>
      <c r="H71" s="246">
        <v>18231031</v>
      </c>
      <c r="I71" s="2142">
        <f>VLOOKUP($E71,'2016 Sector View Gas'!$E$7:$T$78,I$1,FALSE)+VLOOKUP($E71,'2017 Sector View Gas'!$E$7:$T$78,I$1,FALSE)</f>
        <v>306188.7</v>
      </c>
      <c r="J71" s="2142">
        <f>VLOOKUP($E71,'2016 Sector View Gas'!$E$7:$T$78,J$1,FALSE)+VLOOKUP($E71,'2017 Sector View Gas'!$E$7:$T$78,J$1,FALSE)</f>
        <v>8100</v>
      </c>
      <c r="K71" s="2142">
        <f>VLOOKUP($E71,'2016 Sector View Gas'!$E$7:$T$78,K$1,FALSE)+VLOOKUP($E71,'2017 Sector View Gas'!$E$7:$T$78,K$1,FALSE)</f>
        <v>211698.66127000004</v>
      </c>
      <c r="L71" s="2142">
        <f>VLOOKUP($E71,'2016 Sector View Gas'!$E$7:$T$78,L$1,FALSE)+VLOOKUP($E71,'2017 Sector View Gas'!$E$7:$T$78,L$1,FALSE)</f>
        <v>28000</v>
      </c>
      <c r="M71" s="2142">
        <f>VLOOKUP($E71,'2016 Sector View Gas'!$E$7:$T$78,M$1,FALSE)+VLOOKUP($E71,'2017 Sector View Gas'!$E$7:$T$78,M$1,FALSE)</f>
        <v>10000</v>
      </c>
      <c r="N71" s="2142">
        <f>VLOOKUP($E71,'2016 Sector View Gas'!$E$7:$T$78,N$1,FALSE)+VLOOKUP($E71,'2017 Sector View Gas'!$E$7:$T$78,N$1,FALSE)</f>
        <v>32000</v>
      </c>
      <c r="O71" s="2142">
        <f>VLOOKUP($E71,'2016 Sector View Gas'!$E$7:$T$78,O$1,FALSE)+VLOOKUP($E71,'2017 Sector View Gas'!$E$7:$T$78,O$1,FALSE)</f>
        <v>3000</v>
      </c>
      <c r="P71" s="2142">
        <f>VLOOKUP($E71,'2016 Sector View Gas'!$E$7:$T$78,P$1,FALSE)+VLOOKUP($E71,'2017 Sector View Gas'!$E$7:$T$78,P$1,FALSE)</f>
        <v>0</v>
      </c>
      <c r="Q71" s="2142">
        <f>VLOOKUP($E71,'2016 Sector View Gas'!$E$7:$T$78,Q$1,FALSE)+VLOOKUP($E71,'2017 Sector View Gas'!$E$7:$T$78,Q$1,FALSE)</f>
        <v>0</v>
      </c>
      <c r="R71" s="2142">
        <f>VLOOKUP($E71,'2016 Sector View Gas'!$E$7:$T$78,R$1,FALSE)+VLOOKUP($E71,'2017 Sector View Gas'!$E$7:$T$78,R$1,FALSE)</f>
        <v>-626643.48</v>
      </c>
      <c r="S71" s="2142">
        <f>VLOOKUP($E71,'2016 Sector View Gas'!$E$7:$T$78,S$1,FALSE)+VLOOKUP($E71,'2017 Sector View Gas'!$E$7:$T$78,S$1,FALSE)</f>
        <v>-27656.118729999987</v>
      </c>
      <c r="T71" s="2144"/>
    </row>
    <row r="72" spans="2:20" s="1737" customFormat="1">
      <c r="B72" s="1613"/>
      <c r="D72" s="2064"/>
      <c r="F72" s="2010"/>
      <c r="H72" s="2010" t="s">
        <v>653</v>
      </c>
      <c r="I72" s="2762">
        <f t="shared" ref="I72:S72" si="4">I57+I62+SUM(I66:I71)</f>
        <v>1011419.8104000001</v>
      </c>
      <c r="J72" s="2762">
        <f t="shared" si="4"/>
        <v>16882.199999999997</v>
      </c>
      <c r="K72" s="2762">
        <f t="shared" si="4"/>
        <v>692653.24335200002</v>
      </c>
      <c r="L72" s="2762">
        <f t="shared" si="4"/>
        <v>60100</v>
      </c>
      <c r="M72" s="2762">
        <f t="shared" si="4"/>
        <v>67472</v>
      </c>
      <c r="N72" s="2762">
        <f t="shared" si="4"/>
        <v>354410</v>
      </c>
      <c r="O72" s="2762">
        <f t="shared" si="4"/>
        <v>30636</v>
      </c>
      <c r="P72" s="2762">
        <f t="shared" si="4"/>
        <v>25534</v>
      </c>
      <c r="Q72" s="2762">
        <f t="shared" si="4"/>
        <v>0</v>
      </c>
      <c r="R72" s="2762">
        <f t="shared" si="4"/>
        <v>-626643.48</v>
      </c>
      <c r="S72" s="2762">
        <f t="shared" si="4"/>
        <v>1632463.7737520002</v>
      </c>
      <c r="T72" s="2013"/>
    </row>
    <row r="73" spans="2:20">
      <c r="H73" s="2005"/>
      <c r="T73" s="2144"/>
    </row>
    <row r="74" spans="2:20" s="2765" customFormat="1" ht="11.25">
      <c r="B74" s="2259"/>
      <c r="H74" s="2766" t="s">
        <v>649</v>
      </c>
      <c r="I74" s="2767">
        <v>476937.19</v>
      </c>
      <c r="J74" s="2768">
        <v>0</v>
      </c>
      <c r="K74" s="2768">
        <v>331008.64135999995</v>
      </c>
      <c r="L74" s="2768">
        <v>24398</v>
      </c>
      <c r="M74" s="2768">
        <v>28574.739999999998</v>
      </c>
      <c r="N74" s="2768">
        <v>309335</v>
      </c>
      <c r="O74" s="2768">
        <v>25370</v>
      </c>
      <c r="P74" s="2768">
        <v>25608</v>
      </c>
      <c r="Q74" s="2768">
        <v>0</v>
      </c>
      <c r="R74" s="2768">
        <v>0</v>
      </c>
      <c r="S74" s="2769">
        <v>1221100</v>
      </c>
      <c r="T74" s="2770"/>
    </row>
    <row r="75" spans="2:20" s="2007" customFormat="1">
      <c r="B75" s="2008"/>
      <c r="D75" s="2177"/>
      <c r="H75" s="2004"/>
      <c r="I75" s="2009"/>
      <c r="J75" s="2009"/>
      <c r="K75" s="2009"/>
      <c r="L75" s="2009"/>
      <c r="M75" s="2009"/>
      <c r="N75" s="2009"/>
      <c r="O75" s="2009"/>
      <c r="P75" s="2009"/>
      <c r="Q75" s="2009"/>
      <c r="R75" s="2009"/>
      <c r="S75" s="2009"/>
      <c r="T75" s="2144"/>
    </row>
    <row r="76" spans="2:20">
      <c r="C76" s="1866" t="s">
        <v>166</v>
      </c>
      <c r="H76" s="1340"/>
      <c r="T76" s="2144"/>
    </row>
    <row r="77" spans="2:20">
      <c r="B77" s="2259" t="s">
        <v>429</v>
      </c>
      <c r="E77" s="1866" t="s">
        <v>27</v>
      </c>
      <c r="H77" s="1340">
        <v>18230703</v>
      </c>
      <c r="I77" s="1605">
        <f>VLOOKUP($E77,'2016 Sector View Gas'!$E$7:$T$78,I$1,FALSE)+VLOOKUP($E77,'2017 Sector View Gas'!$E$7:$T$78,I$1,FALSE)</f>
        <v>27700.809999999998</v>
      </c>
      <c r="J77" s="2063">
        <f>VLOOKUP($E77,'2016 Sector View Gas'!$E$7:$T$78,J$1,FALSE)+VLOOKUP($E77,'2017 Sector View Gas'!$E$7:$T$78,J$1,FALSE)</f>
        <v>0</v>
      </c>
      <c r="K77" s="2063">
        <f>VLOOKUP($E77,'2016 Sector View Gas'!$E$7:$T$78,K$1,FALSE)+VLOOKUP($E77,'2017 Sector View Gas'!$E$7:$T$78,K$1,FALSE)</f>
        <v>18658.71847</v>
      </c>
      <c r="L77" s="2063">
        <f>VLOOKUP($E77,'2016 Sector View Gas'!$E$7:$T$78,L$1,FALSE)+VLOOKUP($E77,'2017 Sector View Gas'!$E$7:$T$78,L$1,FALSE)</f>
        <v>0</v>
      </c>
      <c r="M77" s="2063">
        <f>VLOOKUP($E77,'2016 Sector View Gas'!$E$7:$T$78,M$1,FALSE)+VLOOKUP($E77,'2017 Sector View Gas'!$E$7:$T$78,M$1,FALSE)</f>
        <v>312</v>
      </c>
      <c r="N77" s="2063">
        <f>VLOOKUP($E77,'2016 Sector View Gas'!$E$7:$T$78,N$1,FALSE)+VLOOKUP($E77,'2017 Sector View Gas'!$E$7:$T$78,N$1,FALSE)</f>
        <v>45500</v>
      </c>
      <c r="O77" s="2063">
        <f>VLOOKUP($E77,'2016 Sector View Gas'!$E$7:$T$78,O$1,FALSE)+VLOOKUP($E77,'2017 Sector View Gas'!$E$7:$T$78,O$1,FALSE)</f>
        <v>0</v>
      </c>
      <c r="P77" s="2063">
        <f>VLOOKUP($E77,'2016 Sector View Gas'!$E$7:$T$78,P$1,FALSE)+VLOOKUP($E77,'2017 Sector View Gas'!$E$7:$T$78,P$1,FALSE)</f>
        <v>0</v>
      </c>
      <c r="Q77" s="2063">
        <f>VLOOKUP($E77,'2016 Sector View Gas'!$E$7:$T$78,Q$1,FALSE)+VLOOKUP($E77,'2017 Sector View Gas'!$E$7:$T$78,Q$1,FALSE)</f>
        <v>0</v>
      </c>
      <c r="R77" s="2063">
        <f>VLOOKUP($E77,'2016 Sector View Gas'!$E$7:$T$78,R$1,FALSE)+VLOOKUP($E77,'2017 Sector View Gas'!$E$7:$T$78,R$1,FALSE)</f>
        <v>0</v>
      </c>
      <c r="S77" s="2063">
        <f>VLOOKUP($E77,'2016 Sector View Gas'!$E$7:$T$78,S$1,FALSE)+VLOOKUP($E77,'2017 Sector View Gas'!$E$7:$T$78,S$1,FALSE)</f>
        <v>92171.52846999999</v>
      </c>
      <c r="T77" s="2144"/>
    </row>
    <row r="78" spans="2:20">
      <c r="B78" s="2259" t="s">
        <v>430</v>
      </c>
      <c r="E78" s="1866" t="s">
        <v>32</v>
      </c>
      <c r="H78" s="1340">
        <v>18230679</v>
      </c>
      <c r="I78" s="1605">
        <f>VLOOKUP($E78,'2016 Sector View Gas'!$E$7:$T$78,I$1,FALSE)+VLOOKUP($E78,'2017 Sector View Gas'!$E$7:$T$78,I$1,FALSE)</f>
        <v>25392.16</v>
      </c>
      <c r="J78" s="2142">
        <f>VLOOKUP($E78,'2016 Sector View Gas'!$E$7:$T$78,J$1,FALSE)+VLOOKUP($E78,'2017 Sector View Gas'!$E$7:$T$78,J$1,FALSE)</f>
        <v>0</v>
      </c>
      <c r="K78" s="2142">
        <f>VLOOKUP($E78,'2016 Sector View Gas'!$E$7:$T$78,K$1,FALSE)+VLOOKUP($E78,'2017 Sector View Gas'!$E$7:$T$78,K$1,FALSE)</f>
        <v>17103.657120000003</v>
      </c>
      <c r="L78" s="2142">
        <f>VLOOKUP($E78,'2016 Sector View Gas'!$E$7:$T$78,L$1,FALSE)+VLOOKUP($E78,'2017 Sector View Gas'!$E$7:$T$78,L$1,FALSE)</f>
        <v>0</v>
      </c>
      <c r="M78" s="2142">
        <f>VLOOKUP($E78,'2016 Sector View Gas'!$E$7:$T$78,M$1,FALSE)+VLOOKUP($E78,'2017 Sector View Gas'!$E$7:$T$78,M$1,FALSE)</f>
        <v>312</v>
      </c>
      <c r="N78" s="2142">
        <f>VLOOKUP($E78,'2016 Sector View Gas'!$E$7:$T$78,N$1,FALSE)+VLOOKUP($E78,'2017 Sector View Gas'!$E$7:$T$78,N$1,FALSE)</f>
        <v>0</v>
      </c>
      <c r="O78" s="2142">
        <f>VLOOKUP($E78,'2016 Sector View Gas'!$E$7:$T$78,O$1,FALSE)+VLOOKUP($E78,'2017 Sector View Gas'!$E$7:$T$78,O$1,FALSE)</f>
        <v>0</v>
      </c>
      <c r="P78" s="2142">
        <f>VLOOKUP($E78,'2016 Sector View Gas'!$E$7:$T$78,P$1,FALSE)+VLOOKUP($E78,'2017 Sector View Gas'!$E$7:$T$78,P$1,FALSE)</f>
        <v>0</v>
      </c>
      <c r="Q78" s="2142">
        <f>VLOOKUP($E78,'2016 Sector View Gas'!$E$7:$T$78,Q$1,FALSE)+VLOOKUP($E78,'2017 Sector View Gas'!$E$7:$T$78,Q$1,FALSE)</f>
        <v>0</v>
      </c>
      <c r="R78" s="2142">
        <f>VLOOKUP($E78,'2016 Sector View Gas'!$E$7:$T$78,R$1,FALSE)+VLOOKUP($E78,'2017 Sector View Gas'!$E$7:$T$78,R$1,FALSE)</f>
        <v>0</v>
      </c>
      <c r="S78" s="2142">
        <f>VLOOKUP($E78,'2016 Sector View Gas'!$E$7:$T$78,S$1,FALSE)+VLOOKUP($E78,'2017 Sector View Gas'!$E$7:$T$78,S$1,FALSE)</f>
        <v>42807.81712</v>
      </c>
      <c r="T78" s="2144"/>
    </row>
    <row r="79" spans="2:20">
      <c r="B79" s="2259" t="s">
        <v>431</v>
      </c>
      <c r="E79" s="2177" t="s">
        <v>356</v>
      </c>
      <c r="H79" s="1340">
        <v>18230670</v>
      </c>
      <c r="I79" s="2009">
        <f>VLOOKUP($E79,'2016 Sector View Gas'!$E$7:$T$78,I$1,FALSE)+VLOOKUP($E79,'2017 Sector View Gas'!$E$7:$T$78,I$1,FALSE)</f>
        <v>44423.44</v>
      </c>
      <c r="J79" s="2009">
        <f>VLOOKUP($E79,'2016 Sector View Gas'!$E$7:$T$78,J$1,FALSE)+VLOOKUP($E79,'2017 Sector View Gas'!$E$7:$T$78,J$1,FALSE)</f>
        <v>0</v>
      </c>
      <c r="K79" s="2009">
        <f>VLOOKUP($E79,'2016 Sector View Gas'!$E$7:$T$78,K$1,FALSE)+VLOOKUP($E79,'2017 Sector View Gas'!$E$7:$T$78,K$1,FALSE)</f>
        <v>29922.751700000001</v>
      </c>
      <c r="L79" s="2009">
        <f>VLOOKUP($E79,'2016 Sector View Gas'!$E$7:$T$78,L$1,FALSE)+VLOOKUP($E79,'2017 Sector View Gas'!$E$7:$T$78,L$1,FALSE)</f>
        <v>0</v>
      </c>
      <c r="M79" s="2009">
        <f>VLOOKUP($E79,'2016 Sector View Gas'!$E$7:$T$78,M$1,FALSE)+VLOOKUP($E79,'2017 Sector View Gas'!$E$7:$T$78,M$1,FALSE)</f>
        <v>1271.4000000000001</v>
      </c>
      <c r="N79" s="2009">
        <f>VLOOKUP($E79,'2016 Sector View Gas'!$E$7:$T$78,N$1,FALSE)+VLOOKUP($E79,'2017 Sector View Gas'!$E$7:$T$78,N$1,FALSE)</f>
        <v>9550.6450000000004</v>
      </c>
      <c r="O79" s="2009">
        <f>VLOOKUP($E79,'2016 Sector View Gas'!$E$7:$T$78,O$1,FALSE)+VLOOKUP($E79,'2017 Sector View Gas'!$E$7:$T$78,O$1,FALSE)</f>
        <v>403</v>
      </c>
      <c r="P79" s="2009">
        <f>VLOOKUP($E79,'2016 Sector View Gas'!$E$7:$T$78,P$1,FALSE)+VLOOKUP($E79,'2017 Sector View Gas'!$E$7:$T$78,P$1,FALSE)</f>
        <v>0</v>
      </c>
      <c r="Q79" s="2009">
        <f>VLOOKUP($E79,'2016 Sector View Gas'!$E$7:$T$78,Q$1,FALSE)+VLOOKUP($E79,'2017 Sector View Gas'!$E$7:$T$78,Q$1,FALSE)</f>
        <v>0</v>
      </c>
      <c r="R79" s="2009">
        <f>VLOOKUP($E79,'2016 Sector View Gas'!$E$7:$T$78,R$1,FALSE)+VLOOKUP($E79,'2017 Sector View Gas'!$E$7:$T$78,R$1,FALSE)</f>
        <v>0</v>
      </c>
      <c r="S79" s="2009">
        <f>VLOOKUP($E79,'2016 Sector View Gas'!$E$7:$T$78,S$1,FALSE)+VLOOKUP($E79,'2017 Sector View Gas'!$E$7:$T$78,S$1,FALSE)</f>
        <v>85571.236699999979</v>
      </c>
      <c r="T79" s="2144"/>
    </row>
    <row r="80" spans="2:20">
      <c r="B80" s="2259" t="s">
        <v>432</v>
      </c>
      <c r="E80" s="1866" t="s">
        <v>28</v>
      </c>
      <c r="H80" s="1340">
        <v>18230699</v>
      </c>
      <c r="I80" s="2142">
        <f>VLOOKUP($E80,'2016 Sector View Gas'!$E$7:$T$78,I$1,FALSE)+VLOOKUP($E80,'2017 Sector View Gas'!$E$7:$T$78,I$1,FALSE)</f>
        <v>47479.770000000004</v>
      </c>
      <c r="J80" s="2142">
        <f>VLOOKUP($E80,'2016 Sector View Gas'!$E$7:$T$78,J$1,FALSE)+VLOOKUP($E80,'2017 Sector View Gas'!$E$7:$T$78,J$1,FALSE)</f>
        <v>0</v>
      </c>
      <c r="K80" s="2142">
        <f>VLOOKUP($E80,'2016 Sector View Gas'!$E$7:$T$78,K$1,FALSE)+VLOOKUP($E80,'2017 Sector View Gas'!$E$7:$T$78,K$1,FALSE)</f>
        <v>31981.482780000002</v>
      </c>
      <c r="L80" s="2142">
        <f>VLOOKUP($E80,'2016 Sector View Gas'!$E$7:$T$78,L$1,FALSE)+VLOOKUP($E80,'2017 Sector View Gas'!$E$7:$T$78,L$1,FALSE)</f>
        <v>0</v>
      </c>
      <c r="M80" s="2142">
        <f>VLOOKUP($E80,'2016 Sector View Gas'!$E$7:$T$78,M$1,FALSE)+VLOOKUP($E80,'2017 Sector View Gas'!$E$7:$T$78,M$1,FALSE)</f>
        <v>299</v>
      </c>
      <c r="N80" s="2142">
        <f>VLOOKUP($E80,'2016 Sector View Gas'!$E$7:$T$78,N$1,FALSE)+VLOOKUP($E80,'2017 Sector View Gas'!$E$7:$T$78,N$1,FALSE)</f>
        <v>461500</v>
      </c>
      <c r="O80" s="2142">
        <f>VLOOKUP($E80,'2016 Sector View Gas'!$E$7:$T$78,O$1,FALSE)+VLOOKUP($E80,'2017 Sector View Gas'!$E$7:$T$78,O$1,FALSE)</f>
        <v>0</v>
      </c>
      <c r="P80" s="2142">
        <f>VLOOKUP($E80,'2016 Sector View Gas'!$E$7:$T$78,P$1,FALSE)+VLOOKUP($E80,'2017 Sector View Gas'!$E$7:$T$78,P$1,FALSE)</f>
        <v>1170</v>
      </c>
      <c r="Q80" s="2142">
        <f>VLOOKUP($E80,'2016 Sector View Gas'!$E$7:$T$78,Q$1,FALSE)+VLOOKUP($E80,'2017 Sector View Gas'!$E$7:$T$78,Q$1,FALSE)</f>
        <v>0</v>
      </c>
      <c r="R80" s="2142">
        <f>VLOOKUP($E80,'2016 Sector View Gas'!$E$7:$T$78,R$1,FALSE)+VLOOKUP($E80,'2017 Sector View Gas'!$E$7:$T$78,R$1,FALSE)</f>
        <v>0</v>
      </c>
      <c r="S80" s="2142">
        <f>VLOOKUP($E80,'2016 Sector View Gas'!$E$7:$T$78,S$1,FALSE)+VLOOKUP($E80,'2017 Sector View Gas'!$E$7:$T$78,S$1,FALSE)</f>
        <v>542430.25277999998</v>
      </c>
      <c r="T80" s="2144"/>
    </row>
    <row r="81" spans="2:20" s="2140" customFormat="1">
      <c r="B81" s="2259" t="s">
        <v>433</v>
      </c>
      <c r="D81" s="2177"/>
      <c r="E81" s="2140" t="s">
        <v>267</v>
      </c>
      <c r="H81" s="2143">
        <v>18230668</v>
      </c>
      <c r="I81" s="2142">
        <f>VLOOKUP($E81,'2016 Sector View Gas'!$E$7:$T$78,I$1,FALSE)+VLOOKUP($E81,'2017 Sector View Gas'!$E$7:$T$78,I$1,FALSE)</f>
        <v>115731.01800000001</v>
      </c>
      <c r="J81" s="2142">
        <f>VLOOKUP($E81,'2016 Sector View Gas'!$E$7:$T$78,J$1,FALSE)+VLOOKUP($E81,'2017 Sector View Gas'!$E$7:$T$78,J$1,FALSE)</f>
        <v>0</v>
      </c>
      <c r="K81" s="2142">
        <f>VLOOKUP($E81,'2016 Sector View Gas'!$E$7:$T$78,K$1,FALSE)+VLOOKUP($E81,'2017 Sector View Gas'!$E$7:$T$78,K$1,FALSE)</f>
        <v>77954.126328000013</v>
      </c>
      <c r="L81" s="2142">
        <f>VLOOKUP($E81,'2016 Sector View Gas'!$E$7:$T$78,L$1,FALSE)+VLOOKUP($E81,'2017 Sector View Gas'!$E$7:$T$78,L$1,FALSE)</f>
        <v>0</v>
      </c>
      <c r="M81" s="2142">
        <f>VLOOKUP($E81,'2016 Sector View Gas'!$E$7:$T$78,M$1,FALSE)+VLOOKUP($E81,'2017 Sector View Gas'!$E$7:$T$78,M$1,FALSE)</f>
        <v>2548</v>
      </c>
      <c r="N81" s="2142">
        <f>VLOOKUP($E81,'2016 Sector View Gas'!$E$7:$T$78,N$1,FALSE)+VLOOKUP($E81,'2017 Sector View Gas'!$E$7:$T$78,N$1,FALSE)</f>
        <v>23400</v>
      </c>
      <c r="O81" s="2142">
        <f>VLOOKUP($E81,'2016 Sector View Gas'!$E$7:$T$78,O$1,FALSE)+VLOOKUP($E81,'2017 Sector View Gas'!$E$7:$T$78,O$1,FALSE)</f>
        <v>1430</v>
      </c>
      <c r="P81" s="2142">
        <f>VLOOKUP($E81,'2016 Sector View Gas'!$E$7:$T$78,P$1,FALSE)+VLOOKUP($E81,'2017 Sector View Gas'!$E$7:$T$78,P$1,FALSE)</f>
        <v>0</v>
      </c>
      <c r="Q81" s="2142">
        <f>VLOOKUP($E81,'2016 Sector View Gas'!$E$7:$T$78,Q$1,FALSE)+VLOOKUP($E81,'2017 Sector View Gas'!$E$7:$T$78,Q$1,FALSE)</f>
        <v>0</v>
      </c>
      <c r="R81" s="2142">
        <f>VLOOKUP($E81,'2016 Sector View Gas'!$E$7:$T$78,R$1,FALSE)+VLOOKUP($E81,'2017 Sector View Gas'!$E$7:$T$78,R$1,FALSE)</f>
        <v>0</v>
      </c>
      <c r="S81" s="2142">
        <f>VLOOKUP($E81,'2016 Sector View Gas'!$E$7:$T$78,S$1,FALSE)+VLOOKUP($E81,'2017 Sector View Gas'!$E$7:$T$78,S$1,FALSE)</f>
        <v>221063.14432800002</v>
      </c>
      <c r="T81" s="2144"/>
    </row>
    <row r="82" spans="2:20" s="2064" customFormat="1">
      <c r="B82" s="2011"/>
      <c r="F82" s="2010"/>
      <c r="H82" s="2010" t="s">
        <v>654</v>
      </c>
      <c r="I82" s="2762">
        <f t="shared" ref="I82:S82" si="5">SUM(I77:I81)</f>
        <v>260727.198</v>
      </c>
      <c r="J82" s="2763">
        <f t="shared" si="5"/>
        <v>0</v>
      </c>
      <c r="K82" s="2763">
        <f t="shared" si="5"/>
        <v>175620.73639800004</v>
      </c>
      <c r="L82" s="2763">
        <f t="shared" si="5"/>
        <v>0</v>
      </c>
      <c r="M82" s="2763">
        <f t="shared" si="5"/>
        <v>4742.3999999999996</v>
      </c>
      <c r="N82" s="2763">
        <f t="shared" si="5"/>
        <v>539950.64500000002</v>
      </c>
      <c r="O82" s="2763">
        <f t="shared" si="5"/>
        <v>1833</v>
      </c>
      <c r="P82" s="2763">
        <f t="shared" si="5"/>
        <v>1170</v>
      </c>
      <c r="Q82" s="2763">
        <f t="shared" si="5"/>
        <v>0</v>
      </c>
      <c r="R82" s="2763">
        <f t="shared" si="5"/>
        <v>0</v>
      </c>
      <c r="S82" s="2764">
        <f t="shared" si="5"/>
        <v>984043.97939799994</v>
      </c>
      <c r="T82" s="2013"/>
    </row>
    <row r="83" spans="2:20" s="2177" customFormat="1">
      <c r="B83" s="2193"/>
      <c r="H83" s="2005"/>
      <c r="I83" s="2142"/>
      <c r="J83" s="2142"/>
      <c r="K83" s="2142"/>
      <c r="L83" s="2142"/>
      <c r="M83" s="2142"/>
      <c r="N83" s="2142"/>
      <c r="O83" s="2142"/>
      <c r="P83" s="2142"/>
      <c r="Q83" s="3209">
        <f>(Q21+Q39+Q46)/(S21+S39+S46+S52+S72+S82)</f>
        <v>0.63776917190383264</v>
      </c>
      <c r="R83" s="3210" t="s">
        <v>1676</v>
      </c>
      <c r="S83" s="2142"/>
      <c r="T83" s="2144"/>
    </row>
    <row r="84" spans="2:20" s="2765" customFormat="1" ht="11.25">
      <c r="B84" s="2259"/>
      <c r="H84" s="2766" t="s">
        <v>649</v>
      </c>
      <c r="I84" s="2767">
        <v>288678.86</v>
      </c>
      <c r="J84" s="2768">
        <v>0</v>
      </c>
      <c r="K84" s="2768">
        <v>200351.86703999998</v>
      </c>
      <c r="L84" s="2768">
        <v>0</v>
      </c>
      <c r="M84" s="2768">
        <v>10424</v>
      </c>
      <c r="N84" s="2768">
        <v>426357.85</v>
      </c>
      <c r="O84" s="2768">
        <v>2718</v>
      </c>
      <c r="P84" s="2768">
        <v>0</v>
      </c>
      <c r="Q84" s="2768">
        <v>0</v>
      </c>
      <c r="R84" s="2768">
        <v>0</v>
      </c>
      <c r="S84" s="2769">
        <v>928600</v>
      </c>
      <c r="T84" s="2770"/>
    </row>
    <row r="85" spans="2:20" s="2765" customFormat="1" ht="11.25">
      <c r="B85" s="2259"/>
      <c r="H85" s="2766"/>
      <c r="I85" s="2771"/>
      <c r="J85" s="2771"/>
      <c r="K85" s="2771"/>
      <c r="L85" s="2771"/>
      <c r="M85" s="2771"/>
      <c r="N85" s="2771"/>
      <c r="O85" s="2771"/>
      <c r="P85" s="2771"/>
      <c r="Q85" s="2771"/>
      <c r="R85" s="2771"/>
      <c r="S85" s="2771"/>
      <c r="T85" s="2770"/>
    </row>
    <row r="86" spans="2:20">
      <c r="H86" s="2004"/>
      <c r="T86" s="2144"/>
    </row>
    <row r="87" spans="2:20" s="2064" customFormat="1">
      <c r="B87" s="2011"/>
      <c r="F87" s="2010"/>
      <c r="H87" s="2010" t="s">
        <v>1643</v>
      </c>
      <c r="I87" s="2762">
        <f t="shared" ref="I87:S87" si="6">I21+I39+I46+I52+I72+I82</f>
        <v>2916888.1669000001</v>
      </c>
      <c r="J87" s="2762">
        <f t="shared" si="6"/>
        <v>156447.005</v>
      </c>
      <c r="K87" s="2762">
        <f t="shared" si="6"/>
        <v>2070005.0769100001</v>
      </c>
      <c r="L87" s="2762">
        <f t="shared" si="6"/>
        <v>967823.65</v>
      </c>
      <c r="M87" s="2762">
        <f t="shared" si="6"/>
        <v>144214.39999999999</v>
      </c>
      <c r="N87" s="2762">
        <f t="shared" si="6"/>
        <v>4734689.6449999996</v>
      </c>
      <c r="O87" s="2762">
        <f t="shared" si="6"/>
        <v>83649</v>
      </c>
      <c r="P87" s="2762">
        <f t="shared" si="6"/>
        <v>231912.42</v>
      </c>
      <c r="Q87" s="2762">
        <f t="shared" si="6"/>
        <v>18802176.555999998</v>
      </c>
      <c r="R87" s="2762">
        <f t="shared" si="6"/>
        <v>-626643.48</v>
      </c>
      <c r="S87" s="2762">
        <f t="shared" si="6"/>
        <v>29481162.43981</v>
      </c>
      <c r="T87" s="2013">
        <f>T21+T39+T46+T52+T72+T82</f>
        <v>7426495.04</v>
      </c>
    </row>
    <row r="88" spans="2:20" s="2177" customFormat="1">
      <c r="B88" s="2193"/>
      <c r="H88" s="2005"/>
      <c r="I88" s="2142"/>
      <c r="J88" s="2142"/>
      <c r="K88" s="2142"/>
      <c r="L88" s="2142"/>
      <c r="M88" s="2142"/>
      <c r="N88" s="2142"/>
      <c r="O88" s="2142"/>
      <c r="P88" s="2142"/>
      <c r="Q88" s="2142"/>
      <c r="R88" s="2142"/>
      <c r="S88" s="2142"/>
      <c r="T88" s="2144"/>
    </row>
    <row r="89" spans="2:20" s="2765" customFormat="1" ht="11.25">
      <c r="B89" s="2259"/>
      <c r="H89" s="2766" t="s">
        <v>649</v>
      </c>
      <c r="I89" s="2767">
        <v>3219100.9499999997</v>
      </c>
      <c r="J89" s="2768">
        <v>131330</v>
      </c>
      <c r="K89" s="2768">
        <v>2325327.6489999997</v>
      </c>
      <c r="L89" s="2768">
        <v>614660</v>
      </c>
      <c r="M89" s="2768">
        <v>142658.74</v>
      </c>
      <c r="N89" s="2768">
        <v>2371319.85</v>
      </c>
      <c r="O89" s="2768">
        <v>87878</v>
      </c>
      <c r="P89" s="2768">
        <v>233064</v>
      </c>
      <c r="Q89" s="2768">
        <v>15071954.18</v>
      </c>
      <c r="R89" s="2768">
        <v>0</v>
      </c>
      <c r="S89" s="2769">
        <v>24197200</v>
      </c>
      <c r="T89" s="2770">
        <v>6170500</v>
      </c>
    </row>
    <row r="90" spans="2:20">
      <c r="T90" s="2144"/>
    </row>
    <row r="91" spans="2:20" s="2316" customFormat="1" ht="213.75">
      <c r="B91" s="2315"/>
      <c r="F91" s="2317"/>
      <c r="G91" s="2321" t="s">
        <v>519</v>
      </c>
      <c r="H91" s="701" t="s">
        <v>217</v>
      </c>
      <c r="I91" s="2319" t="s">
        <v>496</v>
      </c>
      <c r="J91" s="2319" t="s">
        <v>494</v>
      </c>
      <c r="K91" s="2320" t="s">
        <v>497</v>
      </c>
      <c r="L91" s="2319" t="s">
        <v>495</v>
      </c>
      <c r="M91" s="2319" t="s">
        <v>498</v>
      </c>
      <c r="N91" s="2319" t="s">
        <v>499</v>
      </c>
      <c r="O91" s="2319" t="s">
        <v>500</v>
      </c>
      <c r="P91" s="2319" t="s">
        <v>501</v>
      </c>
      <c r="Q91" s="2319" t="s">
        <v>502</v>
      </c>
      <c r="R91" s="2319" t="s">
        <v>218</v>
      </c>
      <c r="S91" s="702"/>
      <c r="T91" s="2318"/>
    </row>
  </sheetData>
  <customSheetViews>
    <customSheetView guid="{074EB09C-6289-46D7-9513-012B68BCA7BF}" hiddenRows="1">
      <pane xSplit="8" ySplit="5" topLeftCell="S6" activePane="bottomRight" state="frozen"/>
      <selection pane="bottomRight" activeCell="S18" sqref="S18"/>
      <pageMargins left="0.7" right="0.7" top="0.34" bottom="0.43" header="0.3" footer="0.3"/>
      <pageSetup paperSize="17" scale="60" orientation="landscape" r:id="rId1"/>
    </customSheetView>
    <customSheetView guid="{D9EFFE19-D14B-4C6F-BDF4-FF696F73968D}">
      <pane xSplit="7" ySplit="5" topLeftCell="H30" activePane="bottomRight" state="frozen"/>
      <selection pane="bottomRight" activeCell="H37" sqref="H37"/>
      <pageMargins left="0.7" right="0.7" top="0.34" bottom="0.43" header="0.3" footer="0.3"/>
      <pageSetup paperSize="3" scale="60" orientation="landscape" r:id="rId2"/>
    </customSheetView>
  </customSheetViews>
  <mergeCells count="1">
    <mergeCell ref="E5:G5"/>
  </mergeCells>
  <hyperlinks>
    <hyperlink ref="H16" location="'HER Detail_REM G214 gas'!A1" display="'HER Detail_REM G214 gas'!A1"/>
    <hyperlink ref="H45" location="'BEM Pilots Detail G249 Gas'!A1" display="'BEM Pilots Detail G249 Gas'!A1"/>
    <hyperlink ref="H7" location="'LowIncWx Detail_REM G201 Gas'!A1" display="'LowIncWx Detail_REM G201 Gas'!A1"/>
    <hyperlink ref="H8" location="'HmEnrgyAsmt Detail_REM G214 Gas'!A1" display="'HmEnrgyAsm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26" location="'CI Retr Detail_BEM G250 Gas'!A1" display="'CI Retr Detail_BEM G250 Gas'!A1"/>
    <hyperlink ref="H29" location="'RCM Detail_BEM 253 Gas'!A1" display="'RCM Detail_BEM 253 Gas'!A1"/>
    <hyperlink ref="H27" location="'CI NC Detail_BEM G251 Gas'!A1" display="'CI NC Detail_BEM G251 Gas'!A1"/>
    <hyperlink ref="H63" location="'CustOnline Detail_PSWE_Gas'!A1" display="'CustOnline Detail_PSWE_Gas'!A1"/>
    <hyperlink ref="H64" location="'Mkt Intg Detail_PSWE_Gas'!A1" display="'Mkt Intg Detail_PSWE_Gas'!A1"/>
    <hyperlink ref="H69" location="'EEC Detail_PS_Gas'!A1" display="'EEC Detail_PS_Gas'!A1"/>
    <hyperlink ref="H70" location="'TradeAlly Detail_PS_gas'!A1" display="'TradeAlly Detail_PS_gas'!A1"/>
    <hyperlink ref="H79" location="'Mktg Rsch Detail_PS_gas'!A1" display="'Mktg Rsch Detail_PS_gas'!A1"/>
    <hyperlink ref="H77" location="'Supp Crv Detail_R&amp;C_gas'!A1" display="'Supp Crv Detail_R&amp;C_gas'!A1"/>
    <hyperlink ref="H78" location="'Strat Pln Detail_R&amp;C_Gas'!A1" display="'Strat Pln Detail_R&amp;C_Gas'!A1"/>
    <hyperlink ref="H80" location="'Eval Detail_R&amp;C_Gas'!A1" display="'Eval Detail_R&amp;C_Gas'!A1"/>
    <hyperlink ref="H58" location="'Engy Adv Detail_PSCE_Gas'!A1" display="'Engy Adv Detail_PSCE_Gas'!A1"/>
    <hyperlink ref="H60" location="'Brochure Detail_PSCE_Gas'!A1" display="'Brochure Detail_PSCE_Gas'!A1"/>
    <hyperlink ref="H61" location="'Eductn Detail_PSCE_G207 Gas'!A1" display="'Eductn Detail_PSCE_G207 Gas'!A1"/>
    <hyperlink ref="H59" location="'Events Detail_PSCE_Gas'!A1" display="'Events Detail_PSCE_Gas'!A1"/>
    <hyperlink ref="H13" location="'HmApplSvgs Detail_REM G214 Gas'!A1" display="Savings Only"/>
    <hyperlink ref="H14" location="'MHDS Detail_REM G214 Gas'!A1" display="'MHDS Detail_REM G214 Gas'!A1"/>
    <hyperlink ref="H15" location="'WebTstat Detail_REM G214 Gas'!A1" display="'WebTstat Detail_REM G214 Gas'!A1"/>
    <hyperlink ref="H65" location="'ABS Detail_PSWE_Gas'!A1" display="'ABS Detail_PSWE_Gas'!A1"/>
    <hyperlink ref="H81" location="'Verifctn team Detail Gas'!A1" display="'Verifctn team Detail Gas'!A1"/>
    <hyperlink ref="H17" location="'NCMfgHomes Detail_REM G215 Gas'!A1" display="'NCMfgHomes Detail_REM G215 Gas'!A1"/>
    <hyperlink ref="H44" location="'REM Pilots Detail G249 Gas'!A1" display="18230nnn"/>
    <hyperlink ref="H51" location="'NEEA Gas MT_no Sched Gas'!A1" display="'NEEA Gas MT_no Sched Gas'!A1"/>
    <hyperlink ref="H33" location="'Comm Kit-Laund_G262 Gas'!A1" display="'Comm Kit-Laund_G262 Gas'!A1"/>
    <hyperlink ref="H34" location="'Comm DI_G262 Gas'!A1" display="'Comm DI_G262 Gas'!A1"/>
    <hyperlink ref="H35" location="'Comm HVAC_G262 Gas'!A1" display="'Comm HVAC_G262 Gas'!A1"/>
    <hyperlink ref="H38" location="'Sm Bus DI_G262 Gas'!A1" display="'Sm Bus DI_G262 Gas'!A1"/>
    <hyperlink ref="H66" location="'Rebt Procg_Detail Gas'!A1" display="'Rebt Procg_Detail Gas'!A1"/>
    <hyperlink ref="H67" location="'Progs Supp Detail_PS_Gas'!A1" display="'Progs Supp Detail_PS_Gas'!A1"/>
    <hyperlink ref="H68" location="'Data &amp; Systm Svcs Detail Gas'!A1" display="'Data &amp; Systm Svcs Detail Gas'!A1"/>
    <hyperlink ref="H71" location="'CAN_PS_Detail Gas'!A1" display="'CAN_PS_Detail Gas'!A1"/>
    <hyperlink ref="H36" location="'Sm Agr DI_G262 Gas'!A1" display="1823nnnn"/>
    <hyperlink ref="H37" location="'Lodging DI_G262_Gas'!A1" display="1823yyyy"/>
    <hyperlink ref="H31" location="'TechEval Detail_BEM G261 Gas'!A1" display="'TechEval Detail_BEM G261 Gas'!A1"/>
    <hyperlink ref="H30" location="'ResAcctSW Detail_PSWE_Gas'!A1" display="1823xxxx"/>
  </hyperlinks>
  <pageMargins left="0.7" right="0.7" top="0.34" bottom="0.43" header="0.3" footer="0.3"/>
  <pageSetup paperSize="3" scale="60" orientation="landscape" r:id="rId3"/>
  <ignoredErrors>
    <ignoredError sqref="T87 I69:S81 I57:S68 I7:T51" emptyCellReference="1"/>
  </ignoredErrors>
  <drawing r:id="rId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C000"/>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42578125" customWidth="1"/>
    <col min="2" max="2" width="16" style="1866" customWidth="1"/>
    <col min="3" max="3" width="28.7109375" customWidth="1"/>
    <col min="4" max="5" width="20.28515625" customWidth="1"/>
    <col min="6" max="6" width="19.85546875" customWidth="1"/>
    <col min="7" max="7" width="19" customWidth="1"/>
    <col min="8" max="8" width="23.7109375" customWidth="1"/>
    <col min="9" max="9" width="20.42578125" customWidth="1"/>
    <col min="10" max="10" width="17.7109375" customWidth="1"/>
    <col min="11" max="11" width="23.7109375" customWidth="1"/>
    <col min="12" max="12" width="18.85546875" customWidth="1"/>
    <col min="13" max="13" width="18.7109375" customWidth="1"/>
    <col min="14" max="14" width="19.7109375" customWidth="1"/>
    <col min="15" max="15" width="14.140625" customWidth="1"/>
    <col min="16" max="16" width="16.140625" customWidth="1"/>
    <col min="17" max="17" width="10.5703125" customWidth="1"/>
    <col min="18" max="18" width="15" customWidth="1"/>
  </cols>
  <sheetData>
    <row r="1" spans="1:19" ht="56.25" customHeight="1">
      <c r="D1" s="1811" t="s">
        <v>32</v>
      </c>
      <c r="E1" s="1811" t="s">
        <v>25</v>
      </c>
      <c r="F1" s="1882">
        <v>18230679</v>
      </c>
      <c r="G1" s="1812" t="s">
        <v>31</v>
      </c>
      <c r="M1" s="1811" t="s">
        <v>32</v>
      </c>
      <c r="N1" s="1811" t="s">
        <v>25</v>
      </c>
      <c r="O1" s="1882">
        <v>18230679</v>
      </c>
      <c r="P1" s="1812" t="s">
        <v>31</v>
      </c>
    </row>
    <row r="2" spans="1:19" ht="13.5" thickBot="1">
      <c r="E2" s="1866"/>
      <c r="F2" s="1866"/>
      <c r="G2" s="1805"/>
      <c r="H2" s="1576" t="s">
        <v>674</v>
      </c>
      <c r="I2" s="1805"/>
      <c r="J2" s="1805"/>
      <c r="K2" s="1805"/>
      <c r="L2" s="1805"/>
      <c r="M2" s="1805"/>
      <c r="N2" s="1805"/>
      <c r="O2" s="1805"/>
      <c r="P2" s="1805"/>
      <c r="Q2" s="1805"/>
    </row>
    <row r="3" spans="1:19" ht="27" thickBot="1">
      <c r="A3" s="1748" t="s">
        <v>32</v>
      </c>
      <c r="B3" s="1748"/>
      <c r="D3" s="39"/>
      <c r="E3" s="1800"/>
      <c r="F3" s="1800"/>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748"/>
      <c r="D4" s="40"/>
      <c r="E4" s="1791"/>
      <c r="F4" s="1791"/>
      <c r="G4" s="1804" t="s">
        <v>668</v>
      </c>
      <c r="H4" s="2003">
        <v>13681</v>
      </c>
      <c r="I4" s="2002">
        <v>0</v>
      </c>
      <c r="J4" s="2002">
        <v>9672</v>
      </c>
      <c r="K4" s="2002">
        <v>0</v>
      </c>
      <c r="L4" s="2002">
        <v>310</v>
      </c>
      <c r="M4" s="2002">
        <v>0</v>
      </c>
      <c r="N4" s="2002">
        <v>0</v>
      </c>
      <c r="O4" s="2002">
        <v>0</v>
      </c>
      <c r="P4" s="2002">
        <v>0</v>
      </c>
      <c r="Q4" s="2002"/>
      <c r="R4" s="2002">
        <v>23663</v>
      </c>
      <c r="S4" s="1998"/>
    </row>
    <row r="5" spans="1:19" ht="15.75">
      <c r="A5" s="1882">
        <v>18230679</v>
      </c>
      <c r="B5" s="1748"/>
      <c r="C5" s="3"/>
      <c r="D5" s="40"/>
      <c r="E5" s="1791"/>
      <c r="F5" s="1791"/>
      <c r="G5" s="1228">
        <v>2016</v>
      </c>
      <c r="H5" s="1582">
        <f>D15</f>
        <v>12539.36</v>
      </c>
      <c r="I5" s="1549">
        <f>D21</f>
        <v>0</v>
      </c>
      <c r="J5" s="1549">
        <f>D27</f>
        <v>8363.7531200000012</v>
      </c>
      <c r="K5" s="1549">
        <f>D34</f>
        <v>0</v>
      </c>
      <c r="L5" s="1549">
        <f>D40</f>
        <v>156</v>
      </c>
      <c r="M5" s="1549">
        <f>D46</f>
        <v>0</v>
      </c>
      <c r="N5" s="1549">
        <f>D52</f>
        <v>0</v>
      </c>
      <c r="O5" s="1549">
        <f>D58</f>
        <v>0</v>
      </c>
      <c r="P5" s="1549">
        <v>0</v>
      </c>
      <c r="Q5" s="1549"/>
      <c r="R5" s="1549">
        <f>SUM(H5:P5)</f>
        <v>21059.113120000002</v>
      </c>
      <c r="S5" s="1999"/>
    </row>
    <row r="6" spans="1:19" ht="16.5" thickBot="1">
      <c r="A6" s="1976" t="s">
        <v>31</v>
      </c>
      <c r="B6" s="1882"/>
      <c r="E6" s="1866"/>
      <c r="F6" s="1866"/>
      <c r="G6" s="1228">
        <v>2017</v>
      </c>
      <c r="H6" s="57">
        <f>E15</f>
        <v>12852.8</v>
      </c>
      <c r="I6" s="1990">
        <f>E21</f>
        <v>0</v>
      </c>
      <c r="J6" s="1989">
        <f>E27</f>
        <v>8739.9040000000005</v>
      </c>
      <c r="K6" s="58">
        <f>E34</f>
        <v>0</v>
      </c>
      <c r="L6" s="58">
        <f>E40</f>
        <v>156</v>
      </c>
      <c r="M6" s="58">
        <f>E46</f>
        <v>0</v>
      </c>
      <c r="N6" s="58">
        <f>E52</f>
        <v>0</v>
      </c>
      <c r="O6" s="58">
        <f>E58</f>
        <v>0</v>
      </c>
      <c r="P6" s="58">
        <v>0</v>
      </c>
      <c r="Q6" s="58"/>
      <c r="R6" s="58">
        <f>SUM(H6:P6)</f>
        <v>21748.703999999998</v>
      </c>
      <c r="S6" s="1996"/>
    </row>
    <row r="7" spans="1:19" ht="16.5" thickBot="1">
      <c r="B7" s="1748"/>
      <c r="C7" s="1302"/>
      <c r="E7" s="1866"/>
      <c r="F7" s="1866"/>
      <c r="G7" s="598" t="s">
        <v>23</v>
      </c>
      <c r="H7" s="1564">
        <f>SUM(H5:H6)</f>
        <v>25392.16</v>
      </c>
      <c r="I7" s="1991">
        <f t="shared" ref="I7:P7" si="0">SUM(I5:I6)</f>
        <v>0</v>
      </c>
      <c r="J7" s="1992">
        <f t="shared" si="0"/>
        <v>17103.657120000003</v>
      </c>
      <c r="K7" s="1993">
        <f t="shared" si="0"/>
        <v>0</v>
      </c>
      <c r="L7" s="1991">
        <f t="shared" si="0"/>
        <v>312</v>
      </c>
      <c r="M7" s="1992">
        <f t="shared" si="0"/>
        <v>0</v>
      </c>
      <c r="N7" s="1991">
        <f t="shared" si="0"/>
        <v>0</v>
      </c>
      <c r="O7" s="1992">
        <f t="shared" si="0"/>
        <v>0</v>
      </c>
      <c r="P7" s="1993">
        <f t="shared" si="0"/>
        <v>0</v>
      </c>
      <c r="Q7" s="1993"/>
      <c r="R7" s="1991">
        <f>SUM(R5:R6)</f>
        <v>42807.81712</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D15+D21+D27+D34+D40+D46+D52+D58</f>
        <v>21059.113120000002</v>
      </c>
      <c r="E12" s="1948">
        <f>E15+E21+E27+E34+E40+E46+E52+E58</f>
        <v>21748.703999999998</v>
      </c>
      <c r="F12" s="1924">
        <f>D12+E12</f>
        <v>42807.81712</v>
      </c>
    </row>
    <row r="13" spans="1:19">
      <c r="A13" s="21"/>
      <c r="B13" s="1863"/>
      <c r="C13" s="1947"/>
      <c r="D13" s="1866"/>
      <c r="E13" s="1787"/>
      <c r="F13" s="1866"/>
    </row>
    <row r="14" spans="1:19" ht="15.75">
      <c r="A14" s="21"/>
      <c r="B14" s="1863"/>
      <c r="C14" s="1888" t="s">
        <v>45</v>
      </c>
      <c r="D14" s="1969">
        <v>2016</v>
      </c>
      <c r="E14" s="1970">
        <v>2017</v>
      </c>
      <c r="F14" s="1950" t="s">
        <v>23</v>
      </c>
    </row>
    <row r="15" spans="1:19" s="18" customFormat="1" ht="15.75">
      <c r="A15" s="29"/>
      <c r="B15" s="1886" t="s">
        <v>312</v>
      </c>
      <c r="C15" s="1910" t="s">
        <v>46</v>
      </c>
      <c r="D15" s="1911">
        <f>SUM(D16:D19)</f>
        <v>12539.36</v>
      </c>
      <c r="E15" s="1926">
        <f>SUM(E16:E19)</f>
        <v>12852.8</v>
      </c>
      <c r="F15" s="1924">
        <f>SUM(F16:F19)</f>
        <v>25392.16</v>
      </c>
      <c r="G15" s="30"/>
      <c r="H15" s="30"/>
    </row>
    <row r="16" spans="1:19" s="18" customFormat="1" ht="15.75">
      <c r="A16" s="29"/>
      <c r="B16" s="1885">
        <v>0.1</v>
      </c>
      <c r="C16" s="2065" t="s">
        <v>783</v>
      </c>
      <c r="D16" s="1907">
        <v>12539.36</v>
      </c>
      <c r="E16" s="1906">
        <v>12852.8</v>
      </c>
      <c r="F16" s="1879">
        <f>SUM(D16:E16)</f>
        <v>25392.16</v>
      </c>
      <c r="G16" s="30"/>
      <c r="H16" s="30"/>
    </row>
    <row r="17" spans="1:7">
      <c r="A17" s="21"/>
      <c r="B17" s="1885"/>
      <c r="C17" s="1876"/>
      <c r="D17" s="1905"/>
      <c r="E17" s="1904"/>
      <c r="F17" s="1891">
        <f>SUM(D17:E17)</f>
        <v>0</v>
      </c>
    </row>
    <row r="18" spans="1:7">
      <c r="A18" s="21"/>
      <c r="B18" s="1885"/>
      <c r="C18" s="1876"/>
      <c r="D18" s="1905"/>
      <c r="E18" s="1904"/>
      <c r="F18" s="1891">
        <f>SUM(D18:E18)</f>
        <v>0</v>
      </c>
    </row>
    <row r="19" spans="1:7">
      <c r="A19" s="21"/>
      <c r="B19" s="1885"/>
      <c r="C19" s="1876"/>
      <c r="D19" s="1903"/>
      <c r="E19" s="1902"/>
      <c r="F19" s="1891">
        <f>SUM(D19:E19)</f>
        <v>0</v>
      </c>
    </row>
    <row r="20" spans="1:7">
      <c r="A20" s="21"/>
      <c r="B20" s="1908">
        <f>SUM(B16:B19)</f>
        <v>0.1</v>
      </c>
      <c r="C20" s="1952"/>
      <c r="D20" s="1954"/>
      <c r="E20" s="1955"/>
      <c r="F20" s="1957"/>
    </row>
    <row r="21" spans="1:7">
      <c r="A21" s="21"/>
      <c r="B21" s="1865"/>
      <c r="C21" s="1910" t="s">
        <v>47</v>
      </c>
      <c r="D21" s="1911">
        <f>SUM(D22:D25)</f>
        <v>0</v>
      </c>
      <c r="E21" s="1926">
        <f>SUM(E22:E25)</f>
        <v>0</v>
      </c>
      <c r="F21" s="1924">
        <f>SUM(F22:F25)</f>
        <v>0</v>
      </c>
    </row>
    <row r="22" spans="1:7">
      <c r="A22" s="21"/>
      <c r="B22" s="1865"/>
      <c r="C22" s="1876"/>
      <c r="D22" s="1907"/>
      <c r="E22" s="1906"/>
      <c r="F22" s="1879">
        <f>SUM(D22:E22)</f>
        <v>0</v>
      </c>
      <c r="G22" s="34" t="s">
        <v>7</v>
      </c>
    </row>
    <row r="23" spans="1:7">
      <c r="A23" s="21"/>
      <c r="B23" s="1865"/>
      <c r="C23" s="1876"/>
      <c r="D23" s="1900"/>
      <c r="E23" s="1899"/>
      <c r="F23" s="1891">
        <f>SUM(D23:E23)</f>
        <v>0</v>
      </c>
      <c r="G23" s="35"/>
    </row>
    <row r="24" spans="1:7">
      <c r="A24" s="21"/>
      <c r="B24" s="1863"/>
      <c r="C24" s="1876"/>
      <c r="D24" s="1898"/>
      <c r="E24" s="1897"/>
      <c r="F24" s="1891">
        <f>SUM(D24:E24)</f>
        <v>0</v>
      </c>
    </row>
    <row r="25" spans="1:7">
      <c r="A25" s="21"/>
      <c r="B25" s="1865"/>
      <c r="C25" s="1876"/>
      <c r="D25" s="1896"/>
      <c r="E25" s="1899"/>
      <c r="F25" s="1891">
        <f>SUM(D25:E25)</f>
        <v>0</v>
      </c>
    </row>
    <row r="26" spans="1:7" s="18" customFormat="1">
      <c r="A26" s="29"/>
      <c r="B26" s="1863"/>
      <c r="C26" s="1877"/>
      <c r="D26" s="1892"/>
      <c r="E26" s="1884"/>
      <c r="F26" s="1892"/>
    </row>
    <row r="27" spans="1:7">
      <c r="A27" s="21"/>
      <c r="B27" s="1865"/>
      <c r="C27" s="1910" t="s">
        <v>48</v>
      </c>
      <c r="D27" s="1911">
        <f>SUM(D29:D32)</f>
        <v>8363.7531200000012</v>
      </c>
      <c r="E27" s="1926">
        <f>SUM(E29:E32)</f>
        <v>8739.9040000000005</v>
      </c>
      <c r="F27" s="1924">
        <f>SUM(F29:F32)</f>
        <v>17103.657120000003</v>
      </c>
    </row>
    <row r="28" spans="1:7" s="18" customFormat="1">
      <c r="A28" s="29"/>
      <c r="B28" s="1865"/>
      <c r="C28" s="1909" t="s">
        <v>315</v>
      </c>
      <c r="D28" s="1912">
        <v>0.66700000000000004</v>
      </c>
      <c r="E28" s="1913">
        <v>0.68</v>
      </c>
      <c r="F28" s="1949"/>
    </row>
    <row r="29" spans="1:7">
      <c r="A29" s="21"/>
      <c r="B29" s="1865"/>
      <c r="C29" s="1876" t="s">
        <v>778</v>
      </c>
      <c r="D29" s="1971">
        <f>D15*D28</f>
        <v>8363.7531200000012</v>
      </c>
      <c r="E29" s="1972">
        <f>E15*E28</f>
        <v>8739.9040000000005</v>
      </c>
      <c r="F29" s="1891">
        <f>SUM(D29:E29)</f>
        <v>17103.657120000003</v>
      </c>
    </row>
    <row r="30" spans="1:7">
      <c r="A30" s="21"/>
      <c r="B30" s="1865"/>
      <c r="C30" s="1876" t="s">
        <v>779</v>
      </c>
      <c r="D30" s="1973">
        <f>D21*D28</f>
        <v>0</v>
      </c>
      <c r="E30" s="1972">
        <f>E21*E28</f>
        <v>0</v>
      </c>
      <c r="F30" s="2191">
        <f>SUM(D30:E30)</f>
        <v>0</v>
      </c>
    </row>
    <row r="31" spans="1:7">
      <c r="A31" s="21"/>
      <c r="B31" s="1865"/>
      <c r="C31" s="1901"/>
      <c r="D31" s="1898"/>
      <c r="E31" s="1897"/>
      <c r="F31" s="2191">
        <f>SUM(D31:E31)</f>
        <v>0</v>
      </c>
    </row>
    <row r="32" spans="1:7">
      <c r="A32" s="21"/>
      <c r="B32" s="1865"/>
      <c r="C32" s="1901"/>
      <c r="D32" s="1896"/>
      <c r="E32" s="1899"/>
      <c r="F32" s="2191">
        <f>SUM(D32:E32)</f>
        <v>0</v>
      </c>
    </row>
    <row r="33" spans="1:7">
      <c r="A33" s="21"/>
      <c r="B33" s="1801"/>
      <c r="C33" s="1952"/>
      <c r="D33" s="1958"/>
      <c r="E33" s="1955"/>
      <c r="F33" s="1958"/>
    </row>
    <row r="34" spans="1:7">
      <c r="A34" s="21"/>
      <c r="B34" s="1865"/>
      <c r="C34" s="1910" t="s">
        <v>49</v>
      </c>
      <c r="D34" s="1911">
        <v>0</v>
      </c>
      <c r="E34" s="1926">
        <v>0</v>
      </c>
      <c r="F34" s="1924">
        <v>0</v>
      </c>
    </row>
    <row r="35" spans="1:7">
      <c r="A35" s="1748" t="s">
        <v>32</v>
      </c>
      <c r="B35" s="1863"/>
      <c r="C35" s="1876"/>
      <c r="D35" s="1971"/>
      <c r="E35" s="1988"/>
      <c r="F35" s="1891">
        <v>0</v>
      </c>
      <c r="G35" s="38"/>
    </row>
    <row r="36" spans="1:7">
      <c r="A36" s="1974" t="s">
        <v>25</v>
      </c>
      <c r="B36" s="1865"/>
      <c r="C36" s="1876"/>
      <c r="D36" s="1971"/>
      <c r="E36" s="1988"/>
      <c r="F36" s="1891">
        <v>0</v>
      </c>
    </row>
    <row r="37" spans="1:7" s="18" customFormat="1">
      <c r="A37" s="1882">
        <v>18230679</v>
      </c>
      <c r="B37" s="1865"/>
      <c r="C37" s="1876"/>
      <c r="D37" s="1971"/>
      <c r="E37" s="1988"/>
      <c r="F37" s="1891">
        <v>0</v>
      </c>
    </row>
    <row r="38" spans="1:7">
      <c r="A38" s="1976" t="s">
        <v>31</v>
      </c>
      <c r="B38" s="1865"/>
      <c r="C38" s="1876"/>
      <c r="D38" s="1971"/>
      <c r="E38" s="1988"/>
      <c r="F38" s="1891">
        <v>0</v>
      </c>
    </row>
    <row r="39" spans="1:7">
      <c r="A39" s="21"/>
      <c r="B39" s="1865"/>
      <c r="C39" s="1952"/>
      <c r="D39" s="1958"/>
      <c r="E39" s="1955"/>
      <c r="F39" s="1958"/>
    </row>
    <row r="40" spans="1:7">
      <c r="A40" s="21"/>
      <c r="B40" s="1865"/>
      <c r="C40" s="2106" t="s">
        <v>506</v>
      </c>
      <c r="D40" s="1911">
        <f>SUM(D41:D44)</f>
        <v>156</v>
      </c>
      <c r="E40" s="1926">
        <f>SUM(E41:E44)</f>
        <v>156</v>
      </c>
      <c r="F40" s="1924">
        <f t="shared" ref="F40:F56" si="1">SUM(D40:E40)</f>
        <v>312</v>
      </c>
    </row>
    <row r="41" spans="1:7">
      <c r="A41" s="21"/>
      <c r="B41" s="1865"/>
      <c r="C41" s="1876" t="s">
        <v>816</v>
      </c>
      <c r="D41" s="1971">
        <v>156</v>
      </c>
      <c r="E41" s="1988">
        <v>156</v>
      </c>
      <c r="F41" s="1891">
        <f t="shared" si="1"/>
        <v>312</v>
      </c>
    </row>
    <row r="42" spans="1:7">
      <c r="A42" s="21"/>
      <c r="B42" s="1865"/>
      <c r="C42" s="2197"/>
      <c r="D42" s="2202"/>
      <c r="E42" s="2203"/>
      <c r="F42" s="1891">
        <f t="shared" si="1"/>
        <v>0</v>
      </c>
    </row>
    <row r="43" spans="1:7">
      <c r="A43" s="21"/>
      <c r="B43" s="1865"/>
      <c r="C43" s="1876"/>
      <c r="D43" s="1971"/>
      <c r="E43" s="1988"/>
      <c r="F43" s="1891">
        <f t="shared" si="1"/>
        <v>0</v>
      </c>
    </row>
    <row r="44" spans="1:7">
      <c r="A44" s="21"/>
      <c r="B44" s="1865"/>
      <c r="C44" s="1876"/>
      <c r="D44" s="1971"/>
      <c r="E44" s="1988"/>
      <c r="F44" s="1891">
        <f t="shared" si="1"/>
        <v>0</v>
      </c>
    </row>
    <row r="45" spans="1:7">
      <c r="A45" s="21"/>
      <c r="B45" s="1865"/>
      <c r="C45" s="1952"/>
      <c r="D45" s="1958"/>
      <c r="E45" s="1955"/>
      <c r="F45" s="1958"/>
    </row>
    <row r="46" spans="1:7">
      <c r="A46" s="21"/>
      <c r="B46" s="1865"/>
      <c r="C46" s="1910" t="s">
        <v>50</v>
      </c>
      <c r="D46" s="1911">
        <f>SUM(D47:D50)</f>
        <v>0</v>
      </c>
      <c r="E46" s="1926">
        <f>SUM(E47:E50)</f>
        <v>0</v>
      </c>
      <c r="F46" s="1924">
        <f t="shared" si="1"/>
        <v>0</v>
      </c>
    </row>
    <row r="47" spans="1:7">
      <c r="A47" s="21"/>
      <c r="B47" s="1865"/>
      <c r="C47" s="2081"/>
      <c r="D47" s="1971"/>
      <c r="E47" s="1988"/>
      <c r="F47" s="1891">
        <f t="shared" si="1"/>
        <v>0</v>
      </c>
    </row>
    <row r="48" spans="1:7">
      <c r="A48" s="21"/>
      <c r="B48" s="1865"/>
      <c r="C48" s="1876"/>
      <c r="D48" s="1971"/>
      <c r="E48" s="1988"/>
      <c r="F48" s="1891">
        <f t="shared" si="1"/>
        <v>0</v>
      </c>
    </row>
    <row r="49" spans="1:6">
      <c r="A49" s="21"/>
      <c r="B49" s="1865"/>
      <c r="C49" s="1876"/>
      <c r="D49" s="1971"/>
      <c r="E49" s="1988"/>
      <c r="F49" s="1891">
        <f t="shared" si="1"/>
        <v>0</v>
      </c>
    </row>
    <row r="50" spans="1:6">
      <c r="A50" s="21"/>
      <c r="B50" s="1865"/>
      <c r="C50" s="1876"/>
      <c r="D50" s="1971"/>
      <c r="E50" s="1988"/>
      <c r="F50" s="1891">
        <f t="shared" si="1"/>
        <v>0</v>
      </c>
    </row>
    <row r="51" spans="1:6">
      <c r="A51" s="21"/>
      <c r="B51" s="1865"/>
      <c r="C51" s="1952"/>
      <c r="D51" s="1958"/>
      <c r="E51" s="1955"/>
      <c r="F51" s="1958"/>
    </row>
    <row r="52" spans="1:6">
      <c r="A52" s="21"/>
      <c r="B52" s="1865"/>
      <c r="C52" s="1910" t="s">
        <v>51</v>
      </c>
      <c r="D52" s="1911">
        <f>SUM(D53:D56)</f>
        <v>0</v>
      </c>
      <c r="E52" s="1926">
        <f>SUM(E53:E56)</f>
        <v>0</v>
      </c>
      <c r="F52" s="1924">
        <f t="shared" si="1"/>
        <v>0</v>
      </c>
    </row>
    <row r="53" spans="1:6">
      <c r="A53" s="21"/>
      <c r="B53" s="1865"/>
      <c r="C53" s="2065"/>
      <c r="D53" s="1971"/>
      <c r="E53" s="1972"/>
      <c r="F53" s="1891">
        <f t="shared" si="1"/>
        <v>0</v>
      </c>
    </row>
    <row r="54" spans="1:6">
      <c r="A54" s="21"/>
      <c r="B54" s="1865"/>
      <c r="C54" s="2065"/>
      <c r="D54" s="1971"/>
      <c r="E54" s="1972"/>
      <c r="F54" s="1891">
        <f t="shared" si="1"/>
        <v>0</v>
      </c>
    </row>
    <row r="55" spans="1:6">
      <c r="A55" s="21"/>
      <c r="B55" s="1865"/>
      <c r="C55" s="1876"/>
      <c r="D55" s="1971"/>
      <c r="E55" s="1972"/>
      <c r="F55" s="1891">
        <f t="shared" si="1"/>
        <v>0</v>
      </c>
    </row>
    <row r="56" spans="1:6">
      <c r="A56" s="21"/>
      <c r="B56" s="1865"/>
      <c r="C56" s="1876"/>
      <c r="D56" s="1971"/>
      <c r="E56" s="1972"/>
      <c r="F56" s="1891">
        <f t="shared" si="1"/>
        <v>0</v>
      </c>
    </row>
    <row r="57" spans="1:6">
      <c r="A57" s="21"/>
      <c r="B57" s="1865"/>
      <c r="C57" s="1952"/>
      <c r="D57" s="1958"/>
      <c r="E57" s="1955"/>
      <c r="F57" s="1958"/>
    </row>
    <row r="58" spans="1:6">
      <c r="A58" s="21"/>
      <c r="B58" s="1865"/>
      <c r="C58" s="1910" t="s">
        <v>52</v>
      </c>
      <c r="D58" s="1911">
        <f>SUM(D59:D60)</f>
        <v>0</v>
      </c>
      <c r="E58" s="1926">
        <f>SUM(E59:E60)</f>
        <v>0</v>
      </c>
      <c r="F58" s="1924">
        <f>SUM(F59:F60)</f>
        <v>0</v>
      </c>
    </row>
    <row r="59" spans="1:6">
      <c r="A59" s="21"/>
      <c r="B59" s="1865"/>
      <c r="C59" s="2065"/>
      <c r="D59" s="1971"/>
      <c r="E59" s="1988"/>
      <c r="F59" s="1891">
        <f>SUM(D59:E59)</f>
        <v>0</v>
      </c>
    </row>
    <row r="60" spans="1:6">
      <c r="A60" s="21"/>
      <c r="B60" s="1865"/>
      <c r="C60" s="1876"/>
      <c r="D60" s="1971"/>
      <c r="E60" s="1988"/>
      <c r="F60" s="1891">
        <f>SUM(D60:E60)</f>
        <v>0</v>
      </c>
    </row>
    <row r="61" spans="1:6">
      <c r="A61" s="21"/>
      <c r="C61" s="1876"/>
      <c r="D61" s="1971"/>
      <c r="E61" s="1988"/>
      <c r="F61" s="1890">
        <v>0</v>
      </c>
    </row>
    <row r="62" spans="1:6">
      <c r="A62" s="21"/>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1" right="0.22" top="0.34" bottom="0.37" header="0.3" footer="0.3"/>
      <pageSetup paperSize="17" scale="64" orientation="landscape" r:id="rId1"/>
    </customSheetView>
    <customSheetView guid="{D9EFFE19-D14B-4C6F-BDF4-FF696F73968D}" showGridLines="0" fitToPage="1">
      <pane xSplit="1" ySplit="1" topLeftCell="B5" activePane="bottomRight" state="frozen"/>
      <selection pane="bottomRight"/>
      <pageMargins left="0.21" right="0.22" top="0.34" bottom="0.37" header="0.3" footer="0.3"/>
      <pageSetup paperSize="17" scale="64" orientation="landscape" r:id="rId2"/>
    </customSheetView>
  </customSheetViews>
  <pageMargins left="0.21" right="0.22" top="0.34" bottom="0.37" header="0.3" footer="0.3"/>
  <pageSetup paperSize="17" scale="64" orientation="landscape" r:id="rId3"/>
  <drawing r:id="rId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A1:S68"/>
  <sheetViews>
    <sheetView showGridLines="0" zoomScaleNormal="10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 customWidth="1"/>
    <col min="2" max="2" width="15.42578125" style="1866" customWidth="1"/>
    <col min="3" max="3" width="35.7109375" customWidth="1"/>
    <col min="4" max="5" width="20" customWidth="1"/>
    <col min="6" max="6" width="19.85546875" customWidth="1"/>
    <col min="7" max="7" width="21" customWidth="1"/>
    <col min="8" max="8" width="23.7109375" customWidth="1"/>
    <col min="9" max="9" width="20.42578125" customWidth="1"/>
    <col min="10" max="10" width="17.7109375" customWidth="1"/>
    <col min="11" max="11" width="23.7109375" customWidth="1"/>
    <col min="12" max="12" width="20" customWidth="1"/>
    <col min="13" max="13" width="18.7109375" customWidth="1"/>
    <col min="14" max="14" width="23.7109375" customWidth="1"/>
    <col min="15" max="15" width="14.140625" customWidth="1"/>
    <col min="16" max="16" width="16.140625" customWidth="1"/>
    <col min="17" max="17" width="10.5703125" customWidth="1"/>
    <col min="18" max="18" width="15" customWidth="1"/>
  </cols>
  <sheetData>
    <row r="1" spans="1:19" ht="54" customHeight="1">
      <c r="D1" s="1831" t="s">
        <v>347</v>
      </c>
      <c r="E1" s="1977" t="s">
        <v>25</v>
      </c>
      <c r="F1" s="1880">
        <v>18230670</v>
      </c>
      <c r="G1" s="1977" t="s">
        <v>31</v>
      </c>
      <c r="M1" s="1831" t="s">
        <v>347</v>
      </c>
      <c r="N1" s="1977" t="s">
        <v>25</v>
      </c>
      <c r="O1" s="1880">
        <v>18230670</v>
      </c>
      <c r="P1" s="1977" t="s">
        <v>31</v>
      </c>
    </row>
    <row r="2" spans="1:19" ht="13.5" thickBot="1">
      <c r="E2" s="1607"/>
      <c r="F2" s="1607"/>
      <c r="G2" s="1227"/>
      <c r="H2" s="1576" t="s">
        <v>674</v>
      </c>
      <c r="I2" s="1805"/>
      <c r="J2" s="1805"/>
      <c r="K2" s="1805"/>
      <c r="L2" s="1805"/>
      <c r="M2" s="1805"/>
      <c r="N2" s="1805"/>
      <c r="O2" s="1805"/>
      <c r="P2" s="1805"/>
      <c r="Q2" s="1805"/>
    </row>
    <row r="3" spans="1:19" ht="27" thickBot="1">
      <c r="A3" s="1844" t="s">
        <v>347</v>
      </c>
      <c r="B3" s="1808"/>
      <c r="D3" s="39"/>
      <c r="E3" s="1800"/>
      <c r="F3" s="1800"/>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1976" t="s">
        <v>25</v>
      </c>
      <c r="B4" s="1808"/>
      <c r="D4" s="40"/>
      <c r="E4" s="1791"/>
      <c r="F4" s="1791"/>
      <c r="G4" s="1804" t="s">
        <v>668</v>
      </c>
      <c r="H4" s="2003">
        <v>10105</v>
      </c>
      <c r="I4" s="2002">
        <v>0</v>
      </c>
      <c r="J4" s="2002">
        <v>7144</v>
      </c>
      <c r="K4" s="2002">
        <v>0</v>
      </c>
      <c r="L4" s="2002">
        <v>640</v>
      </c>
      <c r="M4" s="2002">
        <v>29158</v>
      </c>
      <c r="N4" s="2002">
        <v>200</v>
      </c>
      <c r="O4" s="2002">
        <v>0</v>
      </c>
      <c r="P4" s="2002">
        <v>0</v>
      </c>
      <c r="Q4" s="2002"/>
      <c r="R4" s="2002">
        <v>47246</v>
      </c>
      <c r="S4" s="2000"/>
    </row>
    <row r="5" spans="1:19" ht="15.75">
      <c r="A5" s="1880">
        <v>18230670</v>
      </c>
      <c r="B5" s="1808"/>
      <c r="C5" s="3"/>
      <c r="D5" s="40"/>
      <c r="E5" s="1791"/>
      <c r="F5" s="1791"/>
      <c r="G5" s="1228">
        <v>2016</v>
      </c>
      <c r="H5" s="1582">
        <f>D15</f>
        <v>21937.5</v>
      </c>
      <c r="I5" s="1549">
        <f>D21</f>
        <v>0</v>
      </c>
      <c r="J5" s="1549">
        <f>D27</f>
        <v>14632.3125</v>
      </c>
      <c r="K5" s="1549">
        <f>D34</f>
        <v>0</v>
      </c>
      <c r="L5" s="1549">
        <f>D40</f>
        <v>635.70000000000005</v>
      </c>
      <c r="M5" s="1549">
        <f>D47</f>
        <v>4686.5</v>
      </c>
      <c r="N5" s="1549">
        <f>D54</f>
        <v>201.5</v>
      </c>
      <c r="O5" s="1549">
        <f>D60</f>
        <v>0</v>
      </c>
      <c r="P5" s="1549">
        <v>0</v>
      </c>
      <c r="Q5" s="1549"/>
      <c r="R5" s="1549">
        <f>SUM(H5:P5)</f>
        <v>42093.512499999997</v>
      </c>
      <c r="S5" s="2001"/>
    </row>
    <row r="6" spans="1:19" ht="16.5" thickBot="1">
      <c r="A6" s="1976" t="s">
        <v>31</v>
      </c>
      <c r="B6" s="1880"/>
      <c r="E6" s="1866"/>
      <c r="F6" s="1866"/>
      <c r="G6" s="1228">
        <v>2017</v>
      </c>
      <c r="H6" s="57">
        <f>E15</f>
        <v>22485.94</v>
      </c>
      <c r="I6" s="1990">
        <f>E21</f>
        <v>0</v>
      </c>
      <c r="J6" s="1989">
        <f>E27</f>
        <v>15290.439200000001</v>
      </c>
      <c r="K6" s="58">
        <f>E34</f>
        <v>0</v>
      </c>
      <c r="L6" s="58">
        <f>E40</f>
        <v>635.70000000000005</v>
      </c>
      <c r="M6" s="58">
        <f>E47</f>
        <v>4864.1449999999995</v>
      </c>
      <c r="N6" s="58">
        <f>E54</f>
        <v>201.5</v>
      </c>
      <c r="O6" s="58">
        <f>E60</f>
        <v>0</v>
      </c>
      <c r="P6" s="58">
        <v>0</v>
      </c>
      <c r="Q6" s="58"/>
      <c r="R6" s="58">
        <f>SUM(H6:P6)</f>
        <v>43477.72419999999</v>
      </c>
      <c r="S6" s="1997"/>
    </row>
    <row r="7" spans="1:19" ht="16.5" thickBot="1">
      <c r="B7" s="1808"/>
      <c r="C7" s="1302"/>
      <c r="E7" s="1866"/>
      <c r="F7" s="1866"/>
      <c r="G7" s="598" t="s">
        <v>23</v>
      </c>
      <c r="H7" s="1564">
        <f>SUM(H5:H6)</f>
        <v>44423.44</v>
      </c>
      <c r="I7" s="1991">
        <f t="shared" ref="I7:P7" si="0">SUM(I5:I6)</f>
        <v>0</v>
      </c>
      <c r="J7" s="1992">
        <f t="shared" si="0"/>
        <v>29922.751700000001</v>
      </c>
      <c r="K7" s="1993">
        <f t="shared" si="0"/>
        <v>0</v>
      </c>
      <c r="L7" s="1991">
        <f t="shared" si="0"/>
        <v>1271.4000000000001</v>
      </c>
      <c r="M7" s="1992">
        <f t="shared" si="0"/>
        <v>9550.6450000000004</v>
      </c>
      <c r="N7" s="1991">
        <f t="shared" si="0"/>
        <v>403</v>
      </c>
      <c r="O7" s="1992">
        <f t="shared" si="0"/>
        <v>0</v>
      </c>
      <c r="P7" s="1993">
        <f t="shared" si="0"/>
        <v>0</v>
      </c>
      <c r="Q7" s="1993"/>
      <c r="R7" s="1991">
        <f>SUM(R5:R6)</f>
        <v>85571.236699999979</v>
      </c>
      <c r="S7" s="1993"/>
    </row>
    <row r="8" spans="1:19" s="18" customFormat="1" ht="25.5">
      <c r="B8" s="1808"/>
      <c r="E8" s="1862"/>
      <c r="F8" s="1862"/>
      <c r="G8" s="537"/>
      <c r="H8" s="1786"/>
      <c r="I8" s="535"/>
      <c r="J8" s="535"/>
      <c r="K8" s="535"/>
      <c r="L8" s="535"/>
      <c r="M8" s="535"/>
      <c r="N8" s="535"/>
      <c r="O8" s="535"/>
      <c r="P8" s="544" t="s">
        <v>20</v>
      </c>
      <c r="Q8" s="535"/>
    </row>
    <row r="9" spans="1:19" s="18" customFormat="1">
      <c r="A9" s="29"/>
      <c r="B9" s="1863"/>
      <c r="E9" s="1862"/>
      <c r="F9" s="1862"/>
      <c r="G9" s="537"/>
      <c r="H9" s="1786"/>
      <c r="I9" s="535"/>
      <c r="J9" s="535"/>
      <c r="K9" s="535"/>
      <c r="L9" s="535"/>
      <c r="M9" s="535"/>
      <c r="N9" s="535"/>
      <c r="O9" s="535"/>
      <c r="P9" s="544" t="s">
        <v>21</v>
      </c>
      <c r="Q9" s="535"/>
    </row>
    <row r="10" spans="1:19" s="18" customFormat="1">
      <c r="A10" s="29"/>
      <c r="B10" s="1865"/>
      <c r="C10" s="1915" t="s">
        <v>329</v>
      </c>
      <c r="D10" s="1915"/>
      <c r="E10" s="1915"/>
      <c r="F10" s="1915"/>
    </row>
    <row r="11" spans="1:19" s="9" customFormat="1">
      <c r="A11" s="21"/>
      <c r="B11" s="1865"/>
      <c r="C11" s="1866"/>
      <c r="D11" s="1866"/>
      <c r="E11" s="1867"/>
      <c r="F11" s="1866"/>
    </row>
    <row r="12" spans="1:19" ht="18" customHeight="1">
      <c r="A12" s="21"/>
      <c r="B12" s="1865"/>
      <c r="C12" s="1887" t="s">
        <v>314</v>
      </c>
      <c r="D12" s="1924">
        <f>D15+D21+D27+D34+D40+D47+D54+D60</f>
        <v>42093.512499999997</v>
      </c>
      <c r="E12" s="1948">
        <f>E15+E21+E27+E34+E40+E47+E54+E60</f>
        <v>43477.72419999999</v>
      </c>
      <c r="F12" s="1924">
        <f>D12+E12</f>
        <v>85571.236699999979</v>
      </c>
    </row>
    <row r="13" spans="1:19">
      <c r="A13" s="21"/>
      <c r="B13" s="1863"/>
      <c r="C13" s="1947"/>
      <c r="D13" s="1866"/>
      <c r="E13" s="1787"/>
      <c r="F13" s="1866"/>
    </row>
    <row r="14" spans="1:19" ht="13.5" customHeight="1">
      <c r="A14" s="21"/>
      <c r="B14" s="1863"/>
      <c r="C14" s="1888" t="s">
        <v>45</v>
      </c>
      <c r="D14" s="1969">
        <v>2016</v>
      </c>
      <c r="E14" s="1970">
        <v>2017</v>
      </c>
      <c r="F14" s="1950" t="s">
        <v>23</v>
      </c>
      <c r="G14" s="1297"/>
      <c r="H14" s="1297"/>
    </row>
    <row r="15" spans="1:19" s="18" customFormat="1" ht="13.5" customHeight="1">
      <c r="A15" s="29"/>
      <c r="B15" s="1886" t="s">
        <v>312</v>
      </c>
      <c r="C15" s="1910" t="s">
        <v>46</v>
      </c>
      <c r="D15" s="1911">
        <f>SUM(D16:D19)</f>
        <v>21937.5</v>
      </c>
      <c r="E15" s="1926">
        <f>SUM(E16:E19)</f>
        <v>22485.94</v>
      </c>
      <c r="F15" s="1924">
        <f>SUM(F16:F19)</f>
        <v>44423.44</v>
      </c>
      <c r="G15" s="30"/>
      <c r="H15" s="30"/>
    </row>
    <row r="16" spans="1:19" s="18" customFormat="1" ht="13.5" customHeight="1">
      <c r="A16" s="29"/>
      <c r="B16" s="1885">
        <v>0.28999999999999998</v>
      </c>
      <c r="C16" s="2058" t="s">
        <v>811</v>
      </c>
      <c r="D16" s="1907">
        <v>21937.5</v>
      </c>
      <c r="E16" s="1906">
        <v>22485.94</v>
      </c>
      <c r="F16" s="1879">
        <f>SUM(D16:E16)</f>
        <v>44423.44</v>
      </c>
      <c r="G16" s="30"/>
      <c r="H16" s="30"/>
    </row>
    <row r="17" spans="1:7" ht="13.5" customHeight="1">
      <c r="A17" s="21"/>
      <c r="B17" s="1885"/>
      <c r="C17" s="1876"/>
      <c r="D17" s="1905"/>
      <c r="E17" s="1904"/>
      <c r="F17" s="1891">
        <f>SUM(D17:E17)</f>
        <v>0</v>
      </c>
    </row>
    <row r="18" spans="1:7" ht="13.5" customHeight="1">
      <c r="A18" s="21"/>
      <c r="B18" s="1885"/>
      <c r="C18" s="1876"/>
      <c r="D18" s="1905"/>
      <c r="E18" s="1904"/>
      <c r="F18" s="1891">
        <f>SUM(D18:E18)</f>
        <v>0</v>
      </c>
    </row>
    <row r="19" spans="1:7" ht="13.5" customHeight="1">
      <c r="A19" s="21"/>
      <c r="B19" s="1885"/>
      <c r="C19" s="1876"/>
      <c r="D19" s="1903"/>
      <c r="E19" s="1902"/>
      <c r="F19" s="1891">
        <f>SUM(D19:E19)</f>
        <v>0</v>
      </c>
    </row>
    <row r="20" spans="1:7" ht="13.5" customHeight="1">
      <c r="A20" s="21"/>
      <c r="B20" s="1908">
        <f>SUM(B16:B19)</f>
        <v>0.28999999999999998</v>
      </c>
      <c r="C20" s="1952"/>
      <c r="D20" s="1954"/>
      <c r="E20" s="1955"/>
      <c r="F20" s="1957"/>
    </row>
    <row r="21" spans="1:7" ht="13.5" customHeight="1">
      <c r="A21" s="21"/>
      <c r="B21" s="1865"/>
      <c r="C21" s="1910" t="s">
        <v>47</v>
      </c>
      <c r="D21" s="1911">
        <f>SUM(D22:D25)</f>
        <v>0</v>
      </c>
      <c r="E21" s="1926">
        <f>SUM(E22:E25)</f>
        <v>0</v>
      </c>
      <c r="F21" s="1924">
        <f>SUM(F22:F25)</f>
        <v>0</v>
      </c>
    </row>
    <row r="22" spans="1:7" ht="13.5" customHeight="1">
      <c r="A22" s="21"/>
      <c r="B22" s="1865"/>
      <c r="C22" s="1876"/>
      <c r="D22" s="1907"/>
      <c r="E22" s="1906"/>
      <c r="F22" s="1879">
        <f>SUM(D22:E22)</f>
        <v>0</v>
      </c>
      <c r="G22" s="34" t="s">
        <v>7</v>
      </c>
    </row>
    <row r="23" spans="1:7" ht="13.5" customHeight="1">
      <c r="A23" s="21"/>
      <c r="B23" s="1865"/>
      <c r="C23" s="1876"/>
      <c r="D23" s="1900"/>
      <c r="E23" s="1899"/>
      <c r="F23" s="1891">
        <f>SUM(D23:E23)</f>
        <v>0</v>
      </c>
      <c r="G23" s="35"/>
    </row>
    <row r="24" spans="1:7" ht="13.5" customHeight="1">
      <c r="A24" s="21"/>
      <c r="B24" s="1863"/>
      <c r="C24" s="1876"/>
      <c r="D24" s="1898"/>
      <c r="E24" s="1897"/>
      <c r="F24" s="1891">
        <f>SUM(D24:E24)</f>
        <v>0</v>
      </c>
    </row>
    <row r="25" spans="1:7" ht="13.5" customHeight="1">
      <c r="A25" s="21"/>
      <c r="B25" s="1865"/>
      <c r="C25" s="1876"/>
      <c r="D25" s="1896"/>
      <c r="E25" s="1899"/>
      <c r="F25" s="1891">
        <f>SUM(D25:E25)</f>
        <v>0</v>
      </c>
    </row>
    <row r="26" spans="1:7" s="18" customFormat="1" ht="13.5" customHeight="1">
      <c r="A26" s="29"/>
      <c r="B26" s="1863"/>
      <c r="C26" s="1877"/>
      <c r="D26" s="1892"/>
      <c r="E26" s="1884"/>
      <c r="F26" s="1892"/>
    </row>
    <row r="27" spans="1:7" ht="13.5" customHeight="1">
      <c r="A27" s="21"/>
      <c r="B27" s="1865"/>
      <c r="C27" s="1910" t="s">
        <v>48</v>
      </c>
      <c r="D27" s="1911">
        <f>SUM(D29:D32)</f>
        <v>14632.3125</v>
      </c>
      <c r="E27" s="1926">
        <f>SUM(E29:E32)</f>
        <v>15290.439200000001</v>
      </c>
      <c r="F27" s="1924">
        <f>SUM(F29:F32)</f>
        <v>29922.751700000001</v>
      </c>
    </row>
    <row r="28" spans="1:7" s="18" customFormat="1" ht="13.5" customHeight="1">
      <c r="A28" s="29"/>
      <c r="B28" s="1865"/>
      <c r="C28" s="1909" t="s">
        <v>315</v>
      </c>
      <c r="D28" s="1912">
        <v>0.66700000000000004</v>
      </c>
      <c r="E28" s="1913">
        <v>0.68</v>
      </c>
      <c r="F28" s="1949"/>
    </row>
    <row r="29" spans="1:7" ht="13.5" customHeight="1">
      <c r="A29" s="21"/>
      <c r="B29" s="1865"/>
      <c r="C29" s="1876" t="s">
        <v>778</v>
      </c>
      <c r="D29" s="1971">
        <f>D15*D28</f>
        <v>14632.3125</v>
      </c>
      <c r="E29" s="1972">
        <f>E15*E28</f>
        <v>15290.439200000001</v>
      </c>
      <c r="F29" s="1891">
        <f>SUM(D29:E29)</f>
        <v>29922.751700000001</v>
      </c>
    </row>
    <row r="30" spans="1:7" ht="13.5" customHeight="1">
      <c r="A30" s="21"/>
      <c r="B30" s="1865"/>
      <c r="C30" s="1876" t="s">
        <v>779</v>
      </c>
      <c r="D30" s="1973">
        <f>D21*D28</f>
        <v>0</v>
      </c>
      <c r="E30" s="1972">
        <f>E21*E28</f>
        <v>0</v>
      </c>
      <c r="F30" s="2191">
        <f>SUM(D30:E30)</f>
        <v>0</v>
      </c>
    </row>
    <row r="31" spans="1:7" ht="13.5" customHeight="1">
      <c r="A31" s="21"/>
      <c r="B31" s="1865"/>
      <c r="C31" s="1901"/>
      <c r="D31" s="1898"/>
      <c r="E31" s="1897"/>
      <c r="F31" s="2191">
        <f>SUM(D31:E31)</f>
        <v>0</v>
      </c>
    </row>
    <row r="32" spans="1:7" ht="13.5" customHeight="1">
      <c r="A32" s="21"/>
      <c r="B32" s="1865"/>
      <c r="C32" s="1901"/>
      <c r="D32" s="1896"/>
      <c r="E32" s="1899"/>
      <c r="F32" s="2191">
        <f>SUM(D32:E32)</f>
        <v>0</v>
      </c>
    </row>
    <row r="33" spans="1:7" ht="13.5" customHeight="1">
      <c r="A33" s="21"/>
      <c r="B33" s="1801"/>
      <c r="C33" s="1952"/>
      <c r="D33" s="1958"/>
      <c r="E33" s="1955"/>
      <c r="F33" s="1958"/>
    </row>
    <row r="34" spans="1:7" ht="13.5" customHeight="1">
      <c r="A34" s="21"/>
      <c r="B34" s="1865"/>
      <c r="C34" s="1910" t="s">
        <v>49</v>
      </c>
      <c r="D34" s="1911">
        <v>0</v>
      </c>
      <c r="E34" s="1926">
        <v>0</v>
      </c>
      <c r="F34" s="1924">
        <v>0</v>
      </c>
    </row>
    <row r="35" spans="1:7" ht="15" customHeight="1">
      <c r="A35" s="1844" t="s">
        <v>507</v>
      </c>
      <c r="B35" s="1863"/>
      <c r="C35" s="1876"/>
      <c r="D35" s="1971"/>
      <c r="E35" s="1988"/>
      <c r="F35" s="1891">
        <v>0</v>
      </c>
      <c r="G35" s="38"/>
    </row>
    <row r="36" spans="1:7" ht="13.5" customHeight="1">
      <c r="A36" s="2193" t="s">
        <v>356</v>
      </c>
      <c r="B36" s="1865"/>
      <c r="C36" s="1876"/>
      <c r="D36" s="1971"/>
      <c r="E36" s="1988"/>
      <c r="F36" s="1891">
        <v>0</v>
      </c>
    </row>
    <row r="37" spans="1:7" s="18" customFormat="1" ht="13.5" customHeight="1">
      <c r="A37" s="1976" t="s">
        <v>25</v>
      </c>
      <c r="B37" s="1865"/>
      <c r="C37" s="1876"/>
      <c r="D37" s="1971"/>
      <c r="E37" s="1988"/>
      <c r="F37" s="1891">
        <v>0</v>
      </c>
    </row>
    <row r="38" spans="1:7" ht="13.5" customHeight="1">
      <c r="A38" s="1880">
        <v>18230670</v>
      </c>
      <c r="B38" s="1865"/>
      <c r="C38" s="1876"/>
      <c r="D38" s="1971"/>
      <c r="E38" s="1988"/>
      <c r="F38" s="1891">
        <v>0</v>
      </c>
    </row>
    <row r="39" spans="1:7" ht="13.5" customHeight="1">
      <c r="A39" s="1976" t="s">
        <v>31</v>
      </c>
      <c r="B39" s="1865"/>
      <c r="C39" s="1952"/>
      <c r="D39" s="1958"/>
      <c r="E39" s="1955"/>
      <c r="F39" s="1958"/>
    </row>
    <row r="40" spans="1:7" ht="13.5" customHeight="1">
      <c r="A40" s="21"/>
      <c r="B40" s="1865"/>
      <c r="C40" s="2106" t="s">
        <v>506</v>
      </c>
      <c r="D40" s="1911">
        <f>SUM(D41:D45)</f>
        <v>635.70000000000005</v>
      </c>
      <c r="E40" s="1926">
        <f>SUM(E41:E45)</f>
        <v>635.70000000000005</v>
      </c>
      <c r="F40" s="1924">
        <f t="shared" ref="F40:F58" si="1">SUM(D40:E40)</f>
        <v>1271.4000000000001</v>
      </c>
    </row>
    <row r="41" spans="1:7" ht="13.5" customHeight="1">
      <c r="A41" s="21"/>
      <c r="B41" s="1865"/>
      <c r="C41" s="2197" t="s">
        <v>802</v>
      </c>
      <c r="D41" s="2203">
        <f>[3]Total!D41*0.13</f>
        <v>188.5</v>
      </c>
      <c r="E41" s="2203">
        <f>[3]Total!E41*0.13</f>
        <v>188.5</v>
      </c>
      <c r="F41" s="1891">
        <f t="shared" si="1"/>
        <v>377</v>
      </c>
    </row>
    <row r="42" spans="1:7" ht="13.5" customHeight="1">
      <c r="A42" s="21"/>
      <c r="B42" s="1865"/>
      <c r="C42" s="2197" t="s">
        <v>803</v>
      </c>
      <c r="D42" s="2203">
        <f>[3]Total!D42*0.13</f>
        <v>188.5</v>
      </c>
      <c r="E42" s="2203">
        <f>[3]Total!E42*0.13</f>
        <v>188.5</v>
      </c>
      <c r="F42" s="1891">
        <f t="shared" si="1"/>
        <v>377</v>
      </c>
    </row>
    <row r="43" spans="1:7" s="2177" customFormat="1" ht="13.5" customHeight="1">
      <c r="A43" s="2178"/>
      <c r="B43" s="2178"/>
      <c r="C43" s="2197" t="s">
        <v>804</v>
      </c>
      <c r="D43" s="2203">
        <f>[3]Total!D43*0.13</f>
        <v>37.700000000000003</v>
      </c>
      <c r="E43" s="2203">
        <f>[3]Total!E43*0.13</f>
        <v>37.700000000000003</v>
      </c>
      <c r="F43" s="2191"/>
    </row>
    <row r="44" spans="1:7" s="2177" customFormat="1" ht="13.5" customHeight="1">
      <c r="A44" s="2178"/>
      <c r="B44" s="2178"/>
      <c r="C44" s="2197" t="s">
        <v>812</v>
      </c>
      <c r="D44" s="2203">
        <f>[3]Total!D44*0.13</f>
        <v>149.5</v>
      </c>
      <c r="E44" s="2203">
        <f>[3]Total!E44*0.13</f>
        <v>149.5</v>
      </c>
      <c r="F44" s="2191">
        <f t="shared" si="1"/>
        <v>299</v>
      </c>
    </row>
    <row r="45" spans="1:7" ht="13.5" customHeight="1">
      <c r="A45" s="21"/>
      <c r="B45" s="1865"/>
      <c r="C45" s="2197" t="s">
        <v>342</v>
      </c>
      <c r="D45" s="2203">
        <f>[3]Total!D45*0.13</f>
        <v>71.5</v>
      </c>
      <c r="E45" s="2203">
        <f>[3]Total!E45*0.13</f>
        <v>71.5</v>
      </c>
      <c r="F45" s="1891">
        <f t="shared" si="1"/>
        <v>143</v>
      </c>
    </row>
    <row r="46" spans="1:7" ht="13.5" customHeight="1">
      <c r="A46" s="21"/>
      <c r="B46" s="1865"/>
      <c r="C46" s="1952"/>
      <c r="D46" s="1958"/>
      <c r="E46" s="1955"/>
      <c r="F46" s="1958"/>
    </row>
    <row r="47" spans="1:7" ht="13.5" customHeight="1">
      <c r="A47" s="21"/>
      <c r="B47" s="1865"/>
      <c r="C47" s="1910" t="s">
        <v>50</v>
      </c>
      <c r="D47" s="1911">
        <f>SUM(D48:D52)</f>
        <v>4686.5</v>
      </c>
      <c r="E47" s="1926">
        <f>SUM(E48:E52)</f>
        <v>4864.1449999999995</v>
      </c>
      <c r="F47" s="1924">
        <f t="shared" si="1"/>
        <v>9550.6450000000004</v>
      </c>
    </row>
    <row r="48" spans="1:7" ht="13.5" customHeight="1">
      <c r="A48" s="21"/>
      <c r="B48" s="1865"/>
      <c r="C48" s="2197" t="s">
        <v>806</v>
      </c>
      <c r="D48" s="2203">
        <f>[3]Total!D48*0.13</f>
        <v>0</v>
      </c>
      <c r="E48" s="2203">
        <f>[3]Total!E48*0.13</f>
        <v>0</v>
      </c>
      <c r="F48" s="1891">
        <f t="shared" si="1"/>
        <v>0</v>
      </c>
    </row>
    <row r="49" spans="1:6" s="2177" customFormat="1" ht="13.5" customHeight="1">
      <c r="A49" s="2178"/>
      <c r="B49" s="2178"/>
      <c r="C49" s="2197" t="s">
        <v>807</v>
      </c>
      <c r="D49" s="2203">
        <v>0</v>
      </c>
      <c r="E49" s="2203">
        <v>0</v>
      </c>
      <c r="F49" s="2191"/>
    </row>
    <row r="50" spans="1:6" s="2177" customFormat="1" ht="13.5" customHeight="1">
      <c r="A50" s="2178"/>
      <c r="B50" s="2178"/>
      <c r="C50" s="2197" t="s">
        <v>808</v>
      </c>
      <c r="D50" s="2203">
        <f>[3]Total!D50*0.13</f>
        <v>1852.5</v>
      </c>
      <c r="E50" s="2203">
        <f>[3]Total!E50*0.13</f>
        <v>1945.125</v>
      </c>
      <c r="F50" s="2191"/>
    </row>
    <row r="51" spans="1:6" ht="13.5" customHeight="1">
      <c r="A51" s="21"/>
      <c r="B51" s="1865"/>
      <c r="C51" s="2197" t="s">
        <v>813</v>
      </c>
      <c r="D51" s="2203">
        <v>2574</v>
      </c>
      <c r="E51" s="2203">
        <v>2651.22</v>
      </c>
      <c r="F51" s="1891">
        <f t="shared" si="1"/>
        <v>5225.2199999999993</v>
      </c>
    </row>
    <row r="52" spans="1:6" ht="13.5" customHeight="1">
      <c r="A52" s="21"/>
      <c r="B52" s="1865"/>
      <c r="C52" s="2197" t="s">
        <v>343</v>
      </c>
      <c r="D52" s="2203">
        <f>[3]Total!D53*0.13</f>
        <v>260</v>
      </c>
      <c r="E52" s="2203">
        <f>[3]Total!E53*0.13</f>
        <v>267.8</v>
      </c>
      <c r="F52" s="1891">
        <f t="shared" si="1"/>
        <v>527.79999999999995</v>
      </c>
    </row>
    <row r="53" spans="1:6" ht="13.5" customHeight="1">
      <c r="A53" s="21"/>
      <c r="B53" s="1865"/>
      <c r="C53" s="1952"/>
      <c r="D53" s="1958"/>
      <c r="E53" s="1955"/>
      <c r="F53" s="1958"/>
    </row>
    <row r="54" spans="1:6" ht="13.5" customHeight="1">
      <c r="A54" s="21"/>
      <c r="B54" s="1865"/>
      <c r="C54" s="1910" t="s">
        <v>51</v>
      </c>
      <c r="D54" s="1911">
        <f>SUM(D55:D58)</f>
        <v>201.5</v>
      </c>
      <c r="E54" s="1926">
        <f>SUM(E55:E58)</f>
        <v>201.5</v>
      </c>
      <c r="F54" s="1924">
        <f t="shared" si="1"/>
        <v>403</v>
      </c>
    </row>
    <row r="55" spans="1:6" ht="13.5" customHeight="1">
      <c r="A55" s="21"/>
      <c r="B55" s="1865"/>
      <c r="C55" s="2197" t="s">
        <v>814</v>
      </c>
      <c r="D55" s="2163">
        <f>[3]Total!D55*0.13</f>
        <v>201.5</v>
      </c>
      <c r="E55" s="2163">
        <f>[3]Total!E55*0.13</f>
        <v>201.5</v>
      </c>
      <c r="F55" s="1891">
        <f t="shared" si="1"/>
        <v>403</v>
      </c>
    </row>
    <row r="56" spans="1:6" ht="13.5" customHeight="1">
      <c r="A56" s="21"/>
      <c r="B56" s="1865"/>
      <c r="C56" s="1876"/>
      <c r="D56" s="1971"/>
      <c r="E56" s="1972"/>
      <c r="F56" s="1891">
        <f t="shared" si="1"/>
        <v>0</v>
      </c>
    </row>
    <row r="57" spans="1:6" ht="13.5" customHeight="1">
      <c r="A57" s="21"/>
      <c r="B57" s="1865"/>
      <c r="C57" s="1876"/>
      <c r="D57" s="1971"/>
      <c r="E57" s="1972"/>
      <c r="F57" s="1891">
        <f t="shared" si="1"/>
        <v>0</v>
      </c>
    </row>
    <row r="58" spans="1:6" ht="13.5" customHeight="1">
      <c r="A58" s="21"/>
      <c r="B58" s="1865"/>
      <c r="C58" s="1876"/>
      <c r="D58" s="1971"/>
      <c r="E58" s="1972"/>
      <c r="F58" s="1891">
        <f t="shared" si="1"/>
        <v>0</v>
      </c>
    </row>
    <row r="59" spans="1:6" ht="13.5" customHeight="1">
      <c r="A59" s="21"/>
      <c r="B59" s="1865"/>
      <c r="C59" s="1952"/>
      <c r="D59" s="1958"/>
      <c r="E59" s="1955"/>
      <c r="F59" s="1958"/>
    </row>
    <row r="60" spans="1:6" ht="13.5" customHeight="1">
      <c r="A60" s="21"/>
      <c r="B60" s="1865"/>
      <c r="C60" s="1910" t="s">
        <v>52</v>
      </c>
      <c r="D60" s="1911">
        <f>SUM(D61:D61)</f>
        <v>0</v>
      </c>
      <c r="E60" s="1926">
        <f>SUM(E61:E61)</f>
        <v>0</v>
      </c>
      <c r="F60" s="1924">
        <f>SUM(F61:F61)</f>
        <v>0</v>
      </c>
    </row>
    <row r="61" spans="1:6" ht="13.5" customHeight="1">
      <c r="A61" s="21"/>
      <c r="B61" s="1865"/>
      <c r="C61" s="2058"/>
      <c r="D61" s="1971"/>
      <c r="E61" s="1988"/>
      <c r="F61" s="1891">
        <f>SUM(D61:E61)</f>
        <v>0</v>
      </c>
    </row>
    <row r="62" spans="1:6" ht="13.5" customHeight="1">
      <c r="A62" s="21"/>
      <c r="C62" s="1876"/>
      <c r="D62" s="1971"/>
      <c r="E62" s="1988"/>
      <c r="F62" s="1890">
        <v>0</v>
      </c>
    </row>
    <row r="63" spans="1:6" ht="13.5" customHeight="1">
      <c r="A63" s="21"/>
      <c r="C63" s="1876"/>
      <c r="D63" s="1971"/>
      <c r="E63" s="1988"/>
      <c r="F63" s="1891">
        <v>0</v>
      </c>
    </row>
    <row r="64" spans="1:6">
      <c r="C64" s="1952"/>
      <c r="D64" s="1958"/>
      <c r="E64" s="1955"/>
      <c r="F64" s="1958"/>
    </row>
    <row r="65" spans="3:6">
      <c r="C65" s="1910"/>
      <c r="D65" s="1911"/>
      <c r="E65" s="1926"/>
      <c r="F65" s="1924"/>
    </row>
    <row r="66" spans="3:6">
      <c r="C66" s="1967"/>
      <c r="D66" s="1961"/>
      <c r="E66" s="1962"/>
      <c r="F66" s="1966"/>
    </row>
    <row r="67" spans="3:6">
      <c r="C67" s="1968"/>
      <c r="D67" s="1963"/>
      <c r="E67" s="1964"/>
      <c r="F67" s="1965"/>
    </row>
    <row r="68" spans="3:6">
      <c r="C68" s="1959"/>
      <c r="D68" s="1971"/>
      <c r="E68" s="1971"/>
      <c r="F68" s="1956"/>
    </row>
  </sheetData>
  <customSheetViews>
    <customSheetView guid="{074EB09C-6289-46D7-9513-012B68BCA7BF}" showGridLines="0" fitToPage="1">
      <pane xSplit="1" ySplit="1" topLeftCell="B32" activePane="bottomRight" state="frozen"/>
      <selection pane="bottomRight" activeCell="C49" sqref="C49"/>
      <pageMargins left="0.27" right="0.25" top="0.34" bottom="0.32" header="0.3" footer="0.3"/>
      <pageSetup paperSize="17" scale="59" orientation="landscape" r:id="rId1"/>
    </customSheetView>
    <customSheetView guid="{D9EFFE19-D14B-4C6F-BDF4-FF696F73968D}" showGridLines="0" fitToPage="1">
      <pane xSplit="1" ySplit="1" topLeftCell="B2" activePane="bottomRight" state="frozen"/>
      <selection pane="bottomRight" activeCell="C55" sqref="C55:E55"/>
      <pageMargins left="0.27" right="0.25" top="0.34" bottom="0.32" header="0.3" footer="0.3"/>
      <pageSetup paperSize="17" scale="59" orientation="landscape" r:id="rId2"/>
    </customSheetView>
  </customSheetViews>
  <pageMargins left="0.27" right="0.25" top="0.34" bottom="0.32" header="0.3" footer="0.3"/>
  <pageSetup paperSize="17" scale="59" orientation="landscape" r:id="rId3"/>
  <drawing r:id="rId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C000"/>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customWidth="1"/>
    <col min="2" max="2" width="15.5703125" style="1866" customWidth="1"/>
    <col min="3" max="3" width="28.28515625" customWidth="1"/>
    <col min="4" max="5" width="21" customWidth="1"/>
    <col min="6" max="6" width="19.42578125" customWidth="1"/>
    <col min="7" max="7" width="19.5703125" customWidth="1"/>
    <col min="8" max="8" width="23.7109375" customWidth="1"/>
    <col min="9" max="9" width="19.7109375" customWidth="1"/>
    <col min="10" max="10" width="18.28515625" customWidth="1"/>
    <col min="11" max="11" width="23.7109375" customWidth="1"/>
    <col min="12" max="12" width="20.5703125" customWidth="1"/>
    <col min="13" max="13" width="16.5703125" customWidth="1"/>
    <col min="14" max="14" width="19.7109375" customWidth="1"/>
    <col min="15" max="15" width="13.140625" customWidth="1"/>
    <col min="16" max="16" width="18.42578125" customWidth="1"/>
    <col min="17" max="17" width="10.5703125" customWidth="1"/>
    <col min="18" max="18" width="15" customWidth="1"/>
  </cols>
  <sheetData>
    <row r="1" spans="1:19" ht="57" customHeight="1">
      <c r="D1" s="1811" t="s">
        <v>28</v>
      </c>
      <c r="E1" s="1975" t="s">
        <v>25</v>
      </c>
      <c r="F1" s="1882">
        <v>18230699</v>
      </c>
      <c r="G1" s="1977" t="s">
        <v>31</v>
      </c>
      <c r="H1" s="1607"/>
      <c r="M1" s="1811" t="s">
        <v>28</v>
      </c>
      <c r="N1" s="1975" t="s">
        <v>25</v>
      </c>
      <c r="O1" s="1882">
        <v>18230699</v>
      </c>
      <c r="P1" s="1977" t="s">
        <v>31</v>
      </c>
    </row>
    <row r="2" spans="1:19" ht="16.5" thickBot="1">
      <c r="D2" s="39"/>
      <c r="E2" s="1614"/>
      <c r="F2" s="1614"/>
      <c r="G2" s="1227"/>
      <c r="H2" s="1576" t="s">
        <v>674</v>
      </c>
      <c r="I2" s="1805"/>
      <c r="J2" s="1805"/>
      <c r="K2" s="1805"/>
      <c r="L2" s="1805"/>
      <c r="M2" s="1805"/>
      <c r="N2" s="1805"/>
      <c r="O2" s="1805"/>
      <c r="P2" s="1805"/>
      <c r="Q2" s="1805"/>
    </row>
    <row r="3" spans="1:19" ht="26.25" thickBot="1">
      <c r="A3" s="1748" t="s">
        <v>28</v>
      </c>
      <c r="B3" s="1748"/>
      <c r="D3" s="40"/>
      <c r="E3" s="1791"/>
      <c r="F3" s="1791"/>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974" t="s">
        <v>25</v>
      </c>
      <c r="B4" s="1974"/>
      <c r="E4" s="1866"/>
      <c r="F4" s="1866"/>
      <c r="G4" s="1804" t="s">
        <v>668</v>
      </c>
      <c r="H4" s="2003">
        <v>37060</v>
      </c>
      <c r="I4" s="2002">
        <v>0</v>
      </c>
      <c r="J4" s="2002">
        <v>26201</v>
      </c>
      <c r="K4" s="2002">
        <v>0</v>
      </c>
      <c r="L4" s="2002">
        <v>1300</v>
      </c>
      <c r="M4" s="2002">
        <v>249152</v>
      </c>
      <c r="N4" s="2002">
        <v>0</v>
      </c>
      <c r="O4" s="2002">
        <v>0</v>
      </c>
      <c r="P4" s="2002">
        <v>0</v>
      </c>
      <c r="Q4" s="2002"/>
      <c r="R4" s="2002">
        <v>313714</v>
      </c>
      <c r="S4" s="1998"/>
    </row>
    <row r="5" spans="1:19" ht="15.75">
      <c r="A5" s="1882">
        <v>18230699</v>
      </c>
      <c r="B5" s="1974"/>
      <c r="E5" s="1866"/>
      <c r="F5" s="1866"/>
      <c r="G5" s="1228">
        <v>2016</v>
      </c>
      <c r="H5" s="1582">
        <f>D15</f>
        <v>23443.14</v>
      </c>
      <c r="I5" s="1549">
        <f>D21</f>
        <v>0</v>
      </c>
      <c r="J5" s="1549">
        <f>D27</f>
        <v>15636.57438</v>
      </c>
      <c r="K5" s="1549">
        <f>D34</f>
        <v>0</v>
      </c>
      <c r="L5" s="1549">
        <f>D40</f>
        <v>149.5</v>
      </c>
      <c r="M5" s="1549">
        <f>D46</f>
        <v>230750</v>
      </c>
      <c r="N5" s="1549">
        <f>D52</f>
        <v>0</v>
      </c>
      <c r="O5" s="1549">
        <f>D58</f>
        <v>585</v>
      </c>
      <c r="P5" s="1549">
        <v>0</v>
      </c>
      <c r="Q5" s="1549"/>
      <c r="R5" s="1549">
        <f>SUM(H5:P5)</f>
        <v>270564.21438000002</v>
      </c>
      <c r="S5" s="1999"/>
    </row>
    <row r="6" spans="1:19" ht="16.5" thickBot="1">
      <c r="A6" s="1976" t="s">
        <v>31</v>
      </c>
      <c r="B6" s="1882"/>
      <c r="C6" s="1302"/>
      <c r="E6" s="1866"/>
      <c r="F6" s="1866"/>
      <c r="G6" s="1228">
        <v>2017</v>
      </c>
      <c r="H6" s="57">
        <f>E15</f>
        <v>24036.63</v>
      </c>
      <c r="I6" s="1990">
        <f>E21</f>
        <v>0</v>
      </c>
      <c r="J6" s="1989">
        <f>E27</f>
        <v>16344.908400000002</v>
      </c>
      <c r="K6" s="58">
        <f>E34</f>
        <v>0</v>
      </c>
      <c r="L6" s="58">
        <f>E40</f>
        <v>149.5</v>
      </c>
      <c r="M6" s="58">
        <f>E46</f>
        <v>230750</v>
      </c>
      <c r="N6" s="58">
        <f>E52</f>
        <v>0</v>
      </c>
      <c r="O6" s="58">
        <f>E58</f>
        <v>585</v>
      </c>
      <c r="P6" s="58">
        <v>0</v>
      </c>
      <c r="Q6" s="58"/>
      <c r="R6" s="58">
        <f>SUM(H6:P6)</f>
        <v>271866.03840000002</v>
      </c>
      <c r="S6" s="1996"/>
    </row>
    <row r="7" spans="1:19" s="18" customFormat="1" ht="13.5" thickBot="1">
      <c r="B7" s="1978"/>
      <c r="E7" s="1862"/>
      <c r="F7" s="1862"/>
      <c r="G7" s="598" t="s">
        <v>23</v>
      </c>
      <c r="H7" s="1564">
        <f>SUM(H5:H6)</f>
        <v>47479.770000000004</v>
      </c>
      <c r="I7" s="1991">
        <f t="shared" ref="I7:P7" si="0">SUM(I5:I6)</f>
        <v>0</v>
      </c>
      <c r="J7" s="1992">
        <f t="shared" si="0"/>
        <v>31981.482780000002</v>
      </c>
      <c r="K7" s="1993">
        <f t="shared" si="0"/>
        <v>0</v>
      </c>
      <c r="L7" s="1991">
        <f t="shared" si="0"/>
        <v>299</v>
      </c>
      <c r="M7" s="1992">
        <f t="shared" si="0"/>
        <v>461500</v>
      </c>
      <c r="N7" s="1991">
        <f t="shared" si="0"/>
        <v>0</v>
      </c>
      <c r="O7" s="1992">
        <f t="shared" si="0"/>
        <v>1170</v>
      </c>
      <c r="P7" s="1993">
        <f t="shared" si="0"/>
        <v>0</v>
      </c>
      <c r="Q7" s="1993"/>
      <c r="R7" s="1991">
        <f>SUM(R5:R6)</f>
        <v>542430.25277999998</v>
      </c>
      <c r="S7" s="1994"/>
    </row>
    <row r="8" spans="1:19" s="18" customFormat="1" ht="25.5">
      <c r="B8" s="1808"/>
      <c r="E8" s="1862"/>
      <c r="F8" s="1862"/>
      <c r="G8" s="1"/>
      <c r="H8" s="2"/>
      <c r="I8"/>
      <c r="J8"/>
      <c r="K8"/>
      <c r="L8"/>
      <c r="M8"/>
      <c r="N8"/>
      <c r="O8"/>
      <c r="P8" s="21" t="s">
        <v>20</v>
      </c>
      <c r="Q8"/>
    </row>
    <row r="9" spans="1:19" s="18" customFormat="1">
      <c r="A9" s="29"/>
      <c r="B9" s="1863"/>
      <c r="E9" s="1862"/>
      <c r="F9" s="1862"/>
      <c r="G9" s="1"/>
      <c r="H9" s="2"/>
      <c r="I9"/>
      <c r="J9"/>
      <c r="K9"/>
      <c r="L9"/>
      <c r="M9"/>
      <c r="N9"/>
      <c r="O9"/>
      <c r="P9" s="21" t="s">
        <v>21</v>
      </c>
      <c r="Q9"/>
    </row>
    <row r="10" spans="1:19" s="9" customFormat="1" ht="15.75">
      <c r="A10" s="21"/>
      <c r="B10" s="1865"/>
      <c r="C10" s="1915" t="s">
        <v>329</v>
      </c>
      <c r="D10" s="1915"/>
      <c r="E10" s="1915"/>
      <c r="F10" s="1915"/>
      <c r="G10" s="1297"/>
      <c r="H10" s="1297"/>
      <c r="I10"/>
      <c r="J10"/>
      <c r="K10"/>
      <c r="L10"/>
      <c r="M10"/>
      <c r="N10"/>
      <c r="O10"/>
      <c r="P10"/>
    </row>
    <row r="11" spans="1:19" ht="18" customHeight="1">
      <c r="A11" s="21"/>
      <c r="B11" s="1865"/>
      <c r="C11" s="1866"/>
      <c r="D11" s="1866"/>
      <c r="E11" s="1867"/>
      <c r="F11" s="1866"/>
    </row>
    <row r="12" spans="1:19" ht="13.5" thickBot="1">
      <c r="A12" s="21"/>
      <c r="B12" s="1865"/>
      <c r="C12" s="1887" t="s">
        <v>314</v>
      </c>
      <c r="D12" s="1924">
        <f>D15+D21+D27+D34+D40+D46+D52+D58</f>
        <v>270564.21438000002</v>
      </c>
      <c r="E12" s="1948">
        <f>E15+E21+E27+E34+E40+E46+E52+E58</f>
        <v>271866.03840000002</v>
      </c>
      <c r="F12" s="1924">
        <f>D12+E12</f>
        <v>542430.25277999998</v>
      </c>
      <c r="H12" s="2064"/>
      <c r="I12" s="2062"/>
      <c r="J12" s="2062"/>
      <c r="K12" s="2062"/>
      <c r="L12" s="2062"/>
      <c r="M12" s="2062"/>
      <c r="N12" s="2062"/>
    </row>
    <row r="13" spans="1:19" ht="13.5" customHeight="1">
      <c r="A13" s="21"/>
      <c r="B13" s="1863"/>
      <c r="C13" s="1947"/>
      <c r="D13" s="1866"/>
      <c r="E13" s="1787"/>
      <c r="F13" s="1866"/>
      <c r="H13" s="2210"/>
      <c r="I13" s="2210"/>
      <c r="J13" s="2211"/>
      <c r="K13" s="2211"/>
      <c r="L13" s="2211"/>
      <c r="M13" s="2211"/>
      <c r="N13" s="2211"/>
    </row>
    <row r="14" spans="1:19" s="18" customFormat="1" ht="13.5" customHeight="1">
      <c r="A14" s="29"/>
      <c r="B14" s="1863"/>
      <c r="C14" s="1888" t="s">
        <v>45</v>
      </c>
      <c r="D14" s="1969">
        <v>2016</v>
      </c>
      <c r="E14" s="1970">
        <v>2017</v>
      </c>
      <c r="F14" s="1950" t="s">
        <v>23</v>
      </c>
      <c r="G14" s="30"/>
      <c r="H14" s="2212"/>
      <c r="I14" s="1762"/>
      <c r="J14" s="2213"/>
      <c r="K14" s="2214"/>
      <c r="L14" s="2215"/>
      <c r="M14" s="2208"/>
      <c r="N14" s="2222"/>
    </row>
    <row r="15" spans="1:19" s="18" customFormat="1" ht="13.5" customHeight="1">
      <c r="A15" s="29"/>
      <c r="B15" s="1886" t="s">
        <v>312</v>
      </c>
      <c r="C15" s="1910" t="s">
        <v>46</v>
      </c>
      <c r="D15" s="1911">
        <f>SUM(D16:D19)</f>
        <v>23443.14</v>
      </c>
      <c r="E15" s="1926">
        <f>SUM(E16:E19)</f>
        <v>24036.63</v>
      </c>
      <c r="F15" s="1924">
        <f>SUM(F16:F19)</f>
        <v>47479.770000000004</v>
      </c>
      <c r="G15" s="30"/>
      <c r="H15" s="2212"/>
      <c r="I15" s="1762"/>
      <c r="J15" s="2213"/>
      <c r="K15" s="2214"/>
      <c r="L15" s="2215"/>
      <c r="M15" s="2208"/>
      <c r="N15" s="2222"/>
    </row>
    <row r="16" spans="1:19" ht="13.5" customHeight="1">
      <c r="A16" s="21"/>
      <c r="B16" s="1885">
        <f>2*0.13</f>
        <v>0.26</v>
      </c>
      <c r="C16" s="2060"/>
      <c r="D16" s="1907">
        <v>23443.14</v>
      </c>
      <c r="E16" s="1906">
        <v>24036.63</v>
      </c>
      <c r="F16" s="1879">
        <f>SUM(D16:E16)</f>
        <v>47479.770000000004</v>
      </c>
      <c r="H16" s="2212"/>
      <c r="I16" s="1762"/>
      <c r="J16" s="2213"/>
      <c r="K16" s="2213"/>
      <c r="L16" s="2215"/>
      <c r="M16" s="2208"/>
      <c r="N16" s="2222"/>
    </row>
    <row r="17" spans="1:14" ht="13.5" customHeight="1">
      <c r="A17" s="21"/>
      <c r="B17" s="1885"/>
      <c r="C17" s="2060"/>
      <c r="D17" s="1905"/>
      <c r="E17" s="1904"/>
      <c r="F17" s="1891">
        <f>SUM(D17:E17)</f>
        <v>0</v>
      </c>
      <c r="H17" s="2212"/>
      <c r="I17" s="1762"/>
      <c r="J17" s="2213"/>
      <c r="K17" s="2213"/>
      <c r="L17" s="2215"/>
      <c r="M17" s="2208"/>
      <c r="N17" s="2222"/>
    </row>
    <row r="18" spans="1:14" ht="13.5" customHeight="1">
      <c r="A18" s="21"/>
      <c r="B18" s="1885"/>
      <c r="C18" s="1876"/>
      <c r="D18" s="1905"/>
      <c r="E18" s="1904"/>
      <c r="F18" s="1891">
        <f>SUM(D18:E18)</f>
        <v>0</v>
      </c>
      <c r="H18" s="2212"/>
      <c r="I18" s="1762"/>
      <c r="J18" s="2213"/>
      <c r="K18" s="2213"/>
      <c r="L18" s="2215"/>
      <c r="M18" s="2208"/>
      <c r="N18" s="2222"/>
    </row>
    <row r="19" spans="1:14" ht="13.5" customHeight="1">
      <c r="A19" s="21"/>
      <c r="B19" s="1885"/>
      <c r="C19" s="1876"/>
      <c r="D19" s="1903"/>
      <c r="E19" s="1902"/>
      <c r="F19" s="1891">
        <f>SUM(D19:E19)</f>
        <v>0</v>
      </c>
      <c r="H19" s="2212"/>
      <c r="I19" s="1762"/>
      <c r="J19" s="2213"/>
      <c r="K19" s="2213"/>
      <c r="L19" s="2215"/>
      <c r="M19" s="2208"/>
      <c r="N19" s="2222"/>
    </row>
    <row r="20" spans="1:14" ht="13.5" customHeight="1">
      <c r="A20" s="21"/>
      <c r="B20" s="1908">
        <f>SUM(B16:B19)</f>
        <v>0.26</v>
      </c>
      <c r="C20" s="1952"/>
      <c r="D20" s="1954"/>
      <c r="E20" s="1955"/>
      <c r="F20" s="1957"/>
      <c r="H20" s="2212"/>
      <c r="I20" s="1762"/>
      <c r="J20" s="2213"/>
      <c r="K20" s="2213"/>
      <c r="L20" s="2215"/>
      <c r="M20" s="2208"/>
      <c r="N20" s="2222"/>
    </row>
    <row r="21" spans="1:14" ht="13.5" customHeight="1">
      <c r="A21" s="21"/>
      <c r="B21" s="1865"/>
      <c r="C21" s="1910" t="s">
        <v>47</v>
      </c>
      <c r="D21" s="1911">
        <f>SUM(D22:D25)</f>
        <v>0</v>
      </c>
      <c r="E21" s="1926">
        <f>SUM(E22:E25)</f>
        <v>0</v>
      </c>
      <c r="F21" s="1924">
        <f>SUM(F22:F25)</f>
        <v>0</v>
      </c>
      <c r="G21" s="34" t="s">
        <v>7</v>
      </c>
      <c r="H21" s="2212"/>
      <c r="I21" s="1762"/>
      <c r="J21" s="2213"/>
      <c r="K21" s="2213"/>
      <c r="L21" s="2226"/>
      <c r="M21" s="2070"/>
      <c r="N21" s="2069"/>
    </row>
    <row r="22" spans="1:14" ht="13.5" customHeight="1">
      <c r="A22" s="21"/>
      <c r="B22" s="1865"/>
      <c r="C22" s="1876"/>
      <c r="D22" s="1907"/>
      <c r="E22" s="1906"/>
      <c r="F22" s="1879">
        <f>SUM(D22:E22)</f>
        <v>0</v>
      </c>
      <c r="G22" s="35"/>
      <c r="H22" s="2231"/>
      <c r="I22" s="2062"/>
      <c r="J22" s="2068"/>
      <c r="K22" s="2068"/>
      <c r="L22" s="2226"/>
      <c r="M22" s="2070"/>
      <c r="N22" s="2069"/>
    </row>
    <row r="23" spans="1:14" ht="13.5" customHeight="1">
      <c r="A23" s="21"/>
      <c r="B23" s="1865"/>
      <c r="C23" s="1876"/>
      <c r="D23" s="1900"/>
      <c r="E23" s="1899"/>
      <c r="F23" s="1891">
        <f>SUM(D23:E23)</f>
        <v>0</v>
      </c>
      <c r="H23" s="2231"/>
      <c r="I23" s="1607"/>
      <c r="J23" s="2068"/>
      <c r="K23" s="2068"/>
      <c r="L23" s="2227"/>
      <c r="M23" s="2208"/>
      <c r="N23" s="2069"/>
    </row>
    <row r="24" spans="1:14" ht="13.5" customHeight="1">
      <c r="A24" s="21"/>
      <c r="B24" s="1863"/>
      <c r="C24" s="1876"/>
      <c r="D24" s="1898"/>
      <c r="E24" s="1897"/>
      <c r="F24" s="1891">
        <f>SUM(D24:E24)</f>
        <v>0</v>
      </c>
      <c r="H24" s="2205"/>
      <c r="I24" s="1762"/>
      <c r="J24" s="2230"/>
      <c r="K24" s="2230"/>
      <c r="L24" s="2228"/>
      <c r="M24" s="2229"/>
      <c r="N24" s="2229"/>
    </row>
    <row r="25" spans="1:14" s="18" customFormat="1" ht="13.5" customHeight="1">
      <c r="A25" s="29"/>
      <c r="B25" s="1865"/>
      <c r="C25" s="1876"/>
      <c r="D25" s="1896"/>
      <c r="E25" s="1899"/>
      <c r="F25" s="1891">
        <f>SUM(D25:E25)</f>
        <v>0</v>
      </c>
      <c r="H25" s="2210"/>
      <c r="I25" s="2210"/>
      <c r="J25" s="2211"/>
      <c r="K25" s="2211"/>
      <c r="L25" s="2211"/>
      <c r="M25" s="2211"/>
      <c r="N25" s="2211"/>
    </row>
    <row r="26" spans="1:14" ht="13.5" customHeight="1">
      <c r="A26" s="21"/>
      <c r="B26" s="1863"/>
      <c r="C26" s="1877"/>
      <c r="D26" s="1892"/>
      <c r="E26" s="1884"/>
      <c r="F26" s="1892"/>
      <c r="H26" s="2212"/>
      <c r="I26" s="2194"/>
      <c r="J26" s="2213"/>
      <c r="K26" s="2214"/>
      <c r="L26" s="2215"/>
      <c r="M26" s="2070"/>
      <c r="N26" s="2222"/>
    </row>
    <row r="27" spans="1:14" s="18" customFormat="1" ht="13.5" customHeight="1">
      <c r="A27" s="29"/>
      <c r="B27" s="1865"/>
      <c r="C27" s="1910" t="s">
        <v>48</v>
      </c>
      <c r="D27" s="1911">
        <f>SUM(D29:D32)</f>
        <v>15636.57438</v>
      </c>
      <c r="E27" s="1926">
        <f>SUM(E29:E32)</f>
        <v>16344.908400000002</v>
      </c>
      <c r="F27" s="1924">
        <f>SUM(F29:F32)</f>
        <v>31981.482780000002</v>
      </c>
      <c r="H27" s="2212"/>
      <c r="I27" s="2194"/>
      <c r="J27" s="2217"/>
      <c r="K27" s="2213"/>
      <c r="L27" s="2215"/>
      <c r="M27" s="2070"/>
      <c r="N27" s="2222"/>
    </row>
    <row r="28" spans="1:14" ht="13.5" customHeight="1">
      <c r="A28" s="21"/>
      <c r="B28" s="1865"/>
      <c r="C28" s="1909" t="s">
        <v>315</v>
      </c>
      <c r="D28" s="1912">
        <v>0.66700000000000004</v>
      </c>
      <c r="E28" s="1913">
        <v>0.68</v>
      </c>
      <c r="F28" s="1949"/>
      <c r="H28" s="2212"/>
      <c r="I28" s="2194"/>
      <c r="J28" s="2213"/>
      <c r="K28" s="2213"/>
      <c r="L28" s="2215"/>
      <c r="M28" s="2070"/>
      <c r="N28" s="2222"/>
    </row>
    <row r="29" spans="1:14" ht="13.5" customHeight="1">
      <c r="A29" s="21"/>
      <c r="B29" s="1865"/>
      <c r="C29" s="1876" t="s">
        <v>778</v>
      </c>
      <c r="D29" s="1971">
        <f>D15*D28</f>
        <v>15636.57438</v>
      </c>
      <c r="E29" s="1972">
        <f>E15*E28</f>
        <v>16344.908400000002</v>
      </c>
      <c r="F29" s="1891">
        <f>SUM(D29:E29)</f>
        <v>31981.482780000002</v>
      </c>
      <c r="H29" s="2212"/>
      <c r="I29" s="2194"/>
      <c r="J29" s="2213"/>
      <c r="K29" s="2213"/>
      <c r="L29" s="2215"/>
      <c r="M29" s="2070"/>
      <c r="N29" s="2222"/>
    </row>
    <row r="30" spans="1:14" ht="13.5" customHeight="1">
      <c r="A30" s="21"/>
      <c r="B30" s="1865"/>
      <c r="C30" s="1876" t="s">
        <v>779</v>
      </c>
      <c r="D30" s="1973">
        <f>D21*D28</f>
        <v>0</v>
      </c>
      <c r="E30" s="1972">
        <f>E21*E28</f>
        <v>0</v>
      </c>
      <c r="F30" s="2191">
        <f>SUM(D30:E30)</f>
        <v>0</v>
      </c>
      <c r="H30" s="2212"/>
      <c r="I30" s="2194"/>
      <c r="J30" s="2213"/>
      <c r="K30" s="2213"/>
      <c r="L30" s="2215"/>
      <c r="M30" s="2070"/>
      <c r="N30" s="2222"/>
    </row>
    <row r="31" spans="1:14" ht="13.5" customHeight="1">
      <c r="A31" s="21"/>
      <c r="B31" s="1865"/>
      <c r="C31" s="1901"/>
      <c r="D31" s="1898"/>
      <c r="E31" s="1897"/>
      <c r="F31" s="2191">
        <f>SUM(D31:E31)</f>
        <v>0</v>
      </c>
      <c r="H31" s="2067"/>
      <c r="I31" s="2194"/>
      <c r="J31" s="2213"/>
      <c r="K31" s="2218"/>
      <c r="L31" s="2215"/>
      <c r="M31" s="2070"/>
      <c r="N31" s="2222"/>
    </row>
    <row r="32" spans="1:14" ht="13.5" customHeight="1">
      <c r="A32" s="21"/>
      <c r="B32" s="1865"/>
      <c r="C32" s="1901"/>
      <c r="D32" s="1896"/>
      <c r="E32" s="1899"/>
      <c r="F32" s="2191">
        <f>SUM(D32:E32)</f>
        <v>0</v>
      </c>
      <c r="H32" s="2067"/>
      <c r="I32" s="1762"/>
      <c r="J32" s="2213"/>
      <c r="K32" s="2218"/>
      <c r="L32" s="2215"/>
      <c r="M32" s="2070"/>
      <c r="N32" s="2222"/>
    </row>
    <row r="33" spans="1:14" ht="13.5" customHeight="1">
      <c r="A33" s="21"/>
      <c r="B33" s="1801"/>
      <c r="C33" s="1952"/>
      <c r="D33" s="1958"/>
      <c r="E33" s="1955"/>
      <c r="F33" s="1958"/>
      <c r="H33" s="2205"/>
      <c r="I33" s="1762"/>
      <c r="J33" s="2219"/>
      <c r="K33" s="2219"/>
      <c r="L33" s="2215"/>
      <c r="M33" s="2223"/>
      <c r="N33" s="2223"/>
    </row>
    <row r="34" spans="1:14" ht="13.5" customHeight="1">
      <c r="A34" s="42"/>
      <c r="B34" s="1865"/>
      <c r="C34" s="1910" t="s">
        <v>49</v>
      </c>
      <c r="D34" s="1911">
        <v>0</v>
      </c>
      <c r="E34" s="1926">
        <v>0</v>
      </c>
      <c r="F34" s="1924">
        <v>0</v>
      </c>
      <c r="G34" s="38"/>
      <c r="H34" s="2210"/>
      <c r="I34" s="2210"/>
      <c r="J34" s="2211"/>
      <c r="K34" s="2211"/>
      <c r="L34" s="2211"/>
      <c r="M34" s="2211"/>
      <c r="N34" s="2211"/>
    </row>
    <row r="35" spans="1:14" ht="13.5" customHeight="1">
      <c r="A35" s="1748" t="s">
        <v>28</v>
      </c>
      <c r="B35" s="1863"/>
      <c r="C35" s="1876"/>
      <c r="D35" s="1971"/>
      <c r="E35" s="1988"/>
      <c r="F35" s="1891">
        <v>0</v>
      </c>
      <c r="H35" s="2212"/>
      <c r="I35" s="2194"/>
      <c r="J35" s="2221"/>
      <c r="K35" s="2221"/>
      <c r="L35" s="2215"/>
      <c r="M35" s="2070"/>
      <c r="N35" s="2222"/>
    </row>
    <row r="36" spans="1:14" s="18" customFormat="1" ht="13.5" customHeight="1">
      <c r="A36" s="1974" t="s">
        <v>25</v>
      </c>
      <c r="B36" s="1865"/>
      <c r="C36" s="1876"/>
      <c r="D36" s="1971"/>
      <c r="E36" s="1988"/>
      <c r="F36" s="1891">
        <v>0</v>
      </c>
      <c r="H36" s="2067"/>
      <c r="I36" s="2194"/>
      <c r="J36" s="2222"/>
      <c r="K36" s="2222"/>
      <c r="L36" s="2215"/>
      <c r="M36" s="2070"/>
      <c r="N36" s="2222"/>
    </row>
    <row r="37" spans="1:14" ht="13.5" customHeight="1">
      <c r="A37" s="1882">
        <v>18230699</v>
      </c>
      <c r="B37" s="1865"/>
      <c r="C37" s="1876"/>
      <c r="D37" s="1971"/>
      <c r="E37" s="1988"/>
      <c r="F37" s="1891">
        <v>0</v>
      </c>
      <c r="H37" s="2067"/>
      <c r="I37" s="1762"/>
      <c r="J37" s="2222"/>
      <c r="K37" s="2222"/>
      <c r="L37" s="2215"/>
      <c r="M37" s="2208"/>
      <c r="N37" s="2222"/>
    </row>
    <row r="38" spans="1:14" ht="13.5" customHeight="1">
      <c r="A38" s="1976" t="s">
        <v>31</v>
      </c>
      <c r="B38" s="1865"/>
      <c r="C38" s="1876"/>
      <c r="D38" s="1971"/>
      <c r="E38" s="1988"/>
      <c r="F38" s="1891">
        <v>0</v>
      </c>
      <c r="H38" s="2205"/>
      <c r="I38" s="1762"/>
      <c r="J38" s="2223"/>
      <c r="K38" s="2223"/>
      <c r="L38" s="2215"/>
      <c r="M38" s="2223"/>
      <c r="N38" s="2223"/>
    </row>
    <row r="39" spans="1:14" ht="13.5" customHeight="1">
      <c r="A39" s="21"/>
      <c r="B39" s="1865"/>
      <c r="C39" s="1952"/>
      <c r="D39" s="1958"/>
      <c r="E39" s="1955"/>
      <c r="F39" s="1958"/>
      <c r="H39" s="2210"/>
      <c r="I39" s="2210"/>
      <c r="J39" s="2225"/>
      <c r="K39" s="2225"/>
      <c r="L39" s="2224"/>
      <c r="M39" s="2225"/>
      <c r="N39" s="2225"/>
    </row>
    <row r="40" spans="1:14" ht="13.5" customHeight="1">
      <c r="A40" s="21"/>
      <c r="B40" s="1865"/>
      <c r="C40" s="2106" t="s">
        <v>506</v>
      </c>
      <c r="D40" s="1911">
        <f>SUM(D41:D44)</f>
        <v>149.5</v>
      </c>
      <c r="E40" s="1926">
        <f>SUM(E41:E44)</f>
        <v>149.5</v>
      </c>
      <c r="F40" s="1924">
        <f t="shared" ref="F40:F56" si="1">SUM(D40:E40)</f>
        <v>299</v>
      </c>
      <c r="H40" s="2066"/>
      <c r="I40" s="2062"/>
      <c r="J40" s="2062"/>
      <c r="K40" s="2062"/>
      <c r="L40" s="2062"/>
      <c r="M40" s="2062"/>
      <c r="N40" s="2062"/>
    </row>
    <row r="41" spans="1:14" ht="13.5" customHeight="1">
      <c r="A41" s="21"/>
      <c r="B41" s="1865"/>
      <c r="C41" s="1876" t="s">
        <v>883</v>
      </c>
      <c r="D41" s="2202">
        <v>149.5</v>
      </c>
      <c r="E41" s="2202">
        <v>149.5</v>
      </c>
      <c r="F41" s="1891">
        <f t="shared" si="1"/>
        <v>299</v>
      </c>
      <c r="H41" s="2067"/>
      <c r="I41" s="2062"/>
      <c r="J41" s="2062"/>
      <c r="K41" s="2062"/>
      <c r="L41" s="2062"/>
      <c r="M41" s="2062"/>
      <c r="N41" s="2062"/>
    </row>
    <row r="42" spans="1:14" ht="13.5" customHeight="1">
      <c r="A42" s="21"/>
      <c r="B42" s="1865"/>
      <c r="C42" s="2197"/>
      <c r="D42" s="2202"/>
      <c r="E42" s="2203"/>
      <c r="F42" s="1891">
        <f t="shared" si="1"/>
        <v>0</v>
      </c>
      <c r="H42" s="2062"/>
      <c r="I42" s="2062"/>
      <c r="J42" s="2062"/>
      <c r="K42" s="2062"/>
      <c r="L42" s="2062"/>
      <c r="M42" s="2062"/>
      <c r="N42" s="2062"/>
    </row>
    <row r="43" spans="1:14" ht="13.5" customHeight="1">
      <c r="A43" s="21"/>
      <c r="B43" s="1865"/>
      <c r="C43" s="1876"/>
      <c r="D43" s="1971"/>
      <c r="E43" s="1988"/>
      <c r="F43" s="1891">
        <f t="shared" si="1"/>
        <v>0</v>
      </c>
      <c r="H43" s="2062"/>
      <c r="I43" s="2062"/>
      <c r="J43" s="2062"/>
      <c r="K43" s="2062"/>
      <c r="L43" s="2062"/>
      <c r="M43" s="2062"/>
      <c r="N43" s="2062"/>
    </row>
    <row r="44" spans="1:14" ht="13.5" customHeight="1">
      <c r="A44" s="21"/>
      <c r="B44" s="1865"/>
      <c r="C44" s="1876"/>
      <c r="D44" s="1971"/>
      <c r="E44" s="1988"/>
      <c r="F44" s="1891">
        <f t="shared" si="1"/>
        <v>0</v>
      </c>
    </row>
    <row r="45" spans="1:14" ht="13.5" customHeight="1">
      <c r="A45" s="21"/>
      <c r="B45" s="1865"/>
      <c r="C45" s="1952"/>
      <c r="D45" s="1958"/>
      <c r="E45" s="1955"/>
      <c r="F45" s="1958"/>
    </row>
    <row r="46" spans="1:14" ht="13.5" customHeight="1">
      <c r="A46" s="21"/>
      <c r="B46" s="1865"/>
      <c r="C46" s="1910" t="s">
        <v>50</v>
      </c>
      <c r="D46" s="1911">
        <f>SUM(D47:D50)</f>
        <v>230750</v>
      </c>
      <c r="E46" s="1926">
        <f>SUM(E47:E50)</f>
        <v>230750</v>
      </c>
      <c r="F46" s="1924">
        <f t="shared" si="1"/>
        <v>461500</v>
      </c>
    </row>
    <row r="47" spans="1:14" ht="13.5" customHeight="1">
      <c r="A47" s="21"/>
      <c r="B47" s="1865"/>
      <c r="C47" s="2197" t="s">
        <v>882</v>
      </c>
      <c r="D47" s="2202">
        <v>230750</v>
      </c>
      <c r="E47" s="2203">
        <v>230750</v>
      </c>
      <c r="F47" s="1891">
        <f t="shared" si="1"/>
        <v>461500</v>
      </c>
    </row>
    <row r="48" spans="1:14" ht="13.5" customHeight="1">
      <c r="A48" s="21"/>
      <c r="B48" s="1865"/>
      <c r="C48" s="1876"/>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60"/>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2238">
        <f>SUM(D59:D62)</f>
        <v>585</v>
      </c>
      <c r="E58" s="2239">
        <f>SUM(E59:E62)</f>
        <v>585</v>
      </c>
      <c r="F58" s="1924">
        <f>SUM(F59:F60)</f>
        <v>1170</v>
      </c>
    </row>
    <row r="59" spans="1:6" ht="13.5" customHeight="1">
      <c r="A59" s="21"/>
      <c r="B59" s="1865"/>
      <c r="C59" s="2197" t="s">
        <v>884</v>
      </c>
      <c r="D59" s="2202">
        <v>585</v>
      </c>
      <c r="E59" s="2202">
        <v>585</v>
      </c>
      <c r="F59" s="1891">
        <f>SUM(D59:E59)</f>
        <v>1170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B8" sqref="B8"/>
      <pageMargins left="0.28000000000000003" right="0.21" top="0.37" bottom="0.36" header="0.3" footer="0.3"/>
      <pageSetup paperSize="17" scale="63" orientation="landscape" r:id="rId1"/>
    </customSheetView>
    <customSheetView guid="{D9EFFE19-D14B-4C6F-BDF4-FF696F73968D}" showGridLines="0" fitToPage="1">
      <pane xSplit="1" ySplit="1" topLeftCell="B13" activePane="bottomRight" state="frozen"/>
      <selection pane="bottomRight" activeCell="E59" sqref="E50:E59"/>
      <pageMargins left="0.28000000000000003" right="0.21" top="0.37" bottom="0.36" header="0.3" footer="0.3"/>
      <pageSetup paperSize="17" scale="63" orientation="landscape" r:id="rId2"/>
    </customSheetView>
  </customSheetViews>
  <pageMargins left="0.28000000000000003" right="0.21" top="0.37" bottom="0.36" header="0.3" footer="0.3"/>
  <pageSetup paperSize="17" scale="63" orientation="landscape" r:id="rId3"/>
  <drawing r:id="rId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ABF8F"/>
    <pageSetUpPr fitToPage="1"/>
  </sheetPr>
  <dimension ref="A1:S66"/>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 style="1788" customWidth="1"/>
    <col min="2" max="2" width="15.5703125" style="1866" customWidth="1"/>
    <col min="3" max="3" width="28.7109375" style="1788" customWidth="1"/>
    <col min="4" max="5" width="18.7109375" style="1788" customWidth="1"/>
    <col min="6" max="6" width="19.42578125" style="1788" customWidth="1"/>
    <col min="7" max="7" width="17.28515625" style="1788" customWidth="1"/>
    <col min="8" max="8" width="23.7109375" style="1788" customWidth="1"/>
    <col min="9" max="9" width="19.7109375" style="1788" customWidth="1"/>
    <col min="10" max="10" width="18.28515625" style="1788" customWidth="1"/>
    <col min="11" max="11" width="23.7109375" style="1788" customWidth="1"/>
    <col min="12" max="12" width="20.140625" style="1788" customWidth="1"/>
    <col min="13" max="13" width="16.5703125" style="1788" customWidth="1"/>
    <col min="14" max="14" width="18.140625" style="1788" customWidth="1"/>
    <col min="15" max="15" width="13.140625" style="1788" customWidth="1"/>
    <col min="16" max="16" width="18.42578125" style="1788" customWidth="1"/>
    <col min="17" max="17" width="10.5703125" style="1788" customWidth="1"/>
    <col min="18" max="18" width="15" style="1788" customWidth="1"/>
    <col min="19" max="16384" width="9.140625" style="1788"/>
  </cols>
  <sheetData>
    <row r="1" spans="1:19" ht="57" customHeight="1">
      <c r="D1" s="1811" t="s">
        <v>267</v>
      </c>
      <c r="E1" s="1975" t="s">
        <v>25</v>
      </c>
      <c r="F1" s="1882">
        <v>18230668</v>
      </c>
      <c r="G1" s="1977" t="s">
        <v>31</v>
      </c>
      <c r="H1" s="1607"/>
      <c r="M1" s="1811" t="s">
        <v>267</v>
      </c>
      <c r="N1" s="1975" t="s">
        <v>25</v>
      </c>
      <c r="O1" s="1882">
        <v>18230668</v>
      </c>
      <c r="P1" s="1977" t="s">
        <v>31</v>
      </c>
    </row>
    <row r="2" spans="1:19" ht="16.5" thickBot="1">
      <c r="D2" s="1800"/>
      <c r="E2" s="1800"/>
      <c r="F2" s="1800"/>
      <c r="G2" s="1805"/>
      <c r="H2" s="1576" t="s">
        <v>674</v>
      </c>
      <c r="I2" s="1805"/>
      <c r="J2" s="1805"/>
      <c r="K2" s="1805"/>
      <c r="L2" s="1805"/>
      <c r="M2" s="1805"/>
      <c r="N2" s="1805"/>
      <c r="O2" s="1805"/>
      <c r="P2" s="1805"/>
      <c r="Q2" s="1805"/>
    </row>
    <row r="3" spans="1:19" ht="26.25" thickBot="1">
      <c r="A3" s="1761" t="s">
        <v>267</v>
      </c>
      <c r="B3" s="1761"/>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c r="S3" s="1578"/>
    </row>
    <row r="4" spans="1:19" ht="15.75">
      <c r="A4" s="1974" t="s">
        <v>25</v>
      </c>
      <c r="B4" s="1761"/>
      <c r="D4" s="1792"/>
      <c r="E4" s="1867"/>
      <c r="F4" s="1867"/>
      <c r="G4" s="1804" t="s">
        <v>668</v>
      </c>
      <c r="H4" s="2003">
        <v>30969</v>
      </c>
      <c r="I4" s="2002">
        <v>0</v>
      </c>
      <c r="J4" s="2002">
        <v>21895</v>
      </c>
      <c r="K4" s="2002">
        <v>0</v>
      </c>
      <c r="L4" s="2002">
        <v>845</v>
      </c>
      <c r="M4" s="2002">
        <v>14300</v>
      </c>
      <c r="N4" s="2002">
        <v>390</v>
      </c>
      <c r="O4" s="2002">
        <v>0</v>
      </c>
      <c r="P4" s="2002">
        <v>0</v>
      </c>
      <c r="Q4" s="2002"/>
      <c r="R4" s="2002">
        <v>68399</v>
      </c>
      <c r="S4" s="2000"/>
    </row>
    <row r="5" spans="1:19" ht="15.75">
      <c r="A5" s="1882">
        <v>18230668</v>
      </c>
      <c r="B5" s="1710"/>
      <c r="E5" s="1866"/>
      <c r="F5" s="1866"/>
      <c r="G5" s="1228">
        <v>2016</v>
      </c>
      <c r="H5" s="1582">
        <f>D15</f>
        <v>57151.224000000002</v>
      </c>
      <c r="I5" s="1549">
        <f>D21</f>
        <v>0</v>
      </c>
      <c r="J5" s="1549">
        <f>D27</f>
        <v>38119.866408000002</v>
      </c>
      <c r="K5" s="1549">
        <f>D34</f>
        <v>0</v>
      </c>
      <c r="L5" s="1549">
        <f>D40</f>
        <v>1274</v>
      </c>
      <c r="M5" s="1549">
        <f>D46</f>
        <v>11700</v>
      </c>
      <c r="N5" s="1549">
        <f>D52</f>
        <v>715</v>
      </c>
      <c r="O5" s="1549">
        <f>D58</f>
        <v>0</v>
      </c>
      <c r="P5" s="1549">
        <v>0</v>
      </c>
      <c r="Q5" s="1549"/>
      <c r="R5" s="1549">
        <f>SUM(H5:P5)</f>
        <v>108960.090408</v>
      </c>
      <c r="S5" s="2001"/>
    </row>
    <row r="6" spans="1:19" ht="16.5" thickBot="1">
      <c r="A6" s="1976" t="s">
        <v>31</v>
      </c>
      <c r="B6" s="1882"/>
      <c r="C6" s="1803"/>
      <c r="E6" s="1866"/>
      <c r="F6" s="1866"/>
      <c r="G6" s="1228">
        <v>2017</v>
      </c>
      <c r="H6" s="57">
        <f>E15</f>
        <v>58579.794000000002</v>
      </c>
      <c r="I6" s="1990">
        <f>E21</f>
        <v>0</v>
      </c>
      <c r="J6" s="1989">
        <f>E27</f>
        <v>39834.259920000004</v>
      </c>
      <c r="K6" s="58">
        <f>E34</f>
        <v>0</v>
      </c>
      <c r="L6" s="58">
        <f>E40</f>
        <v>1274</v>
      </c>
      <c r="M6" s="58">
        <f>E46</f>
        <v>11700</v>
      </c>
      <c r="N6" s="58">
        <f>E52</f>
        <v>715</v>
      </c>
      <c r="O6" s="58">
        <f>E58</f>
        <v>0</v>
      </c>
      <c r="P6" s="58">
        <v>0</v>
      </c>
      <c r="Q6" s="58"/>
      <c r="R6" s="58">
        <f>SUM(H6:P6)</f>
        <v>112103.05392000001</v>
      </c>
      <c r="S6" s="1997"/>
    </row>
    <row r="7" spans="1:19" s="1793" customFormat="1" ht="13.5" thickBot="1">
      <c r="B7" s="1818"/>
      <c r="E7" s="1862"/>
      <c r="F7" s="1862"/>
      <c r="G7" s="598" t="s">
        <v>23</v>
      </c>
      <c r="H7" s="1564">
        <f>SUM(H5:H6)</f>
        <v>115731.01800000001</v>
      </c>
      <c r="I7" s="1991">
        <f t="shared" ref="I7:P7" si="0">SUM(I5:I6)</f>
        <v>0</v>
      </c>
      <c r="J7" s="1992">
        <f t="shared" si="0"/>
        <v>77954.126328000013</v>
      </c>
      <c r="K7" s="1993">
        <f t="shared" si="0"/>
        <v>0</v>
      </c>
      <c r="L7" s="1991">
        <f t="shared" si="0"/>
        <v>2548</v>
      </c>
      <c r="M7" s="1992">
        <f t="shared" si="0"/>
        <v>23400</v>
      </c>
      <c r="N7" s="1991">
        <f t="shared" si="0"/>
        <v>1430</v>
      </c>
      <c r="O7" s="1992">
        <f t="shared" si="0"/>
        <v>0</v>
      </c>
      <c r="P7" s="1993">
        <f t="shared" si="0"/>
        <v>0</v>
      </c>
      <c r="Q7" s="1993"/>
      <c r="R7" s="1991">
        <f>SUM(R5:R6)</f>
        <v>221063.14432800002</v>
      </c>
      <c r="S7" s="1993"/>
    </row>
    <row r="8" spans="1:19" s="1793" customFormat="1" ht="25.5">
      <c r="B8" s="1731"/>
      <c r="E8" s="1862"/>
      <c r="F8" s="1862"/>
      <c r="G8" s="1789"/>
      <c r="H8" s="1790"/>
      <c r="I8" s="1788"/>
      <c r="J8" s="1788"/>
      <c r="K8" s="1788"/>
      <c r="L8" s="1788"/>
      <c r="M8" s="1788"/>
      <c r="N8" s="1788"/>
      <c r="O8" s="1788"/>
      <c r="P8" s="1794" t="s">
        <v>20</v>
      </c>
      <c r="Q8" s="1788"/>
    </row>
    <row r="9" spans="1:19" s="1793" customFormat="1">
      <c r="A9" s="1795"/>
      <c r="B9" s="1863"/>
      <c r="E9" s="1862"/>
      <c r="F9" s="1862"/>
      <c r="G9" s="1789"/>
      <c r="H9" s="1790"/>
      <c r="I9" s="1788"/>
      <c r="J9" s="1788"/>
      <c r="K9" s="1788"/>
      <c r="L9" s="1788"/>
      <c r="M9" s="1788"/>
      <c r="N9" s="1788"/>
      <c r="O9" s="1788"/>
      <c r="P9" s="1794" t="s">
        <v>21</v>
      </c>
      <c r="Q9" s="1788"/>
    </row>
    <row r="10" spans="1:19" s="1792" customFormat="1">
      <c r="A10" s="1794"/>
      <c r="B10" s="1865"/>
      <c r="C10" s="1915" t="s">
        <v>329</v>
      </c>
      <c r="D10" s="1915"/>
      <c r="E10" s="1915"/>
      <c r="F10" s="1915"/>
    </row>
    <row r="11" spans="1:19" ht="18" customHeight="1">
      <c r="A11" s="1794"/>
      <c r="B11" s="1865"/>
      <c r="C11" s="1866"/>
      <c r="D11" s="1866"/>
      <c r="E11" s="1867"/>
      <c r="F11" s="1866"/>
    </row>
    <row r="12" spans="1:19">
      <c r="A12" s="1794"/>
      <c r="B12" s="1865"/>
      <c r="C12" s="1887" t="s">
        <v>314</v>
      </c>
      <c r="D12" s="1924">
        <f>D15+D21+D27+D34+D40+D46+D52+D58</f>
        <v>108960.090408</v>
      </c>
      <c r="E12" s="1948">
        <f>E15+E21+E27+E34+E40+E46+E52+E58</f>
        <v>112103.05392000001</v>
      </c>
      <c r="F12" s="1924">
        <f>D12+E12</f>
        <v>221063.14432800002</v>
      </c>
    </row>
    <row r="13" spans="1:19" ht="13.5" customHeight="1">
      <c r="A13" s="1794"/>
      <c r="B13" s="1863"/>
      <c r="C13" s="1947"/>
      <c r="D13" s="1866"/>
      <c r="E13" s="1787"/>
      <c r="F13" s="1866"/>
      <c r="G13" s="1802"/>
      <c r="H13" s="1802"/>
    </row>
    <row r="14" spans="1:19" s="1793" customFormat="1" ht="13.5" customHeight="1">
      <c r="A14" s="1795"/>
      <c r="B14" s="1863"/>
      <c r="C14" s="1888" t="s">
        <v>45</v>
      </c>
      <c r="D14" s="1969">
        <v>2016</v>
      </c>
      <c r="E14" s="1970">
        <v>2017</v>
      </c>
      <c r="F14" s="1950" t="s">
        <v>23</v>
      </c>
      <c r="G14" s="1796"/>
      <c r="H14" s="1796"/>
    </row>
    <row r="15" spans="1:19" s="1793" customFormat="1" ht="13.5" customHeight="1">
      <c r="A15" s="1795"/>
      <c r="B15" s="1886" t="s">
        <v>312</v>
      </c>
      <c r="C15" s="1910" t="s">
        <v>46</v>
      </c>
      <c r="D15" s="1911">
        <f>SUM(D16:D19)</f>
        <v>57151.224000000002</v>
      </c>
      <c r="E15" s="1926">
        <f>SUM(E16:E19)</f>
        <v>58579.794000000002</v>
      </c>
      <c r="F15" s="1924">
        <f>SUM(F16:F19)</f>
        <v>115731.01800000001</v>
      </c>
      <c r="G15" s="1796"/>
      <c r="H15" s="1796"/>
    </row>
    <row r="16" spans="1:19" ht="13.5" customHeight="1">
      <c r="A16" s="1794"/>
      <c r="B16" s="2610">
        <v>0.78</v>
      </c>
      <c r="C16" s="2197" t="s">
        <v>1560</v>
      </c>
      <c r="D16" s="2201">
        <f>73270.8*0.78</f>
        <v>57151.224000000002</v>
      </c>
      <c r="E16" s="2200">
        <f>75102.3*0.78</f>
        <v>58579.794000000002</v>
      </c>
      <c r="F16" s="1879">
        <f t="shared" ref="F16:F19" si="1">SUM(D16:E16)</f>
        <v>115731.01800000001</v>
      </c>
    </row>
    <row r="17" spans="1:7" s="2117" customFormat="1" ht="13.5" customHeight="1">
      <c r="A17" s="2119"/>
      <c r="B17" s="2121"/>
      <c r="C17" s="2131"/>
      <c r="D17" s="2136"/>
      <c r="E17" s="2135"/>
      <c r="F17" s="1879">
        <f t="shared" si="1"/>
        <v>0</v>
      </c>
    </row>
    <row r="18" spans="1:7">
      <c r="A18" s="1794"/>
      <c r="B18" s="1885"/>
      <c r="C18" s="2131"/>
      <c r="D18" s="2134"/>
      <c r="E18" s="2133"/>
      <c r="F18" s="1891">
        <f t="shared" si="1"/>
        <v>0</v>
      </c>
    </row>
    <row r="19" spans="1:7">
      <c r="A19" s="1794"/>
      <c r="B19" s="1885"/>
      <c r="C19" s="2131"/>
      <c r="D19" s="2134"/>
      <c r="E19" s="2134"/>
      <c r="F19" s="1891">
        <f t="shared" si="1"/>
        <v>0</v>
      </c>
    </row>
    <row r="20" spans="1:7">
      <c r="A20" s="1794"/>
      <c r="B20" s="1908">
        <f>SUM(B16:B19)</f>
        <v>0.78</v>
      </c>
      <c r="C20" s="1952"/>
      <c r="D20" s="1954"/>
      <c r="E20" s="1955"/>
      <c r="F20" s="1957"/>
    </row>
    <row r="21" spans="1:7">
      <c r="A21" s="1794"/>
      <c r="B21" s="1865"/>
      <c r="C21" s="1910" t="s">
        <v>47</v>
      </c>
      <c r="D21" s="1911">
        <f>SUM(D22:D25)</f>
        <v>0</v>
      </c>
      <c r="E21" s="1926">
        <f>SUM(E22:E25)</f>
        <v>0</v>
      </c>
      <c r="F21" s="1924">
        <f>SUM(F22:F25)</f>
        <v>0</v>
      </c>
      <c r="G21" s="1797" t="s">
        <v>7</v>
      </c>
    </row>
    <row r="22" spans="1:7">
      <c r="A22" s="1794"/>
      <c r="B22" s="1865"/>
      <c r="C22" s="1876"/>
      <c r="D22" s="1907"/>
      <c r="E22" s="1906"/>
      <c r="F22" s="1879">
        <f>SUM(D22:E22)</f>
        <v>0</v>
      </c>
      <c r="G22" s="1798"/>
    </row>
    <row r="23" spans="1:7">
      <c r="A23" s="1794"/>
      <c r="B23" s="1865"/>
      <c r="C23" s="1876"/>
      <c r="D23" s="1900"/>
      <c r="E23" s="1899"/>
      <c r="F23" s="1891">
        <f>SUM(D23:E23)</f>
        <v>0</v>
      </c>
    </row>
    <row r="24" spans="1:7">
      <c r="A24" s="1794"/>
      <c r="B24" s="1863"/>
      <c r="C24" s="1876"/>
      <c r="D24" s="1898"/>
      <c r="E24" s="1897"/>
      <c r="F24" s="1891">
        <f>SUM(D24:E24)</f>
        <v>0</v>
      </c>
    </row>
    <row r="25" spans="1:7" s="1793" customFormat="1">
      <c r="A25" s="1795"/>
      <c r="B25" s="1865"/>
      <c r="C25" s="1876"/>
      <c r="D25" s="1896"/>
      <c r="E25" s="1899"/>
      <c r="F25" s="1891">
        <f>SUM(D25:E25)</f>
        <v>0</v>
      </c>
    </row>
    <row r="26" spans="1:7">
      <c r="A26" s="1794"/>
      <c r="B26" s="1863"/>
      <c r="C26" s="1877"/>
      <c r="D26" s="1892"/>
      <c r="E26" s="1884"/>
      <c r="F26" s="1892"/>
    </row>
    <row r="27" spans="1:7" s="1793" customFormat="1">
      <c r="A27" s="1795"/>
      <c r="B27" s="1865"/>
      <c r="C27" s="1910" t="s">
        <v>48</v>
      </c>
      <c r="D27" s="1911">
        <f>SUM(D29:D32)</f>
        <v>38119.866408000002</v>
      </c>
      <c r="E27" s="1926">
        <f>SUM(E29:E32)</f>
        <v>39834.259920000004</v>
      </c>
      <c r="F27" s="1924">
        <f>SUM(F29:F32)</f>
        <v>77954.126328000013</v>
      </c>
    </row>
    <row r="28" spans="1:7">
      <c r="A28" s="1794"/>
      <c r="B28" s="1865"/>
      <c r="C28" s="1909" t="s">
        <v>315</v>
      </c>
      <c r="D28" s="1912">
        <v>0.66700000000000004</v>
      </c>
      <c r="E28" s="1913">
        <v>0.68</v>
      </c>
      <c r="F28" s="1949"/>
    </row>
    <row r="29" spans="1:7">
      <c r="A29" s="1794"/>
      <c r="B29" s="1865"/>
      <c r="C29" s="1876" t="s">
        <v>778</v>
      </c>
      <c r="D29" s="1971">
        <f>D15*D28</f>
        <v>38119.866408000002</v>
      </c>
      <c r="E29" s="1972">
        <f>E15*E28</f>
        <v>39834.259920000004</v>
      </c>
      <c r="F29" s="1891">
        <f>SUM(D29:E29)</f>
        <v>77954.126328000013</v>
      </c>
    </row>
    <row r="30" spans="1:7">
      <c r="A30" s="1794"/>
      <c r="B30" s="1865"/>
      <c r="C30" s="1876" t="s">
        <v>779</v>
      </c>
      <c r="D30" s="1973">
        <f>D21*D28</f>
        <v>0</v>
      </c>
      <c r="E30" s="1972">
        <f>E21*E28</f>
        <v>0</v>
      </c>
      <c r="F30" s="1891">
        <f>SUM(D30:E30)</f>
        <v>0</v>
      </c>
    </row>
    <row r="31" spans="1:7">
      <c r="A31" s="1794"/>
      <c r="B31" s="1865"/>
      <c r="C31" s="1901"/>
      <c r="D31" s="1898"/>
      <c r="E31" s="1897"/>
      <c r="F31" s="1889">
        <f>SUM(D31:E31)</f>
        <v>0</v>
      </c>
    </row>
    <row r="32" spans="1:7">
      <c r="A32" s="1794"/>
      <c r="B32" s="1865"/>
      <c r="C32" s="1901"/>
      <c r="D32" s="1896"/>
      <c r="E32" s="1899"/>
      <c r="F32" s="1890">
        <f>SUM(D32:E32)</f>
        <v>0</v>
      </c>
    </row>
    <row r="33" spans="1:7">
      <c r="A33" s="1794"/>
      <c r="B33" s="1801"/>
      <c r="C33" s="1952"/>
      <c r="D33" s="1958"/>
      <c r="E33" s="1955"/>
      <c r="F33" s="1958"/>
    </row>
    <row r="34" spans="1:7">
      <c r="A34" s="1801"/>
      <c r="B34" s="1865"/>
      <c r="C34" s="1910" t="s">
        <v>49</v>
      </c>
      <c r="D34" s="1911">
        <v>0</v>
      </c>
      <c r="E34" s="1926">
        <v>0</v>
      </c>
      <c r="F34" s="1924">
        <v>0</v>
      </c>
      <c r="G34" s="1799"/>
    </row>
    <row r="35" spans="1:7">
      <c r="A35" s="1761" t="s">
        <v>267</v>
      </c>
      <c r="B35" s="1863"/>
      <c r="C35" s="1876"/>
      <c r="D35" s="1971"/>
      <c r="E35" s="1988"/>
      <c r="F35" s="1891">
        <v>0</v>
      </c>
    </row>
    <row r="36" spans="1:7" s="1793" customFormat="1">
      <c r="A36" s="1974" t="s">
        <v>25</v>
      </c>
      <c r="B36" s="1865"/>
      <c r="C36" s="1876"/>
      <c r="D36" s="1971"/>
      <c r="E36" s="1988"/>
      <c r="F36" s="1891">
        <v>0</v>
      </c>
    </row>
    <row r="37" spans="1:7">
      <c r="A37" s="1882">
        <v>18230668</v>
      </c>
      <c r="B37" s="1865"/>
      <c r="C37" s="1876"/>
      <c r="D37" s="1971"/>
      <c r="E37" s="1988"/>
      <c r="F37" s="1891">
        <v>0</v>
      </c>
    </row>
    <row r="38" spans="1:7">
      <c r="A38" s="1976" t="s">
        <v>31</v>
      </c>
      <c r="B38" s="1865"/>
      <c r="C38" s="1876"/>
      <c r="D38" s="1971"/>
      <c r="E38" s="1988"/>
      <c r="F38" s="1891">
        <v>0</v>
      </c>
    </row>
    <row r="39" spans="1:7">
      <c r="A39" s="1794"/>
      <c r="B39" s="1865"/>
      <c r="C39" s="1952"/>
      <c r="D39" s="1958"/>
      <c r="E39" s="1955"/>
      <c r="F39" s="1958"/>
    </row>
    <row r="40" spans="1:7">
      <c r="A40" s="1794"/>
      <c r="B40" s="1865"/>
      <c r="C40" s="2106" t="s">
        <v>506</v>
      </c>
      <c r="D40" s="1911">
        <f>SUM(D41:D44)</f>
        <v>1274</v>
      </c>
      <c r="E40" s="1926">
        <f>SUM(E41:E44)</f>
        <v>1274</v>
      </c>
      <c r="F40" s="1924">
        <f t="shared" ref="F40:F56" si="2">SUM(D40:E40)</f>
        <v>2548</v>
      </c>
    </row>
    <row r="41" spans="1:7">
      <c r="A41" s="1794"/>
      <c r="B41" s="1865"/>
      <c r="C41" s="2197" t="s">
        <v>1555</v>
      </c>
      <c r="D41" s="2202">
        <f>8000*0.13</f>
        <v>1040</v>
      </c>
      <c r="E41" s="2203">
        <f>8000*0.13</f>
        <v>1040</v>
      </c>
      <c r="F41" s="1891">
        <f t="shared" si="2"/>
        <v>2080</v>
      </c>
    </row>
    <row r="42" spans="1:7">
      <c r="A42" s="1794"/>
      <c r="B42" s="1865"/>
      <c r="C42" s="2197" t="s">
        <v>1561</v>
      </c>
      <c r="D42" s="2202">
        <f>1800*0.13</f>
        <v>234</v>
      </c>
      <c r="E42" s="2203">
        <f>1800*0.13</f>
        <v>234</v>
      </c>
      <c r="F42" s="1891">
        <f t="shared" si="2"/>
        <v>468</v>
      </c>
    </row>
    <row r="43" spans="1:7">
      <c r="A43" s="1794"/>
      <c r="B43" s="1865"/>
      <c r="C43" s="1876"/>
      <c r="D43" s="1971"/>
      <c r="E43" s="1988"/>
      <c r="F43" s="1891">
        <f t="shared" si="2"/>
        <v>0</v>
      </c>
    </row>
    <row r="44" spans="1:7">
      <c r="A44" s="1794"/>
      <c r="B44" s="1865"/>
      <c r="C44" s="1876"/>
      <c r="D44" s="1971"/>
      <c r="E44" s="1988"/>
      <c r="F44" s="1891">
        <f t="shared" si="2"/>
        <v>0</v>
      </c>
    </row>
    <row r="45" spans="1:7">
      <c r="A45" s="1794"/>
      <c r="B45" s="1865"/>
      <c r="C45" s="1952"/>
      <c r="D45" s="1958"/>
      <c r="E45" s="1955"/>
      <c r="F45" s="1958"/>
    </row>
    <row r="46" spans="1:7">
      <c r="A46" s="1794"/>
      <c r="B46" s="1865"/>
      <c r="C46" s="1910" t="s">
        <v>50</v>
      </c>
      <c r="D46" s="1911">
        <f>SUM(D47:D50)</f>
        <v>11700</v>
      </c>
      <c r="E46" s="1926">
        <f>SUM(E47:E50)</f>
        <v>11700</v>
      </c>
      <c r="F46" s="1924">
        <f t="shared" si="2"/>
        <v>23400</v>
      </c>
    </row>
    <row r="47" spans="1:7">
      <c r="A47" s="1794"/>
      <c r="B47" s="1865"/>
      <c r="C47" s="2197" t="s">
        <v>1557</v>
      </c>
      <c r="D47" s="2202">
        <v>11700</v>
      </c>
      <c r="E47" s="2203">
        <v>11700</v>
      </c>
      <c r="F47" s="1891">
        <f t="shared" si="2"/>
        <v>23400</v>
      </c>
    </row>
    <row r="48" spans="1:7">
      <c r="A48" s="1794"/>
      <c r="B48" s="1865"/>
      <c r="C48" s="1876"/>
      <c r="D48" s="1971"/>
      <c r="E48" s="1988"/>
      <c r="F48" s="1891">
        <f t="shared" si="2"/>
        <v>0</v>
      </c>
    </row>
    <row r="49" spans="1:6">
      <c r="A49" s="1794"/>
      <c r="B49" s="1865"/>
      <c r="C49" s="1876"/>
      <c r="D49" s="1971"/>
      <c r="E49" s="1988"/>
      <c r="F49" s="1891">
        <f t="shared" si="2"/>
        <v>0</v>
      </c>
    </row>
    <row r="50" spans="1:6">
      <c r="A50" s="1794"/>
      <c r="B50" s="1865"/>
      <c r="C50" s="1876"/>
      <c r="D50" s="1971"/>
      <c r="E50" s="1988"/>
      <c r="F50" s="1891">
        <f t="shared" si="2"/>
        <v>0</v>
      </c>
    </row>
    <row r="51" spans="1:6">
      <c r="A51" s="1794"/>
      <c r="B51" s="1865"/>
      <c r="C51" s="1952"/>
      <c r="D51" s="1958"/>
      <c r="E51" s="1955"/>
      <c r="F51" s="1958"/>
    </row>
    <row r="52" spans="1:6">
      <c r="A52" s="1794"/>
      <c r="B52" s="1865"/>
      <c r="C52" s="1910" t="s">
        <v>51</v>
      </c>
      <c r="D52" s="1911">
        <f>SUM(D53:D56)</f>
        <v>715</v>
      </c>
      <c r="E52" s="1926">
        <f>SUM(E53:E56)</f>
        <v>715</v>
      </c>
      <c r="F52" s="1924">
        <f t="shared" si="2"/>
        <v>1430</v>
      </c>
    </row>
    <row r="53" spans="1:6">
      <c r="A53" s="1794"/>
      <c r="B53" s="1865"/>
      <c r="C53" s="2197" t="s">
        <v>1558</v>
      </c>
      <c r="D53" s="2202">
        <f>4000*0.13</f>
        <v>520</v>
      </c>
      <c r="E53" s="2163">
        <f>4000*0.13</f>
        <v>520</v>
      </c>
      <c r="F53" s="1891">
        <f t="shared" si="2"/>
        <v>1040</v>
      </c>
    </row>
    <row r="54" spans="1:6">
      <c r="A54" s="1794"/>
      <c r="B54" s="1865"/>
      <c r="C54" s="2197" t="s">
        <v>1562</v>
      </c>
      <c r="D54" s="2202">
        <f>1500*0.13</f>
        <v>195</v>
      </c>
      <c r="E54" s="2163">
        <f>1500*0.13</f>
        <v>195</v>
      </c>
      <c r="F54" s="1891">
        <f t="shared" si="2"/>
        <v>390</v>
      </c>
    </row>
    <row r="55" spans="1:6">
      <c r="A55" s="1794"/>
      <c r="B55" s="1865"/>
      <c r="C55" s="1876"/>
      <c r="D55" s="1971"/>
      <c r="E55" s="1972"/>
      <c r="F55" s="1891">
        <f t="shared" si="2"/>
        <v>0</v>
      </c>
    </row>
    <row r="56" spans="1:6">
      <c r="A56" s="1794"/>
      <c r="B56" s="1865"/>
      <c r="C56" s="1876"/>
      <c r="D56" s="1971"/>
      <c r="E56" s="1972"/>
      <c r="F56" s="1891">
        <f t="shared" si="2"/>
        <v>0</v>
      </c>
    </row>
    <row r="57" spans="1:6">
      <c r="A57" s="1794"/>
      <c r="B57" s="1865"/>
      <c r="C57" s="1952"/>
      <c r="D57" s="1958"/>
      <c r="E57" s="1955"/>
      <c r="F57" s="1958"/>
    </row>
    <row r="58" spans="1:6">
      <c r="A58" s="1794"/>
      <c r="B58" s="1865"/>
      <c r="C58" s="1910" t="s">
        <v>52</v>
      </c>
      <c r="D58" s="1911">
        <f>SUM(D59:D60)</f>
        <v>0</v>
      </c>
      <c r="E58" s="1926">
        <f>SUM(E59:E60)</f>
        <v>0</v>
      </c>
      <c r="F58" s="1924">
        <f>SUM(F59:F60)</f>
        <v>0</v>
      </c>
    </row>
    <row r="59" spans="1:6">
      <c r="A59" s="1794"/>
      <c r="B59" s="1865"/>
      <c r="C59" s="2137"/>
      <c r="D59" s="2138"/>
      <c r="E59" s="2139"/>
      <c r="F59" s="1891">
        <f>SUM(D59:E59)</f>
        <v>0</v>
      </c>
    </row>
    <row r="60" spans="1:6">
      <c r="A60" s="1794"/>
      <c r="B60" s="1865"/>
      <c r="C60" s="1876"/>
      <c r="D60" s="1971"/>
      <c r="E60" s="1988"/>
      <c r="F60" s="1891">
        <f>SUM(D60:E60)</f>
        <v>0</v>
      </c>
    </row>
    <row r="61" spans="1:6">
      <c r="C61" s="1876"/>
      <c r="D61" s="1971"/>
      <c r="E61" s="1988"/>
      <c r="F61" s="1891">
        <v>0</v>
      </c>
    </row>
    <row r="62" spans="1:6">
      <c r="C62" s="1952"/>
      <c r="D62" s="1958"/>
      <c r="E62" s="1955"/>
      <c r="F62" s="1958"/>
    </row>
    <row r="63" spans="1:6">
      <c r="C63" s="1910"/>
      <c r="D63" s="1911"/>
      <c r="E63" s="1926"/>
      <c r="F63" s="1924"/>
    </row>
    <row r="64" spans="1:6">
      <c r="C64" s="1967"/>
      <c r="D64" s="1961"/>
      <c r="E64" s="1962"/>
      <c r="F64" s="1966"/>
    </row>
    <row r="65" spans="3:6">
      <c r="C65" s="1968"/>
      <c r="D65" s="1963"/>
      <c r="E65" s="1964"/>
      <c r="F65" s="1965"/>
    </row>
    <row r="66" spans="3:6">
      <c r="C66" s="1959"/>
      <c r="D66" s="1971"/>
      <c r="E66" s="1971"/>
      <c r="F66" s="1956"/>
    </row>
  </sheetData>
  <customSheetViews>
    <customSheetView guid="{074EB09C-6289-46D7-9513-012B68BCA7BF}" showGridLines="0" fitToPage="1">
      <pane xSplit="1" ySplit="1" topLeftCell="B2" activePane="bottomRight" state="frozen"/>
      <selection pane="bottomRight" activeCell="E17" sqref="E17"/>
      <pageMargins left="0.25" right="0.36" top="0.42" bottom="0.43" header="0.3" footer="0.3"/>
      <pageSetup paperSize="3" scale="62" orientation="landscape" r:id="rId1"/>
    </customSheetView>
    <customSheetView guid="{D9EFFE19-D14B-4C6F-BDF4-FF696F73968D}" showGridLines="0" fitToPage="1">
      <pane xSplit="1" ySplit="1" topLeftCell="B2" activePane="bottomRight" state="frozen"/>
      <selection pane="bottomRight" activeCell="E31" sqref="E31"/>
      <pageMargins left="0.25" right="0.36" top="0.42" bottom="0.43" header="0.3" footer="0.3"/>
      <pageSetup paperSize="3" scale="62" orientation="landscape" r:id="rId2"/>
    </customSheetView>
  </customSheetViews>
  <pageMargins left="0.25" right="0.36" top="0.42" bottom="0.43" header="0.3" footer="0.3"/>
  <pageSetup paperSize="3" scale="62" orientation="landscape" r:id="rId3"/>
  <drawing r:id="rId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42578125" customWidth="1"/>
    <col min="2" max="2" width="15.42578125" style="1866" customWidth="1"/>
    <col min="3" max="3" width="30.42578125" customWidth="1"/>
    <col min="4" max="4" width="20.85546875" style="1" customWidth="1"/>
    <col min="5" max="5" width="20.85546875" style="2" customWidth="1"/>
    <col min="6" max="6" width="18.85546875" customWidth="1"/>
    <col min="7" max="7" width="17" customWidth="1"/>
    <col min="8" max="8" width="15.7109375" customWidth="1"/>
    <col min="9" max="9" width="15.5703125" customWidth="1"/>
    <col min="10" max="10" width="16.28515625" customWidth="1"/>
    <col min="11" max="11" width="17.5703125" customWidth="1"/>
    <col min="12" max="12" width="19" customWidth="1"/>
    <col min="13" max="13" width="21.28515625" customWidth="1"/>
    <col min="14" max="14" width="17.140625" customWidth="1"/>
    <col min="15" max="15" width="13.42578125" customWidth="1"/>
    <col min="16" max="16" width="19.28515625" customWidth="1"/>
    <col min="17" max="17" width="10.5703125" customWidth="1"/>
    <col min="18" max="18" width="15" customWidth="1"/>
  </cols>
  <sheetData>
    <row r="1" spans="1:19" ht="45.75" customHeight="1">
      <c r="D1" s="1811" t="s">
        <v>3</v>
      </c>
      <c r="E1" s="1811" t="s">
        <v>4</v>
      </c>
      <c r="F1" s="1811" t="s">
        <v>6</v>
      </c>
      <c r="G1" s="1882">
        <v>18230128</v>
      </c>
      <c r="H1" s="1812" t="s">
        <v>5</v>
      </c>
      <c r="M1" s="1811" t="s">
        <v>3</v>
      </c>
      <c r="N1" s="1811" t="s">
        <v>4</v>
      </c>
      <c r="O1" s="1811" t="s">
        <v>6</v>
      </c>
      <c r="P1" s="1882">
        <v>18230128</v>
      </c>
      <c r="Q1" s="1812" t="s">
        <v>5</v>
      </c>
    </row>
    <row r="2" spans="1:19" ht="13.5" thickBot="1">
      <c r="E2" s="1806"/>
      <c r="F2" s="1806"/>
      <c r="G2" s="1805"/>
      <c r="H2" s="1576" t="s">
        <v>674</v>
      </c>
      <c r="I2" s="1805"/>
      <c r="J2" s="1805"/>
      <c r="K2" s="1805"/>
      <c r="L2" s="1805"/>
      <c r="M2" s="1805"/>
      <c r="N2" s="1805"/>
      <c r="O2" s="1805"/>
      <c r="P2" s="1805"/>
      <c r="Q2" s="1805"/>
    </row>
    <row r="3" spans="1:19" ht="26.25" thickBot="1">
      <c r="A3" s="1748" t="s">
        <v>3</v>
      </c>
      <c r="B3" s="1748"/>
      <c r="E3" s="1806"/>
      <c r="F3" s="1806"/>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1748" t="s">
        <v>4</v>
      </c>
      <c r="B4" s="1748"/>
      <c r="C4" s="4" t="s">
        <v>7</v>
      </c>
      <c r="D4" s="5"/>
      <c r="E4" s="5"/>
      <c r="F4" s="5"/>
      <c r="G4" s="1804" t="s">
        <v>668</v>
      </c>
      <c r="H4" s="2003">
        <v>195007</v>
      </c>
      <c r="I4" s="2002">
        <v>0</v>
      </c>
      <c r="J4" s="2002">
        <v>137870</v>
      </c>
      <c r="K4" s="2002">
        <v>0</v>
      </c>
      <c r="L4" s="2002">
        <v>12320</v>
      </c>
      <c r="M4" s="2002">
        <v>0</v>
      </c>
      <c r="N4" s="2002">
        <v>10000</v>
      </c>
      <c r="O4" s="2002">
        <v>405000</v>
      </c>
      <c r="P4" s="2002">
        <v>0</v>
      </c>
      <c r="Q4" s="2002"/>
      <c r="R4" s="2002">
        <v>760196</v>
      </c>
      <c r="S4" s="1998"/>
    </row>
    <row r="5" spans="1:19" ht="15.75">
      <c r="A5" s="1748" t="s">
        <v>6</v>
      </c>
      <c r="B5" s="1748"/>
      <c r="E5" s="1806"/>
      <c r="F5" s="1806"/>
      <c r="G5" s="1228">
        <v>2016</v>
      </c>
      <c r="H5" s="1582">
        <f>D15</f>
        <v>234027.87000000002</v>
      </c>
      <c r="I5" s="1549">
        <f>D21</f>
        <v>0</v>
      </c>
      <c r="J5" s="1549">
        <f>D27</f>
        <v>156096.58929000003</v>
      </c>
      <c r="K5" s="1549">
        <f>D34</f>
        <v>0</v>
      </c>
      <c r="L5" s="1549">
        <f>D40</f>
        <v>11780</v>
      </c>
      <c r="M5" s="1549">
        <f>D46</f>
        <v>50000</v>
      </c>
      <c r="N5" s="1549">
        <f>D52</f>
        <v>5000</v>
      </c>
      <c r="O5" s="1549">
        <f>D58</f>
        <v>455000</v>
      </c>
      <c r="P5" s="1549">
        <v>0</v>
      </c>
      <c r="Q5" s="1549"/>
      <c r="R5" s="1549">
        <f>SUM(H5:P5)</f>
        <v>911904.45929000003</v>
      </c>
      <c r="S5" s="1999"/>
    </row>
    <row r="6" spans="1:19" ht="16.5" thickBot="1">
      <c r="A6" s="1882">
        <v>18230128</v>
      </c>
      <c r="B6" s="1882"/>
      <c r="C6" s="7"/>
      <c r="D6" s="7"/>
      <c r="E6" s="535"/>
      <c r="F6" s="535"/>
      <c r="G6" s="1228">
        <v>2017</v>
      </c>
      <c r="H6" s="57">
        <f>E15</f>
        <v>239878.59</v>
      </c>
      <c r="I6" s="1990">
        <f>E21</f>
        <v>0</v>
      </c>
      <c r="J6" s="1989">
        <f>E27</f>
        <v>163117.4412</v>
      </c>
      <c r="K6" s="58">
        <f>E34</f>
        <v>0</v>
      </c>
      <c r="L6" s="58">
        <f>E40</f>
        <v>11780</v>
      </c>
      <c r="M6" s="58">
        <f>E46</f>
        <v>40000</v>
      </c>
      <c r="N6" s="58">
        <f>E52</f>
        <v>5000</v>
      </c>
      <c r="O6" s="58">
        <f>E58</f>
        <v>500000</v>
      </c>
      <c r="P6" s="58">
        <v>0</v>
      </c>
      <c r="Q6" s="58"/>
      <c r="R6" s="58">
        <f>SUM(H6:P6)</f>
        <v>959776.03119999997</v>
      </c>
      <c r="S6" s="1996"/>
    </row>
    <row r="7" spans="1:19" s="9" customFormat="1" ht="16.5" thickBot="1">
      <c r="A7" s="1808" t="s">
        <v>5</v>
      </c>
      <c r="B7" s="1748"/>
      <c r="C7" s="1301"/>
      <c r="D7" s="7"/>
      <c r="E7" s="535"/>
      <c r="F7" s="535"/>
      <c r="G7" s="598" t="s">
        <v>23</v>
      </c>
      <c r="H7" s="1564">
        <f>SUM(H5:H6)</f>
        <v>473906.46</v>
      </c>
      <c r="I7" s="1991">
        <f t="shared" ref="I7:P7" si="0">SUM(I5:I6)</f>
        <v>0</v>
      </c>
      <c r="J7" s="1992">
        <f t="shared" si="0"/>
        <v>319214.03049000003</v>
      </c>
      <c r="K7" s="1993">
        <f t="shared" si="0"/>
        <v>0</v>
      </c>
      <c r="L7" s="1991">
        <f t="shared" si="0"/>
        <v>23560</v>
      </c>
      <c r="M7" s="1992">
        <f t="shared" si="0"/>
        <v>90000</v>
      </c>
      <c r="N7" s="1991">
        <f t="shared" si="0"/>
        <v>10000</v>
      </c>
      <c r="O7" s="1992">
        <f t="shared" si="0"/>
        <v>955000</v>
      </c>
      <c r="P7" s="1993">
        <f t="shared" si="0"/>
        <v>0</v>
      </c>
      <c r="Q7" s="1993"/>
      <c r="R7" s="1991">
        <f>SUM(R5:R6)</f>
        <v>1871680.49049</v>
      </c>
      <c r="S7" s="1994"/>
    </row>
    <row r="8" spans="1:19" s="12" customFormat="1" ht="25.5">
      <c r="B8" s="1808"/>
      <c r="C8" s="11"/>
      <c r="D8" s="11"/>
      <c r="E8" s="11"/>
      <c r="F8" s="11"/>
      <c r="G8" s="8"/>
      <c r="H8" s="13"/>
      <c r="I8" s="7"/>
      <c r="J8" s="7"/>
      <c r="K8" s="7"/>
      <c r="L8" s="7"/>
      <c r="M8" s="7"/>
      <c r="N8" s="7"/>
      <c r="O8" s="7"/>
      <c r="P8" s="6" t="s">
        <v>20</v>
      </c>
      <c r="Q8" s="7"/>
    </row>
    <row r="9" spans="1:19" s="14" customFormat="1">
      <c r="A9" s="10"/>
      <c r="B9" s="10"/>
      <c r="C9" s="11"/>
      <c r="D9" s="11"/>
      <c r="E9" s="11"/>
      <c r="F9" s="11"/>
      <c r="G9" s="8"/>
      <c r="H9" s="13"/>
      <c r="I9" s="7"/>
      <c r="J9" s="7"/>
      <c r="K9" s="7"/>
      <c r="L9" s="7"/>
      <c r="M9" s="7"/>
      <c r="N9" s="7"/>
      <c r="O9" s="7"/>
      <c r="P9" s="6" t="s">
        <v>21</v>
      </c>
      <c r="Q9" s="7"/>
    </row>
    <row r="10" spans="1:19">
      <c r="A10" s="6"/>
      <c r="B10" s="544"/>
      <c r="C10" s="1915" t="s">
        <v>329</v>
      </c>
      <c r="D10" s="1915"/>
      <c r="E10" s="1915"/>
      <c r="F10" s="1915"/>
    </row>
    <row r="11" spans="1:19">
      <c r="A11" s="6"/>
      <c r="B11" s="544"/>
      <c r="C11" s="1866"/>
      <c r="D11" s="1866"/>
      <c r="E11" s="1867"/>
      <c r="F11" s="1866"/>
    </row>
    <row r="12" spans="1:19" ht="15.75">
      <c r="A12" s="6"/>
      <c r="B12" s="544"/>
      <c r="C12" s="1887" t="s">
        <v>314</v>
      </c>
      <c r="D12" s="1924">
        <f>D15+D21+D27+D34+D40+D46+D52+D58</f>
        <v>911904.45929000003</v>
      </c>
      <c r="E12" s="1948">
        <f>E15+E21+E27+E34+E40+E46+E52+E58</f>
        <v>959776.03119999997</v>
      </c>
      <c r="F12" s="1924">
        <f>D12+E12</f>
        <v>1871680.49049</v>
      </c>
      <c r="G12" s="546"/>
      <c r="H12" s="546"/>
      <c r="I12" s="7"/>
      <c r="J12" s="7"/>
      <c r="K12" s="7"/>
      <c r="L12" s="7"/>
      <c r="M12" s="7"/>
      <c r="N12" s="7"/>
      <c r="O12" s="7"/>
    </row>
    <row r="13" spans="1:19" ht="15.75">
      <c r="A13" s="15"/>
      <c r="B13" s="545"/>
      <c r="C13" s="1947"/>
      <c r="D13" s="1866"/>
      <c r="E13" s="1787"/>
      <c r="F13" s="1866"/>
      <c r="G13" s="16"/>
      <c r="H13" s="16"/>
      <c r="I13" s="17"/>
      <c r="J13" s="17"/>
      <c r="K13" s="17"/>
      <c r="L13" s="17"/>
      <c r="M13" s="17"/>
      <c r="N13" s="17"/>
      <c r="O13" s="17"/>
    </row>
    <row r="14" spans="1:19" ht="15.75">
      <c r="A14" s="15"/>
      <c r="B14" s="545"/>
      <c r="C14" s="1888" t="s">
        <v>45</v>
      </c>
      <c r="D14" s="1969">
        <v>2016</v>
      </c>
      <c r="E14" s="1970">
        <v>2017</v>
      </c>
      <c r="F14" s="1950" t="s">
        <v>23</v>
      </c>
      <c r="G14" s="16"/>
      <c r="H14" s="16"/>
      <c r="I14" s="17"/>
      <c r="J14" s="17"/>
      <c r="K14" s="17"/>
      <c r="L14" s="17"/>
      <c r="M14" s="17"/>
      <c r="N14" s="17"/>
      <c r="O14" s="17"/>
    </row>
    <row r="15" spans="1:19">
      <c r="A15" s="6"/>
      <c r="B15" s="1886" t="s">
        <v>312</v>
      </c>
      <c r="C15" s="2187" t="s">
        <v>46</v>
      </c>
      <c r="D15" s="2157">
        <f>SUM(D16:D19)</f>
        <v>234027.87000000002</v>
      </c>
      <c r="E15" s="2078">
        <f>SUM(E16:E19)</f>
        <v>239878.59</v>
      </c>
      <c r="F15" s="1924">
        <f>SUM(F16:F19)</f>
        <v>473906.46000000008</v>
      </c>
      <c r="G15" s="7"/>
      <c r="H15" s="7"/>
      <c r="I15" s="7"/>
      <c r="J15" s="7"/>
      <c r="K15" s="7"/>
      <c r="L15" s="7"/>
      <c r="M15" s="7"/>
      <c r="N15" s="7"/>
      <c r="O15" s="7"/>
    </row>
    <row r="16" spans="1:19" ht="15.75" customHeight="1">
      <c r="A16" s="6"/>
      <c r="B16" s="2918">
        <v>0.5</v>
      </c>
      <c r="C16" s="2919" t="s">
        <v>787</v>
      </c>
      <c r="D16" s="2920">
        <v>46805.57</v>
      </c>
      <c r="E16" s="2921">
        <v>47975.72</v>
      </c>
      <c r="F16" s="1879">
        <f>SUM(D16:E16)</f>
        <v>94781.290000000008</v>
      </c>
      <c r="G16" s="7"/>
      <c r="H16" s="7"/>
    </row>
    <row r="17" spans="1:15">
      <c r="A17" s="6"/>
      <c r="B17" s="2918">
        <v>1</v>
      </c>
      <c r="C17" s="2919" t="s">
        <v>788</v>
      </c>
      <c r="D17" s="2920">
        <v>93611.16</v>
      </c>
      <c r="E17" s="2921">
        <v>95951.43</v>
      </c>
      <c r="F17" s="1891">
        <f>SUM(D17:E17)</f>
        <v>189562.59</v>
      </c>
      <c r="G17" s="7"/>
      <c r="H17" s="7"/>
    </row>
    <row r="18" spans="1:15">
      <c r="A18" s="6"/>
      <c r="B18" s="2918">
        <v>0.5</v>
      </c>
      <c r="C18" s="2919" t="s">
        <v>789</v>
      </c>
      <c r="D18" s="2920">
        <v>46805.57</v>
      </c>
      <c r="E18" s="2921">
        <v>47975.72</v>
      </c>
      <c r="F18" s="1891">
        <f>SUM(D18:E18)</f>
        <v>94781.290000000008</v>
      </c>
      <c r="G18" s="7"/>
      <c r="H18" s="7"/>
    </row>
    <row r="19" spans="1:15" s="18" customFormat="1">
      <c r="A19" s="6"/>
      <c r="B19" s="2918">
        <v>0.5</v>
      </c>
      <c r="C19" s="2919" t="s">
        <v>790</v>
      </c>
      <c r="D19" s="2920">
        <v>46805.57</v>
      </c>
      <c r="E19" s="2921">
        <v>47975.72</v>
      </c>
      <c r="F19" s="1891">
        <f>SUM(D19:E19)</f>
        <v>94781.290000000008</v>
      </c>
      <c r="G19" s="7"/>
      <c r="H19" s="7"/>
      <c r="I19"/>
      <c r="J19"/>
      <c r="K19"/>
      <c r="L19"/>
      <c r="M19"/>
      <c r="N19"/>
      <c r="O19"/>
    </row>
    <row r="20" spans="1:15">
      <c r="A20" s="6"/>
      <c r="B20" s="1908">
        <f>SUM(B16:B19)</f>
        <v>2.5</v>
      </c>
      <c r="C20" s="1952"/>
      <c r="D20" s="1954"/>
      <c r="E20" s="1955"/>
      <c r="F20" s="1957"/>
      <c r="G20" s="19" t="s">
        <v>7</v>
      </c>
      <c r="H20" s="7"/>
    </row>
    <row r="21" spans="1:15">
      <c r="A21" s="6"/>
      <c r="B21" s="544"/>
      <c r="C21" s="1910" t="s">
        <v>47</v>
      </c>
      <c r="D21" s="1911">
        <f>SUM(D22:D25)</f>
        <v>0</v>
      </c>
      <c r="E21" s="1926">
        <f>SUM(E22:E25)</f>
        <v>0</v>
      </c>
      <c r="F21" s="1924">
        <f>SUM(F22:F25)</f>
        <v>0</v>
      </c>
      <c r="G21" s="20"/>
      <c r="H21" s="7"/>
    </row>
    <row r="22" spans="1:15">
      <c r="A22" s="6"/>
      <c r="B22" s="544"/>
      <c r="C22" s="1876"/>
      <c r="D22" s="1907"/>
      <c r="E22" s="1906"/>
      <c r="F22" s="1879">
        <f>SUM(D22:E22)</f>
        <v>0</v>
      </c>
      <c r="G22" s="7"/>
      <c r="H22" s="7"/>
    </row>
    <row r="23" spans="1:15">
      <c r="A23" s="6"/>
      <c r="B23" s="544"/>
      <c r="C23" s="1876"/>
      <c r="D23" s="1900"/>
      <c r="E23" s="1899"/>
      <c r="F23" s="1891">
        <f>SUM(D23:E23)</f>
        <v>0</v>
      </c>
      <c r="G23" s="7"/>
      <c r="H23" s="7"/>
    </row>
    <row r="24" spans="1:15">
      <c r="A24" s="6"/>
      <c r="B24" s="544"/>
      <c r="C24" s="1876"/>
      <c r="D24" s="1898"/>
      <c r="E24" s="1897"/>
      <c r="F24" s="1891">
        <f>SUM(D24:E24)</f>
        <v>0</v>
      </c>
      <c r="G24" s="7"/>
      <c r="H24" s="7"/>
    </row>
    <row r="25" spans="1:15">
      <c r="A25" s="6"/>
      <c r="B25" s="544"/>
      <c r="C25" s="1876"/>
      <c r="D25" s="1896"/>
      <c r="E25" s="1899"/>
      <c r="F25" s="1891">
        <f>SUM(D25:E25)</f>
        <v>0</v>
      </c>
      <c r="G25" s="7"/>
      <c r="H25" s="7"/>
    </row>
    <row r="26" spans="1:15" s="18" customFormat="1" ht="13.5" customHeight="1">
      <c r="A26" s="15"/>
      <c r="B26" s="545"/>
      <c r="C26" s="1877"/>
      <c r="D26" s="1892"/>
      <c r="E26" s="1884"/>
      <c r="F26" s="1892"/>
      <c r="G26" s="17"/>
      <c r="H26" s="17"/>
    </row>
    <row r="27" spans="1:15">
      <c r="A27" s="6"/>
      <c r="B27" s="544"/>
      <c r="C27" s="1910" t="s">
        <v>48</v>
      </c>
      <c r="D27" s="1911">
        <f>SUM(D29:D32)</f>
        <v>156096.58929000003</v>
      </c>
      <c r="E27" s="1926">
        <f>SUM(E29:E32)</f>
        <v>163117.4412</v>
      </c>
      <c r="F27" s="1924">
        <f>SUM(F29:F32)</f>
        <v>319214.03049000003</v>
      </c>
      <c r="G27" s="7"/>
      <c r="H27" s="7"/>
    </row>
    <row r="28" spans="1:15">
      <c r="A28" s="15"/>
      <c r="B28" s="545"/>
      <c r="C28" s="1909" t="s">
        <v>315</v>
      </c>
      <c r="D28" s="1912">
        <v>0.66700000000000004</v>
      </c>
      <c r="E28" s="1913">
        <v>0.68</v>
      </c>
      <c r="F28" s="1949"/>
      <c r="G28" s="17"/>
      <c r="H28" s="17"/>
    </row>
    <row r="29" spans="1:15">
      <c r="A29" s="6"/>
      <c r="B29" s="544"/>
      <c r="C29" s="2081" t="s">
        <v>778</v>
      </c>
      <c r="D29" s="1971">
        <f>D15*D28</f>
        <v>156096.58929000003</v>
      </c>
      <c r="E29" s="1972">
        <f>E15*E28</f>
        <v>163117.4412</v>
      </c>
      <c r="F29" s="1891">
        <f>SUM(D29:E29)</f>
        <v>319214.03049000003</v>
      </c>
      <c r="G29" s="7"/>
      <c r="H29" s="7"/>
    </row>
    <row r="30" spans="1:15">
      <c r="A30" s="6"/>
      <c r="B30" s="544"/>
      <c r="C30" s="2081" t="s">
        <v>779</v>
      </c>
      <c r="D30" s="2082">
        <f>D21*D28</f>
        <v>0</v>
      </c>
      <c r="E30" s="2083">
        <f>E21*E28</f>
        <v>0</v>
      </c>
      <c r="F30" s="1891">
        <f>SUM(D30:E30)</f>
        <v>0</v>
      </c>
      <c r="G30" s="7"/>
      <c r="H30" s="7"/>
    </row>
    <row r="31" spans="1:15" s="2075" customFormat="1">
      <c r="A31" s="2076"/>
      <c r="B31" s="2076"/>
      <c r="C31" s="2081"/>
      <c r="D31" s="2082"/>
      <c r="E31" s="2083"/>
      <c r="F31" s="2191">
        <f>SUM(D31:E31)</f>
        <v>0</v>
      </c>
      <c r="G31" s="2077"/>
      <c r="H31" s="2077"/>
    </row>
    <row r="32" spans="1:15">
      <c r="A32" s="6"/>
      <c r="B32" s="544"/>
      <c r="C32" s="2081"/>
      <c r="D32" s="2082"/>
      <c r="E32" s="2083"/>
      <c r="F32" s="1890">
        <f>SUM(D32:E32)</f>
        <v>0</v>
      </c>
      <c r="G32" s="7"/>
      <c r="H32" s="7"/>
    </row>
    <row r="33" spans="1:15">
      <c r="A33" s="6"/>
      <c r="B33" s="544"/>
      <c r="C33" s="1952"/>
      <c r="D33" s="1958"/>
      <c r="E33" s="1955"/>
      <c r="F33" s="1958"/>
      <c r="G33" s="7"/>
      <c r="H33" s="7"/>
    </row>
    <row r="34" spans="1:15">
      <c r="A34" s="6"/>
      <c r="B34" s="544"/>
      <c r="C34" s="1910" t="s">
        <v>49</v>
      </c>
      <c r="D34" s="1911">
        <v>0</v>
      </c>
      <c r="E34" s="1926">
        <v>0</v>
      </c>
      <c r="F34" s="1924">
        <v>0</v>
      </c>
      <c r="G34" s="7"/>
      <c r="H34" s="7"/>
    </row>
    <row r="35" spans="1:15">
      <c r="A35" s="1748" t="s">
        <v>3</v>
      </c>
      <c r="B35" s="1865"/>
      <c r="C35" s="1876"/>
      <c r="D35" s="1971"/>
      <c r="E35" s="1988"/>
      <c r="F35" s="1891">
        <v>0</v>
      </c>
      <c r="G35" s="22"/>
    </row>
    <row r="36" spans="1:15">
      <c r="A36" s="1748" t="s">
        <v>4</v>
      </c>
      <c r="B36" s="544"/>
      <c r="C36" s="1876"/>
      <c r="D36" s="1971"/>
      <c r="E36" s="1988"/>
      <c r="F36" s="1891">
        <v>0</v>
      </c>
      <c r="G36" s="7"/>
    </row>
    <row r="37" spans="1:15" s="18" customFormat="1">
      <c r="A37" s="1748" t="s">
        <v>6</v>
      </c>
      <c r="B37" s="545"/>
      <c r="C37" s="1876"/>
      <c r="D37" s="1971"/>
      <c r="E37" s="1988"/>
      <c r="F37" s="1891">
        <v>0</v>
      </c>
      <c r="G37" s="17"/>
      <c r="H37"/>
      <c r="I37"/>
      <c r="J37"/>
      <c r="K37"/>
      <c r="L37"/>
      <c r="M37"/>
      <c r="N37"/>
      <c r="O37"/>
    </row>
    <row r="38" spans="1:15">
      <c r="A38" s="1882">
        <v>18230128</v>
      </c>
      <c r="B38" s="544"/>
      <c r="C38" s="1876"/>
      <c r="D38" s="1971"/>
      <c r="E38" s="1988"/>
      <c r="F38" s="1891">
        <v>0</v>
      </c>
      <c r="G38" s="7"/>
    </row>
    <row r="39" spans="1:15">
      <c r="A39" s="1808" t="s">
        <v>5</v>
      </c>
      <c r="B39" s="544"/>
      <c r="C39" s="1952"/>
      <c r="D39" s="1958"/>
      <c r="E39" s="1955"/>
      <c r="F39" s="1958"/>
      <c r="G39" s="7"/>
    </row>
    <row r="40" spans="1:15">
      <c r="A40" s="6"/>
      <c r="B40" s="544"/>
      <c r="C40" s="2106" t="s">
        <v>506</v>
      </c>
      <c r="D40" s="1911">
        <f>SUM(D41:D44)</f>
        <v>11780</v>
      </c>
      <c r="E40" s="1926">
        <f>SUM(E41:E44)</f>
        <v>11780</v>
      </c>
      <c r="F40" s="1924">
        <f t="shared" ref="F40:F56" si="1">SUM(D40:E40)</f>
        <v>23560</v>
      </c>
      <c r="G40" s="7"/>
    </row>
    <row r="41" spans="1:15">
      <c r="A41" s="6"/>
      <c r="B41" s="544"/>
      <c r="C41" s="2197" t="s">
        <v>791</v>
      </c>
      <c r="D41" s="2202">
        <v>1830</v>
      </c>
      <c r="E41" s="2203">
        <v>1830</v>
      </c>
      <c r="F41" s="1891">
        <f t="shared" si="1"/>
        <v>3660</v>
      </c>
      <c r="G41" s="7"/>
    </row>
    <row r="42" spans="1:15">
      <c r="A42" s="6"/>
      <c r="B42" s="544"/>
      <c r="C42" s="2197" t="s">
        <v>792</v>
      </c>
      <c r="D42" s="2202">
        <v>4800</v>
      </c>
      <c r="E42" s="2203">
        <v>4800</v>
      </c>
      <c r="F42" s="1891">
        <f t="shared" si="1"/>
        <v>9600</v>
      </c>
      <c r="G42" s="7"/>
      <c r="H42" s="18"/>
      <c r="I42" s="18"/>
      <c r="J42" s="18"/>
      <c r="K42" s="18"/>
      <c r="L42" s="18"/>
      <c r="M42" s="18"/>
      <c r="N42" s="18"/>
      <c r="O42" s="18"/>
    </row>
    <row r="43" spans="1:15">
      <c r="A43" s="6"/>
      <c r="B43" s="544"/>
      <c r="C43" s="2197" t="s">
        <v>793</v>
      </c>
      <c r="D43" s="2202">
        <v>4400</v>
      </c>
      <c r="E43" s="2203">
        <v>4400</v>
      </c>
      <c r="F43" s="1891">
        <f t="shared" si="1"/>
        <v>8800</v>
      </c>
      <c r="G43" s="7"/>
    </row>
    <row r="44" spans="1:15">
      <c r="A44" s="6"/>
      <c r="B44" s="544"/>
      <c r="C44" s="2197" t="s">
        <v>794</v>
      </c>
      <c r="D44" s="2202">
        <v>750</v>
      </c>
      <c r="E44" s="2203">
        <v>750</v>
      </c>
      <c r="F44" s="1891">
        <f t="shared" si="1"/>
        <v>1500</v>
      </c>
      <c r="G44" s="7"/>
    </row>
    <row r="45" spans="1:15">
      <c r="A45" s="6"/>
      <c r="B45" s="544"/>
      <c r="C45" s="1952"/>
      <c r="D45" s="1958"/>
      <c r="E45" s="1955"/>
      <c r="F45" s="1958"/>
      <c r="G45" s="7"/>
    </row>
    <row r="46" spans="1:15">
      <c r="A46" s="6"/>
      <c r="B46" s="544"/>
      <c r="C46" s="1910" t="s">
        <v>50</v>
      </c>
      <c r="D46" s="1911">
        <f>SUM(D47:D50)</f>
        <v>50000</v>
      </c>
      <c r="E46" s="1926">
        <f>SUM(E47:E50)</f>
        <v>40000</v>
      </c>
      <c r="F46" s="1924">
        <f t="shared" si="1"/>
        <v>90000</v>
      </c>
      <c r="G46" s="7"/>
    </row>
    <row r="47" spans="1:15">
      <c r="A47" s="6"/>
      <c r="B47" s="544"/>
      <c r="C47" s="2084" t="s">
        <v>795</v>
      </c>
      <c r="D47" s="1971">
        <v>50000</v>
      </c>
      <c r="E47" s="1988">
        <v>40000</v>
      </c>
      <c r="F47" s="1891">
        <f t="shared" si="1"/>
        <v>90000</v>
      </c>
      <c r="G47" s="7"/>
    </row>
    <row r="48" spans="1:15">
      <c r="A48" s="6"/>
      <c r="B48" s="544"/>
      <c r="C48" s="2084"/>
      <c r="D48" s="1971"/>
      <c r="E48" s="1988"/>
      <c r="F48" s="1891">
        <f t="shared" si="1"/>
        <v>0</v>
      </c>
      <c r="G48" s="7"/>
    </row>
    <row r="49" spans="1:15">
      <c r="A49" s="6"/>
      <c r="B49" s="544"/>
      <c r="C49" s="1876"/>
      <c r="D49" s="1971"/>
      <c r="E49" s="1988"/>
      <c r="F49" s="1891">
        <f t="shared" si="1"/>
        <v>0</v>
      </c>
      <c r="G49" s="7"/>
    </row>
    <row r="50" spans="1:15">
      <c r="A50" s="6"/>
      <c r="B50" s="544"/>
      <c r="C50" s="1876"/>
      <c r="D50" s="1971"/>
      <c r="E50" s="1988"/>
      <c r="F50" s="1891">
        <f t="shared" si="1"/>
        <v>0</v>
      </c>
      <c r="G50" s="7"/>
    </row>
    <row r="51" spans="1:15">
      <c r="A51" s="6"/>
      <c r="B51" s="544"/>
      <c r="C51" s="1952"/>
      <c r="D51" s="1958"/>
      <c r="E51" s="1955"/>
      <c r="F51" s="1958"/>
      <c r="G51" s="7"/>
    </row>
    <row r="52" spans="1:15">
      <c r="A52" s="6"/>
      <c r="B52" s="544"/>
      <c r="C52" s="1910" t="s">
        <v>51</v>
      </c>
      <c r="D52" s="1911">
        <f>SUM(D53:D56)</f>
        <v>5000</v>
      </c>
      <c r="E52" s="1926">
        <f>SUM(E53:E56)</f>
        <v>5000</v>
      </c>
      <c r="F52" s="1924">
        <f t="shared" si="1"/>
        <v>10000</v>
      </c>
      <c r="G52" s="7"/>
    </row>
    <row r="53" spans="1:15" s="18" customFormat="1">
      <c r="A53" s="6"/>
      <c r="B53" s="544"/>
      <c r="C53" s="2081" t="s">
        <v>796</v>
      </c>
      <c r="D53" s="1971">
        <v>5000</v>
      </c>
      <c r="E53" s="1972">
        <v>5000</v>
      </c>
      <c r="F53" s="1891">
        <f t="shared" si="1"/>
        <v>10000</v>
      </c>
      <c r="G53"/>
      <c r="H53"/>
      <c r="I53"/>
      <c r="J53"/>
      <c r="K53"/>
      <c r="L53"/>
      <c r="M53"/>
      <c r="N53"/>
      <c r="O53"/>
    </row>
    <row r="54" spans="1:15">
      <c r="A54" s="6"/>
      <c r="B54" s="544"/>
      <c r="C54" s="1876"/>
      <c r="D54" s="1971"/>
      <c r="E54" s="1972"/>
      <c r="F54" s="1891">
        <f t="shared" si="1"/>
        <v>0</v>
      </c>
    </row>
    <row r="55" spans="1:15">
      <c r="A55" s="6"/>
      <c r="B55" s="544"/>
      <c r="C55" s="1876"/>
      <c r="D55" s="1971"/>
      <c r="E55" s="1972"/>
      <c r="F55" s="1891">
        <f t="shared" si="1"/>
        <v>0</v>
      </c>
    </row>
    <row r="56" spans="1:15">
      <c r="A56" s="6"/>
      <c r="B56" s="544"/>
      <c r="C56" s="1876"/>
      <c r="D56" s="1971"/>
      <c r="E56" s="1972"/>
      <c r="F56" s="1891">
        <f t="shared" si="1"/>
        <v>0</v>
      </c>
    </row>
    <row r="57" spans="1:15">
      <c r="A57" s="6"/>
      <c r="B57" s="544"/>
      <c r="C57" s="1952"/>
      <c r="D57" s="1958"/>
      <c r="E57" s="1955"/>
      <c r="F57" s="1958"/>
    </row>
    <row r="58" spans="1:15">
      <c r="A58" s="6"/>
      <c r="B58" s="544"/>
      <c r="C58" s="1910" t="s">
        <v>52</v>
      </c>
      <c r="D58" s="2086">
        <f>SUM(D59:D62)</f>
        <v>455000</v>
      </c>
      <c r="E58" s="2087">
        <f>SUM(E59:E62)</f>
        <v>500000</v>
      </c>
      <c r="F58" s="2114">
        <f>SUM(D58:E58)</f>
        <v>955000</v>
      </c>
    </row>
    <row r="59" spans="1:15">
      <c r="A59" s="6"/>
      <c r="B59" s="544"/>
      <c r="C59" s="2197" t="s">
        <v>797</v>
      </c>
      <c r="D59" s="2202">
        <v>5000</v>
      </c>
      <c r="E59" s="2203">
        <v>5000</v>
      </c>
      <c r="F59" s="1891">
        <f>SUM(D59:E59)</f>
        <v>10000</v>
      </c>
    </row>
    <row r="60" spans="1:15" s="2177" customFormat="1">
      <c r="A60" s="2118"/>
      <c r="B60" s="2118"/>
      <c r="C60" s="2197" t="s">
        <v>798</v>
      </c>
      <c r="D60" s="2202">
        <v>450000</v>
      </c>
      <c r="E60" s="2203">
        <v>495000</v>
      </c>
      <c r="F60" s="2191">
        <f>D60+E60</f>
        <v>945000</v>
      </c>
      <c r="G60" s="2177" t="s">
        <v>799</v>
      </c>
    </row>
    <row r="61" spans="1:15">
      <c r="A61" s="6"/>
      <c r="B61" s="544"/>
      <c r="C61" s="2085"/>
      <c r="D61" s="1971"/>
      <c r="E61" s="1988"/>
      <c r="F61" s="2191">
        <f>SUM(D61:E61)</f>
        <v>0</v>
      </c>
      <c r="G61" s="2177" t="s">
        <v>800</v>
      </c>
    </row>
    <row r="62" spans="1:15">
      <c r="B62"/>
      <c r="C62" s="1876"/>
      <c r="D62" s="1971"/>
      <c r="E62" s="1988"/>
      <c r="F62" s="1891">
        <v>0</v>
      </c>
    </row>
    <row r="63" spans="1:15">
      <c r="B63"/>
      <c r="C63" s="1952"/>
      <c r="D63" s="1958"/>
      <c r="E63" s="1955"/>
      <c r="F63" s="1958"/>
    </row>
    <row r="64" spans="1:15">
      <c r="B64"/>
      <c r="C64" s="1910"/>
      <c r="D64" s="1911"/>
      <c r="E64" s="1926"/>
      <c r="F64" s="1924"/>
    </row>
    <row r="65" spans="2:6">
      <c r="B65"/>
      <c r="C65" s="1967"/>
      <c r="D65" s="1961"/>
      <c r="E65" s="1962"/>
      <c r="F65" s="1966"/>
    </row>
    <row r="66" spans="2:6">
      <c r="B66"/>
      <c r="C66" s="1968"/>
      <c r="D66" s="1963"/>
      <c r="E66" s="1964"/>
      <c r="F66" s="1965"/>
    </row>
    <row r="67" spans="2:6">
      <c r="B67"/>
      <c r="C67" s="1959"/>
      <c r="D67" s="1971"/>
      <c r="E67" s="1971"/>
      <c r="F67" s="1956"/>
    </row>
  </sheetData>
  <customSheetViews>
    <customSheetView guid="{074EB09C-6289-46D7-9513-012B68BCA7BF}" showGridLines="0" fitToPage="1">
      <pane xSplit="1" ySplit="1" topLeftCell="B2" activePane="bottomRight" state="frozen"/>
      <selection pane="bottomRight" activeCell="H20" sqref="H20"/>
      <pageMargins left="0.23" right="0.21" top="0.37" bottom="0.42" header="0.3" footer="0.3"/>
      <pageSetup paperSize="17" scale="66" orientation="landscape" r:id="rId1"/>
    </customSheetView>
    <customSheetView guid="{D9EFFE19-D14B-4C6F-BDF4-FF696F73968D}" showGridLines="0" fitToPage="1">
      <pane xSplit="1" ySplit="1" topLeftCell="B8" activePane="bottomRight" state="frozen"/>
      <selection pane="bottomRight" activeCell="G54" sqref="G54"/>
      <pageMargins left="0.23" right="0.21" top="0.37" bottom="0.42" header="0.3" footer="0.3"/>
      <pageSetup paperSize="17" scale="66" orientation="landscape" r:id="rId2"/>
    </customSheetView>
  </customSheetViews>
  <pageMargins left="0.23" right="0.21" top="0.37" bottom="0.42" header="0.3" footer="0.3"/>
  <pageSetup paperSize="17" scale="66" orientation="landscape" r:id="rId3"/>
  <ignoredErrors>
    <ignoredError sqref="P7" formulaRange="1"/>
  </ignoredErrors>
  <drawing r:id="rId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workbookViewId="0">
      <pane xSplit="1" ySplit="1" topLeftCell="F2" activePane="bottomRight" state="frozen"/>
      <selection pane="topRight" activeCell="B1" sqref="B1"/>
      <selection pane="bottomLeft" activeCell="A2" sqref="A2"/>
      <selection pane="bottomRight" activeCell="I34" sqref="I34"/>
    </sheetView>
  </sheetViews>
  <sheetFormatPr defaultRowHeight="12.75"/>
  <cols>
    <col min="1" max="2" width="15.42578125" style="2177" customWidth="1"/>
    <col min="3" max="3" width="30.42578125" style="2177" customWidth="1"/>
    <col min="4" max="4" width="20.85546875" style="2192" customWidth="1"/>
    <col min="5" max="5" width="20.85546875" style="1790" customWidth="1"/>
    <col min="6" max="6" width="18.85546875" style="2177" customWidth="1"/>
    <col min="7" max="7" width="17" style="2177" customWidth="1"/>
    <col min="8" max="8" width="15.7109375" style="2177" customWidth="1"/>
    <col min="9" max="9" width="15.5703125" style="2177" customWidth="1"/>
    <col min="10" max="10" width="16.28515625" style="2177" customWidth="1"/>
    <col min="11" max="11" width="17.5703125" style="2177" customWidth="1"/>
    <col min="12" max="12" width="19" style="2177" customWidth="1"/>
    <col min="13" max="13" width="21.28515625" style="2177" customWidth="1"/>
    <col min="14" max="14" width="17.140625" style="2177" customWidth="1"/>
    <col min="15" max="15" width="13.42578125" style="2177" customWidth="1"/>
    <col min="16" max="16" width="19.28515625" style="2177" customWidth="1"/>
    <col min="17" max="17" width="10.5703125" style="2177" customWidth="1"/>
    <col min="18" max="18" width="15" style="2177" customWidth="1"/>
    <col min="19" max="16384" width="9.140625" style="2177"/>
  </cols>
  <sheetData>
    <row r="1" spans="1:19" ht="45.75" customHeight="1">
      <c r="D1" s="1812" t="s">
        <v>641</v>
      </c>
      <c r="E1" s="1811" t="s">
        <v>722</v>
      </c>
      <c r="F1" s="1811" t="s">
        <v>6</v>
      </c>
      <c r="G1" s="1882">
        <v>18230613</v>
      </c>
      <c r="H1" s="1812" t="s">
        <v>5</v>
      </c>
      <c r="M1" s="1812" t="s">
        <v>641</v>
      </c>
      <c r="N1" s="1811" t="s">
        <v>722</v>
      </c>
      <c r="O1" s="1811" t="s">
        <v>6</v>
      </c>
      <c r="P1" s="1882">
        <v>18230613</v>
      </c>
      <c r="Q1" s="1812" t="s">
        <v>5</v>
      </c>
    </row>
    <row r="2" spans="1:19" ht="13.5" thickBot="1">
      <c r="E2" s="2192"/>
      <c r="F2" s="2192"/>
      <c r="G2" s="1805"/>
      <c r="H2" s="1576" t="s">
        <v>674</v>
      </c>
      <c r="I2" s="1805"/>
      <c r="J2" s="1805"/>
      <c r="K2" s="1805"/>
      <c r="L2" s="1805"/>
      <c r="M2" s="1805"/>
      <c r="N2" s="1805"/>
      <c r="O2" s="1805"/>
      <c r="P2" s="1805"/>
      <c r="Q2" s="1805"/>
    </row>
    <row r="3" spans="1:19" ht="26.25" thickBot="1">
      <c r="A3" s="1748" t="s">
        <v>723</v>
      </c>
      <c r="B3" s="1748"/>
      <c r="E3" s="2192"/>
      <c r="F3" s="2192"/>
      <c r="G3" s="1805"/>
      <c r="H3" s="1577" t="s">
        <v>8</v>
      </c>
      <c r="I3" s="1538" t="s">
        <v>9</v>
      </c>
      <c r="J3" s="1538" t="s">
        <v>10</v>
      </c>
      <c r="K3" s="1538" t="s">
        <v>11</v>
      </c>
      <c r="L3" s="2037" t="s">
        <v>504</v>
      </c>
      <c r="M3" s="1538" t="s">
        <v>12</v>
      </c>
      <c r="N3" s="1538" t="s">
        <v>13</v>
      </c>
      <c r="O3" s="1538" t="s">
        <v>14</v>
      </c>
      <c r="P3" s="2037" t="s">
        <v>15</v>
      </c>
      <c r="Q3" s="2037"/>
      <c r="R3" s="2037" t="s">
        <v>16</v>
      </c>
      <c r="S3" s="1995"/>
    </row>
    <row r="4" spans="1:19" ht="15.75">
      <c r="A4" s="2177" t="s">
        <v>724</v>
      </c>
      <c r="B4" s="1748"/>
      <c r="C4" s="4" t="s">
        <v>7</v>
      </c>
      <c r="D4" s="5"/>
      <c r="E4" s="5"/>
      <c r="F4" s="5"/>
      <c r="G4" s="1804" t="s">
        <v>668</v>
      </c>
      <c r="H4" s="2003">
        <v>121885</v>
      </c>
      <c r="I4" s="2002">
        <v>13184</v>
      </c>
      <c r="J4" s="2002">
        <v>95493.782999999996</v>
      </c>
      <c r="K4" s="2002">
        <v>36000</v>
      </c>
      <c r="L4" s="2002">
        <v>9950</v>
      </c>
      <c r="M4" s="2002">
        <v>314133</v>
      </c>
      <c r="N4" s="2002">
        <v>0</v>
      </c>
      <c r="O4" s="2002">
        <v>0</v>
      </c>
      <c r="P4" s="2002">
        <v>2287500</v>
      </c>
      <c r="Q4" s="2002"/>
      <c r="R4" s="2002">
        <v>2878145.7829999998</v>
      </c>
      <c r="S4" s="1998"/>
    </row>
    <row r="5" spans="1:19" ht="15.75">
      <c r="A5" s="1748" t="s">
        <v>722</v>
      </c>
      <c r="B5" s="1748"/>
      <c r="E5" s="2192"/>
      <c r="F5" s="2192"/>
      <c r="G5" s="1228">
        <v>2016</v>
      </c>
      <c r="H5" s="1582">
        <f>D15</f>
        <v>127748.7</v>
      </c>
      <c r="I5" s="1549">
        <f>D21</f>
        <v>14400</v>
      </c>
      <c r="J5" s="1549">
        <f>D27</f>
        <v>94813.1829</v>
      </c>
      <c r="K5" s="1549">
        <f>D34</f>
        <v>0</v>
      </c>
      <c r="L5" s="1549">
        <f>D40</f>
        <v>12000</v>
      </c>
      <c r="M5" s="1549">
        <f>D46</f>
        <v>192220</v>
      </c>
      <c r="N5" s="1549">
        <f>D52</f>
        <v>0</v>
      </c>
      <c r="O5" s="1549">
        <f>D58</f>
        <v>0</v>
      </c>
      <c r="P5" s="1549">
        <f>D64</f>
        <v>412500</v>
      </c>
      <c r="Q5" s="1549"/>
      <c r="R5" s="1549">
        <f>SUM(H5:P5)</f>
        <v>853681.88290000008</v>
      </c>
      <c r="S5" s="1999"/>
    </row>
    <row r="6" spans="1:19" ht="16.5" thickBot="1">
      <c r="A6" s="1748" t="s">
        <v>6</v>
      </c>
      <c r="B6" s="1882"/>
      <c r="C6" s="2080"/>
      <c r="D6" s="2080"/>
      <c r="E6" s="2080"/>
      <c r="F6" s="2080"/>
      <c r="G6" s="1228">
        <v>2017</v>
      </c>
      <c r="H6" s="57">
        <f>E15</f>
        <v>0</v>
      </c>
      <c r="I6" s="1990">
        <f>E21</f>
        <v>0</v>
      </c>
      <c r="J6" s="1989">
        <f>E27</f>
        <v>0</v>
      </c>
      <c r="K6" s="58">
        <f>E34</f>
        <v>0</v>
      </c>
      <c r="L6" s="58">
        <f>E40</f>
        <v>0</v>
      </c>
      <c r="M6" s="58">
        <f>E46</f>
        <v>0</v>
      </c>
      <c r="N6" s="58">
        <f>E52</f>
        <v>0</v>
      </c>
      <c r="O6" s="58">
        <f>E58</f>
        <v>0</v>
      </c>
      <c r="P6" s="58">
        <v>0</v>
      </c>
      <c r="Q6" s="58"/>
      <c r="R6" s="58">
        <f>SUM(H6:P6)</f>
        <v>0</v>
      </c>
      <c r="S6" s="1996"/>
    </row>
    <row r="7" spans="1:19" s="2193" customFormat="1" ht="16.5" thickBot="1">
      <c r="A7" s="1882">
        <v>18230613</v>
      </c>
      <c r="B7" s="1748"/>
      <c r="C7" s="1301"/>
      <c r="D7" s="2080"/>
      <c r="E7" s="2080"/>
      <c r="F7" s="2080"/>
      <c r="G7" s="598" t="s">
        <v>23</v>
      </c>
      <c r="H7" s="1564">
        <f>SUM(H5:H6)</f>
        <v>127748.7</v>
      </c>
      <c r="I7" s="1991">
        <f t="shared" ref="I7:P7" si="0">SUM(I5:I6)</f>
        <v>14400</v>
      </c>
      <c r="J7" s="1992">
        <f t="shared" si="0"/>
        <v>94813.1829</v>
      </c>
      <c r="K7" s="1993">
        <f t="shared" si="0"/>
        <v>0</v>
      </c>
      <c r="L7" s="1991">
        <f t="shared" si="0"/>
        <v>12000</v>
      </c>
      <c r="M7" s="1992">
        <f t="shared" si="0"/>
        <v>192220</v>
      </c>
      <c r="N7" s="1991">
        <f t="shared" si="0"/>
        <v>0</v>
      </c>
      <c r="O7" s="1992">
        <f t="shared" si="0"/>
        <v>0</v>
      </c>
      <c r="P7" s="1993">
        <f t="shared" si="0"/>
        <v>412500</v>
      </c>
      <c r="Q7" s="1993"/>
      <c r="R7" s="1991">
        <f>SUM(R5:R6)</f>
        <v>853681.88290000008</v>
      </c>
      <c r="S7" s="1994"/>
    </row>
    <row r="8" spans="1:19" s="12" customFormat="1" ht="25.5">
      <c r="A8" s="2810" t="s">
        <v>5</v>
      </c>
      <c r="B8" s="2810"/>
      <c r="C8" s="11"/>
      <c r="D8" s="11"/>
      <c r="E8" s="11"/>
      <c r="F8" s="11"/>
      <c r="G8" s="537"/>
      <c r="H8" s="1786"/>
      <c r="I8" s="2080"/>
      <c r="J8" s="2080"/>
      <c r="K8" s="2080"/>
      <c r="L8" s="2080"/>
      <c r="M8" s="2080"/>
      <c r="N8" s="2080"/>
      <c r="O8" s="2080"/>
      <c r="P8" s="2118" t="s">
        <v>20</v>
      </c>
      <c r="Q8" s="2080"/>
    </row>
    <row r="9" spans="1:19" s="14" customFormat="1">
      <c r="A9" s="10"/>
      <c r="B9" s="10"/>
      <c r="C9" s="11"/>
      <c r="D9" s="11"/>
      <c r="E9" s="11"/>
      <c r="F9" s="11"/>
      <c r="G9" s="537"/>
      <c r="H9" s="1786"/>
      <c r="I9" s="2080"/>
      <c r="J9" s="2080"/>
      <c r="K9" s="2080"/>
      <c r="L9" s="2080"/>
      <c r="M9" s="2080"/>
      <c r="N9" s="2080"/>
      <c r="O9" s="2080"/>
      <c r="P9" s="2118" t="s">
        <v>21</v>
      </c>
      <c r="Q9" s="2080"/>
    </row>
    <row r="10" spans="1:19">
      <c r="A10" s="2118"/>
      <c r="B10" s="2118"/>
      <c r="C10" s="1915" t="s">
        <v>329</v>
      </c>
      <c r="D10" s="1915"/>
      <c r="E10" s="1915"/>
      <c r="F10" s="1915"/>
    </row>
    <row r="11" spans="1:19">
      <c r="A11" s="2118"/>
      <c r="B11" s="2118"/>
      <c r="D11" s="2177"/>
      <c r="E11" s="2193"/>
    </row>
    <row r="12" spans="1:19" ht="15.75">
      <c r="A12" s="2118"/>
      <c r="B12" s="2118"/>
      <c r="C12" s="1887" t="s">
        <v>314</v>
      </c>
      <c r="D12" s="2157">
        <f>D15+D21+D27+D34+D40+D46+D52+D58+D64</f>
        <v>853681.88290000008</v>
      </c>
      <c r="E12" s="1948">
        <f>E15+E21+E27+E34+E40+E46+E52+E58</f>
        <v>0</v>
      </c>
      <c r="F12" s="2157">
        <f>D12+E12</f>
        <v>853681.88290000008</v>
      </c>
      <c r="G12" s="546"/>
      <c r="H12" s="546"/>
      <c r="I12" s="2080"/>
      <c r="J12" s="2080"/>
      <c r="K12" s="2080"/>
      <c r="L12" s="2080"/>
      <c r="M12" s="2080"/>
      <c r="N12" s="2080"/>
      <c r="O12" s="2080"/>
    </row>
    <row r="13" spans="1:19" ht="15.75">
      <c r="A13" s="545"/>
      <c r="B13" s="545"/>
      <c r="C13" s="1947"/>
      <c r="D13" s="2177"/>
      <c r="E13" s="1787"/>
      <c r="G13" s="546"/>
      <c r="H13" s="546"/>
      <c r="I13" s="540"/>
      <c r="J13" s="540"/>
      <c r="K13" s="540"/>
      <c r="L13" s="540"/>
      <c r="M13" s="540"/>
      <c r="N13" s="540"/>
      <c r="O13" s="540"/>
    </row>
    <row r="14" spans="1:19" ht="15.75">
      <c r="A14" s="545"/>
      <c r="B14" s="545"/>
      <c r="C14" s="1888" t="s">
        <v>45</v>
      </c>
      <c r="D14" s="1969">
        <v>2016</v>
      </c>
      <c r="E14" s="1970">
        <v>2017</v>
      </c>
      <c r="F14" s="1950" t="s">
        <v>23</v>
      </c>
      <c r="G14" s="546"/>
      <c r="H14" s="546"/>
      <c r="I14" s="540"/>
      <c r="J14" s="540"/>
      <c r="K14" s="540"/>
      <c r="L14" s="540"/>
      <c r="M14" s="540"/>
      <c r="N14" s="540"/>
      <c r="O14" s="540"/>
    </row>
    <row r="15" spans="1:19">
      <c r="A15" s="2118"/>
      <c r="B15" s="1886" t="s">
        <v>312</v>
      </c>
      <c r="C15" s="2187" t="s">
        <v>46</v>
      </c>
      <c r="D15" s="2157">
        <f>SUM(D16:D19)</f>
        <v>127748.7</v>
      </c>
      <c r="E15" s="2184">
        <f>SUM(E16:E19)</f>
        <v>0</v>
      </c>
      <c r="F15" s="2157">
        <f>SUM(F16:F19)</f>
        <v>127748.7</v>
      </c>
      <c r="G15" s="2080"/>
      <c r="H15" s="2080"/>
      <c r="I15" s="2080"/>
      <c r="J15" s="2080"/>
      <c r="K15" s="2080"/>
      <c r="L15" s="2080"/>
      <c r="M15" s="2080"/>
      <c r="N15" s="2080"/>
      <c r="O15" s="2080"/>
    </row>
    <row r="16" spans="1:19" ht="15.75" customHeight="1">
      <c r="A16" s="2118"/>
      <c r="B16" s="2610">
        <v>1.63</v>
      </c>
      <c r="C16" s="2197" t="s">
        <v>833</v>
      </c>
      <c r="D16" s="2241">
        <v>127748.7</v>
      </c>
      <c r="E16" s="2200"/>
      <c r="F16" s="1879">
        <f>SUM(D16:E16)</f>
        <v>127748.7</v>
      </c>
      <c r="G16" s="2080"/>
      <c r="H16" s="2080"/>
    </row>
    <row r="17" spans="1:15">
      <c r="A17" s="2118"/>
      <c r="B17" s="2610"/>
      <c r="C17" s="2197"/>
      <c r="D17" s="2241"/>
      <c r="E17" s="2200"/>
      <c r="F17" s="2191">
        <f>SUM(D17:E17)</f>
        <v>0</v>
      </c>
      <c r="G17" s="2080"/>
      <c r="H17" s="2080"/>
    </row>
    <row r="18" spans="1:15">
      <c r="A18" s="2118"/>
      <c r="B18" s="2610"/>
      <c r="C18" s="2197"/>
      <c r="D18" s="2241"/>
      <c r="E18" s="2200"/>
      <c r="F18" s="2191">
        <f>SUM(D18:E18)</f>
        <v>0</v>
      </c>
      <c r="G18" s="2080"/>
      <c r="H18" s="2080"/>
    </row>
    <row r="19" spans="1:15" s="2194" customFormat="1">
      <c r="A19" s="2118"/>
      <c r="B19" s="2610"/>
      <c r="C19" s="2197"/>
      <c r="D19" s="2240"/>
      <c r="E19" s="2079"/>
      <c r="F19" s="2191">
        <f>SUM(D19:E19)</f>
        <v>0</v>
      </c>
      <c r="G19" s="2080"/>
      <c r="H19" s="2080"/>
      <c r="I19" s="2177"/>
      <c r="J19" s="2177"/>
      <c r="K19" s="2177"/>
      <c r="L19" s="2177"/>
      <c r="M19" s="2177"/>
      <c r="N19" s="2177"/>
      <c r="O19" s="2177"/>
    </row>
    <row r="20" spans="1:15">
      <c r="A20" s="2118"/>
      <c r="B20" s="1908">
        <f>SUM(B16:B19)</f>
        <v>1.63</v>
      </c>
      <c r="C20" s="1952"/>
      <c r="D20" s="1954"/>
      <c r="E20" s="1955"/>
      <c r="F20" s="1957"/>
      <c r="G20" s="542" t="s">
        <v>7</v>
      </c>
      <c r="H20" s="2080"/>
    </row>
    <row r="21" spans="1:15">
      <c r="A21" s="2118"/>
      <c r="B21" s="2118"/>
      <c r="C21" s="2106" t="s">
        <v>47</v>
      </c>
      <c r="D21" s="2158">
        <f>SUM(D22:D25)</f>
        <v>14400</v>
      </c>
      <c r="E21" s="1926">
        <f>SUM(E22:E25)</f>
        <v>0</v>
      </c>
      <c r="F21" s="2157">
        <f>SUM(F22:F25)</f>
        <v>14400</v>
      </c>
      <c r="G21" s="543"/>
      <c r="H21" s="2080"/>
    </row>
    <row r="22" spans="1:15">
      <c r="A22" s="2118"/>
      <c r="B22" s="2118"/>
      <c r="C22" s="2197"/>
      <c r="D22" s="2201">
        <v>14400</v>
      </c>
      <c r="E22" s="2200"/>
      <c r="F22" s="1879">
        <f>SUM(D22:E22)</f>
        <v>14400</v>
      </c>
      <c r="G22" s="2080"/>
      <c r="H22" s="2080"/>
    </row>
    <row r="23" spans="1:15">
      <c r="A23" s="2118"/>
      <c r="B23" s="2118"/>
      <c r="C23" s="2197"/>
      <c r="D23" s="1900"/>
      <c r="E23" s="1899"/>
      <c r="F23" s="2191">
        <f>SUM(D23:E23)</f>
        <v>0</v>
      </c>
      <c r="G23" s="2080"/>
      <c r="H23" s="2080"/>
    </row>
    <row r="24" spans="1:15">
      <c r="A24" s="2118"/>
      <c r="B24" s="2118"/>
      <c r="C24" s="2197"/>
      <c r="D24" s="1898"/>
      <c r="E24" s="1897"/>
      <c r="F24" s="2191">
        <f>SUM(D24:E24)</f>
        <v>0</v>
      </c>
      <c r="G24" s="2080"/>
      <c r="H24" s="2080"/>
    </row>
    <row r="25" spans="1:15">
      <c r="A25" s="2118"/>
      <c r="B25" s="2118"/>
      <c r="C25" s="2197"/>
      <c r="D25" s="1896"/>
      <c r="E25" s="1899"/>
      <c r="F25" s="2191">
        <f>SUM(D25:E25)</f>
        <v>0</v>
      </c>
      <c r="G25" s="2080"/>
      <c r="H25" s="2080"/>
    </row>
    <row r="26" spans="1:15" s="2194" customFormat="1">
      <c r="A26" s="545"/>
      <c r="B26" s="545"/>
      <c r="C26" s="1877"/>
      <c r="D26" s="1892"/>
      <c r="E26" s="1884"/>
      <c r="F26" s="1892"/>
      <c r="G26" s="540"/>
      <c r="H26" s="540"/>
    </row>
    <row r="27" spans="1:15">
      <c r="A27" s="2118"/>
      <c r="B27" s="2118"/>
      <c r="C27" s="2106" t="s">
        <v>48</v>
      </c>
      <c r="D27" s="2158">
        <f>SUM(D29:D32)</f>
        <v>94813.1829</v>
      </c>
      <c r="E27" s="1926">
        <f>SUM(E29:E32)</f>
        <v>0</v>
      </c>
      <c r="F27" s="2157">
        <f>SUM(F29:F32)</f>
        <v>94813.1829</v>
      </c>
      <c r="G27" s="2080"/>
      <c r="H27" s="2080"/>
    </row>
    <row r="28" spans="1:15">
      <c r="A28" s="545"/>
      <c r="B28" s="545"/>
      <c r="C28" s="1909" t="s">
        <v>315</v>
      </c>
      <c r="D28" s="1912">
        <v>0.66700000000000004</v>
      </c>
      <c r="E28" s="1913">
        <v>0.68</v>
      </c>
      <c r="F28" s="1949"/>
      <c r="G28" s="540"/>
      <c r="H28" s="540"/>
    </row>
    <row r="29" spans="1:15">
      <c r="A29" s="2118"/>
      <c r="B29" s="2118"/>
      <c r="C29" s="2197" t="s">
        <v>778</v>
      </c>
      <c r="D29" s="2202">
        <f>D15*D28</f>
        <v>85208.382899999997</v>
      </c>
      <c r="E29" s="2163">
        <f>E15*E28</f>
        <v>0</v>
      </c>
      <c r="F29" s="2191">
        <f>SUM(D29:E29)</f>
        <v>85208.382899999997</v>
      </c>
      <c r="G29" s="2080"/>
      <c r="H29" s="2080"/>
    </row>
    <row r="30" spans="1:15">
      <c r="A30" s="2118"/>
      <c r="B30" s="2118"/>
      <c r="C30" s="2197" t="s">
        <v>779</v>
      </c>
      <c r="D30" s="2202">
        <f>D21*D28</f>
        <v>9604.8000000000011</v>
      </c>
      <c r="E30" s="2163">
        <f>E21*E28</f>
        <v>0</v>
      </c>
      <c r="F30" s="2191">
        <f>SUM(D30:E30)</f>
        <v>9604.8000000000011</v>
      </c>
      <c r="G30" s="2080"/>
      <c r="H30" s="2080"/>
    </row>
    <row r="31" spans="1:15">
      <c r="A31" s="2118"/>
      <c r="B31" s="2118"/>
      <c r="C31" s="2197"/>
      <c r="D31" s="2202"/>
      <c r="E31" s="2163"/>
      <c r="F31" s="1889">
        <f>SUM(D31:E31)</f>
        <v>0</v>
      </c>
      <c r="G31" s="2080"/>
      <c r="H31" s="2080"/>
    </row>
    <row r="32" spans="1:15">
      <c r="A32" s="2118"/>
      <c r="B32" s="2118"/>
      <c r="C32" s="2197"/>
      <c r="D32" s="2202"/>
      <c r="E32" s="2163"/>
      <c r="F32" s="1890">
        <f>SUM(D32:E32)</f>
        <v>0</v>
      </c>
      <c r="G32" s="2080"/>
      <c r="H32" s="2080"/>
    </row>
    <row r="33" spans="1:15">
      <c r="A33" s="2118"/>
      <c r="B33" s="2118"/>
      <c r="C33" s="1952"/>
      <c r="D33" s="1958"/>
      <c r="E33" s="1955"/>
      <c r="F33" s="1958"/>
      <c r="G33" s="2080"/>
      <c r="H33" s="2080"/>
    </row>
    <row r="34" spans="1:15">
      <c r="A34" s="2118"/>
      <c r="B34" s="2118"/>
      <c r="C34" s="2106" t="s">
        <v>49</v>
      </c>
      <c r="D34" s="2158">
        <v>0</v>
      </c>
      <c r="E34" s="1926">
        <v>0</v>
      </c>
      <c r="F34" s="2157">
        <v>0</v>
      </c>
      <c r="G34" s="2080"/>
      <c r="H34" s="2080"/>
    </row>
    <row r="35" spans="1:15">
      <c r="A35" s="1748" t="s">
        <v>723</v>
      </c>
      <c r="B35" s="2178"/>
      <c r="C35" s="2197" t="s">
        <v>834</v>
      </c>
      <c r="D35" s="2202">
        <v>4000</v>
      </c>
      <c r="E35" s="2203"/>
      <c r="F35" s="2191">
        <v>0</v>
      </c>
      <c r="G35" s="539"/>
    </row>
    <row r="36" spans="1:15">
      <c r="A36" s="2177" t="s">
        <v>724</v>
      </c>
      <c r="B36" s="2118"/>
      <c r="C36" s="2197" t="s">
        <v>835</v>
      </c>
      <c r="D36" s="2202">
        <v>10000</v>
      </c>
      <c r="E36" s="2203"/>
      <c r="F36" s="2191">
        <v>0</v>
      </c>
      <c r="G36" s="2080"/>
    </row>
    <row r="37" spans="1:15" s="2194" customFormat="1">
      <c r="A37" s="1748" t="s">
        <v>722</v>
      </c>
      <c r="B37" s="545"/>
      <c r="C37" s="2197"/>
      <c r="D37" s="2202"/>
      <c r="E37" s="2203"/>
      <c r="F37" s="2191">
        <v>0</v>
      </c>
      <c r="G37" s="540"/>
      <c r="H37" s="2177"/>
      <c r="I37" s="2177"/>
      <c r="J37" s="2177"/>
      <c r="K37" s="2177"/>
      <c r="L37" s="2177"/>
      <c r="M37" s="2177"/>
      <c r="N37" s="2177"/>
      <c r="O37" s="2177"/>
    </row>
    <row r="38" spans="1:15">
      <c r="A38" s="1748" t="s">
        <v>6</v>
      </c>
      <c r="B38" s="2118"/>
      <c r="C38" s="2197"/>
      <c r="D38" s="2202"/>
      <c r="E38" s="2203"/>
      <c r="F38" s="2191">
        <v>0</v>
      </c>
      <c r="G38" s="2080"/>
    </row>
    <row r="39" spans="1:15">
      <c r="A39" s="1882">
        <v>18230613</v>
      </c>
      <c r="B39" s="2118"/>
      <c r="C39" s="1952"/>
      <c r="D39" s="1958"/>
      <c r="E39" s="1955"/>
      <c r="F39" s="1958"/>
      <c r="G39" s="2080"/>
    </row>
    <row r="40" spans="1:15">
      <c r="A40" s="2810" t="s">
        <v>5</v>
      </c>
      <c r="B40" s="2118"/>
      <c r="C40" s="2106" t="s">
        <v>506</v>
      </c>
      <c r="D40" s="2158">
        <f>SUM(D41:D44)</f>
        <v>12000</v>
      </c>
      <c r="E40" s="1926">
        <f>SUM(E41:E44)</f>
        <v>0</v>
      </c>
      <c r="F40" s="2157">
        <f t="shared" ref="F40:F56" si="1">SUM(D40:E40)</f>
        <v>12000</v>
      </c>
      <c r="G40" s="2080"/>
    </row>
    <row r="41" spans="1:15">
      <c r="A41" s="2118"/>
      <c r="B41" s="2118"/>
      <c r="C41" s="2197" t="s">
        <v>836</v>
      </c>
      <c r="D41" s="2202">
        <v>12000</v>
      </c>
      <c r="E41" s="2203"/>
      <c r="F41" s="2191">
        <f t="shared" si="1"/>
        <v>12000</v>
      </c>
      <c r="G41" s="2080"/>
    </row>
    <row r="42" spans="1:15">
      <c r="A42" s="2118"/>
      <c r="B42" s="2118"/>
      <c r="C42" s="2197"/>
      <c r="D42" s="2202"/>
      <c r="E42" s="2203"/>
      <c r="F42" s="2191">
        <f t="shared" si="1"/>
        <v>0</v>
      </c>
      <c r="G42" s="2080"/>
      <c r="H42" s="2194"/>
      <c r="I42" s="2194"/>
      <c r="J42" s="2194"/>
      <c r="K42" s="2194"/>
      <c r="L42" s="2194"/>
      <c r="M42" s="2194"/>
      <c r="N42" s="2194"/>
      <c r="O42" s="2194"/>
    </row>
    <row r="43" spans="1:15">
      <c r="A43" s="2118"/>
      <c r="B43" s="2118"/>
      <c r="C43" s="2197"/>
      <c r="D43" s="2202"/>
      <c r="E43" s="2203"/>
      <c r="F43" s="2191">
        <f t="shared" si="1"/>
        <v>0</v>
      </c>
      <c r="G43" s="2080"/>
    </row>
    <row r="44" spans="1:15">
      <c r="A44" s="2118"/>
      <c r="B44" s="2118"/>
      <c r="C44" s="2197"/>
      <c r="D44" s="2202"/>
      <c r="E44" s="2203"/>
      <c r="F44" s="2191">
        <f t="shared" si="1"/>
        <v>0</v>
      </c>
      <c r="G44" s="2080"/>
    </row>
    <row r="45" spans="1:15">
      <c r="A45" s="2118"/>
      <c r="B45" s="2118"/>
      <c r="C45" s="1952"/>
      <c r="D45" s="1958"/>
      <c r="E45" s="1955"/>
      <c r="F45" s="1958"/>
      <c r="G45" s="2080"/>
    </row>
    <row r="46" spans="1:15">
      <c r="A46" s="2118"/>
      <c r="B46" s="2118"/>
      <c r="C46" s="2106" t="s">
        <v>50</v>
      </c>
      <c r="D46" s="2158">
        <f>SUM(D47:D50)</f>
        <v>192220</v>
      </c>
      <c r="E46" s="1926">
        <f>SUM(E47:E50)</f>
        <v>0</v>
      </c>
      <c r="F46" s="2157">
        <f t="shared" si="1"/>
        <v>192220</v>
      </c>
      <c r="G46" s="2080"/>
    </row>
    <row r="47" spans="1:15">
      <c r="A47" s="2118"/>
      <c r="B47" s="2118"/>
      <c r="C47" s="2197" t="s">
        <v>837</v>
      </c>
      <c r="D47" s="2202">
        <v>105220</v>
      </c>
      <c r="E47" s="2203"/>
      <c r="F47" s="2191">
        <f t="shared" si="1"/>
        <v>105220</v>
      </c>
      <c r="G47" s="2080"/>
    </row>
    <row r="48" spans="1:15">
      <c r="A48" s="2118"/>
      <c r="B48" s="2118"/>
      <c r="C48" s="2197" t="s">
        <v>838</v>
      </c>
      <c r="D48" s="2202">
        <v>25000</v>
      </c>
      <c r="E48" s="2203"/>
      <c r="F48" s="2191">
        <f t="shared" si="1"/>
        <v>25000</v>
      </c>
      <c r="G48" s="2080"/>
    </row>
    <row r="49" spans="1:15">
      <c r="A49" s="2118"/>
      <c r="B49" s="2118"/>
      <c r="C49" s="2197" t="s">
        <v>839</v>
      </c>
      <c r="D49" s="2202">
        <v>50000</v>
      </c>
      <c r="E49" s="2203"/>
      <c r="F49" s="2191">
        <f t="shared" si="1"/>
        <v>50000</v>
      </c>
      <c r="G49" s="2080"/>
    </row>
    <row r="50" spans="1:15">
      <c r="A50" s="2118"/>
      <c r="B50" s="2118"/>
      <c r="C50" s="2197" t="s">
        <v>635</v>
      </c>
      <c r="D50" s="2202">
        <v>12000</v>
      </c>
      <c r="E50" s="2203"/>
      <c r="F50" s="2191">
        <f t="shared" si="1"/>
        <v>12000</v>
      </c>
      <c r="G50" s="2080"/>
    </row>
    <row r="51" spans="1:15">
      <c r="A51" s="2118"/>
      <c r="B51" s="2118"/>
      <c r="C51" s="1952"/>
      <c r="D51" s="1958"/>
      <c r="E51" s="1955"/>
      <c r="F51" s="1958"/>
      <c r="G51" s="2080"/>
    </row>
    <row r="52" spans="1:15">
      <c r="A52" s="2118"/>
      <c r="B52" s="2118"/>
      <c r="C52" s="2106" t="s">
        <v>51</v>
      </c>
      <c r="D52" s="2158">
        <f>SUM(D53:D56)</f>
        <v>0</v>
      </c>
      <c r="E52" s="1926">
        <f>SUM(E53:E56)</f>
        <v>0</v>
      </c>
      <c r="F52" s="2157">
        <f t="shared" si="1"/>
        <v>0</v>
      </c>
      <c r="G52" s="2080"/>
    </row>
    <row r="53" spans="1:15" s="2194" customFormat="1">
      <c r="A53" s="2118"/>
      <c r="B53" s="2118"/>
      <c r="C53" s="2197"/>
      <c r="D53" s="2202"/>
      <c r="E53" s="2163"/>
      <c r="F53" s="2191">
        <f t="shared" si="1"/>
        <v>0</v>
      </c>
      <c r="G53" s="2177"/>
      <c r="H53" s="2177"/>
      <c r="I53" s="2177"/>
      <c r="J53" s="2177"/>
      <c r="K53" s="2177"/>
      <c r="L53" s="2177"/>
      <c r="M53" s="2177"/>
      <c r="N53" s="2177"/>
      <c r="O53" s="2177"/>
    </row>
    <row r="54" spans="1:15">
      <c r="A54" s="2118"/>
      <c r="B54" s="2118"/>
      <c r="C54" s="2197"/>
      <c r="D54" s="2202"/>
      <c r="E54" s="2163"/>
      <c r="F54" s="2191">
        <f t="shared" si="1"/>
        <v>0</v>
      </c>
    </row>
    <row r="55" spans="1:15">
      <c r="A55" s="2118"/>
      <c r="B55" s="2118"/>
      <c r="C55" s="2197"/>
      <c r="D55" s="2202"/>
      <c r="E55" s="2163"/>
      <c r="F55" s="2191">
        <f t="shared" si="1"/>
        <v>0</v>
      </c>
    </row>
    <row r="56" spans="1:15">
      <c r="A56" s="2118"/>
      <c r="B56" s="2118"/>
      <c r="C56" s="2197"/>
      <c r="D56" s="2202"/>
      <c r="E56" s="2163"/>
      <c r="F56" s="2191">
        <f t="shared" si="1"/>
        <v>0</v>
      </c>
    </row>
    <row r="57" spans="1:15">
      <c r="A57" s="2118"/>
      <c r="B57" s="2118"/>
      <c r="C57" s="1952"/>
      <c r="D57" s="1958"/>
      <c r="E57" s="1955"/>
      <c r="F57" s="1958"/>
    </row>
    <row r="58" spans="1:15">
      <c r="A58" s="2118"/>
      <c r="B58" s="2118"/>
      <c r="C58" s="2106" t="s">
        <v>52</v>
      </c>
      <c r="D58" s="2183">
        <f>SUM(D59:D62)</f>
        <v>0</v>
      </c>
      <c r="E58" s="2184">
        <f>SUM(E59:E62)</f>
        <v>0</v>
      </c>
      <c r="F58" s="2157">
        <f>SUM(F59:F60)</f>
        <v>0</v>
      </c>
    </row>
    <row r="59" spans="1:15">
      <c r="A59" s="2118"/>
      <c r="B59" s="2118"/>
      <c r="C59" s="2197"/>
      <c r="D59" s="2202"/>
      <c r="E59" s="2203"/>
      <c r="F59" s="2191">
        <f>SUM(D59:E59)</f>
        <v>0</v>
      </c>
    </row>
    <row r="60" spans="1:15">
      <c r="A60" s="2118"/>
      <c r="B60" s="2118"/>
      <c r="C60" s="2197"/>
      <c r="D60" s="2202"/>
      <c r="E60" s="2203"/>
      <c r="F60" s="2191">
        <f>SUM(D60:E60)</f>
        <v>0</v>
      </c>
    </row>
    <row r="61" spans="1:15">
      <c r="A61" s="2118"/>
      <c r="B61" s="2118"/>
      <c r="C61" s="2197"/>
      <c r="D61" s="2202"/>
      <c r="E61" s="2203"/>
      <c r="F61" s="2191">
        <f>SUM(D61:E61)</f>
        <v>0</v>
      </c>
    </row>
    <row r="62" spans="1:15">
      <c r="C62" s="2197"/>
      <c r="D62" s="2202"/>
      <c r="E62" s="2203"/>
      <c r="F62" s="2191">
        <v>0</v>
      </c>
    </row>
    <row r="63" spans="1:15">
      <c r="C63" s="1952"/>
      <c r="D63" s="1958"/>
      <c r="E63" s="1955"/>
      <c r="F63" s="1958"/>
    </row>
    <row r="64" spans="1:15">
      <c r="C64" s="2106" t="s">
        <v>15</v>
      </c>
      <c r="D64" s="2158">
        <v>412500</v>
      </c>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F2" activePane="bottomRight" state="frozen"/>
      <selection pane="bottomRight" activeCell="J11" sqref="J11"/>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B2:V78"/>
  <sheetViews>
    <sheetView topLeftCell="B1" zoomScaleNormal="100" workbookViewId="0">
      <pane xSplit="7" ySplit="5" topLeftCell="I6" activePane="bottomRight" state="frozen"/>
      <selection activeCell="B1" sqref="B1"/>
      <selection pane="topRight" activeCell="I1" sqref="I1"/>
      <selection pane="bottomLeft" activeCell="B6" sqref="B6"/>
      <selection pane="bottomRight" activeCell="H35" sqref="H35"/>
    </sheetView>
  </sheetViews>
  <sheetFormatPr defaultRowHeight="12.75"/>
  <cols>
    <col min="1" max="1" width="1.7109375" customWidth="1"/>
    <col min="2" max="2" width="19.42578125" style="9" customWidth="1"/>
    <col min="3" max="3" width="9.5703125" customWidth="1"/>
    <col min="4" max="4" width="16.140625" style="2177" customWidth="1"/>
    <col min="5" max="5" width="3.42578125" customWidth="1"/>
    <col min="6" max="6" width="3.42578125" style="2007" customWidth="1"/>
    <col min="7" max="7" width="31.28515625" style="2007" customWidth="1"/>
    <col min="8" max="8" width="19.28515625" customWidth="1"/>
    <col min="9" max="9" width="15.28515625" style="23" customWidth="1"/>
    <col min="10" max="10" width="16.5703125" style="23" customWidth="1"/>
    <col min="11" max="11" width="16.42578125" style="23" customWidth="1"/>
    <col min="12" max="12" width="15.42578125" style="23" customWidth="1"/>
    <col min="13" max="13" width="18.42578125" style="23" customWidth="1"/>
    <col min="14" max="14" width="20" style="23" customWidth="1"/>
    <col min="15" max="15" width="13.42578125" style="23" customWidth="1"/>
    <col min="16" max="16" width="15.42578125" style="23" customWidth="1"/>
    <col min="17" max="17" width="14.7109375" style="23" customWidth="1"/>
    <col min="18" max="18" width="12.5703125" style="23" customWidth="1"/>
    <col min="19" max="19" width="16.7109375" style="23" customWidth="1"/>
    <col min="20" max="20" width="15.140625" style="600" customWidth="1"/>
    <col min="21" max="21" width="2.42578125" customWidth="1"/>
    <col min="22" max="22" width="42.7109375" customWidth="1"/>
  </cols>
  <sheetData>
    <row r="2" spans="2:22" ht="18">
      <c r="C2" s="551" t="s">
        <v>663</v>
      </c>
      <c r="D2" s="551"/>
    </row>
    <row r="3" spans="2:22" ht="15">
      <c r="C3" s="552" t="s">
        <v>176</v>
      </c>
      <c r="D3" s="552"/>
      <c r="H3" s="1451"/>
      <c r="I3" s="2728" t="s">
        <v>623</v>
      </c>
      <c r="J3" s="2728"/>
    </row>
    <row r="4" spans="2:22" ht="36.75" customHeight="1" thickBot="1">
      <c r="E4" s="1164"/>
      <c r="I4" s="2012" t="s">
        <v>45</v>
      </c>
    </row>
    <row r="5" spans="2:22" ht="47.25" thickBot="1">
      <c r="B5" s="1844" t="s">
        <v>366</v>
      </c>
      <c r="C5" t="s">
        <v>79</v>
      </c>
      <c r="D5" s="2177" t="s">
        <v>614</v>
      </c>
      <c r="E5" s="3593" t="s">
        <v>728</v>
      </c>
      <c r="F5" s="3593"/>
      <c r="G5" s="3593"/>
      <c r="H5" s="1165"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64" t="s">
        <v>174</v>
      </c>
    </row>
    <row r="6" spans="2:22">
      <c r="C6" t="s">
        <v>78</v>
      </c>
      <c r="H6" s="650"/>
      <c r="I6" s="654"/>
      <c r="J6" s="654"/>
      <c r="K6" s="654"/>
      <c r="L6" s="654"/>
      <c r="M6" s="654"/>
      <c r="N6" s="654"/>
      <c r="O6" s="654"/>
      <c r="P6" s="654"/>
      <c r="Q6" s="654"/>
      <c r="R6" s="654"/>
      <c r="S6" s="654"/>
    </row>
    <row r="7" spans="2:22">
      <c r="B7" s="2259" t="s">
        <v>402</v>
      </c>
      <c r="C7" s="1866" t="s">
        <v>310</v>
      </c>
      <c r="E7" s="1229" t="s">
        <v>175</v>
      </c>
      <c r="H7" s="1340">
        <v>18230661</v>
      </c>
      <c r="I7" s="654">
        <f>'LowIncWx Detail_REM G201 Gas'!H5</f>
        <v>20220.79</v>
      </c>
      <c r="J7" s="654">
        <f>'LowIncWx Detail_REM G201 Gas'!I5</f>
        <v>1600</v>
      </c>
      <c r="K7" s="654">
        <f>'LowIncWx Detail_REM G201 Gas'!J5</f>
        <v>14554.466930000002</v>
      </c>
      <c r="L7" s="654">
        <f>'LowIncWx Detail_REM G201 Gas'!K5</f>
        <v>5000</v>
      </c>
      <c r="M7" s="654">
        <f>'LowIncWx Detail_REM G201 Gas'!L5</f>
        <v>1000</v>
      </c>
      <c r="N7" s="654">
        <f>'LowIncWx Detail_REM G201 Gas'!M5</f>
        <v>1000</v>
      </c>
      <c r="O7" s="654">
        <f>'LowIncWx Detail_REM G201 Gas'!N5</f>
        <v>500</v>
      </c>
      <c r="P7" s="654">
        <f>'LowIncWx Detail_REM G201 Gas'!O5</f>
        <v>500</v>
      </c>
      <c r="Q7" s="654">
        <f>'LowIncWx Detail_REM G201 Gas'!P5</f>
        <v>239103.35999999999</v>
      </c>
      <c r="R7" s="654">
        <f>'LowIncWx Detail_REM G201 Gas'!Q5</f>
        <v>0</v>
      </c>
      <c r="S7" s="654">
        <f>'LowIncWx Detail_REM G201 Gas'!R5</f>
        <v>283478.61693000002</v>
      </c>
      <c r="T7" s="2144">
        <f>'LowIncWx Detail_REM G201 Gas'!S5</f>
        <v>18641.260000000002</v>
      </c>
    </row>
    <row r="8" spans="2:22">
      <c r="B8" s="2259" t="s">
        <v>403</v>
      </c>
      <c r="C8" t="s">
        <v>82</v>
      </c>
      <c r="E8" s="2177" t="s">
        <v>1656</v>
      </c>
      <c r="H8" s="1340">
        <v>18230635</v>
      </c>
      <c r="I8" s="654">
        <f>'HmEnrgyAsmt Detail_REM G214 Gas'!H5</f>
        <v>0</v>
      </c>
      <c r="J8" s="654">
        <f>'HmEnrgyAsmt Detail_REM G214 Gas'!I5</f>
        <v>0</v>
      </c>
      <c r="K8" s="654">
        <f>'HmEnrgyAsmt Detail_REM G214 Gas'!J5</f>
        <v>0</v>
      </c>
      <c r="L8" s="654">
        <f>'HmEnrgyAsmt Detail_REM G214 Gas'!K5</f>
        <v>0</v>
      </c>
      <c r="M8" s="654">
        <f>'HmEnrgyAsmt Detail_REM G214 Gas'!L5</f>
        <v>0</v>
      </c>
      <c r="N8" s="654">
        <f>'HmEnrgyAsmt Detail_REM G214 Gas'!M5</f>
        <v>0</v>
      </c>
      <c r="O8" s="654">
        <f>'HmEnrgyAsmt Detail_REM G214 Gas'!N5</f>
        <v>0</v>
      </c>
      <c r="P8" s="654">
        <f>'HmEnrgyAsmt Detail_REM G214 Gas'!O5</f>
        <v>0</v>
      </c>
      <c r="Q8" s="654">
        <f>'HmEnrgyAsmt Detail_REM G214 Gas'!P5</f>
        <v>0</v>
      </c>
      <c r="R8" s="654">
        <f>'HmEnrgyAsmt Detail_REM G214 Gas'!Q5</f>
        <v>0</v>
      </c>
      <c r="S8" s="654">
        <f>'HmEnrgyAsmt Detail_REM G214 Gas'!R5</f>
        <v>0</v>
      </c>
      <c r="T8" s="2144">
        <f>'HmEnrgyAsmt Detail_REM G214 Gas'!S5</f>
        <v>0</v>
      </c>
    </row>
    <row r="9" spans="2:22">
      <c r="B9" s="2259" t="s">
        <v>404</v>
      </c>
      <c r="C9" t="s">
        <v>82</v>
      </c>
      <c r="E9" s="2177" t="s">
        <v>296</v>
      </c>
      <c r="H9" s="1340">
        <v>18230636</v>
      </c>
      <c r="I9" s="654">
        <f>'WtrHeat Detail_REM G214 Gas'!H5</f>
        <v>0</v>
      </c>
      <c r="J9" s="654">
        <f>'WtrHeat Detail_REM G214 Gas'!I5</f>
        <v>0</v>
      </c>
      <c r="K9" s="654">
        <f>'WtrHeat Detail_REM G214 Gas'!J5</f>
        <v>0</v>
      </c>
      <c r="L9" s="654">
        <f>'WtrHeat Detail_REM G214 Gas'!K5</f>
        <v>0</v>
      </c>
      <c r="M9" s="654">
        <f>'WtrHeat Detail_REM G214 Gas'!L5</f>
        <v>0</v>
      </c>
      <c r="N9" s="654">
        <f>'WtrHeat Detail_REM G214 Gas'!M5</f>
        <v>0</v>
      </c>
      <c r="O9" s="654">
        <f>'WtrHeat Detail_REM G214 Gas'!N5</f>
        <v>0</v>
      </c>
      <c r="P9" s="654">
        <f>'WtrHeat Detail_REM G214 Gas'!O5</f>
        <v>0</v>
      </c>
      <c r="Q9" s="654">
        <f>'WtrHeat Detail_REM G214 Gas'!P5</f>
        <v>0</v>
      </c>
      <c r="R9" s="654">
        <f>'WtrHeat Detail_REM G214 Gas'!Q5</f>
        <v>0</v>
      </c>
      <c r="S9" s="654">
        <f>'WtrHeat Detail_REM G214 Gas'!R5</f>
        <v>0</v>
      </c>
      <c r="T9" s="2144">
        <f>'WtrHeat Detail_REM G214 Gas'!S5</f>
        <v>0</v>
      </c>
    </row>
    <row r="10" spans="2:22">
      <c r="B10" s="2259" t="s">
        <v>405</v>
      </c>
      <c r="C10" t="s">
        <v>82</v>
      </c>
      <c r="E10" s="2177" t="s">
        <v>303</v>
      </c>
      <c r="H10" s="1340">
        <v>18230637</v>
      </c>
      <c r="I10" s="654">
        <f>'Wx Detail_REM G214 Gas'!H5</f>
        <v>30815.22</v>
      </c>
      <c r="J10" s="654">
        <f>'Wx Detail_REM G214 Gas'!I5</f>
        <v>12006</v>
      </c>
      <c r="K10" s="654">
        <f>'Wx Detail_REM G214 Gas'!J5</f>
        <v>28561.753740000004</v>
      </c>
      <c r="L10" s="654">
        <f>'Wx Detail_REM G214 Gas'!K5</f>
        <v>41178.94</v>
      </c>
      <c r="M10" s="654">
        <f>'Wx Detail_REM G214 Gas'!L5</f>
        <v>2500</v>
      </c>
      <c r="N10" s="654">
        <f>'Wx Detail_REM G214 Gas'!M5</f>
        <v>280000</v>
      </c>
      <c r="O10" s="654">
        <f>'Wx Detail_REM G214 Gas'!N5</f>
        <v>0</v>
      </c>
      <c r="P10" s="654">
        <f>'Wx Detail_REM G214 Gas'!O5</f>
        <v>15000</v>
      </c>
      <c r="Q10" s="654">
        <f>'Wx Detail_REM G214 Gas'!P5</f>
        <v>2227305</v>
      </c>
      <c r="R10" s="654">
        <f>'Wx Detail_REM G214 Gas'!Q5</f>
        <v>0</v>
      </c>
      <c r="S10" s="654">
        <f>'Wx Detail_REM G214 Gas'!R5</f>
        <v>2637366.9137399998</v>
      </c>
      <c r="T10" s="2144">
        <f>'Wx Detail_REM G214 Gas'!S5</f>
        <v>391187.5</v>
      </c>
    </row>
    <row r="11" spans="2:22">
      <c r="B11" s="2259" t="s">
        <v>406</v>
      </c>
      <c r="C11" t="s">
        <v>82</v>
      </c>
      <c r="E11" s="2177" t="s">
        <v>302</v>
      </c>
      <c r="H11" s="1340">
        <v>18230638</v>
      </c>
      <c r="I11" s="654">
        <f>'SpHeat Detail_REM G214 Gas'!H5</f>
        <v>43503.840000000004</v>
      </c>
      <c r="J11" s="654">
        <f>'SpHeat Detail_REM G214 Gas'!I5</f>
        <v>14007</v>
      </c>
      <c r="K11" s="654">
        <f>'SpHeat Detail_REM G214 Gas'!J5</f>
        <v>38359.730280000003</v>
      </c>
      <c r="L11" s="654">
        <f>'SpHeat Detail_REM G214 Gas'!K5</f>
        <v>225000</v>
      </c>
      <c r="M11" s="654">
        <f>'SpHeat Detail_REM G214 Gas'!L5</f>
        <v>5400</v>
      </c>
      <c r="N11" s="654">
        <f>'SpHeat Detail_REM G214 Gas'!M5</f>
        <v>18000</v>
      </c>
      <c r="O11" s="654">
        <f>'SpHeat Detail_REM G214 Gas'!N5</f>
        <v>17200</v>
      </c>
      <c r="P11" s="654">
        <f>'SpHeat Detail_REM G214 Gas'!O5</f>
        <v>4000</v>
      </c>
      <c r="Q11" s="654">
        <f>'SpHeat Detail_REM G214 Gas'!P5</f>
        <v>2055250</v>
      </c>
      <c r="R11" s="654">
        <f>'SpHeat Detail_REM G214 Gas'!Q5</f>
        <v>0</v>
      </c>
      <c r="S11" s="654">
        <f>'SpHeat Detail_REM G214 Gas'!R5</f>
        <v>2420720.5702800001</v>
      </c>
      <c r="T11" s="2144">
        <f>'SpHeat Detail_REM G214 Gas'!S5</f>
        <v>645705</v>
      </c>
    </row>
    <row r="12" spans="2:22">
      <c r="B12" s="2259" t="s">
        <v>407</v>
      </c>
      <c r="C12" t="s">
        <v>82</v>
      </c>
      <c r="E12" s="2177" t="s">
        <v>293</v>
      </c>
      <c r="H12" s="1340">
        <v>18230700</v>
      </c>
      <c r="I12" s="654">
        <f>'ShwrHead Detail_REM G214 Gas'!H5</f>
        <v>14825.279999999999</v>
      </c>
      <c r="J12" s="654">
        <f>'ShwrHead Detail_REM G214 Gas'!I5</f>
        <v>1600</v>
      </c>
      <c r="K12" s="654">
        <f>'ShwrHead Detail_REM G214 Gas'!J5</f>
        <v>10955.661760000001</v>
      </c>
      <c r="L12" s="654">
        <f>'ShwrHead Detail_REM G214 Gas'!K5</f>
        <v>103450.42</v>
      </c>
      <c r="M12" s="654">
        <f>'ShwrHead Detail_REM G214 Gas'!L5</f>
        <v>300</v>
      </c>
      <c r="N12" s="654">
        <f>'ShwrHead Detail_REM G214 Gas'!M5</f>
        <v>20000</v>
      </c>
      <c r="O12" s="654">
        <f>'ShwrHead Detail_REM G214 Gas'!N5</f>
        <v>500</v>
      </c>
      <c r="P12" s="654">
        <f>'ShwrHead Detail_REM G214 Gas'!O5</f>
        <v>300</v>
      </c>
      <c r="Q12" s="654">
        <f>'ShwrHead Detail_REM G214 Gas'!P5</f>
        <v>377391</v>
      </c>
      <c r="R12" s="654">
        <f>'ShwrHead Detail_REM G214 Gas'!Q5</f>
        <v>0</v>
      </c>
      <c r="S12" s="654">
        <f>'ShwrHead Detail_REM G214 Gas'!R5</f>
        <v>529322.36176</v>
      </c>
      <c r="T12" s="2144">
        <f>'ShwrHead Detail_REM G214 Gas'!S5</f>
        <v>326630.76</v>
      </c>
    </row>
    <row r="13" spans="2:22" s="1332" customFormat="1">
      <c r="B13" s="2259" t="s">
        <v>408</v>
      </c>
      <c r="C13" s="1332" t="s">
        <v>82</v>
      </c>
      <c r="D13" s="2177"/>
      <c r="E13" s="1332" t="s">
        <v>68</v>
      </c>
      <c r="F13" s="2007"/>
      <c r="G13" s="2007"/>
      <c r="H13" s="1340" t="s">
        <v>258</v>
      </c>
      <c r="I13" s="1324">
        <f>'HmApplSvgs Detail_REM G214 Gas'!H5</f>
        <v>0</v>
      </c>
      <c r="J13" s="1324">
        <f>'HmApplSvgs Detail_REM G214 Gas'!I5</f>
        <v>0</v>
      </c>
      <c r="K13" s="1324">
        <f>'HmApplSvgs Detail_REM G214 Gas'!J5</f>
        <v>0</v>
      </c>
      <c r="L13" s="1324">
        <f>'HmApplSvgs Detail_REM G214 Gas'!K5</f>
        <v>0</v>
      </c>
      <c r="M13" s="1324">
        <f>'HmApplSvgs Detail_REM G214 Gas'!L5</f>
        <v>0</v>
      </c>
      <c r="N13" s="1324">
        <f>'HmApplSvgs Detail_REM G214 Gas'!M5</f>
        <v>0</v>
      </c>
      <c r="O13" s="1324">
        <f>'HmApplSvgs Detail_REM G214 Gas'!N5</f>
        <v>0</v>
      </c>
      <c r="P13" s="1324">
        <f>'HmApplSvgs Detail_REM G214 Gas'!O5</f>
        <v>0</v>
      </c>
      <c r="Q13" s="1324">
        <f>'HmApplSvgs Detail_REM G214 Gas'!P5</f>
        <v>16650</v>
      </c>
      <c r="R13" s="1324">
        <f>'HmApplSvgs Detail_REM G214 Gas'!Q5</f>
        <v>0</v>
      </c>
      <c r="S13" s="1324">
        <f>'HmApplSvgs Detail_REM G214 Gas'!R5</f>
        <v>16650</v>
      </c>
      <c r="T13" s="2144">
        <f>'HmApplSvgs Detail_REM G214 Gas'!S5</f>
        <v>46930</v>
      </c>
    </row>
    <row r="14" spans="2:22" s="2140" customFormat="1">
      <c r="B14" s="2259" t="s">
        <v>409</v>
      </c>
      <c r="C14" s="2140" t="s">
        <v>82</v>
      </c>
      <c r="D14" s="2177"/>
      <c r="E14" s="2140" t="s">
        <v>292</v>
      </c>
      <c r="H14" s="2143">
        <v>18230680</v>
      </c>
      <c r="I14" s="2142">
        <f>'MHDS Detail_REM G214 Gas'!H5</f>
        <v>0</v>
      </c>
      <c r="J14" s="2142">
        <f>'MHDS Detail_REM G214 Gas'!I5</f>
        <v>0</v>
      </c>
      <c r="K14" s="2142">
        <f>'MHDS Detail_REM G214 Gas'!J5</f>
        <v>0</v>
      </c>
      <c r="L14" s="2142">
        <f>'MHDS Detail_REM G214 Gas'!K5</f>
        <v>0</v>
      </c>
      <c r="M14" s="2142">
        <f>'MHDS Detail_REM G214 Gas'!L5</f>
        <v>0</v>
      </c>
      <c r="N14" s="2142">
        <f>'MHDS Detail_REM G214 Gas'!M5</f>
        <v>0</v>
      </c>
      <c r="O14" s="2142">
        <f>'MHDS Detail_REM G214 Gas'!N5</f>
        <v>0</v>
      </c>
      <c r="P14" s="2142">
        <f>'MHDS Detail_REM G214 Gas'!O5</f>
        <v>0</v>
      </c>
      <c r="Q14" s="2142">
        <f>'MHDS Detail_REM G214 Gas'!P5</f>
        <v>0</v>
      </c>
      <c r="R14" s="2142">
        <f>'MHDS Detail_REM G214 Gas'!Q5</f>
        <v>0</v>
      </c>
      <c r="S14" s="2142">
        <f>'MHDS Detail_REM G214 Gas'!R5</f>
        <v>0</v>
      </c>
      <c r="T14" s="2144">
        <f>'MHDS Detail_REM G214 Gas'!S5</f>
        <v>0</v>
      </c>
    </row>
    <row r="15" spans="2:22" s="2140" customFormat="1">
      <c r="B15" s="2259" t="s">
        <v>410</v>
      </c>
      <c r="C15" s="2140" t="s">
        <v>82</v>
      </c>
      <c r="D15" s="2177"/>
      <c r="E15" s="2140" t="s">
        <v>345</v>
      </c>
      <c r="H15" s="2143">
        <v>18230687</v>
      </c>
      <c r="I15" s="2142">
        <f>'WebTstat Detail_REM G214 Gas'!H5</f>
        <v>12045.54</v>
      </c>
      <c r="J15" s="2142">
        <f>'WebTstat Detail_REM G214 Gas'!I5</f>
        <v>1250</v>
      </c>
      <c r="K15" s="2142">
        <f>'WebTstat Detail_REM G214 Gas'!J5</f>
        <v>8868.1251800000009</v>
      </c>
      <c r="L15" s="2142">
        <f>'WebTstat Detail_REM G214 Gas'!K5</f>
        <v>19911</v>
      </c>
      <c r="M15" s="2142">
        <f>'WebTstat Detail_REM G214 Gas'!L5</f>
        <v>250</v>
      </c>
      <c r="N15" s="2142">
        <f>'WebTstat Detail_REM G214 Gas'!M5</f>
        <v>10000</v>
      </c>
      <c r="O15" s="2142">
        <f>'WebTstat Detail_REM G214 Gas'!N5</f>
        <v>250</v>
      </c>
      <c r="P15" s="2142">
        <f>'WebTstat Detail_REM G214 Gas'!O5</f>
        <v>250</v>
      </c>
      <c r="Q15" s="2142">
        <f>'WebTstat Detail_REM G214 Gas'!P5</f>
        <v>150000</v>
      </c>
      <c r="R15" s="2142">
        <f>'WebTstat Detail_REM G214 Gas'!Q5</f>
        <v>0</v>
      </c>
      <c r="S15" s="2142">
        <f>'WebTstat Detail_REM G214 Gas'!R5</f>
        <v>202824.66518000001</v>
      </c>
      <c r="T15" s="2144">
        <f>'WebTstat Detail_REM G214 Gas'!S5</f>
        <v>34000</v>
      </c>
    </row>
    <row r="16" spans="2:22">
      <c r="B16" s="2259" t="s">
        <v>411</v>
      </c>
      <c r="C16" s="1866" t="s">
        <v>82</v>
      </c>
      <c r="E16" s="2177" t="s">
        <v>290</v>
      </c>
      <c r="H16" s="1340">
        <v>18230738</v>
      </c>
      <c r="I16" s="654">
        <f>'HER Detail_REM G214 gas'!H5</f>
        <v>2779.74</v>
      </c>
      <c r="J16" s="1605">
        <f>'HER Detail_REM G214 gas'!I5</f>
        <v>0</v>
      </c>
      <c r="K16" s="1605">
        <f>'HER Detail_REM G214 gas'!J5</f>
        <v>1854.0865799999999</v>
      </c>
      <c r="L16" s="1605">
        <f>'HER Detail_REM G214 gas'!K5</f>
        <v>10142.77</v>
      </c>
      <c r="M16" s="1605">
        <f>'HER Detail_REM G214 gas'!L5</f>
        <v>250</v>
      </c>
      <c r="N16" s="1605">
        <f>'HER Detail_REM G214 gas'!M5</f>
        <v>25243</v>
      </c>
      <c r="O16" s="1605">
        <f>'HER Detail_REM G214 gas'!N5</f>
        <v>100</v>
      </c>
      <c r="P16" s="1605">
        <f>'HER Detail_REM G214 gas'!O5</f>
        <v>150</v>
      </c>
      <c r="Q16" s="1605">
        <f>'HER Detail_REM G214 gas'!P5</f>
        <v>25658.01</v>
      </c>
      <c r="R16" s="1605">
        <f>'HER Detail_REM G214 gas'!Q5</f>
        <v>0</v>
      </c>
      <c r="S16" s="1605">
        <f>'HER Detail_REM G214 gas'!R5</f>
        <v>66177.606579999992</v>
      </c>
      <c r="T16" s="2144">
        <f>'HER Detail_REM G214 gas'!S5</f>
        <v>239967</v>
      </c>
    </row>
    <row r="17" spans="2:20">
      <c r="B17" s="2259" t="s">
        <v>413</v>
      </c>
      <c r="C17" t="s">
        <v>83</v>
      </c>
      <c r="D17" s="2828" t="s">
        <v>591</v>
      </c>
      <c r="E17" s="2177" t="s">
        <v>189</v>
      </c>
      <c r="H17" s="1340">
        <v>18230684</v>
      </c>
      <c r="I17" s="654">
        <f>'SFNC Detail_REM G215 Gas'!H5</f>
        <v>13500</v>
      </c>
      <c r="J17" s="2142">
        <f>'SFNC Detail_REM G215 Gas'!I5</f>
        <v>10984.2</v>
      </c>
      <c r="K17" s="2142">
        <f>'SFNC Detail_REM G215 Gas'!J5</f>
        <v>16330.9614</v>
      </c>
      <c r="L17" s="2142">
        <f>'SFNC Detail_REM G215 Gas'!K5</f>
        <v>6000</v>
      </c>
      <c r="M17" s="2142">
        <f>'SFNC Detail_REM G215 Gas'!L5</f>
        <v>0</v>
      </c>
      <c r="N17" s="2142">
        <f>'SFNC Detail_REM G215 Gas'!M5</f>
        <v>0</v>
      </c>
      <c r="O17" s="2142">
        <f>'SFNC Detail_REM G215 Gas'!N5</f>
        <v>1000</v>
      </c>
      <c r="P17" s="2142">
        <f>'SFNC Detail_REM G215 Gas'!O5</f>
        <v>0</v>
      </c>
      <c r="Q17" s="2142">
        <f>'SFNC Detail_REM G215 Gas'!P5</f>
        <v>0</v>
      </c>
      <c r="R17" s="2142">
        <f>'SFNC Detail_REM G215 Gas'!Q5</f>
        <v>0</v>
      </c>
      <c r="S17" s="2142">
        <f>'SFNC Detail_REM G215 Gas'!R5</f>
        <v>47815.161399999997</v>
      </c>
      <c r="T17" s="2144">
        <f>'SFNC Detail_REM G215 Gas'!S5</f>
        <v>0</v>
      </c>
    </row>
    <row r="18" spans="2:20">
      <c r="B18" s="2259" t="s">
        <v>412</v>
      </c>
      <c r="C18" t="s">
        <v>83</v>
      </c>
      <c r="D18" s="2828" t="s">
        <v>591</v>
      </c>
      <c r="E18" s="2177" t="s">
        <v>288</v>
      </c>
      <c r="H18" s="1340">
        <v>18230442</v>
      </c>
      <c r="I18" s="2142">
        <f>'NCMfgHomes Detail_REM G215 Gas'!H5</f>
        <v>0</v>
      </c>
      <c r="J18" s="654">
        <f>'NCMfgHomes Detail_REM G215 Gas'!I5</f>
        <v>0</v>
      </c>
      <c r="K18" s="2142">
        <f>'NCMfgHomes Detail_REM G215 Gas'!J5</f>
        <v>0</v>
      </c>
      <c r="L18" s="2142">
        <f>'NCMfgHomes Detail_REM G215 Gas'!K5</f>
        <v>0</v>
      </c>
      <c r="M18" s="2142">
        <f>'NCMfgHomes Detail_REM G215 Gas'!L5</f>
        <v>0</v>
      </c>
      <c r="N18" s="2142">
        <f>'NCMfgHomes Detail_REM G215 Gas'!M5</f>
        <v>0</v>
      </c>
      <c r="O18" s="2142">
        <f>'NCMfgHomes Detail_REM G215 Gas'!N5</f>
        <v>0</v>
      </c>
      <c r="P18" s="2142">
        <f>'NCMfgHomes Detail_REM G215 Gas'!O5</f>
        <v>0</v>
      </c>
      <c r="Q18" s="2142">
        <f>'NCMfgHomes Detail_REM G215 Gas'!P5</f>
        <v>0</v>
      </c>
      <c r="R18" s="2142">
        <f>'NCMfgHomes Detail_REM G215 Gas'!Q5</f>
        <v>0</v>
      </c>
      <c r="S18" s="2142">
        <f>'NCMfgHomes Detail_REM G215 Gas'!R5</f>
        <v>0</v>
      </c>
      <c r="T18" s="2144">
        <f>'NCMfgHomes Detail_REM G215 Gas'!S5</f>
        <v>0</v>
      </c>
    </row>
    <row r="19" spans="2:20">
      <c r="B19" s="2259" t="s">
        <v>414</v>
      </c>
      <c r="C19" t="s">
        <v>84</v>
      </c>
      <c r="D19" s="2829"/>
      <c r="E19" s="2177" t="s">
        <v>350</v>
      </c>
      <c r="H19" s="1340">
        <v>18230736</v>
      </c>
      <c r="I19" s="654">
        <f>'MF Retr Detail_REM G217 Gas'!H5</f>
        <v>54250.900000000009</v>
      </c>
      <c r="J19" s="654">
        <f>'MF Retr Detail_REM G217 Gas'!I5</f>
        <v>14400.000000000002</v>
      </c>
      <c r="K19" s="654">
        <f>'MF Retr Detail_REM G217 Gas'!J5</f>
        <v>45790.150300000008</v>
      </c>
      <c r="L19" s="654">
        <f>'MF Retr Detail_REM G217 Gas'!K5</f>
        <v>4000</v>
      </c>
      <c r="M19" s="654">
        <f>'MF Retr Detail_REM G217 Gas'!L5</f>
        <v>1000</v>
      </c>
      <c r="N19" s="654">
        <f>'MF Retr Detail_REM G217 Gas'!M5</f>
        <v>200000</v>
      </c>
      <c r="O19" s="654">
        <f>'MF Retr Detail_REM G217 Gas'!N5</f>
        <v>500</v>
      </c>
      <c r="P19" s="654">
        <f>'MF Retr Detail_REM G217 Gas'!O5</f>
        <v>500</v>
      </c>
      <c r="Q19" s="654">
        <f>'MF Retr Detail_REM G217 Gas'!P5</f>
        <v>654214</v>
      </c>
      <c r="R19" s="654">
        <f>'MF Retr Detail_REM G217 Gas'!Q5</f>
        <v>0</v>
      </c>
      <c r="S19" s="654">
        <f>'MF Retr Detail_REM G217 Gas'!R5</f>
        <v>974655.0503</v>
      </c>
      <c r="T19" s="2144">
        <f>'MF Retr Detail_REM G217 Gas'!S5</f>
        <v>102945.8</v>
      </c>
    </row>
    <row r="20" spans="2:20">
      <c r="B20" s="2259" t="s">
        <v>415</v>
      </c>
      <c r="C20" t="s">
        <v>85</v>
      </c>
      <c r="D20" s="2828" t="s">
        <v>591</v>
      </c>
      <c r="E20" s="2177" t="s">
        <v>298</v>
      </c>
      <c r="H20" s="1340">
        <v>18230673</v>
      </c>
      <c r="I20" s="654">
        <f>'MFNC Detail_REM G218 Gas'!H5</f>
        <v>30531</v>
      </c>
      <c r="J20" s="654">
        <f>'MFNC Detail_REM G218 Gas'!I5</f>
        <v>6000</v>
      </c>
      <c r="K20" s="654">
        <f>'MFNC Detail_REM G218 Gas'!J5</f>
        <v>24366.177</v>
      </c>
      <c r="L20" s="654">
        <f>'MFNC Detail_REM G218 Gas'!K5</f>
        <v>10000</v>
      </c>
      <c r="M20" s="654">
        <f>'MFNC Detail_REM G218 Gas'!L5</f>
        <v>500</v>
      </c>
      <c r="N20" s="654">
        <f>'MFNC Detail_REM G218 Gas'!M5</f>
        <v>0</v>
      </c>
      <c r="O20" s="654">
        <f>'MFNC Detail_REM G218 Gas'!N5</f>
        <v>500</v>
      </c>
      <c r="P20" s="654">
        <f>'MFNC Detail_REM G218 Gas'!O5</f>
        <v>500</v>
      </c>
      <c r="Q20" s="654">
        <f>'MFNC Detail_REM G218 Gas'!P5</f>
        <v>108120</v>
      </c>
      <c r="R20" s="654">
        <f>'MFNC Detail_REM G218 Gas'!Q5</f>
        <v>0</v>
      </c>
      <c r="S20" s="654">
        <f>'MFNC Detail_REM G218 Gas'!R5</f>
        <v>180517.177</v>
      </c>
      <c r="T20" s="2144">
        <f>'MFNC Detail_REM G218 Gas'!S5</f>
        <v>52630</v>
      </c>
    </row>
    <row r="21" spans="2:20" s="601" customFormat="1">
      <c r="B21" s="2011"/>
      <c r="D21" s="2830"/>
      <c r="E21" s="2010"/>
      <c r="G21" s="245" t="s">
        <v>155</v>
      </c>
      <c r="H21" s="653"/>
      <c r="I21" s="603">
        <f t="shared" ref="I21:T21" si="0">SUM(I7:I20)</f>
        <v>222472.31000000006</v>
      </c>
      <c r="J21" s="2012">
        <f t="shared" si="0"/>
        <v>61847.199999999997</v>
      </c>
      <c r="K21" s="2012">
        <f t="shared" si="0"/>
        <v>189641.11317000003</v>
      </c>
      <c r="L21" s="2012">
        <f t="shared" si="0"/>
        <v>424683.13</v>
      </c>
      <c r="M21" s="2012">
        <f t="shared" si="0"/>
        <v>11200</v>
      </c>
      <c r="N21" s="2012">
        <f t="shared" si="0"/>
        <v>554243</v>
      </c>
      <c r="O21" s="2012">
        <f t="shared" si="0"/>
        <v>20550</v>
      </c>
      <c r="P21" s="2012">
        <f t="shared" si="0"/>
        <v>21200</v>
      </c>
      <c r="Q21" s="2012">
        <f t="shared" si="0"/>
        <v>5853691.3699999992</v>
      </c>
      <c r="R21" s="2012">
        <f t="shared" si="0"/>
        <v>0</v>
      </c>
      <c r="S21" s="2012">
        <f t="shared" si="0"/>
        <v>7359528.1231700005</v>
      </c>
      <c r="T21" s="2013">
        <f t="shared" si="0"/>
        <v>1858637.32</v>
      </c>
    </row>
    <row r="22" spans="2:20">
      <c r="B22" s="2141"/>
      <c r="H22" s="650"/>
      <c r="I22" s="654"/>
      <c r="J22" s="654"/>
      <c r="K22" s="654"/>
      <c r="L22" s="654"/>
      <c r="M22" s="654"/>
      <c r="N22" s="654"/>
      <c r="O22" s="654"/>
      <c r="P22" s="654"/>
      <c r="Q22" s="654"/>
      <c r="R22" s="654"/>
      <c r="S22" s="654"/>
      <c r="T22" s="2144"/>
    </row>
    <row r="23" spans="2:20">
      <c r="B23" s="2141"/>
      <c r="H23" s="650"/>
      <c r="I23" s="654"/>
      <c r="J23" s="654"/>
      <c r="K23" s="654"/>
      <c r="L23" s="654"/>
      <c r="M23" s="654"/>
      <c r="N23" s="654"/>
      <c r="O23" s="654"/>
      <c r="P23" s="654"/>
      <c r="Q23" s="654"/>
      <c r="R23" s="654"/>
      <c r="S23" s="654"/>
      <c r="T23" s="2144"/>
    </row>
    <row r="24" spans="2:20">
      <c r="B24" s="2141"/>
      <c r="C24" t="s">
        <v>157</v>
      </c>
      <c r="H24" s="650"/>
      <c r="I24" s="654"/>
      <c r="J24" s="654"/>
      <c r="K24" s="654"/>
      <c r="L24" s="654"/>
      <c r="M24" s="654"/>
      <c r="N24" s="654"/>
      <c r="O24" s="654"/>
      <c r="P24" s="654"/>
      <c r="Q24" s="654"/>
      <c r="R24" s="654"/>
      <c r="S24" s="654"/>
      <c r="T24" s="2144"/>
    </row>
    <row r="25" spans="2:20">
      <c r="B25" s="2259" t="s">
        <v>416</v>
      </c>
      <c r="C25" s="1866" t="s">
        <v>308</v>
      </c>
      <c r="E25" t="s">
        <v>146</v>
      </c>
      <c r="H25" s="1340">
        <v>18230731</v>
      </c>
      <c r="I25" s="654">
        <f>'CI Retr Detail_BEM G250 Gas'!H5</f>
        <v>281700</v>
      </c>
      <c r="J25" s="654">
        <f>'CI Retr Detail_BEM G250 Gas'!I5</f>
        <v>4669</v>
      </c>
      <c r="K25" s="654">
        <f>'CI Retr Detail_BEM G250 Gas'!J5</f>
        <v>191000</v>
      </c>
      <c r="L25" s="654">
        <f>'CI Retr Detail_BEM G250 Gas'!K5</f>
        <v>0</v>
      </c>
      <c r="M25" s="654">
        <f>'CI Retr Detail_BEM G250 Gas'!L5</f>
        <v>8000</v>
      </c>
      <c r="N25" s="654">
        <f>'CI Retr Detail_BEM G250 Gas'!M5</f>
        <v>70000</v>
      </c>
      <c r="O25" s="654">
        <f>'CI Retr Detail_BEM G250 Gas'!N5</f>
        <v>2000</v>
      </c>
      <c r="P25" s="654">
        <f>'CI Retr Detail_BEM G250 Gas'!O5</f>
        <v>0</v>
      </c>
      <c r="Q25" s="654">
        <f>'CI Retr Detail_BEM G250 Gas'!P5</f>
        <v>1300000</v>
      </c>
      <c r="R25" s="654"/>
      <c r="S25" s="654">
        <f>'CI Retr Detail_BEM G250 Gas'!R5</f>
        <v>1857369</v>
      </c>
      <c r="T25" s="2144">
        <f>'CI Retr Detail_BEM G250 Gas'!S5</f>
        <v>355000</v>
      </c>
    </row>
    <row r="26" spans="2:20">
      <c r="B26" s="2259" t="s">
        <v>417</v>
      </c>
      <c r="C26" t="s">
        <v>152</v>
      </c>
      <c r="E26" t="s">
        <v>147</v>
      </c>
      <c r="H26" s="1340">
        <v>18230706</v>
      </c>
      <c r="I26" s="654">
        <f>'CI NC Detail_BEM G251 Gas'!H5</f>
        <v>47250</v>
      </c>
      <c r="J26" s="654">
        <f>'CI NC Detail_BEM G251 Gas'!I5</f>
        <v>1334</v>
      </c>
      <c r="K26" s="654">
        <f>'CI NC Detail_BEM G251 Gas'!J5</f>
        <v>32400</v>
      </c>
      <c r="L26" s="654">
        <f>'CI NC Detail_BEM G251 Gas'!K5</f>
        <v>9000</v>
      </c>
      <c r="M26" s="654">
        <f>'CI NC Detail_BEM G251 Gas'!L5</f>
        <v>1000</v>
      </c>
      <c r="N26" s="654">
        <f>'CI NC Detail_BEM G251 Gas'!M5</f>
        <v>12000</v>
      </c>
      <c r="O26" s="654">
        <f>'CI NC Detail_BEM G251 Gas'!N5</f>
        <v>1000</v>
      </c>
      <c r="P26" s="654">
        <f>'CI NC Detail_BEM G251 Gas'!O5</f>
        <v>2000</v>
      </c>
      <c r="Q26" s="654">
        <f>'CI NC Detail_BEM G251 Gas'!P5</f>
        <v>525000</v>
      </c>
      <c r="R26" s="654"/>
      <c r="S26" s="654">
        <f>'CI NC Detail_BEM G251 Gas'!R5</f>
        <v>630984</v>
      </c>
      <c r="T26" s="2144">
        <f>'CI NC Detail_BEM G251 Gas'!S5</f>
        <v>157500</v>
      </c>
    </row>
    <row r="27" spans="2:20" s="2177" customFormat="1">
      <c r="B27" s="2259"/>
      <c r="E27" s="2177" t="s">
        <v>748</v>
      </c>
      <c r="H27" s="3116"/>
      <c r="I27" s="2142">
        <f>SUM(I28:I29)</f>
        <v>171007.68</v>
      </c>
      <c r="J27" s="2142">
        <f t="shared" ref="J27:T27" si="1">SUM(J28:J29)</f>
        <v>500</v>
      </c>
      <c r="K27" s="2142">
        <f t="shared" si="1"/>
        <v>114441.92256000001</v>
      </c>
      <c r="L27" s="2142">
        <f t="shared" si="1"/>
        <v>0</v>
      </c>
      <c r="M27" s="2142">
        <f t="shared" si="1"/>
        <v>8700</v>
      </c>
      <c r="N27" s="2142">
        <f t="shared" si="1"/>
        <v>43250</v>
      </c>
      <c r="O27" s="2142">
        <f t="shared" si="1"/>
        <v>1000</v>
      </c>
      <c r="P27" s="2142">
        <f t="shared" si="1"/>
        <v>5000</v>
      </c>
      <c r="Q27" s="2142">
        <f>SUM(Q28:Q29)</f>
        <v>155000</v>
      </c>
      <c r="R27" s="2142">
        <f t="shared" si="1"/>
        <v>0</v>
      </c>
      <c r="S27" s="2142">
        <f>SUM(S28:S29)</f>
        <v>498899.60256000003</v>
      </c>
      <c r="T27" s="2144">
        <f t="shared" si="1"/>
        <v>500000</v>
      </c>
    </row>
    <row r="28" spans="2:20" s="2822" customFormat="1">
      <c r="B28" s="2821" t="s">
        <v>418</v>
      </c>
      <c r="C28" s="2822" t="s">
        <v>309</v>
      </c>
      <c r="E28" s="3366" t="s">
        <v>542</v>
      </c>
      <c r="H28" s="2825">
        <v>18230691</v>
      </c>
      <c r="I28" s="2824">
        <f>'RCM Detail_BEM 253 Gas'!H5</f>
        <v>161100</v>
      </c>
      <c r="J28" s="2824">
        <f>'RCM Detail_BEM 253 Gas'!I5</f>
        <v>0</v>
      </c>
      <c r="K28" s="2824">
        <f>'RCM Detail_BEM 253 Gas'!J5</f>
        <v>107500</v>
      </c>
      <c r="L28" s="2824">
        <f>'RCM Detail_BEM 253 Gas'!K5</f>
        <v>0</v>
      </c>
      <c r="M28" s="2824">
        <f>'RCM Detail_BEM 253 Gas'!L5</f>
        <v>8000</v>
      </c>
      <c r="N28" s="2824">
        <f>'RCM Detail_BEM 253 Gas'!M5</f>
        <v>40000</v>
      </c>
      <c r="O28" s="2824">
        <f>'RCM Detail_BEM 253 Gas'!N5</f>
        <v>1000</v>
      </c>
      <c r="P28" s="2824">
        <f>'RCM Detail_BEM 253 Gas'!O5</f>
        <v>5000</v>
      </c>
      <c r="Q28" s="2824">
        <f>'RCM Detail_BEM 253 Gas'!P5</f>
        <v>155000</v>
      </c>
      <c r="R28" s="2824"/>
      <c r="S28" s="2824">
        <f>'RCM Detail_BEM 253 Gas'!R5</f>
        <v>477600</v>
      </c>
      <c r="T28" s="2826">
        <f>'RCM Detail_BEM 253 Gas'!S5</f>
        <v>500000</v>
      </c>
    </row>
    <row r="29" spans="2:20" s="2822" customFormat="1">
      <c r="B29" s="2821" t="s">
        <v>1640</v>
      </c>
      <c r="E29" s="3366" t="s">
        <v>1639</v>
      </c>
      <c r="H29" s="3116" t="s">
        <v>1494</v>
      </c>
      <c r="I29" s="2824">
        <f>'ResAcctSW Detail_PSWE_Gas'!H5</f>
        <v>9907.68</v>
      </c>
      <c r="J29" s="2824">
        <f>'ResAcctSW Detail_PSWE_Gas'!I5</f>
        <v>500</v>
      </c>
      <c r="K29" s="2824">
        <f>'ResAcctSW Detail_PSWE_Gas'!J5</f>
        <v>6941.9225600000009</v>
      </c>
      <c r="L29" s="2824">
        <f>'ResAcctSW Detail_PSWE_Gas'!K5</f>
        <v>0</v>
      </c>
      <c r="M29" s="2824">
        <f>'ResAcctSW Detail_PSWE_Gas'!L5</f>
        <v>700</v>
      </c>
      <c r="N29" s="2824">
        <f>'ResAcctSW Detail_PSWE_Gas'!M5</f>
        <v>3250</v>
      </c>
      <c r="O29" s="2824">
        <f>'ResAcctSW Detail_PSWE_Gas'!N5</f>
        <v>0</v>
      </c>
      <c r="P29" s="2824">
        <f>'ResAcctSW Detail_PSWE_Gas'!O5</f>
        <v>0</v>
      </c>
      <c r="Q29" s="2824">
        <f>'ResAcctSW Detail_PSWE_Gas'!P5</f>
        <v>0</v>
      </c>
      <c r="R29" s="2824">
        <f>'ResAcctSW Detail_PSWE_Gas'!Q5</f>
        <v>0</v>
      </c>
      <c r="S29" s="2824">
        <f>'ResAcctSW Detail_PSWE_Gas'!R5</f>
        <v>21299.602559999999</v>
      </c>
      <c r="T29" s="2826"/>
    </row>
    <row r="30" spans="2:20">
      <c r="B30" s="2259" t="s">
        <v>419</v>
      </c>
      <c r="C30" t="s">
        <v>153</v>
      </c>
      <c r="E30" t="s">
        <v>150</v>
      </c>
      <c r="H30" s="1340">
        <v>18230694</v>
      </c>
      <c r="I30" s="654">
        <f>'TechEval Detail_BEM G261 Gas'!H5</f>
        <v>0</v>
      </c>
      <c r="J30" s="654">
        <f>'TechEval Detail_BEM G261 Gas'!I5</f>
        <v>0</v>
      </c>
      <c r="K30" s="654">
        <f>'TechEval Detail_BEM G261 Gas'!J5</f>
        <v>0</v>
      </c>
      <c r="L30" s="654">
        <f>'TechEval Detail_BEM G261 Gas'!K5</f>
        <v>0</v>
      </c>
      <c r="M30" s="654">
        <f>'TechEval Detail_BEM G261 Gas'!L5</f>
        <v>0</v>
      </c>
      <c r="N30" s="654">
        <f>'TechEval Detail_BEM G261 Gas'!M5</f>
        <v>0</v>
      </c>
      <c r="O30" s="654">
        <f>'TechEval Detail_BEM G261 Gas'!N5</f>
        <v>0</v>
      </c>
      <c r="P30" s="654">
        <f>'TechEval Detail_BEM G261 Gas'!O5</f>
        <v>0</v>
      </c>
      <c r="Q30" s="654">
        <f>'TechEval Detail_BEM G261 Gas'!P5</f>
        <v>0</v>
      </c>
      <c r="R30" s="654"/>
      <c r="S30" s="654">
        <f>'TechEval Detail_BEM G261 Gas'!R5</f>
        <v>0</v>
      </c>
      <c r="T30" s="2144">
        <f>'TechEval Detail_BEM G261 Gas'!S5</f>
        <v>0</v>
      </c>
    </row>
    <row r="31" spans="2:20">
      <c r="B31" s="2259" t="s">
        <v>420</v>
      </c>
      <c r="C31" t="s">
        <v>154</v>
      </c>
      <c r="E31" s="1761" t="s">
        <v>1642</v>
      </c>
      <c r="H31" s="1340"/>
      <c r="I31" s="654">
        <f t="shared" ref="I31:T31" si="2">SUM(I32:I37)</f>
        <v>87914.010000000009</v>
      </c>
      <c r="J31" s="2142">
        <f t="shared" si="2"/>
        <v>0</v>
      </c>
      <c r="K31" s="2142">
        <f t="shared" si="2"/>
        <v>58638.644670000009</v>
      </c>
      <c r="L31" s="2142">
        <f t="shared" si="2"/>
        <v>25250</v>
      </c>
      <c r="M31" s="2142">
        <f t="shared" si="2"/>
        <v>6225</v>
      </c>
      <c r="N31" s="2142">
        <f t="shared" si="2"/>
        <v>6915</v>
      </c>
      <c r="O31" s="2142">
        <f t="shared" si="2"/>
        <v>840</v>
      </c>
      <c r="P31" s="2142">
        <f t="shared" si="2"/>
        <v>74154.5</v>
      </c>
      <c r="Q31" s="2142">
        <f>SUM(Q32:Q37)</f>
        <v>1501123.0055</v>
      </c>
      <c r="R31" s="2142">
        <f t="shared" si="2"/>
        <v>0</v>
      </c>
      <c r="S31" s="2142">
        <f>SUM(S32:S37)</f>
        <v>1761060.16017</v>
      </c>
      <c r="T31" s="2144">
        <f t="shared" si="2"/>
        <v>661796</v>
      </c>
    </row>
    <row r="32" spans="2:20" s="2822" customFormat="1">
      <c r="B32" s="2821" t="s">
        <v>740</v>
      </c>
      <c r="C32" s="2822" t="s">
        <v>154</v>
      </c>
      <c r="E32" s="3366" t="s">
        <v>665</v>
      </c>
      <c r="H32" s="2823">
        <v>18231027</v>
      </c>
      <c r="I32" s="2824">
        <f>'Comm Kit-Laund_G262 Gas'!H5</f>
        <v>29908.890000000003</v>
      </c>
      <c r="J32" s="2824">
        <f>'Comm Kit-Laund_G262 Gas'!I5</f>
        <v>0</v>
      </c>
      <c r="K32" s="2824">
        <f>'Comm Kit-Laund_G262 Gas'!J5</f>
        <v>19949.229630000002</v>
      </c>
      <c r="L32" s="2824">
        <f>'Comm Kit-Laund_G262 Gas'!K5</f>
        <v>15000</v>
      </c>
      <c r="M32" s="2824">
        <f>'Comm Kit-Laund_G262 Gas'!L5</f>
        <v>5225</v>
      </c>
      <c r="N32" s="2824">
        <f>'Comm Kit-Laund_G262 Gas'!M5</f>
        <v>600</v>
      </c>
      <c r="O32" s="2824">
        <f>'Comm Kit-Laund_G262 Gas'!N5</f>
        <v>240</v>
      </c>
      <c r="P32" s="2824">
        <f>'Comm Kit-Laund_G262 Gas'!O5</f>
        <v>0</v>
      </c>
      <c r="Q32" s="2824">
        <f>'Comm Kit-Laund_G262 Gas'!P5</f>
        <v>328661.5</v>
      </c>
      <c r="R32" s="2824">
        <f>'Comm Kit-Laund_G262 Gas'!Q5</f>
        <v>0</v>
      </c>
      <c r="S32" s="2824">
        <f>'Comm Kit-Laund_G262 Gas'!R5</f>
        <v>399584.61962999997</v>
      </c>
      <c r="T32" s="2826">
        <f>'Comm Kit-Laund_G262 Gas'!S5</f>
        <v>208526</v>
      </c>
    </row>
    <row r="33" spans="2:20" s="2822" customFormat="1" hidden="1">
      <c r="B33" s="2821" t="s">
        <v>741</v>
      </c>
      <c r="C33" s="2822" t="s">
        <v>154</v>
      </c>
      <c r="E33" s="3366" t="s">
        <v>666</v>
      </c>
      <c r="H33" s="2823">
        <v>18231028</v>
      </c>
      <c r="I33" s="2824">
        <f>'Comm DI_G262 Gas'!H5</f>
        <v>0</v>
      </c>
      <c r="J33" s="2824">
        <f>'Comm DI_G262 Gas'!I5</f>
        <v>0</v>
      </c>
      <c r="K33" s="2824">
        <f>'Comm DI_G262 Gas'!J5</f>
        <v>0</v>
      </c>
      <c r="L33" s="2824">
        <f>'Comm DI_G262 Gas'!K5</f>
        <v>0</v>
      </c>
      <c r="M33" s="2824">
        <f>'Comm DI_G262 Gas'!L5</f>
        <v>0</v>
      </c>
      <c r="N33" s="2824">
        <f>'Comm DI_G262 Gas'!M5</f>
        <v>0</v>
      </c>
      <c r="O33" s="2824">
        <f>'Comm DI_G262 Gas'!N5</f>
        <v>0</v>
      </c>
      <c r="P33" s="2824">
        <f>'Comm DI_G262 Gas'!O5</f>
        <v>0</v>
      </c>
      <c r="Q33" s="2824">
        <f>'Comm DI_G262 Gas'!P5</f>
        <v>0</v>
      </c>
      <c r="R33" s="2824">
        <f>'Comm DI_G262 Gas'!Q5</f>
        <v>0</v>
      </c>
      <c r="S33" s="2824">
        <f>'Comm DI_G262 Gas'!R5</f>
        <v>0</v>
      </c>
      <c r="T33" s="2826">
        <f>'Comm DI_G262 Gas'!S5</f>
        <v>0</v>
      </c>
    </row>
    <row r="34" spans="2:20" s="2822" customFormat="1">
      <c r="B34" s="2821" t="s">
        <v>742</v>
      </c>
      <c r="C34" s="2822" t="s">
        <v>154</v>
      </c>
      <c r="E34" s="3366" t="s">
        <v>660</v>
      </c>
      <c r="H34" s="2823">
        <v>18231029</v>
      </c>
      <c r="I34" s="2824">
        <f>'Comm HVAC_G262 Gas'!H5</f>
        <v>13594.95</v>
      </c>
      <c r="J34" s="2824">
        <f>'Comm HVAC_G262 Gas'!I5</f>
        <v>0</v>
      </c>
      <c r="K34" s="2824">
        <f>'Comm HVAC_G262 Gas'!J5</f>
        <v>9067.8316500000019</v>
      </c>
      <c r="L34" s="2824">
        <f>'Comm HVAC_G262 Gas'!K5</f>
        <v>0</v>
      </c>
      <c r="M34" s="2824">
        <f>'Comm HVAC_G262 Gas'!L5</f>
        <v>500</v>
      </c>
      <c r="N34" s="2824">
        <f>'Comm HVAC_G262 Gas'!M5</f>
        <v>0</v>
      </c>
      <c r="O34" s="2824">
        <f>'Comm HVAC_G262 Gas'!N5</f>
        <v>100</v>
      </c>
      <c r="P34" s="2824">
        <f>'Comm HVAC_G262 Gas'!O5</f>
        <v>120</v>
      </c>
      <c r="Q34" s="2824">
        <f>'Comm HVAC_G262 Gas'!P5</f>
        <v>22500.003000000001</v>
      </c>
      <c r="R34" s="2824">
        <f>'Comm HVAC_G262 Gas'!Q5</f>
        <v>0</v>
      </c>
      <c r="S34" s="2824">
        <f>'Comm HVAC_G262 Gas'!R5</f>
        <v>45882.784650000001</v>
      </c>
      <c r="T34" s="2826">
        <f>'Comm HVAC_G262 Gas'!S5</f>
        <v>23600</v>
      </c>
    </row>
    <row r="35" spans="2:20" s="2822" customFormat="1">
      <c r="B35" s="3119" t="s">
        <v>1614</v>
      </c>
      <c r="C35" s="3118" t="s">
        <v>154</v>
      </c>
      <c r="D35" s="3118"/>
      <c r="E35" s="3367" t="s">
        <v>1491</v>
      </c>
      <c r="G35" s="3118"/>
      <c r="H35" s="246" t="s">
        <v>1615</v>
      </c>
      <c r="I35" s="2824">
        <f>'Sm Agr DI_G262 Gas'!H5</f>
        <v>16313.94</v>
      </c>
      <c r="J35" s="2824">
        <f>'Sm Agr DI_G262 Gas'!I5</f>
        <v>0</v>
      </c>
      <c r="K35" s="2824">
        <f>'Sm Agr DI_G262 Gas'!J5</f>
        <v>10881.397980000002</v>
      </c>
      <c r="L35" s="2824">
        <f>'Sm Agr DI_G262 Gas'!K5</f>
        <v>0</v>
      </c>
      <c r="M35" s="2824">
        <f>'Sm Agr DI_G262 Gas'!L5</f>
        <v>0</v>
      </c>
      <c r="N35" s="2824">
        <f>'Sm Agr DI_G262 Gas'!M5</f>
        <v>315</v>
      </c>
      <c r="O35" s="2824">
        <f>'Sm Agr DI_G262 Gas'!N5</f>
        <v>0</v>
      </c>
      <c r="P35" s="2824">
        <f>'Sm Agr DI_G262 Gas'!O5</f>
        <v>4725</v>
      </c>
      <c r="Q35" s="2824">
        <f>'Sm Agr DI_G262 Gas'!P5</f>
        <v>12549.1975</v>
      </c>
      <c r="R35" s="2824">
        <f>'Sm Agr DI_G262 Gas'!Q5</f>
        <v>0</v>
      </c>
      <c r="S35" s="2824">
        <f>'Sm Agr DI_G262 Gas'!R5</f>
        <v>44784.535480000006</v>
      </c>
      <c r="T35" s="2826">
        <f>'Sm Agr DI_G262 Gas'!S5</f>
        <v>18915</v>
      </c>
    </row>
    <row r="36" spans="2:20" s="2822" customFormat="1">
      <c r="B36" s="3119" t="s">
        <v>1618</v>
      </c>
      <c r="C36" s="3118" t="s">
        <v>154</v>
      </c>
      <c r="D36" s="3118"/>
      <c r="E36" s="3367" t="s">
        <v>1492</v>
      </c>
      <c r="G36" s="3118"/>
      <c r="H36" s="246" t="s">
        <v>1619</v>
      </c>
      <c r="I36" s="2824">
        <f>'Lodging DI_G262_Gas'!H5</f>
        <v>9063.3000000000011</v>
      </c>
      <c r="J36" s="2824">
        <f>'Lodging DI_G262_Gas'!I5</f>
        <v>0</v>
      </c>
      <c r="K36" s="2824">
        <f>'Lodging DI_G262_Gas'!J5</f>
        <v>6045.2211000000007</v>
      </c>
      <c r="L36" s="2824">
        <f>'Lodging DI_G262_Gas'!K5</f>
        <v>10000</v>
      </c>
      <c r="M36" s="2824">
        <f>'Lodging DI_G262_Gas'!L5</f>
        <v>500</v>
      </c>
      <c r="N36" s="2824">
        <f>'Lodging DI_G262_Gas'!M5</f>
        <v>0</v>
      </c>
      <c r="O36" s="2824">
        <f>'Lodging DI_G262_Gas'!N5</f>
        <v>500</v>
      </c>
      <c r="P36" s="2824">
        <f>'Lodging DI_G262_Gas'!O5</f>
        <v>500</v>
      </c>
      <c r="Q36" s="2824">
        <f>'Lodging DI_G262_Gas'!P5</f>
        <v>399551.63</v>
      </c>
      <c r="R36" s="2824">
        <f>'Lodging DI_G262_Gas'!Q5</f>
        <v>0</v>
      </c>
      <c r="S36" s="2824">
        <f>'Lodging DI_G262_Gas'!R5</f>
        <v>426160.15110000002</v>
      </c>
      <c r="T36" s="2826">
        <f>'Lodging DI_G262_Gas'!S5</f>
        <v>133170</v>
      </c>
    </row>
    <row r="37" spans="2:20" s="2822" customFormat="1">
      <c r="B37" s="2821" t="s">
        <v>743</v>
      </c>
      <c r="C37" s="2822" t="s">
        <v>154</v>
      </c>
      <c r="E37" s="3366" t="s">
        <v>553</v>
      </c>
      <c r="H37" s="2823">
        <v>18231022</v>
      </c>
      <c r="I37" s="2824">
        <f>'Sm Bus DI_G262 Gas'!H5</f>
        <v>19032.930000000004</v>
      </c>
      <c r="J37" s="2824">
        <f>'Sm Bus DI_G262 Gas'!I5</f>
        <v>0</v>
      </c>
      <c r="K37" s="2824">
        <f>'Sm Bus DI_G262 Gas'!J5</f>
        <v>12694.964310000003</v>
      </c>
      <c r="L37" s="2824">
        <f>'Sm Bus DI_G262 Gas'!K5</f>
        <v>250</v>
      </c>
      <c r="M37" s="2824">
        <f>'Sm Bus DI_G262 Gas'!L5</f>
        <v>0</v>
      </c>
      <c r="N37" s="2824">
        <f>'Sm Bus DI_G262 Gas'!M5</f>
        <v>6000</v>
      </c>
      <c r="O37" s="2824">
        <f>'Sm Bus DI_G262 Gas'!N5</f>
        <v>0</v>
      </c>
      <c r="P37" s="2824">
        <f>'Sm Bus DI_G262 Gas'!O5</f>
        <v>68809.5</v>
      </c>
      <c r="Q37" s="2824">
        <f>'Sm Bus DI_G262 Gas'!P5</f>
        <v>737860.67500000005</v>
      </c>
      <c r="R37" s="2824">
        <f>'Sm Bus DI_G262 Gas'!Q5</f>
        <v>0</v>
      </c>
      <c r="S37" s="2824">
        <f>'Sm Bus DI_G262 Gas'!R5</f>
        <v>844648.06931000005</v>
      </c>
      <c r="T37" s="2826">
        <f>'Sm Bus DI_G262 Gas'!S5</f>
        <v>277585</v>
      </c>
    </row>
    <row r="38" spans="2:20" s="601" customFormat="1">
      <c r="D38" s="2064"/>
      <c r="G38" s="245" t="s">
        <v>156</v>
      </c>
      <c r="H38" s="653"/>
      <c r="I38" s="603">
        <f>SUM(I25:I27)+I30+I31</f>
        <v>587871.68999999994</v>
      </c>
      <c r="J38" s="2012">
        <f t="shared" ref="J38:R38" si="3">SUM(J25:J27)+J30+J31</f>
        <v>6503</v>
      </c>
      <c r="K38" s="2012">
        <f t="shared" si="3"/>
        <v>396480.56722999999</v>
      </c>
      <c r="L38" s="2012">
        <f t="shared" si="3"/>
        <v>34250</v>
      </c>
      <c r="M38" s="2012">
        <f t="shared" si="3"/>
        <v>23925</v>
      </c>
      <c r="N38" s="2012">
        <f t="shared" si="3"/>
        <v>132165</v>
      </c>
      <c r="O38" s="2012">
        <f t="shared" si="3"/>
        <v>4840</v>
      </c>
      <c r="P38" s="2012">
        <f t="shared" si="3"/>
        <v>81154.5</v>
      </c>
      <c r="Q38" s="2012">
        <f t="shared" si="3"/>
        <v>3481123.0055</v>
      </c>
      <c r="R38" s="2012">
        <f t="shared" si="3"/>
        <v>0</v>
      </c>
      <c r="S38" s="2012">
        <f>SUM(S25:S27)+S30+S31</f>
        <v>4748312.7627300005</v>
      </c>
      <c r="T38" s="2013">
        <f>SUM(T25:T27)+T30+T31</f>
        <v>1674296</v>
      </c>
    </row>
    <row r="39" spans="2:20">
      <c r="B39" s="2011"/>
      <c r="H39" s="650"/>
      <c r="I39" s="654"/>
      <c r="J39" s="654"/>
      <c r="K39" s="654"/>
      <c r="L39" s="654"/>
      <c r="M39" s="654"/>
      <c r="N39" s="654"/>
      <c r="O39" s="654"/>
      <c r="P39" s="654"/>
      <c r="Q39" s="654"/>
      <c r="R39" s="654"/>
      <c r="S39" s="654"/>
      <c r="T39" s="2144"/>
    </row>
    <row r="40" spans="2:20" s="2177" customFormat="1">
      <c r="B40" s="2011"/>
      <c r="I40" s="2142"/>
      <c r="J40" s="2142"/>
      <c r="K40" s="2142"/>
      <c r="L40" s="2142"/>
      <c r="M40" s="2142"/>
      <c r="N40" s="2142"/>
      <c r="O40" s="2142"/>
      <c r="P40" s="2142"/>
      <c r="Q40" s="2142"/>
      <c r="R40" s="2142"/>
      <c r="S40" s="2142"/>
      <c r="T40" s="2144"/>
    </row>
    <row r="41" spans="2:20" s="1569" customFormat="1">
      <c r="B41" s="2706"/>
      <c r="C41" s="1569" t="s">
        <v>77</v>
      </c>
      <c r="E41" s="2707"/>
      <c r="F41" s="2707"/>
      <c r="G41" s="2707"/>
      <c r="H41" s="2708"/>
      <c r="I41" s="2709"/>
      <c r="J41" s="2709"/>
      <c r="K41" s="2709"/>
      <c r="L41" s="2709"/>
      <c r="M41" s="2709"/>
      <c r="N41" s="2709"/>
      <c r="O41" s="2709"/>
      <c r="P41" s="2709"/>
      <c r="Q41" s="2709"/>
      <c r="R41" s="2709"/>
      <c r="S41" s="2709"/>
      <c r="T41" s="2710"/>
    </row>
    <row r="42" spans="2:20" s="2177" customFormat="1">
      <c r="B42" s="2259" t="s">
        <v>600</v>
      </c>
      <c r="C42" s="2177" t="s">
        <v>86</v>
      </c>
      <c r="E42" s="2177" t="s">
        <v>597</v>
      </c>
      <c r="H42" s="2711">
        <v>18230622</v>
      </c>
      <c r="I42" s="2142">
        <f>'REM Pilots Detail G249 Gas'!H5</f>
        <v>12045.54</v>
      </c>
      <c r="J42" s="2142">
        <f>'REM Pilots Detail G249 Gas'!I5</f>
        <v>1992</v>
      </c>
      <c r="K42" s="2142">
        <f>'REM Pilots Detail G249 Gas'!J5</f>
        <v>9363.0391800000016</v>
      </c>
      <c r="L42" s="2142">
        <f>'REM Pilots Detail G249 Gas'!K5</f>
        <v>0</v>
      </c>
      <c r="M42" s="2142">
        <f>'REM Pilots Detail G249 Gas'!L5</f>
        <v>2000</v>
      </c>
      <c r="N42" s="2142">
        <f>'REM Pilots Detail G249 Gas'!M5</f>
        <v>77000</v>
      </c>
      <c r="O42" s="2142">
        <f>'REM Pilots Detail G249 Gas'!N5</f>
        <v>500</v>
      </c>
      <c r="P42" s="2142">
        <f>'REM Pilots Detail G249 Gas'!O5</f>
        <v>649.41999999999996</v>
      </c>
      <c r="Q42" s="2142">
        <f>'REM Pilots Detail G249 Gas'!P5</f>
        <v>77479</v>
      </c>
      <c r="R42" s="2142">
        <f>'REM Pilots Detail G249 Gas'!Q5</f>
        <v>0</v>
      </c>
      <c r="S42" s="2142">
        <f>'REM Pilots Detail G249 Gas'!R5</f>
        <v>181028.99917999998</v>
      </c>
      <c r="T42" s="2144">
        <f>'REM Pilots Detail G249 Gas'!S5</f>
        <v>430529</v>
      </c>
    </row>
    <row r="43" spans="2:20" s="2177" customFormat="1">
      <c r="B43" s="2259" t="s">
        <v>599</v>
      </c>
      <c r="C43" s="2177" t="s">
        <v>86</v>
      </c>
      <c r="E43" s="2177" t="s">
        <v>621</v>
      </c>
      <c r="H43" s="1340">
        <v>18230639</v>
      </c>
      <c r="I43" s="2142">
        <f>'BEM Pilots Detail G249 Gas'!H5</f>
        <v>0</v>
      </c>
      <c r="J43" s="2142">
        <f>'BEM Pilots Detail G249 Gas'!I5</f>
        <v>0</v>
      </c>
      <c r="K43" s="2142">
        <f>'BEM Pilots Detail G249 Gas'!J5</f>
        <v>0</v>
      </c>
      <c r="L43" s="2142">
        <f>'BEM Pilots Detail G249 Gas'!K5</f>
        <v>0</v>
      </c>
      <c r="M43" s="2142">
        <f>'BEM Pilots Detail G249 Gas'!L5</f>
        <v>0</v>
      </c>
      <c r="N43" s="2142">
        <f>'BEM Pilots Detail G249 Gas'!M5</f>
        <v>0</v>
      </c>
      <c r="O43" s="2142">
        <f>'BEM Pilots Detail G249 Gas'!N5</f>
        <v>0</v>
      </c>
      <c r="P43" s="2142">
        <f>'BEM Pilots Detail G249 Gas'!O5</f>
        <v>0</v>
      </c>
      <c r="Q43" s="2142">
        <f>'BEM Pilots Detail G249 Gas'!P5</f>
        <v>0</v>
      </c>
      <c r="R43" s="2142">
        <f>'BEM Pilots Detail G249 Gas'!Q5</f>
        <v>0</v>
      </c>
      <c r="S43" s="2142">
        <f>'BEM Pilots Detail G249 Gas'!R5</f>
        <v>0</v>
      </c>
      <c r="T43" s="2144">
        <f>'BEM Pilots Detail G249 Gas'!S5</f>
        <v>0</v>
      </c>
    </row>
    <row r="44" spans="2:20" s="2177" customFormat="1">
      <c r="B44" s="2011"/>
      <c r="G44" s="2010" t="s">
        <v>601</v>
      </c>
      <c r="I44" s="2012">
        <f>SUM(I42:I43)</f>
        <v>12045.54</v>
      </c>
      <c r="J44" s="2012">
        <f t="shared" ref="J44:T44" si="4">SUM(J42:J43)</f>
        <v>1992</v>
      </c>
      <c r="K44" s="2012">
        <f t="shared" si="4"/>
        <v>9363.0391800000016</v>
      </c>
      <c r="L44" s="2012">
        <f t="shared" si="4"/>
        <v>0</v>
      </c>
      <c r="M44" s="2012">
        <f t="shared" si="4"/>
        <v>2000</v>
      </c>
      <c r="N44" s="2012">
        <f t="shared" si="4"/>
        <v>77000</v>
      </c>
      <c r="O44" s="2012">
        <f t="shared" si="4"/>
        <v>500</v>
      </c>
      <c r="P44" s="2012">
        <f t="shared" si="4"/>
        <v>649.41999999999996</v>
      </c>
      <c r="Q44" s="2012">
        <f t="shared" si="4"/>
        <v>77479</v>
      </c>
      <c r="R44" s="2012">
        <f t="shared" si="4"/>
        <v>0</v>
      </c>
      <c r="S44" s="2012">
        <f t="shared" si="4"/>
        <v>181028.99917999998</v>
      </c>
      <c r="T44" s="2013">
        <f t="shared" si="4"/>
        <v>430529</v>
      </c>
    </row>
    <row r="45" spans="2:20" s="2177" customFormat="1">
      <c r="B45" s="2011"/>
      <c r="G45" s="2010"/>
      <c r="I45" s="2142"/>
      <c r="J45" s="2142"/>
      <c r="K45" s="2142"/>
      <c r="L45" s="2142"/>
      <c r="M45" s="2142"/>
      <c r="N45" s="2142"/>
      <c r="O45" s="2142"/>
      <c r="P45" s="2142"/>
      <c r="Q45" s="2142"/>
      <c r="R45" s="2142"/>
      <c r="S45" s="2142"/>
      <c r="T45" s="2144"/>
    </row>
    <row r="46" spans="2:20" s="2177" customFormat="1">
      <c r="B46" s="2011"/>
      <c r="C46" s="2177" t="s">
        <v>158</v>
      </c>
      <c r="I46" s="2142"/>
      <c r="J46" s="2142"/>
      <c r="K46" s="2142"/>
      <c r="L46" s="2142"/>
      <c r="M46" s="2142"/>
      <c r="N46" s="2142"/>
      <c r="O46" s="2142"/>
      <c r="P46" s="2142"/>
      <c r="Q46" s="2142"/>
      <c r="R46" s="2142"/>
      <c r="S46" s="2142"/>
      <c r="T46" s="2144"/>
    </row>
    <row r="47" spans="2:20" s="2177" customFormat="1">
      <c r="B47" s="2259"/>
      <c r="E47" s="2177" t="s">
        <v>643</v>
      </c>
      <c r="H47" s="1340">
        <v>18230421</v>
      </c>
      <c r="I47" s="2142">
        <f>'NEEA Gas MT_no Sched Gas'!H5</f>
        <v>0</v>
      </c>
      <c r="J47" s="2142">
        <f>'NEEA Gas MT_no Sched Gas'!I5</f>
        <v>0</v>
      </c>
      <c r="K47" s="2142">
        <f>'NEEA Gas MT_no Sched Gas'!J5</f>
        <v>0</v>
      </c>
      <c r="L47" s="2142">
        <f>'NEEA Gas MT_no Sched Gas'!K5</f>
        <v>0</v>
      </c>
      <c r="M47" s="2142">
        <f>'NEEA Gas MT_no Sched Gas'!L5</f>
        <v>0</v>
      </c>
      <c r="N47" s="2142">
        <f>'NEEA Gas MT_no Sched Gas'!M5</f>
        <v>1086677</v>
      </c>
      <c r="O47" s="2142">
        <f>'NEEA Gas MT_no Sched Gas'!N5</f>
        <v>0</v>
      </c>
      <c r="P47" s="2142">
        <f>'NEEA Gas MT_no Sched Gas'!O5</f>
        <v>0</v>
      </c>
      <c r="Q47" s="2142">
        <f>'NEEA Gas MT_no Sched Gas'!P5</f>
        <v>0</v>
      </c>
      <c r="S47" s="2142">
        <f>'NEEA Gas MT_no Sched Gas'!R5</f>
        <v>1086677</v>
      </c>
      <c r="T47" s="2144"/>
    </row>
    <row r="48" spans="2:20" s="2177" customFormat="1">
      <c r="B48" s="2193"/>
      <c r="F48" s="2010"/>
      <c r="G48" s="2010" t="s">
        <v>162</v>
      </c>
      <c r="I48" s="2012">
        <f t="shared" ref="I48:T48" si="5">SUM(I47:I47)</f>
        <v>0</v>
      </c>
      <c r="J48" s="2012">
        <f t="shared" si="5"/>
        <v>0</v>
      </c>
      <c r="K48" s="2012">
        <f t="shared" si="5"/>
        <v>0</v>
      </c>
      <c r="L48" s="2012">
        <f t="shared" si="5"/>
        <v>0</v>
      </c>
      <c r="M48" s="2012">
        <f t="shared" si="5"/>
        <v>0</v>
      </c>
      <c r="N48" s="2012">
        <f t="shared" si="5"/>
        <v>1086677</v>
      </c>
      <c r="O48" s="2012">
        <f t="shared" si="5"/>
        <v>0</v>
      </c>
      <c r="P48" s="2012">
        <f t="shared" si="5"/>
        <v>0</v>
      </c>
      <c r="Q48" s="2012">
        <f t="shared" si="5"/>
        <v>0</v>
      </c>
      <c r="S48" s="2012">
        <f>SUM(S47:S47)</f>
        <v>1086677</v>
      </c>
      <c r="T48" s="2013">
        <f t="shared" si="5"/>
        <v>0</v>
      </c>
    </row>
    <row r="49" spans="2:20" s="2177" customFormat="1">
      <c r="B49" s="2011"/>
      <c r="I49" s="2142"/>
      <c r="J49" s="2142"/>
      <c r="K49" s="2142"/>
      <c r="L49" s="2142"/>
      <c r="M49" s="2142"/>
      <c r="N49" s="2142"/>
      <c r="O49" s="2142"/>
      <c r="P49" s="2142"/>
      <c r="Q49" s="2142"/>
      <c r="R49" s="2142"/>
      <c r="S49" s="2142"/>
      <c r="T49" s="2144"/>
    </row>
    <row r="50" spans="2:20">
      <c r="B50" s="2011"/>
      <c r="C50" s="2177" t="s">
        <v>335</v>
      </c>
      <c r="H50" s="650"/>
      <c r="I50" s="654"/>
      <c r="J50" s="654"/>
      <c r="K50" s="654"/>
      <c r="L50" s="654"/>
      <c r="M50" s="654"/>
      <c r="N50" s="654"/>
      <c r="O50" s="654"/>
      <c r="P50" s="654"/>
      <c r="Q50" s="654"/>
      <c r="R50" s="654"/>
      <c r="S50" s="654"/>
      <c r="T50" s="2144"/>
    </row>
    <row r="51" spans="2:20">
      <c r="B51" s="2259"/>
      <c r="C51" s="1164" t="s">
        <v>252</v>
      </c>
      <c r="E51" t="s">
        <v>163</v>
      </c>
      <c r="H51" s="2194"/>
      <c r="I51" s="654">
        <f>SUM(I52:I55)</f>
        <v>106157.34199999999</v>
      </c>
      <c r="J51" s="2142">
        <f t="shared" ref="J51:S51" si="6">SUM(J52:J55)</f>
        <v>1989.9</v>
      </c>
      <c r="K51" s="2142">
        <f t="shared" si="6"/>
        <v>72134.210414000001</v>
      </c>
      <c r="L51" s="2142">
        <f t="shared" si="6"/>
        <v>3180</v>
      </c>
      <c r="M51" s="2142">
        <f t="shared" si="6"/>
        <v>9112</v>
      </c>
      <c r="N51" s="2142">
        <f t="shared" si="6"/>
        <v>15790</v>
      </c>
      <c r="O51" s="2142">
        <f t="shared" si="6"/>
        <v>5978</v>
      </c>
      <c r="P51" s="2142">
        <f t="shared" si="6"/>
        <v>202</v>
      </c>
      <c r="Q51" s="2142">
        <f t="shared" si="6"/>
        <v>0</v>
      </c>
      <c r="R51" s="2142">
        <f t="shared" si="6"/>
        <v>0</v>
      </c>
      <c r="S51" s="2142">
        <f t="shared" si="6"/>
        <v>214543.45241399997</v>
      </c>
      <c r="T51" s="2144"/>
    </row>
    <row r="52" spans="2:20" s="2822" customFormat="1">
      <c r="B52" s="2821" t="s">
        <v>421</v>
      </c>
      <c r="E52" s="3366" t="s">
        <v>203</v>
      </c>
      <c r="H52" s="2825">
        <v>18230704</v>
      </c>
      <c r="I52" s="2824">
        <f>'Engy Adv Detail_PSCE_Gas'!H5</f>
        <v>45141</v>
      </c>
      <c r="J52" s="2824">
        <f>'Engy Adv Detail_PSCE_Gas'!I5</f>
        <v>0</v>
      </c>
      <c r="K52" s="2824">
        <f>'Engy Adv Detail_PSCE_Gas'!J5</f>
        <v>30109.047000000002</v>
      </c>
      <c r="L52" s="2824">
        <f>'Engy Adv Detail_PSCE_Gas'!K5</f>
        <v>0</v>
      </c>
      <c r="M52" s="2824">
        <f>'Engy Adv Detail_PSCE_Gas'!L5</f>
        <v>7832</v>
      </c>
      <c r="N52" s="2824">
        <f>'Engy Adv Detail_PSCE_Gas'!M5</f>
        <v>200</v>
      </c>
      <c r="O52" s="2824">
        <f>'Engy Adv Detail_PSCE_Gas'!N5</f>
        <v>453</v>
      </c>
      <c r="P52" s="2824">
        <f>'Engy Adv Detail_PSCE_Gas'!O5</f>
        <v>202</v>
      </c>
      <c r="Q52" s="2824">
        <f>'Engy Adv Detail_PSCE_Gas'!P5</f>
        <v>0</v>
      </c>
      <c r="R52" s="2824">
        <f>'Engy Adv Detail_PSCE_Gas'!Q5</f>
        <v>0</v>
      </c>
      <c r="S52" s="2824">
        <f>'Engy Adv Detail_PSCE_Gas'!R5</f>
        <v>83937.047000000006</v>
      </c>
      <c r="T52" s="2826"/>
    </row>
    <row r="53" spans="2:20" s="2822" customFormat="1">
      <c r="B53" s="2821" t="s">
        <v>422</v>
      </c>
      <c r="E53" s="3366" t="s">
        <v>204</v>
      </c>
      <c r="H53" s="2825">
        <v>18230653</v>
      </c>
      <c r="I53" s="2824">
        <f>'Events Detail_PSCE_Gas'!H5</f>
        <v>58797.859999999993</v>
      </c>
      <c r="J53" s="2824">
        <f>'Events Detail_PSCE_Gas'!I5</f>
        <v>0</v>
      </c>
      <c r="K53" s="2824">
        <f>'Events Detail_PSCE_Gas'!J5</f>
        <v>39218.172619999998</v>
      </c>
      <c r="L53" s="2824">
        <f>'Events Detail_PSCE_Gas'!K5</f>
        <v>1180</v>
      </c>
      <c r="M53" s="2824">
        <f>'Events Detail_PSCE_Gas'!L5</f>
        <v>1280</v>
      </c>
      <c r="N53" s="2824">
        <f>'Events Detail_PSCE_Gas'!M5</f>
        <v>14225</v>
      </c>
      <c r="O53" s="2824">
        <f>'Events Detail_PSCE_Gas'!N5</f>
        <v>715</v>
      </c>
      <c r="P53" s="2824">
        <f>'Events Detail_PSCE_Gas'!O5</f>
        <v>0</v>
      </c>
      <c r="Q53" s="2824">
        <f>'Events Detail_PSCE_Gas'!P5</f>
        <v>0</v>
      </c>
      <c r="R53" s="2824">
        <f>'Events Detail_PSCE_Gas'!Q5</f>
        <v>0</v>
      </c>
      <c r="S53" s="2824">
        <f>'Events Detail_PSCE_Gas'!R5</f>
        <v>115416.03261999998</v>
      </c>
      <c r="T53" s="2826"/>
    </row>
    <row r="54" spans="2:20" s="2822" customFormat="1">
      <c r="B54" s="2821" t="s">
        <v>423</v>
      </c>
      <c r="E54" s="3366" t="s">
        <v>357</v>
      </c>
      <c r="H54" s="2825">
        <v>18230685</v>
      </c>
      <c r="I54" s="2824">
        <f>'Brochure Detail_PSCE_Gas'!H5</f>
        <v>2218.482</v>
      </c>
      <c r="J54" s="2824">
        <f>'Brochure Detail_PSCE_Gas'!I5</f>
        <v>1989.9</v>
      </c>
      <c r="K54" s="2824">
        <f>'Brochure Detail_PSCE_Gas'!J5</f>
        <v>2806.9907940000003</v>
      </c>
      <c r="L54" s="2824">
        <f>'Brochure Detail_PSCE_Gas'!K5</f>
        <v>2000</v>
      </c>
      <c r="M54" s="2824">
        <f>'Brochure Detail_PSCE_Gas'!L5</f>
        <v>0</v>
      </c>
      <c r="N54" s="2824">
        <f>'Brochure Detail_PSCE_Gas'!M5</f>
        <v>390</v>
      </c>
      <c r="O54" s="2824">
        <f>'Brochure Detail_PSCE_Gas'!N5</f>
        <v>4810</v>
      </c>
      <c r="P54" s="2824">
        <f>'Brochure Detail_PSCE_Gas'!O5</f>
        <v>0</v>
      </c>
      <c r="Q54" s="2824">
        <f>'Brochure Detail_PSCE_Gas'!P5</f>
        <v>0</v>
      </c>
      <c r="R54" s="2824">
        <f>'Brochure Detail_PSCE_Gas'!Q5</f>
        <v>0</v>
      </c>
      <c r="S54" s="2824">
        <f>'Brochure Detail_PSCE_Gas'!R5</f>
        <v>14215.372793999999</v>
      </c>
      <c r="T54" s="2826"/>
    </row>
    <row r="55" spans="2:20" s="2822" customFormat="1">
      <c r="B55" s="2821" t="s">
        <v>424</v>
      </c>
      <c r="C55" s="2822" t="s">
        <v>354</v>
      </c>
      <c r="D55" s="3155"/>
      <c r="E55" s="3366" t="s">
        <v>205</v>
      </c>
      <c r="H55" s="2825">
        <v>18230671</v>
      </c>
      <c r="I55" s="2824">
        <f>'Eductn Detail_PSCE_G207 Gas'!H5</f>
        <v>0</v>
      </c>
      <c r="J55" s="2824">
        <f>'Eductn Detail_PSCE_G207 Gas'!I5</f>
        <v>0</v>
      </c>
      <c r="K55" s="2824">
        <f>'Eductn Detail_PSCE_G207 Gas'!J5</f>
        <v>0</v>
      </c>
      <c r="L55" s="2824">
        <f>'Eductn Detail_PSCE_G207 Gas'!K5</f>
        <v>0</v>
      </c>
      <c r="M55" s="2824">
        <f>'Eductn Detail_PSCE_G207 Gas'!L5</f>
        <v>0</v>
      </c>
      <c r="N55" s="2824">
        <f>'Eductn Detail_PSCE_G207 Gas'!M5</f>
        <v>975</v>
      </c>
      <c r="O55" s="2824">
        <f>'Eductn Detail_PSCE_G207 Gas'!N5</f>
        <v>0</v>
      </c>
      <c r="P55" s="2824">
        <f>'Eductn Detail_PSCE_G207 Gas'!O5</f>
        <v>0</v>
      </c>
      <c r="Q55" s="2824">
        <f>'Eductn Detail_PSCE_G207 Gas'!P5</f>
        <v>0</v>
      </c>
      <c r="R55" s="2824">
        <f>'Eductn Detail_PSCE_G207 Gas'!Q5</f>
        <v>0</v>
      </c>
      <c r="S55" s="2824">
        <f>'Eductn Detail_PSCE_G207 Gas'!R5</f>
        <v>975</v>
      </c>
      <c r="T55" s="2826"/>
    </row>
    <row r="56" spans="2:20">
      <c r="B56" s="2259"/>
      <c r="C56" s="1164" t="s">
        <v>252</v>
      </c>
      <c r="D56" s="1607"/>
      <c r="E56" s="2708" t="s">
        <v>756</v>
      </c>
      <c r="H56" s="1340"/>
      <c r="I56" s="654">
        <f>SUM(I57:I59)</f>
        <v>38027.94</v>
      </c>
      <c r="J56" s="2142">
        <f t="shared" ref="J56:S56" si="7">SUM(J57:J59)</f>
        <v>500</v>
      </c>
      <c r="K56" s="2142">
        <f t="shared" si="7"/>
        <v>25698.135980000003</v>
      </c>
      <c r="L56" s="2142">
        <f t="shared" si="7"/>
        <v>0</v>
      </c>
      <c r="M56" s="2142">
        <f t="shared" si="7"/>
        <v>2000</v>
      </c>
      <c r="N56" s="2142">
        <f>SUM(N57:N59)</f>
        <v>92690</v>
      </c>
      <c r="O56" s="2142">
        <f t="shared" si="7"/>
        <v>0</v>
      </c>
      <c r="P56" s="2142">
        <f t="shared" si="7"/>
        <v>0</v>
      </c>
      <c r="Q56" s="2142">
        <f t="shared" si="7"/>
        <v>0</v>
      </c>
      <c r="R56" s="2142">
        <f t="shared" si="7"/>
        <v>0</v>
      </c>
      <c r="S56" s="2142">
        <f t="shared" si="7"/>
        <v>158916.07597999999</v>
      </c>
      <c r="T56" s="2144"/>
    </row>
    <row r="57" spans="2:20" s="2822" customFormat="1">
      <c r="B57" s="2821" t="s">
        <v>425</v>
      </c>
      <c r="E57" s="3366" t="s">
        <v>786</v>
      </c>
      <c r="H57" s="2825">
        <v>18230737</v>
      </c>
      <c r="I57" s="2824">
        <f>'CustOnline Detail_PSWE_Gas'!H5</f>
        <v>0</v>
      </c>
      <c r="J57" s="2824">
        <f>'CustOnline Detail_PSWE_Gas'!I5</f>
        <v>0</v>
      </c>
      <c r="K57" s="2824">
        <f>'CustOnline Detail_PSWE_Gas'!J5</f>
        <v>0</v>
      </c>
      <c r="L57" s="2824">
        <f>'CustOnline Detail_PSWE_Gas'!K5</f>
        <v>0</v>
      </c>
      <c r="M57" s="2824">
        <f>'CustOnline Detail_PSWE_Gas'!L5</f>
        <v>0</v>
      </c>
      <c r="N57" s="2824">
        <f>'CustOnline Detail_PSWE_Gas'!M5</f>
        <v>88010</v>
      </c>
      <c r="O57" s="2824">
        <f>'CustOnline Detail_PSWE_Gas'!N5</f>
        <v>0</v>
      </c>
      <c r="P57" s="2824">
        <f>'CustOnline Detail_PSWE_Gas'!O5</f>
        <v>0</v>
      </c>
      <c r="Q57" s="2824">
        <f>'CustOnline Detail_PSWE_Gas'!P5</f>
        <v>0</v>
      </c>
      <c r="R57" s="2824"/>
      <c r="S57" s="2824">
        <f>'CustOnline Detail_PSWE_Gas'!R5</f>
        <v>88010</v>
      </c>
      <c r="T57" s="2826"/>
    </row>
    <row r="58" spans="2:20" s="2822" customFormat="1">
      <c r="B58" s="2821" t="s">
        <v>426</v>
      </c>
      <c r="E58" s="3366" t="s">
        <v>341</v>
      </c>
      <c r="H58" s="2825">
        <v>18230732</v>
      </c>
      <c r="I58" s="2824">
        <f>'Mkt Intg Detail_PSWE_Gas'!H5</f>
        <v>28700</v>
      </c>
      <c r="J58" s="2824">
        <f>'Mkt Intg Detail_PSWE_Gas'!I5</f>
        <v>0</v>
      </c>
      <c r="K58" s="2824">
        <f>'Mkt Intg Detail_PSWE_Gas'!J5</f>
        <v>19142.900000000001</v>
      </c>
      <c r="L58" s="2824">
        <f>'Mkt Intg Detail_PSWE_Gas'!K5</f>
        <v>0</v>
      </c>
      <c r="M58" s="2824">
        <f>'Mkt Intg Detail_PSWE_Gas'!L5</f>
        <v>1300</v>
      </c>
      <c r="N58" s="2824">
        <f>'Mkt Intg Detail_PSWE_Gas'!M5</f>
        <v>2080</v>
      </c>
      <c r="O58" s="2824">
        <f>'Mkt Intg Detail_PSWE_Gas'!N5</f>
        <v>0</v>
      </c>
      <c r="P58" s="2824">
        <f>'Mkt Intg Detail_PSWE_Gas'!O5</f>
        <v>0</v>
      </c>
      <c r="Q58" s="2824">
        <f>'Mkt Intg Detail_PSWE_Gas'!P5</f>
        <v>0</v>
      </c>
      <c r="R58" s="2824"/>
      <c r="S58" s="2824">
        <f>'Mkt Intg Detail_PSWE_Gas'!R5</f>
        <v>51222.9</v>
      </c>
      <c r="T58" s="2826"/>
    </row>
    <row r="59" spans="2:20" s="2822" customFormat="1">
      <c r="B59" s="2821" t="s">
        <v>1641</v>
      </c>
      <c r="E59" s="3366" t="s">
        <v>1636</v>
      </c>
      <c r="H59" s="3156">
        <v>18230667</v>
      </c>
      <c r="I59" s="2824">
        <f>'ABS Detail_PSWE_Gas'!H5</f>
        <v>9327.94</v>
      </c>
      <c r="J59" s="2824">
        <f>'ABS Detail_PSWE_Gas'!I5</f>
        <v>500</v>
      </c>
      <c r="K59" s="2824">
        <f>'ABS Detail_PSWE_Gas'!J5</f>
        <v>6555.2359800000004</v>
      </c>
      <c r="L59" s="2824">
        <f>'ABS Detail_PSWE_Gas'!K5</f>
        <v>0</v>
      </c>
      <c r="M59" s="2824">
        <f>'ABS Detail_PSWE_Gas'!L5</f>
        <v>700</v>
      </c>
      <c r="N59" s="2824">
        <f>'ABS Detail_PSWE_Gas'!M5</f>
        <v>2600</v>
      </c>
      <c r="O59" s="2824">
        <f>'ABS Detail_PSWE_Gas'!N5</f>
        <v>0</v>
      </c>
      <c r="P59" s="2824">
        <f>'ABS Detail_PSWE_Gas'!O5</f>
        <v>0</v>
      </c>
      <c r="Q59" s="2824">
        <f>'ABS Detail_PSWE_Gas'!P5</f>
        <v>0</v>
      </c>
      <c r="R59" s="2824">
        <f>'ABS Detail_PSWE_Gas'!P5</f>
        <v>0</v>
      </c>
      <c r="S59" s="2824">
        <f>'ABS Detail_PSWE_Gas'!R5</f>
        <v>19683.17598</v>
      </c>
      <c r="T59" s="2826"/>
    </row>
    <row r="60" spans="2:20" s="2177" customFormat="1">
      <c r="B60" s="2259" t="s">
        <v>745</v>
      </c>
      <c r="E60" s="2177" t="s">
        <v>1564</v>
      </c>
      <c r="H60" s="2263">
        <v>18230507</v>
      </c>
      <c r="I60" s="2142">
        <f>'Rebt Procg_Detail Gas'!H5</f>
        <v>57151.224000000002</v>
      </c>
      <c r="J60" s="2142">
        <f>'Rebt Procg_Detail Gas'!I5</f>
        <v>0</v>
      </c>
      <c r="K60" s="2142">
        <f>'Rebt Procg_Detail Gas'!J5</f>
        <v>38119.866408000002</v>
      </c>
      <c r="L60" s="2142">
        <f>'Rebt Procg_Detail Gas'!K5</f>
        <v>0</v>
      </c>
      <c r="M60" s="2142">
        <f>'Rebt Procg_Detail Gas'!L5</f>
        <v>2704</v>
      </c>
      <c r="N60" s="2142">
        <f>'Rebt Procg_Detail Gas'!M5</f>
        <v>0</v>
      </c>
      <c r="O60" s="2142">
        <f>'Rebt Procg_Detail Gas'!N5</f>
        <v>650</v>
      </c>
      <c r="P60" s="2142">
        <f>'Rebt Procg_Detail Gas'!O5</f>
        <v>0</v>
      </c>
      <c r="Q60" s="2142">
        <f>'Rebt Procg_Detail Gas'!P5</f>
        <v>0</v>
      </c>
      <c r="S60" s="2142">
        <f>'Rebt Procg_Detail Gas'!R5</f>
        <v>98625.090408000004</v>
      </c>
      <c r="T60" s="2144"/>
    </row>
    <row r="61" spans="2:20" s="2177" customFormat="1">
      <c r="B61" s="2259" t="s">
        <v>400</v>
      </c>
      <c r="E61" s="2195" t="s">
        <v>636</v>
      </c>
      <c r="F61" s="2194"/>
      <c r="G61" s="2194"/>
      <c r="H61" s="1340">
        <v>18230688</v>
      </c>
      <c r="I61" s="2142">
        <f>'Progs Supp Detail_PS_Gas'!H5</f>
        <v>25920.65</v>
      </c>
      <c r="J61" s="2142">
        <f>'Progs Supp Detail_PS_Gas'!I5</f>
        <v>0</v>
      </c>
      <c r="K61" s="2142">
        <f>'Progs Supp Detail_PS_Gas'!J5</f>
        <v>17289.073550000001</v>
      </c>
      <c r="L61" s="2142">
        <f>'Progs Supp Detail_PS_Gas'!K5</f>
        <v>0</v>
      </c>
      <c r="M61" s="2142">
        <f>'Progs Supp Detail_PS_Gas'!L5</f>
        <v>2000</v>
      </c>
      <c r="N61" s="2142">
        <f>'Progs Supp Detail_PS_Gas'!M5</f>
        <v>0</v>
      </c>
      <c r="O61" s="2142">
        <f>'Progs Supp Detail_PS_Gas'!N5</f>
        <v>0</v>
      </c>
      <c r="P61" s="2142">
        <f>'Progs Supp Detail_PS_Gas'!O5</f>
        <v>0</v>
      </c>
      <c r="Q61" s="2142">
        <f>'Progs Supp Detail_PS_Gas'!P5</f>
        <v>0</v>
      </c>
      <c r="S61" s="2142">
        <f>'Progs Supp Detail_PS_Gas'!R5</f>
        <v>45209.723550000002</v>
      </c>
      <c r="T61" s="2144"/>
    </row>
    <row r="62" spans="2:20" s="2177" customFormat="1">
      <c r="B62" s="2259" t="s">
        <v>746</v>
      </c>
      <c r="E62" s="2177" t="s">
        <v>637</v>
      </c>
      <c r="H62" s="2263">
        <v>18231005</v>
      </c>
      <c r="I62" s="2142">
        <f>'Data &amp; Systm Svcs Detail Gas'!H5</f>
        <v>64801.599999999999</v>
      </c>
      <c r="J62" s="2142">
        <f>'Data &amp; Systm Svcs Detail Gas'!I5</f>
        <v>0</v>
      </c>
      <c r="K62" s="2142">
        <f>'Data &amp; Systm Svcs Detail Gas'!J5</f>
        <v>43222.667200000004</v>
      </c>
      <c r="L62" s="2142">
        <f>'Data &amp; Systm Svcs Detail Gas'!K5</f>
        <v>0</v>
      </c>
      <c r="M62" s="2142">
        <f>'Data &amp; Systm Svcs Detail Gas'!L5</f>
        <v>2000</v>
      </c>
      <c r="N62" s="2142">
        <f>'Data &amp; Systm Svcs Detail Gas'!M5</f>
        <v>68900</v>
      </c>
      <c r="O62" s="2142">
        <f>'Data &amp; Systm Svcs Detail Gas'!N5</f>
        <v>0</v>
      </c>
      <c r="P62" s="2142">
        <f>'Data &amp; Systm Svcs Detail Gas'!O5</f>
        <v>0</v>
      </c>
      <c r="Q62" s="2142">
        <f>'Data &amp; Systm Svcs Detail Gas'!P5</f>
        <v>0</v>
      </c>
      <c r="R62" s="2142">
        <f>'Data &amp; Systm Svcs Detail Gas'!Q5</f>
        <v>0</v>
      </c>
      <c r="S62" s="2142">
        <f>'Data &amp; Systm Svcs Detail Gas'!R5</f>
        <v>178924.2672</v>
      </c>
      <c r="T62" s="2144"/>
    </row>
    <row r="63" spans="2:20">
      <c r="B63" s="2259" t="s">
        <v>427</v>
      </c>
      <c r="E63" t="s">
        <v>26</v>
      </c>
      <c r="H63" s="1340">
        <v>18230657</v>
      </c>
      <c r="I63" s="654">
        <f>'EEC Detail_PS_Gas'!H5</f>
        <v>56201.274000000005</v>
      </c>
      <c r="J63" s="654">
        <f>'EEC Detail_PS_Gas'!I5</f>
        <v>1132.3</v>
      </c>
      <c r="K63" s="654">
        <f>'EEC Detail_PS_Gas'!J5</f>
        <v>38241.493858000009</v>
      </c>
      <c r="L63" s="654">
        <f>'EEC Detail_PS_Gas'!K5</f>
        <v>13195</v>
      </c>
      <c r="M63" s="654">
        <f>'EEC Detail_PS_Gas'!L5</f>
        <v>10985</v>
      </c>
      <c r="N63" s="654">
        <f>'EEC Detail_PS_Gas'!M5</f>
        <v>4225</v>
      </c>
      <c r="O63" s="654">
        <f>'EEC Detail_PS_Gas'!N5</f>
        <v>6515</v>
      </c>
      <c r="P63" s="654">
        <f>'EEC Detail_PS_Gas'!O5</f>
        <v>0</v>
      </c>
      <c r="Q63" s="654">
        <f>'EEC Detail_PS_Gas'!P5</f>
        <v>0</v>
      </c>
      <c r="R63" s="654"/>
      <c r="S63" s="654">
        <f>'EEC Detail_PS_Gas'!R5</f>
        <v>130495.06785800002</v>
      </c>
      <c r="T63" s="2144"/>
    </row>
    <row r="64" spans="2:20">
      <c r="B64" s="2259" t="s">
        <v>428</v>
      </c>
      <c r="E64" s="18" t="s">
        <v>164</v>
      </c>
      <c r="F64" s="1862"/>
      <c r="G64" s="1862"/>
      <c r="H64" s="1340">
        <v>18230698</v>
      </c>
      <c r="I64" s="654">
        <f>'TradeAlly Detail_PS_gas'!H5</f>
        <v>0</v>
      </c>
      <c r="J64" s="654">
        <f>'TradeAlly Detail_PS_gas'!I5</f>
        <v>0</v>
      </c>
      <c r="K64" s="654">
        <f>'TradeAlly Detail_PS_gas'!J5</f>
        <v>0</v>
      </c>
      <c r="L64" s="654">
        <f>'TradeAlly Detail_PS_gas'!K5</f>
        <v>0</v>
      </c>
      <c r="M64" s="654">
        <f>'TradeAlly Detail_PS_gas'!L5</f>
        <v>0</v>
      </c>
      <c r="N64" s="654">
        <f>'TradeAlly Detail_PS_gas'!M5</f>
        <v>8450</v>
      </c>
      <c r="O64" s="654">
        <f>'TradeAlly Detail_PS_gas'!N5</f>
        <v>0</v>
      </c>
      <c r="P64" s="654">
        <f>'TradeAlly Detail_PS_gas'!O5</f>
        <v>12565</v>
      </c>
      <c r="Q64" s="654">
        <f>'TradeAlly Detail_PS_gas'!P5</f>
        <v>0</v>
      </c>
      <c r="R64" s="654"/>
      <c r="S64" s="654">
        <f>'TradeAlly Detail_PS_gas'!R5</f>
        <v>21015</v>
      </c>
      <c r="T64" s="2144"/>
    </row>
    <row r="65" spans="2:20" s="2177" customFormat="1">
      <c r="B65" s="2259" t="s">
        <v>747</v>
      </c>
      <c r="E65" s="2194" t="s">
        <v>662</v>
      </c>
      <c r="F65" s="2194"/>
      <c r="G65" s="2194"/>
      <c r="H65" s="2263">
        <v>18231031</v>
      </c>
      <c r="I65" s="2142">
        <f>'CAN_PS_Detail Gas'!H5</f>
        <v>151204.21000000002</v>
      </c>
      <c r="J65" s="2142">
        <f>'CAN_PS_Detail Gas'!I5</f>
        <v>4000</v>
      </c>
      <c r="K65" s="2142">
        <f>'CAN_PS_Detail Gas'!J5</f>
        <v>103521.20807000002</v>
      </c>
      <c r="L65" s="2142">
        <f>'CAN_PS_Detail Gas'!K5</f>
        <v>14000</v>
      </c>
      <c r="M65" s="2142">
        <f>'CAN_PS_Detail Gas'!L5</f>
        <v>5000</v>
      </c>
      <c r="N65" s="2142">
        <f>'CAN_PS_Detail Gas'!M5</f>
        <v>16000</v>
      </c>
      <c r="O65" s="2142">
        <f>'CAN_PS_Detail Gas'!N5</f>
        <v>1500</v>
      </c>
      <c r="P65" s="2142">
        <f>'CAN_PS_Detail Gas'!O5</f>
        <v>0</v>
      </c>
      <c r="Q65" s="2142">
        <f>'CAN_PS_Detail Gas'!P5</f>
        <v>0</v>
      </c>
      <c r="R65" s="2142">
        <f>'CAN_PS_Detail Gas'!Q5</f>
        <v>-313321.74</v>
      </c>
      <c r="S65" s="2142">
        <f>'CAN_PS_Detail Gas'!R5</f>
        <v>-18096.321929999976</v>
      </c>
      <c r="T65" s="2144"/>
    </row>
    <row r="66" spans="2:20" s="601" customFormat="1">
      <c r="D66" s="2064"/>
      <c r="F66" s="2010"/>
      <c r="G66" s="245" t="s">
        <v>165</v>
      </c>
      <c r="H66" s="604"/>
      <c r="I66" s="603">
        <f t="shared" ref="I66:S66" si="8">I51+I56+SUM(I60:I65)</f>
        <v>499464.24000000005</v>
      </c>
      <c r="J66" s="2012">
        <f t="shared" si="8"/>
        <v>7622.2000000000007</v>
      </c>
      <c r="K66" s="2012">
        <f t="shared" si="8"/>
        <v>338226.65548000002</v>
      </c>
      <c r="L66" s="2012">
        <f t="shared" si="8"/>
        <v>30375</v>
      </c>
      <c r="M66" s="2012">
        <f t="shared" si="8"/>
        <v>33801</v>
      </c>
      <c r="N66" s="2012">
        <f t="shared" si="8"/>
        <v>206055</v>
      </c>
      <c r="O66" s="2012">
        <f t="shared" si="8"/>
        <v>14643</v>
      </c>
      <c r="P66" s="2012">
        <f t="shared" si="8"/>
        <v>12767</v>
      </c>
      <c r="Q66" s="2012">
        <f t="shared" si="8"/>
        <v>0</v>
      </c>
      <c r="R66" s="2012">
        <f t="shared" si="8"/>
        <v>-313321.74</v>
      </c>
      <c r="S66" s="2012">
        <f t="shared" si="8"/>
        <v>829632.35548000014</v>
      </c>
      <c r="T66" s="2013"/>
    </row>
    <row r="67" spans="2:20">
      <c r="H67" s="599"/>
      <c r="I67" s="654"/>
      <c r="J67" s="654"/>
      <c r="K67" s="654"/>
      <c r="L67" s="654"/>
      <c r="M67" s="654"/>
      <c r="N67" s="654"/>
      <c r="O67" s="654"/>
      <c r="P67" s="654"/>
      <c r="Q67" s="654"/>
      <c r="R67" s="654"/>
      <c r="S67" s="654"/>
      <c r="T67" s="2144"/>
    </row>
    <row r="68" spans="2:20">
      <c r="C68" s="2177" t="s">
        <v>334</v>
      </c>
      <c r="H68" s="599"/>
      <c r="I68" s="654"/>
      <c r="J68" s="654"/>
      <c r="K68" s="654"/>
      <c r="L68" s="654"/>
      <c r="M68" s="654"/>
      <c r="N68" s="654"/>
      <c r="O68" s="654"/>
      <c r="P68" s="654"/>
      <c r="Q68" s="654"/>
      <c r="R68" s="654"/>
      <c r="S68" s="654"/>
      <c r="T68" s="2144"/>
    </row>
    <row r="69" spans="2:20">
      <c r="B69" s="2259" t="s">
        <v>429</v>
      </c>
      <c r="E69" t="s">
        <v>27</v>
      </c>
      <c r="H69" s="1340">
        <v>18230703</v>
      </c>
      <c r="I69" s="654">
        <f>'Supp Crv Detail_R&amp;C_gas'!H5</f>
        <v>13679.41</v>
      </c>
      <c r="J69" s="654">
        <f>'Supp Crv Detail_R&amp;C_gas'!I5</f>
        <v>0</v>
      </c>
      <c r="K69" s="654">
        <f>'Supp Crv Detail_R&amp;C_gas'!J5</f>
        <v>9124.1664700000001</v>
      </c>
      <c r="L69" s="654">
        <f>'Supp Crv Detail_R&amp;C_gas'!K5</f>
        <v>0</v>
      </c>
      <c r="M69" s="654">
        <f>'Supp Crv Detail_R&amp;C_gas'!L5</f>
        <v>156</v>
      </c>
      <c r="N69" s="654">
        <f>'Supp Crv Detail_R&amp;C_gas'!M5</f>
        <v>42900</v>
      </c>
      <c r="O69" s="654">
        <f>'Supp Crv Detail_R&amp;C_gas'!N5</f>
        <v>0</v>
      </c>
      <c r="P69" s="654">
        <f>'Supp Crv Detail_R&amp;C_gas'!O5</f>
        <v>0</v>
      </c>
      <c r="Q69" s="654">
        <f>'Supp Crv Detail_R&amp;C_gas'!P5</f>
        <v>0</v>
      </c>
      <c r="R69" s="654"/>
      <c r="S69" s="654">
        <f>'Supp Crv Detail_R&amp;C_gas'!R5</f>
        <v>65859.57647</v>
      </c>
      <c r="T69" s="2144"/>
    </row>
    <row r="70" spans="2:20">
      <c r="B70" s="2259" t="s">
        <v>430</v>
      </c>
      <c r="E70" t="s">
        <v>32</v>
      </c>
      <c r="H70" s="1340">
        <v>18230679</v>
      </c>
      <c r="I70" s="654">
        <f>'Strat Pln Detail_R&amp;C_Gas'!H5</f>
        <v>12539.36</v>
      </c>
      <c r="J70" s="654">
        <f>'Strat Pln Detail_R&amp;C_Gas'!I5</f>
        <v>0</v>
      </c>
      <c r="K70" s="654">
        <f>'Strat Pln Detail_R&amp;C_Gas'!J5</f>
        <v>8363.7531200000012</v>
      </c>
      <c r="L70" s="654">
        <f>'Strat Pln Detail_R&amp;C_Gas'!K5</f>
        <v>0</v>
      </c>
      <c r="M70" s="654">
        <f>'Strat Pln Detail_R&amp;C_Gas'!L5</f>
        <v>156</v>
      </c>
      <c r="N70" s="654">
        <f>'Strat Pln Detail_R&amp;C_Gas'!M5</f>
        <v>0</v>
      </c>
      <c r="O70" s="654">
        <f>'Strat Pln Detail_R&amp;C_Gas'!N5</f>
        <v>0</v>
      </c>
      <c r="P70" s="654">
        <f>'Strat Pln Detail_R&amp;C_Gas'!O5</f>
        <v>0</v>
      </c>
      <c r="Q70" s="654">
        <f>'Strat Pln Detail_R&amp;C_Gas'!P5</f>
        <v>0</v>
      </c>
      <c r="R70" s="654"/>
      <c r="S70" s="654">
        <f>'Strat Pln Detail_R&amp;C_Gas'!R5</f>
        <v>21059.113120000002</v>
      </c>
      <c r="T70" s="2144"/>
    </row>
    <row r="71" spans="2:20">
      <c r="B71" s="2259" t="s">
        <v>431</v>
      </c>
      <c r="E71" s="2177" t="s">
        <v>356</v>
      </c>
      <c r="H71" s="1340">
        <v>18230670</v>
      </c>
      <c r="I71" s="654">
        <f>'Mktg Rsch Detail_PS_gas'!H5</f>
        <v>21937.5</v>
      </c>
      <c r="J71" s="654">
        <f>'Mktg Rsch Detail_PS_gas'!I5</f>
        <v>0</v>
      </c>
      <c r="K71" s="654">
        <f>'Mktg Rsch Detail_PS_gas'!J5</f>
        <v>14632.3125</v>
      </c>
      <c r="L71" s="654">
        <f>'Mktg Rsch Detail_PS_gas'!K5</f>
        <v>0</v>
      </c>
      <c r="M71" s="654">
        <f>'Mktg Rsch Detail_PS_gas'!L5</f>
        <v>635.70000000000005</v>
      </c>
      <c r="N71" s="654">
        <f>'Mktg Rsch Detail_PS_gas'!M5</f>
        <v>4686.5</v>
      </c>
      <c r="O71" s="654">
        <f>'Mktg Rsch Detail_PS_gas'!N5</f>
        <v>201.5</v>
      </c>
      <c r="P71" s="654">
        <f>'Mktg Rsch Detail_PS_gas'!O5</f>
        <v>0</v>
      </c>
      <c r="Q71" s="654">
        <f>'Mktg Rsch Detail_PS_gas'!P5</f>
        <v>0</v>
      </c>
      <c r="R71" s="654"/>
      <c r="S71" s="654">
        <f>'Mktg Rsch Detail_PS_gas'!R5</f>
        <v>42093.512499999997</v>
      </c>
      <c r="T71" s="2144"/>
    </row>
    <row r="72" spans="2:20">
      <c r="B72" s="2259" t="s">
        <v>432</v>
      </c>
      <c r="E72" t="s">
        <v>28</v>
      </c>
      <c r="H72" s="1340">
        <v>18230699</v>
      </c>
      <c r="I72" s="654">
        <f>'Eval Detail_R&amp;C_Gas'!H5</f>
        <v>23443.14</v>
      </c>
      <c r="J72" s="654">
        <f>'Eval Detail_R&amp;C_Gas'!I5</f>
        <v>0</v>
      </c>
      <c r="K72" s="654">
        <f>'Eval Detail_R&amp;C_Gas'!J5</f>
        <v>15636.57438</v>
      </c>
      <c r="L72" s="654">
        <f>'Eval Detail_R&amp;C_Gas'!K5</f>
        <v>0</v>
      </c>
      <c r="M72" s="654">
        <f>'Eval Detail_R&amp;C_Gas'!L5</f>
        <v>149.5</v>
      </c>
      <c r="N72" s="654">
        <f>'Eval Detail_R&amp;C_Gas'!M5</f>
        <v>230750</v>
      </c>
      <c r="O72" s="654">
        <f>'Eval Detail_R&amp;C_Gas'!N5</f>
        <v>0</v>
      </c>
      <c r="P72" s="654">
        <f>'Eval Detail_R&amp;C_Gas'!O5</f>
        <v>585</v>
      </c>
      <c r="Q72" s="654">
        <f>'Eval Detail_R&amp;C_Gas'!P5</f>
        <v>0</v>
      </c>
      <c r="R72" s="654"/>
      <c r="S72" s="654">
        <f>'Eval Detail_R&amp;C_Gas'!R5</f>
        <v>270564.21438000002</v>
      </c>
      <c r="T72" s="2144"/>
    </row>
    <row r="73" spans="2:20" s="2140" customFormat="1">
      <c r="B73" s="2259" t="s">
        <v>433</v>
      </c>
      <c r="D73" s="2177"/>
      <c r="E73" s="2140" t="s">
        <v>267</v>
      </c>
      <c r="H73" s="2143">
        <v>18230668</v>
      </c>
      <c r="I73" s="2142">
        <f>'Verifctn team Detail Gas'!H5</f>
        <v>57151.224000000002</v>
      </c>
      <c r="J73" s="2142">
        <f>'Verifctn team Detail Gas'!I5</f>
        <v>0</v>
      </c>
      <c r="K73" s="2142">
        <f>'Verifctn team Detail Gas'!J5</f>
        <v>38119.866408000002</v>
      </c>
      <c r="L73" s="2142">
        <f>'Verifctn team Detail Gas'!K5</f>
        <v>0</v>
      </c>
      <c r="M73" s="2142">
        <f>'Verifctn team Detail Gas'!L5</f>
        <v>1274</v>
      </c>
      <c r="N73" s="2142">
        <f>'Verifctn team Detail Gas'!M5</f>
        <v>11700</v>
      </c>
      <c r="O73" s="2142">
        <f>'Verifctn team Detail Gas'!N5</f>
        <v>715</v>
      </c>
      <c r="P73" s="2142">
        <f>'Verifctn team Detail Gas'!O5</f>
        <v>0</v>
      </c>
      <c r="Q73" s="2142">
        <f>'Verifctn team Detail Gas'!P5</f>
        <v>0</v>
      </c>
      <c r="S73" s="2142">
        <f>'Verifctn team Detail Gas'!R5</f>
        <v>108960.090408</v>
      </c>
      <c r="T73" s="2144"/>
    </row>
    <row r="74" spans="2:20" s="601" customFormat="1">
      <c r="D74" s="2064"/>
      <c r="F74" s="2010"/>
      <c r="G74" s="245" t="s">
        <v>167</v>
      </c>
      <c r="H74" s="604"/>
      <c r="I74" s="603">
        <f t="shared" ref="I74:S74" si="9">SUM(I69:I73)</f>
        <v>128750.63400000001</v>
      </c>
      <c r="J74" s="603">
        <f t="shared" si="9"/>
        <v>0</v>
      </c>
      <c r="K74" s="603">
        <f t="shared" si="9"/>
        <v>85876.672878000012</v>
      </c>
      <c r="L74" s="603">
        <f t="shared" si="9"/>
        <v>0</v>
      </c>
      <c r="M74" s="603">
        <f t="shared" si="9"/>
        <v>2371.1999999999998</v>
      </c>
      <c r="N74" s="603">
        <f t="shared" si="9"/>
        <v>290036.5</v>
      </c>
      <c r="O74" s="603">
        <f t="shared" si="9"/>
        <v>916.5</v>
      </c>
      <c r="P74" s="603">
        <f t="shared" si="9"/>
        <v>585</v>
      </c>
      <c r="Q74" s="603">
        <f t="shared" si="9"/>
        <v>0</v>
      </c>
      <c r="R74" s="603">
        <f t="shared" si="9"/>
        <v>0</v>
      </c>
      <c r="S74" s="603">
        <f t="shared" si="9"/>
        <v>508536.50687799999</v>
      </c>
      <c r="T74" s="2013"/>
    </row>
    <row r="75" spans="2:20">
      <c r="H75" s="599"/>
      <c r="I75" s="654"/>
      <c r="J75" s="654"/>
      <c r="K75" s="654"/>
      <c r="L75" s="654"/>
      <c r="M75" s="654"/>
      <c r="N75" s="654"/>
      <c r="O75" s="654"/>
      <c r="P75" s="654"/>
      <c r="Q75" s="654"/>
      <c r="R75" s="654"/>
      <c r="S75" s="654"/>
      <c r="T75" s="2144"/>
    </row>
    <row r="76" spans="2:20" s="601" customFormat="1">
      <c r="D76" s="2064"/>
      <c r="F76" s="2010"/>
      <c r="G76" s="245" t="s">
        <v>171</v>
      </c>
      <c r="H76" s="653"/>
      <c r="I76" s="603">
        <f t="shared" ref="I76:T76" si="10">I74+I66+I48+I44+I38+I21</f>
        <v>1450604.4140000001</v>
      </c>
      <c r="J76" s="2012">
        <f t="shared" si="10"/>
        <v>77964.399999999994</v>
      </c>
      <c r="K76" s="2012">
        <f t="shared" si="10"/>
        <v>1019588.0479380001</v>
      </c>
      <c r="L76" s="2012">
        <f t="shared" si="10"/>
        <v>489308.13</v>
      </c>
      <c r="M76" s="2012">
        <f t="shared" si="10"/>
        <v>73297.2</v>
      </c>
      <c r="N76" s="2012">
        <f t="shared" si="10"/>
        <v>2346176.5</v>
      </c>
      <c r="O76" s="2012">
        <f t="shared" si="10"/>
        <v>41449.5</v>
      </c>
      <c r="P76" s="2012">
        <f t="shared" si="10"/>
        <v>116355.92</v>
      </c>
      <c r="Q76" s="2012">
        <f t="shared" si="10"/>
        <v>9412293.3754999992</v>
      </c>
      <c r="R76" s="2012">
        <f t="shared" si="10"/>
        <v>-313321.74</v>
      </c>
      <c r="S76" s="2012">
        <f t="shared" si="10"/>
        <v>14713715.747438002</v>
      </c>
      <c r="T76" s="2013">
        <f t="shared" si="10"/>
        <v>3963462.3200000003</v>
      </c>
    </row>
    <row r="77" spans="2:20">
      <c r="T77" s="2144"/>
    </row>
    <row r="78" spans="2:20" s="2316" customFormat="1" ht="213.75">
      <c r="B78" s="2315"/>
      <c r="F78" s="2317"/>
      <c r="G78" s="2321" t="s">
        <v>519</v>
      </c>
      <c r="H78" s="701" t="s">
        <v>217</v>
      </c>
      <c r="I78" s="2319" t="s">
        <v>496</v>
      </c>
      <c r="J78" s="2319" t="s">
        <v>494</v>
      </c>
      <c r="K78" s="2320" t="s">
        <v>497</v>
      </c>
      <c r="L78" s="2319" t="s">
        <v>495</v>
      </c>
      <c r="M78" s="2319" t="s">
        <v>498</v>
      </c>
      <c r="N78" s="2319" t="s">
        <v>499</v>
      </c>
      <c r="O78" s="2319" t="s">
        <v>500</v>
      </c>
      <c r="P78" s="2319" t="s">
        <v>501</v>
      </c>
      <c r="Q78" s="2319" t="s">
        <v>502</v>
      </c>
      <c r="R78" s="2319" t="s">
        <v>218</v>
      </c>
      <c r="S78" s="702"/>
      <c r="T78" s="2318"/>
    </row>
  </sheetData>
  <customSheetViews>
    <customSheetView guid="{074EB09C-6289-46D7-9513-012B68BCA7BF}" hiddenRows="1" topLeftCell="B1">
      <pane xSplit="7" ySplit="5" topLeftCell="Q6" activePane="bottomRight" state="frozen"/>
      <selection pane="bottomRight" activeCell="S17" sqref="S17"/>
      <pageMargins left="0.35" right="0.31" top="0.42" bottom="0.39" header="0.31" footer="0.3"/>
      <pageSetup paperSize="17" scale="65" orientation="landscape" r:id="rId1"/>
    </customSheetView>
    <customSheetView guid="{D9EFFE19-D14B-4C6F-BDF4-FF696F73968D}" topLeftCell="B1">
      <pane xSplit="7" ySplit="5" topLeftCell="I45" activePane="bottomRight" state="frozen"/>
      <selection pane="bottomRight" activeCell="B57" sqref="B57"/>
      <pageMargins left="0.35" right="0.31" top="0.42" bottom="0.39" header="0.31" footer="0.3"/>
      <pageSetup paperSize="17" scale="65" orientation="landscape" r:id="rId2"/>
    </customSheetView>
  </customSheetViews>
  <mergeCells count="1">
    <mergeCell ref="E5:G5"/>
  </mergeCells>
  <hyperlinks>
    <hyperlink ref="H71" location="'Mktg Rsch Detail_PS_gas'!A1" display="'Mktg Rsch Detail_PS_gas'!A1"/>
    <hyperlink ref="H69" location="'Supp Crv Detail_R&amp;C_gas'!A1" display="'Supp Crv Detail_R&amp;C_gas'!A1"/>
    <hyperlink ref="H70" location="'Strat Pln Detail_R&amp;C_Gas'!A1" display="'Strat Pln Detail_R&amp;C_Gas'!A1"/>
    <hyperlink ref="H72" location="'Eval Detail_R&amp;C_Gas'!A1" display="'Eval Detail_R&amp;C_Gas'!A1"/>
    <hyperlink ref="H73" location="'Verifctn team Detail Gas'!A1" display="'Verifctn team Detail Gas'!A1"/>
    <hyperlink ref="H57" location="'CustOnline Detail_PSWE_Gas'!A1" display="'CustOnline Detail_PSWE_Gas'!A1"/>
    <hyperlink ref="H58" location="'Mkt Intg Detail_PSWE_Gas'!A1" display="'Mkt Intg Detail_PSWE_Gas'!A1"/>
    <hyperlink ref="H64" location="'TradeAlly Detail_PS_gas'!A1" display="'TradeAlly Detail_PS_gas'!A1"/>
    <hyperlink ref="H52" location="'Engy Adv Detail_PSCE_Gas'!A1" display="'Engy Adv Detail_PSCE_Gas'!A1"/>
    <hyperlink ref="H54" location="'Brochure Detail_PSCE_Gas'!A1" display="'Brochure Detail_PSCE_Gas'!A1"/>
    <hyperlink ref="H55" location="'Eductn Detail_PSCE_G207 Gas'!A1" display="'Eductn Detail_PSCE_G207 Gas'!A1"/>
    <hyperlink ref="H53" location="'Events Detail_PSCE_Gas'!A1" display="'Events Detail_PSCE_Gas'!A1"/>
    <hyperlink ref="H25" location="'CI Retr Detail_BEM G250 Gas'!A1" display="'CI Retr Detail_BEM G250 Gas'!A1"/>
    <hyperlink ref="H28" location="'RCM Detail_BEM 253 Gas'!A1" display="'RCM Detail_BEM 253 Gas'!A1"/>
    <hyperlink ref="H26" location="'CI NC Detail_BEM G251 Gas'!A1" display="'CI NC Detail_BEM G251 Gas'!A1"/>
    <hyperlink ref="H30"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43" location="'BEM Pilots Detail G249 Gas'!A1" display="'BEM Pilots Detail G249 Gas'!A1"/>
    <hyperlink ref="H42" location="'REM Pilots Detail G249 Gas'!A1" display="18230nnn"/>
    <hyperlink ref="H47" location="'NEEA Detail_E254 elec'!A1" display="'NEEA Detail_E254 elec'!A1"/>
    <hyperlink ref="H32" location="'Comm Kit-Laund_G262 Gas'!A1" display="'Comm Kit-Laund_G262 Gas'!A1"/>
    <hyperlink ref="H33" location="'Comm DI_G262 Gas'!A1" display="'Comm DI_G262 Gas'!A1"/>
    <hyperlink ref="H34" location="'Comm HVAC_G262 Gas'!A1" display="'Comm HVAC_G262 Gas'!A1"/>
    <hyperlink ref="H37" location="'Sm Bus DI_G262 Gas'!A1" display="'Sm Bus DI_G262 Gas'!A1"/>
    <hyperlink ref="H63" location="'EEC Detail_PS_Gas'!A1" display="'EEC Detail_PS_Gas'!A1"/>
    <hyperlink ref="H60" location="'Rebt Procg_Detail Gas'!A1" display="'Rebt Procg_Detail Gas'!A1"/>
    <hyperlink ref="H61" location="'Progs Supp Detail_PS_Gas'!A1" display="'Progs Supp Detail_PS_Gas'!A1"/>
    <hyperlink ref="H62" location="'Data &amp; Systm Svcs Detail Gas'!A1" display="'Data &amp; Systm Svcs Detail Gas'!A1"/>
    <hyperlink ref="H65" location="'CAN_PS_Detail Gas'!A1" display="'CAN_PS_Detail Gas'!A1"/>
    <hyperlink ref="H18" location="'NCMfgHomes Detail_REM G215 Gas'!A1" display="'NCMfgHomes Detail_REM G215 Gas'!A1"/>
    <hyperlink ref="H35" location="'Sm Agr DI_G262 Gas'!A1" display="1823nnnn"/>
    <hyperlink ref="H36" location="'Lodging DI_G262_Gas'!A1" display="1823yyyy"/>
    <hyperlink ref="H29" location="'ResAcctSW Detail_PSWE_Gas'!A1" display="1823xxxx"/>
    <hyperlink ref="H59" location="'ABS Detail_PSWE_Gas'!A1" display="'ABS Detail_PSWE_Gas'!A1"/>
  </hyperlinks>
  <pageMargins left="0.35" right="0.31" top="0.42" bottom="0.39" header="0.31" footer="0.3"/>
  <pageSetup paperSize="3" scale="65" orientation="landscape" r:id="rId3"/>
  <ignoredErrors>
    <ignoredError sqref="R27:T38 T48 R56:T76" emptyCellReferenc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AG78"/>
  <sheetViews>
    <sheetView workbookViewId="0">
      <pane xSplit="8" ySplit="5" topLeftCell="I24" activePane="bottomRight" state="frozen"/>
      <selection pane="topRight" activeCell="I1" sqref="I1"/>
      <selection pane="bottomLeft" activeCell="A6" sqref="A6"/>
      <selection pane="bottomRight" activeCell="H35" sqref="H35"/>
    </sheetView>
  </sheetViews>
  <sheetFormatPr defaultRowHeight="12.75"/>
  <cols>
    <col min="1" max="1" width="1.7109375" style="1866" customWidth="1"/>
    <col min="2" max="2" width="23" style="1867" customWidth="1"/>
    <col min="3" max="3" width="8.140625" style="1866" customWidth="1"/>
    <col min="4" max="4" width="16.28515625" style="2177" customWidth="1"/>
    <col min="5" max="5" width="3.42578125" style="1866" customWidth="1"/>
    <col min="6" max="6" width="3.42578125" style="2007" customWidth="1"/>
    <col min="7" max="7" width="31.28515625" style="2007" customWidth="1"/>
    <col min="8" max="8" width="19.28515625" style="1866" customWidth="1"/>
    <col min="9" max="9" width="15.28515625" style="1605" customWidth="1"/>
    <col min="10" max="10" width="16.5703125" style="1605" customWidth="1"/>
    <col min="11" max="11" width="16.42578125" style="1605" customWidth="1"/>
    <col min="12" max="12" width="15.42578125" style="1605" customWidth="1"/>
    <col min="13" max="13" width="18.42578125" style="1605" customWidth="1"/>
    <col min="14" max="14" width="20" style="1605" customWidth="1"/>
    <col min="15" max="15" width="13.42578125" style="1605" customWidth="1"/>
    <col min="16" max="16" width="15.42578125" style="1605" customWidth="1"/>
    <col min="17" max="17" width="14.7109375" style="1605" customWidth="1"/>
    <col min="18" max="18" width="12.5703125" style="1605" customWidth="1"/>
    <col min="19" max="19" width="16.7109375" style="1605" customWidth="1"/>
    <col min="20" max="20" width="15.140625" style="600" customWidth="1"/>
    <col min="21" max="21" width="2.42578125" style="1866" customWidth="1"/>
    <col min="22" max="22" width="42.7109375" style="1866" customWidth="1"/>
    <col min="23" max="16384" width="9.140625" style="1866"/>
  </cols>
  <sheetData>
    <row r="2" spans="2:22" ht="18">
      <c r="C2" s="551" t="s">
        <v>664</v>
      </c>
      <c r="D2" s="551"/>
    </row>
    <row r="3" spans="2:22" ht="15">
      <c r="C3" s="552" t="s">
        <v>176</v>
      </c>
      <c r="D3" s="552"/>
      <c r="H3" s="1451"/>
      <c r="I3" s="2728" t="s">
        <v>623</v>
      </c>
      <c r="J3" s="2727"/>
    </row>
    <row r="4" spans="2:22" ht="36.75" customHeight="1" thickBot="1">
      <c r="I4" s="2012" t="s">
        <v>45</v>
      </c>
    </row>
    <row r="5" spans="2:22" ht="47.25" thickBot="1">
      <c r="B5" s="1844" t="s">
        <v>366</v>
      </c>
      <c r="C5" s="1866" t="s">
        <v>79</v>
      </c>
      <c r="D5" s="2177" t="s">
        <v>614</v>
      </c>
      <c r="E5" s="3593" t="s">
        <v>728</v>
      </c>
      <c r="F5" s="3593"/>
      <c r="G5" s="3593"/>
      <c r="H5" s="1806" t="s">
        <v>253</v>
      </c>
      <c r="I5" s="1870" t="s">
        <v>8</v>
      </c>
      <c r="J5" s="1871" t="s">
        <v>9</v>
      </c>
      <c r="K5" s="1871" t="s">
        <v>10</v>
      </c>
      <c r="L5" s="1871" t="s">
        <v>11</v>
      </c>
      <c r="M5" s="2310" t="s">
        <v>504</v>
      </c>
      <c r="N5" s="1871" t="s">
        <v>12</v>
      </c>
      <c r="O5" s="1871" t="s">
        <v>13</v>
      </c>
      <c r="P5" s="1871" t="s">
        <v>14</v>
      </c>
      <c r="Q5" s="1871" t="s">
        <v>38</v>
      </c>
      <c r="R5" s="1871" t="s">
        <v>39</v>
      </c>
      <c r="S5" s="1872" t="s">
        <v>16</v>
      </c>
      <c r="T5" s="1873" t="s">
        <v>177</v>
      </c>
      <c r="V5" s="1518" t="s">
        <v>174</v>
      </c>
    </row>
    <row r="6" spans="2:22">
      <c r="C6" s="1866" t="s">
        <v>78</v>
      </c>
    </row>
    <row r="7" spans="2:22">
      <c r="B7" s="2259" t="s">
        <v>402</v>
      </c>
      <c r="C7" s="1866" t="s">
        <v>310</v>
      </c>
      <c r="E7" s="1229" t="s">
        <v>175</v>
      </c>
      <c r="H7" s="1340">
        <v>18230661</v>
      </c>
      <c r="I7" s="1605">
        <f>'LowIncWx Detail_REM G201 Gas'!H6</f>
        <v>20726.320000000003</v>
      </c>
      <c r="J7" s="1605">
        <f>'LowIncWx Detail_REM G201 Gas'!I6</f>
        <v>1600</v>
      </c>
      <c r="K7" s="1605">
        <f>'LowIncWx Detail_REM G201 Gas'!J6</f>
        <v>15181.897600000004</v>
      </c>
      <c r="L7" s="1605">
        <f>'LowIncWx Detail_REM G201 Gas'!K6</f>
        <v>5000</v>
      </c>
      <c r="M7" s="1605">
        <f>'LowIncWx Detail_REM G201 Gas'!L6</f>
        <v>1000</v>
      </c>
      <c r="N7" s="1605">
        <f>'LowIncWx Detail_REM G201 Gas'!M6</f>
        <v>1000</v>
      </c>
      <c r="O7" s="1605">
        <f>'LowIncWx Detail_REM G201 Gas'!N6</f>
        <v>500</v>
      </c>
      <c r="P7" s="1605">
        <f>'LowIncWx Detail_REM G201 Gas'!O6</f>
        <v>500</v>
      </c>
      <c r="Q7" s="1605">
        <f>'LowIncWx Detail_REM G201 Gas'!P6</f>
        <v>239103.35999999999</v>
      </c>
      <c r="R7" s="1605">
        <f>'LowIncWx Detail_REM G201 Gas'!Q6</f>
        <v>0</v>
      </c>
      <c r="S7" s="1605">
        <f>'LowIncWx Detail_REM G201 Gas'!R6</f>
        <v>284611.57759999996</v>
      </c>
      <c r="T7" s="2144">
        <f>'LowIncWx Detail_REM G201 Gas'!S6</f>
        <v>18641.260000000002</v>
      </c>
    </row>
    <row r="8" spans="2:22">
      <c r="B8" s="2259" t="s">
        <v>403</v>
      </c>
      <c r="C8" s="1866" t="s">
        <v>82</v>
      </c>
      <c r="E8" s="2177" t="s">
        <v>1656</v>
      </c>
      <c r="H8" s="1340">
        <v>18230635</v>
      </c>
      <c r="I8" s="1605">
        <f>'HmEnrgyAsmt Detail_REM G214 Gas'!H6</f>
        <v>0</v>
      </c>
      <c r="J8" s="1605">
        <f>'HmEnrgyAsmt Detail_REM G214 Gas'!I6</f>
        <v>0</v>
      </c>
      <c r="K8" s="1605">
        <f>'HmEnrgyAsmt Detail_REM G214 Gas'!J6</f>
        <v>0</v>
      </c>
      <c r="L8" s="1605">
        <f>'HmEnrgyAsmt Detail_REM G214 Gas'!K6</f>
        <v>0</v>
      </c>
      <c r="M8" s="1605">
        <f>'HmEnrgyAsmt Detail_REM G214 Gas'!L6</f>
        <v>0</v>
      </c>
      <c r="N8" s="1605">
        <f>'HmEnrgyAsmt Detail_REM G214 Gas'!M6</f>
        <v>0</v>
      </c>
      <c r="O8" s="1605">
        <f>'HmEnrgyAsmt Detail_REM G214 Gas'!N6</f>
        <v>0</v>
      </c>
      <c r="P8" s="1605">
        <f>'HmEnrgyAsmt Detail_REM G214 Gas'!O6</f>
        <v>0</v>
      </c>
      <c r="Q8" s="1605">
        <f>'HmEnrgyAsmt Detail_REM G214 Gas'!P6</f>
        <v>0</v>
      </c>
      <c r="R8" s="1605">
        <f>'HmEnrgyAsmt Detail_REM G214 Gas'!Q6</f>
        <v>0</v>
      </c>
      <c r="S8" s="1605">
        <f>'HmEnrgyAsmt Detail_REM G214 Gas'!R6</f>
        <v>0</v>
      </c>
      <c r="T8" s="2144">
        <f>'HmEnrgyAsmt Detail_REM G214 Gas'!S6</f>
        <v>0</v>
      </c>
    </row>
    <row r="9" spans="2:22">
      <c r="B9" s="2259" t="s">
        <v>404</v>
      </c>
      <c r="C9" s="1866" t="s">
        <v>82</v>
      </c>
      <c r="E9" s="2177" t="s">
        <v>296</v>
      </c>
      <c r="H9" s="1340">
        <v>18230636</v>
      </c>
      <c r="I9" s="1605">
        <f>'WtrHeat Detail_REM G214 Gas'!H6</f>
        <v>0</v>
      </c>
      <c r="J9" s="1605">
        <f>'WtrHeat Detail_REM G214 Gas'!I6</f>
        <v>0</v>
      </c>
      <c r="K9" s="1605">
        <f>'WtrHeat Detail_REM G214 Gas'!J6</f>
        <v>0</v>
      </c>
      <c r="L9" s="1605">
        <f>'WtrHeat Detail_REM G214 Gas'!K6</f>
        <v>0</v>
      </c>
      <c r="M9" s="1605">
        <f>'WtrHeat Detail_REM G214 Gas'!L6</f>
        <v>0</v>
      </c>
      <c r="N9" s="1605">
        <f>'WtrHeat Detail_REM G214 Gas'!M6</f>
        <v>0</v>
      </c>
      <c r="O9" s="1605">
        <f>'WtrHeat Detail_REM G214 Gas'!N6</f>
        <v>0</v>
      </c>
      <c r="P9" s="1605">
        <f>'WtrHeat Detail_REM G214 Gas'!O6</f>
        <v>0</v>
      </c>
      <c r="Q9" s="1605">
        <f>'WtrHeat Detail_REM G214 Gas'!P6</f>
        <v>0</v>
      </c>
      <c r="R9" s="1605">
        <f>'WtrHeat Detail_REM G214 Gas'!Q6</f>
        <v>0</v>
      </c>
      <c r="S9" s="1605">
        <f>'WtrHeat Detail_REM G214 Gas'!R6</f>
        <v>0</v>
      </c>
      <c r="T9" s="2144">
        <f>'WtrHeat Detail_REM G214 Gas'!S6</f>
        <v>0</v>
      </c>
    </row>
    <row r="10" spans="2:22">
      <c r="B10" s="2259" t="s">
        <v>405</v>
      </c>
      <c r="C10" s="1866" t="s">
        <v>82</v>
      </c>
      <c r="E10" s="2177" t="s">
        <v>303</v>
      </c>
      <c r="H10" s="1340">
        <v>18230637</v>
      </c>
      <c r="I10" s="1605">
        <f>'Wx Detail_REM G214 Gas'!H6</f>
        <v>31585.660000000003</v>
      </c>
      <c r="J10" s="1605">
        <f>'Wx Detail_REM G214 Gas'!I6</f>
        <v>12306.15</v>
      </c>
      <c r="K10" s="1605">
        <f>'Wx Detail_REM G214 Gas'!J6</f>
        <v>29846.430800000006</v>
      </c>
      <c r="L10" s="1605">
        <f>'Wx Detail_REM G214 Gas'!K6</f>
        <v>41178.94</v>
      </c>
      <c r="M10" s="1605">
        <f>'Wx Detail_REM G214 Gas'!L6</f>
        <v>2500</v>
      </c>
      <c r="N10" s="1605">
        <f>'Wx Detail_REM G214 Gas'!M6</f>
        <v>280000</v>
      </c>
      <c r="O10" s="1605">
        <f>'Wx Detail_REM G214 Gas'!N6</f>
        <v>0</v>
      </c>
      <c r="P10" s="1605">
        <f>'Wx Detail_REM G214 Gas'!O6</f>
        <v>15000</v>
      </c>
      <c r="Q10" s="1605">
        <f>'Wx Detail_REM G214 Gas'!P6</f>
        <v>2227305</v>
      </c>
      <c r="R10" s="1605">
        <f>'Wx Detail_REM G214 Gas'!Q6</f>
        <v>0</v>
      </c>
      <c r="S10" s="1605">
        <f>'Wx Detail_REM G214 Gas'!R6</f>
        <v>2639722.1808000002</v>
      </c>
      <c r="T10" s="2144">
        <f>'Wx Detail_REM G214 Gas'!S6</f>
        <v>391187.5</v>
      </c>
    </row>
    <row r="11" spans="2:22">
      <c r="B11" s="2259" t="s">
        <v>406</v>
      </c>
      <c r="C11" s="1866" t="s">
        <v>82</v>
      </c>
      <c r="E11" s="2177" t="s">
        <v>302</v>
      </c>
      <c r="H11" s="1340">
        <v>18230638</v>
      </c>
      <c r="I11" s="1605">
        <f>'SpHeat Detail_REM G214 Gas'!H6</f>
        <v>44591.520000000004</v>
      </c>
      <c r="J11" s="1605">
        <f>'SpHeat Detail_REM G214 Gas'!I6</f>
        <v>14357.174999999999</v>
      </c>
      <c r="K11" s="1605">
        <f>'SpHeat Detail_REM G214 Gas'!J6</f>
        <v>40085.112600000008</v>
      </c>
      <c r="L11" s="1605">
        <f>'SpHeat Detail_REM G214 Gas'!K6</f>
        <v>225000</v>
      </c>
      <c r="M11" s="1605">
        <f>'SpHeat Detail_REM G214 Gas'!L6</f>
        <v>5400</v>
      </c>
      <c r="N11" s="1605">
        <f>'SpHeat Detail_REM G214 Gas'!M6</f>
        <v>18000</v>
      </c>
      <c r="O11" s="1605">
        <f>'SpHeat Detail_REM G214 Gas'!N6</f>
        <v>17200</v>
      </c>
      <c r="P11" s="1605">
        <f>'SpHeat Detail_REM G214 Gas'!O6</f>
        <v>4000</v>
      </c>
      <c r="Q11" s="1605">
        <f>'SpHeat Detail_REM G214 Gas'!P6</f>
        <v>2055250</v>
      </c>
      <c r="R11" s="1605">
        <f>'SpHeat Detail_REM G214 Gas'!Q6</f>
        <v>0</v>
      </c>
      <c r="S11" s="1605">
        <f>'SpHeat Detail_REM G214 Gas'!R6</f>
        <v>2423883.8075999999</v>
      </c>
      <c r="T11" s="2144">
        <f>'SpHeat Detail_REM G214 Gas'!S6</f>
        <v>645705</v>
      </c>
    </row>
    <row r="12" spans="2:22">
      <c r="B12" s="2259" t="s">
        <v>407</v>
      </c>
      <c r="C12" s="1866" t="s">
        <v>82</v>
      </c>
      <c r="E12" s="2177" t="s">
        <v>293</v>
      </c>
      <c r="H12" s="1340">
        <v>18230700</v>
      </c>
      <c r="I12" s="1605">
        <f>'ShwrHead Detail_REM G214 Gas'!H6</f>
        <v>15195.839999999998</v>
      </c>
      <c r="J12" s="1605">
        <f>'ShwrHead Detail_REM G214 Gas'!I6</f>
        <v>1640</v>
      </c>
      <c r="K12" s="1605">
        <f>'ShwrHead Detail_REM G214 Gas'!J6</f>
        <v>11448.3712</v>
      </c>
      <c r="L12" s="1605">
        <f>'ShwrHead Detail_REM G214 Gas'!K6</f>
        <v>103450.43</v>
      </c>
      <c r="M12" s="1605">
        <f>'ShwrHead Detail_REM G214 Gas'!L6</f>
        <v>300</v>
      </c>
      <c r="N12" s="1605">
        <f>'ShwrHead Detail_REM G214 Gas'!M6</f>
        <v>20000</v>
      </c>
      <c r="O12" s="1605">
        <f>'ShwrHead Detail_REM G214 Gas'!N6</f>
        <v>500</v>
      </c>
      <c r="P12" s="1605">
        <f>'ShwrHead Detail_REM G214 Gas'!O6</f>
        <v>300</v>
      </c>
      <c r="Q12" s="1605">
        <f>'ShwrHead Detail_REM G214 Gas'!P6</f>
        <v>377391</v>
      </c>
      <c r="R12" s="1605">
        <f>'ShwrHead Detail_REM G214 Gas'!Q6</f>
        <v>0</v>
      </c>
      <c r="S12" s="1605">
        <f>'ShwrHead Detail_REM G214 Gas'!R6</f>
        <v>530225.64119999995</v>
      </c>
      <c r="T12" s="2144">
        <f>'ShwrHead Detail_REM G214 Gas'!S6</f>
        <v>326630.76</v>
      </c>
    </row>
    <row r="13" spans="2:22">
      <c r="B13" s="2259" t="s">
        <v>408</v>
      </c>
      <c r="C13" s="1866" t="s">
        <v>82</v>
      </c>
      <c r="E13" s="1866" t="s">
        <v>68</v>
      </c>
      <c r="H13" s="1340" t="s">
        <v>258</v>
      </c>
      <c r="I13" s="1605">
        <f>'HmApplSvgs Detail_REM G214 Gas'!H6</f>
        <v>0</v>
      </c>
      <c r="J13" s="1605">
        <f>'HmApplSvgs Detail_REM G214 Gas'!I6</f>
        <v>0</v>
      </c>
      <c r="K13" s="1605">
        <f>'HmApplSvgs Detail_REM G214 Gas'!J6</f>
        <v>0</v>
      </c>
      <c r="L13" s="1605">
        <f>'HmApplSvgs Detail_REM G214 Gas'!K6</f>
        <v>0</v>
      </c>
      <c r="M13" s="1605">
        <f>'HmApplSvgs Detail_REM G214 Gas'!L6</f>
        <v>0</v>
      </c>
      <c r="N13" s="1605">
        <f>'HmApplSvgs Detail_REM G214 Gas'!M6</f>
        <v>0</v>
      </c>
      <c r="O13" s="1605">
        <f>'HmApplSvgs Detail_REM G214 Gas'!N6</f>
        <v>0</v>
      </c>
      <c r="P13" s="1605">
        <f>'HmApplSvgs Detail_REM G214 Gas'!O6</f>
        <v>0</v>
      </c>
      <c r="Q13" s="1605">
        <f>'HmApplSvgs Detail_REM G214 Gas'!P6</f>
        <v>16650</v>
      </c>
      <c r="R13" s="1605">
        <f>'HmApplSvgs Detail_REM G214 Gas'!Q6</f>
        <v>0</v>
      </c>
      <c r="S13" s="1605">
        <f>'HmApplSvgs Detail_REM G214 Gas'!R6</f>
        <v>16650</v>
      </c>
      <c r="T13" s="2144">
        <f>'HmApplSvgs Detail_REM G214 Gas'!S6</f>
        <v>46930</v>
      </c>
    </row>
    <row r="14" spans="2:22" s="2140" customFormat="1">
      <c r="B14" s="2259" t="s">
        <v>409</v>
      </c>
      <c r="C14" s="2140" t="s">
        <v>82</v>
      </c>
      <c r="D14" s="2177"/>
      <c r="E14" s="2140" t="s">
        <v>292</v>
      </c>
      <c r="H14" s="2143">
        <v>18230680</v>
      </c>
      <c r="I14" s="2142">
        <f>'MHDS Detail_REM G214 Gas'!H6</f>
        <v>0</v>
      </c>
      <c r="J14" s="2142">
        <f>'MHDS Detail_REM G214 Gas'!I6</f>
        <v>0</v>
      </c>
      <c r="K14" s="2142">
        <f>'MHDS Detail_REM G214 Gas'!J6</f>
        <v>0</v>
      </c>
      <c r="L14" s="2142">
        <f>'MHDS Detail_REM G214 Gas'!K6</f>
        <v>0</v>
      </c>
      <c r="M14" s="2142">
        <f>'MHDS Detail_REM G214 Gas'!L6</f>
        <v>0</v>
      </c>
      <c r="N14" s="2142">
        <f>'MHDS Detail_REM G214 Gas'!M6</f>
        <v>0</v>
      </c>
      <c r="O14" s="2142">
        <f>'MHDS Detail_REM G214 Gas'!N6</f>
        <v>0</v>
      </c>
      <c r="P14" s="2142">
        <f>'MHDS Detail_REM G214 Gas'!O6</f>
        <v>0</v>
      </c>
      <c r="Q14" s="2142">
        <f>'MHDS Detail_REM G214 Gas'!P6</f>
        <v>0</v>
      </c>
      <c r="R14" s="2142">
        <f>'MHDS Detail_REM G214 Gas'!Q6</f>
        <v>0</v>
      </c>
      <c r="S14" s="2142">
        <f>'MHDS Detail_REM G214 Gas'!R6</f>
        <v>0</v>
      </c>
      <c r="T14" s="2144">
        <f>'MHDS Detail_REM G214 Gas'!S6</f>
        <v>0</v>
      </c>
    </row>
    <row r="15" spans="2:22" s="2140" customFormat="1">
      <c r="B15" s="2259" t="s">
        <v>410</v>
      </c>
      <c r="C15" s="2140" t="s">
        <v>82</v>
      </c>
      <c r="D15" s="2177"/>
      <c r="E15" s="2140" t="s">
        <v>345</v>
      </c>
      <c r="H15" s="2143">
        <v>18230687</v>
      </c>
      <c r="I15" s="2142">
        <f>'WebTstat Detail_REM G214 Gas'!H6</f>
        <v>12346.6785</v>
      </c>
      <c r="J15" s="2142">
        <f>'WebTstat Detail_REM G214 Gas'!I6</f>
        <v>1282</v>
      </c>
      <c r="K15" s="2142">
        <f>'WebTstat Detail_REM G214 Gas'!J6</f>
        <v>9267.5013800000015</v>
      </c>
      <c r="L15" s="2142">
        <f>'WebTstat Detail_REM G214 Gas'!K6</f>
        <v>19911.150000000001</v>
      </c>
      <c r="M15" s="2142">
        <f>'WebTstat Detail_REM G214 Gas'!L6</f>
        <v>250</v>
      </c>
      <c r="N15" s="2142">
        <f>'WebTstat Detail_REM G214 Gas'!M6</f>
        <v>10000</v>
      </c>
      <c r="O15" s="2142">
        <f>'WebTstat Detail_REM G214 Gas'!N6</f>
        <v>250</v>
      </c>
      <c r="P15" s="2142">
        <f>'WebTstat Detail_REM G214 Gas'!O6</f>
        <v>250</v>
      </c>
      <c r="Q15" s="2142">
        <f>'WebTstat Detail_REM G214 Gas'!P6</f>
        <v>150000</v>
      </c>
      <c r="R15" s="2142">
        <f>'WebTstat Detail_REM G214 Gas'!Q6</f>
        <v>0</v>
      </c>
      <c r="S15" s="2142">
        <f>'WebTstat Detail_REM G214 Gas'!R6</f>
        <v>203557.32988</v>
      </c>
      <c r="T15" s="2144">
        <f>'WebTstat Detail_REM G214 Gas'!S6</f>
        <v>34000</v>
      </c>
    </row>
    <row r="16" spans="2:22">
      <c r="B16" s="2259" t="s">
        <v>411</v>
      </c>
      <c r="C16" s="1866" t="s">
        <v>82</v>
      </c>
      <c r="E16" s="2177" t="s">
        <v>290</v>
      </c>
      <c r="H16" s="1340">
        <v>18230738</v>
      </c>
      <c r="I16" s="1605">
        <f>'HER Detail_REM G214 gas'!H6</f>
        <v>0</v>
      </c>
      <c r="J16" s="1605">
        <f>'HER Detail_REM G214 gas'!I6</f>
        <v>0</v>
      </c>
      <c r="K16" s="1605">
        <f>'HER Detail_REM G214 gas'!J6</f>
        <v>0</v>
      </c>
      <c r="L16" s="1605">
        <f>'HER Detail_REM G214 gas'!K6</f>
        <v>0</v>
      </c>
      <c r="M16" s="1605">
        <f>'HER Detail_REM G214 gas'!L6</f>
        <v>0</v>
      </c>
      <c r="N16" s="1605">
        <f>'HER Detail_REM G214 gas'!M6</f>
        <v>0</v>
      </c>
      <c r="O16" s="1605">
        <f>'HER Detail_REM G214 gas'!N6</f>
        <v>0</v>
      </c>
      <c r="P16" s="1605">
        <f>'HER Detail_REM G214 gas'!O6</f>
        <v>0</v>
      </c>
      <c r="Q16" s="1605">
        <f>'HER Detail_REM G214 gas'!P6</f>
        <v>0</v>
      </c>
      <c r="R16" s="1605">
        <f>'HER Detail_REM G214 gas'!Q6</f>
        <v>0</v>
      </c>
      <c r="S16" s="1605">
        <f>'HER Detail_REM G214 gas'!R6</f>
        <v>0</v>
      </c>
      <c r="T16" s="2144">
        <f>'HER Detail_REM G214 gas'!S6</f>
        <v>0</v>
      </c>
    </row>
    <row r="17" spans="2:33">
      <c r="B17" s="2259" t="s">
        <v>412</v>
      </c>
      <c r="C17" s="1866" t="s">
        <v>83</v>
      </c>
      <c r="D17" s="2828" t="s">
        <v>591</v>
      </c>
      <c r="E17" s="2177" t="s">
        <v>288</v>
      </c>
      <c r="H17" s="1340">
        <v>18230442</v>
      </c>
      <c r="I17" s="1605">
        <f>'NCMfgHomes Detail_REM G215 Gas'!H6</f>
        <v>0</v>
      </c>
      <c r="J17" s="2142">
        <f>'NCMfgHomes Detail_REM G215 Gas'!I6</f>
        <v>0</v>
      </c>
      <c r="K17" s="2142">
        <f>'NCMfgHomes Detail_REM G215 Gas'!J6</f>
        <v>0</v>
      </c>
      <c r="L17" s="2142">
        <f>'NCMfgHomes Detail_REM G215 Gas'!K6</f>
        <v>0</v>
      </c>
      <c r="M17" s="2142">
        <f>'NCMfgHomes Detail_REM G215 Gas'!L6</f>
        <v>0</v>
      </c>
      <c r="N17" s="2142">
        <f>'NCMfgHomes Detail_REM G215 Gas'!M6</f>
        <v>0</v>
      </c>
      <c r="O17" s="2142">
        <f>'NCMfgHomes Detail_REM G215 Gas'!N6</f>
        <v>0</v>
      </c>
      <c r="P17" s="2142">
        <f>'NCMfgHomes Detail_REM G215 Gas'!O6</f>
        <v>0</v>
      </c>
      <c r="Q17" s="2142">
        <f>'NCMfgHomes Detail_REM G215 Gas'!P6</f>
        <v>0</v>
      </c>
      <c r="R17" s="2142">
        <f>'NCMfgHomes Detail_REM G215 Gas'!Q6</f>
        <v>0</v>
      </c>
      <c r="S17" s="2142">
        <f>'NCMfgHomes Detail_REM G215 Gas'!R6</f>
        <v>0</v>
      </c>
      <c r="T17" s="2144">
        <f>'NCMfgHomes Detail_REM G215 Gas'!S6</f>
        <v>0</v>
      </c>
      <c r="V17" s="2142"/>
      <c r="W17" s="2142"/>
      <c r="X17" s="2142"/>
      <c r="Y17" s="2142"/>
      <c r="Z17" s="2142"/>
      <c r="AA17" s="2142"/>
      <c r="AB17" s="2142"/>
      <c r="AC17" s="2142"/>
      <c r="AD17" s="2142"/>
      <c r="AE17" s="2142"/>
      <c r="AF17" s="2142"/>
      <c r="AG17" s="2144"/>
    </row>
    <row r="18" spans="2:33">
      <c r="B18" s="2259" t="s">
        <v>413</v>
      </c>
      <c r="C18" s="1866" t="s">
        <v>83</v>
      </c>
      <c r="D18" s="2828" t="s">
        <v>591</v>
      </c>
      <c r="E18" s="2177" t="s">
        <v>189</v>
      </c>
      <c r="H18" s="1340">
        <v>18230684</v>
      </c>
      <c r="I18" s="1605">
        <f>'SFNC Detail_REM G215 Gas'!H6</f>
        <v>13500</v>
      </c>
      <c r="J18" s="1605">
        <f>'SFNC Detail_REM G215 Gas'!I6</f>
        <v>10984.2</v>
      </c>
      <c r="K18" s="1605">
        <f>'SFNC Detail_REM G215 Gas'!J6</f>
        <v>16649.256000000001</v>
      </c>
      <c r="L18" s="1605">
        <f>'SFNC Detail_REM G215 Gas'!K6</f>
        <v>6000</v>
      </c>
      <c r="M18" s="1605">
        <f>'SFNC Detail_REM G215 Gas'!L6</f>
        <v>0</v>
      </c>
      <c r="N18" s="1605">
        <f>'SFNC Detail_REM G215 Gas'!M6</f>
        <v>0</v>
      </c>
      <c r="O18" s="1605">
        <f>'SFNC Detail_REM G215 Gas'!N6</f>
        <v>1000</v>
      </c>
      <c r="P18" s="1605">
        <f>'SFNC Detail_REM G215 Gas'!O6</f>
        <v>0</v>
      </c>
      <c r="Q18" s="1605">
        <f>'SFNC Detail_REM G215 Gas'!P6</f>
        <v>0</v>
      </c>
      <c r="R18" s="1605">
        <f>'SFNC Detail_REM G215 Gas'!Q6</f>
        <v>0</v>
      </c>
      <c r="S18" s="1605">
        <f>'SFNC Detail_REM G215 Gas'!R6</f>
        <v>48133.456000000006</v>
      </c>
      <c r="T18" s="2144">
        <f>'SFNC Detail_REM G215 Gas'!S6</f>
        <v>0</v>
      </c>
    </row>
    <row r="19" spans="2:33">
      <c r="B19" s="2259" t="s">
        <v>414</v>
      </c>
      <c r="C19" s="1866" t="s">
        <v>84</v>
      </c>
      <c r="D19" s="2829"/>
      <c r="E19" s="2177" t="s">
        <v>350</v>
      </c>
      <c r="H19" s="1340">
        <v>18230736</v>
      </c>
      <c r="I19" s="1605">
        <f>'MF Retr Detail_REM G217 Gas'!H6</f>
        <v>55607.200000000012</v>
      </c>
      <c r="J19" s="1605">
        <f>'MF Retr Detail_REM G217 Gas'!I6</f>
        <v>14400.000000000002</v>
      </c>
      <c r="K19" s="1605">
        <f>'MF Retr Detail_REM G217 Gas'!J6</f>
        <v>47604.896000000008</v>
      </c>
      <c r="L19" s="1605">
        <f>'MF Retr Detail_REM G217 Gas'!K6</f>
        <v>4000</v>
      </c>
      <c r="M19" s="1605">
        <f>'MF Retr Detail_REM G217 Gas'!L6</f>
        <v>1000</v>
      </c>
      <c r="N19" s="1605">
        <f>'MF Retr Detail_REM G217 Gas'!M6</f>
        <v>200000</v>
      </c>
      <c r="O19" s="1605">
        <f>'MF Retr Detail_REM G217 Gas'!N6</f>
        <v>500</v>
      </c>
      <c r="P19" s="1605">
        <f>'MF Retr Detail_REM G217 Gas'!O6</f>
        <v>500</v>
      </c>
      <c r="Q19" s="1605">
        <f>'MF Retr Detail_REM G217 Gas'!P6</f>
        <v>660214</v>
      </c>
      <c r="R19" s="1605">
        <f>'MF Retr Detail_REM G217 Gas'!Q6</f>
        <v>0</v>
      </c>
      <c r="S19" s="1605">
        <f>'MF Retr Detail_REM G217 Gas'!R6</f>
        <v>983826.09600000002</v>
      </c>
      <c r="T19" s="2144">
        <f>'MF Retr Detail_REM G217 Gas'!S6</f>
        <v>130945.8</v>
      </c>
    </row>
    <row r="20" spans="2:33">
      <c r="B20" s="2259" t="s">
        <v>415</v>
      </c>
      <c r="C20" s="1866" t="s">
        <v>85</v>
      </c>
      <c r="D20" s="2828" t="s">
        <v>591</v>
      </c>
      <c r="E20" s="2177" t="s">
        <v>298</v>
      </c>
      <c r="H20" s="1340">
        <v>18230673</v>
      </c>
      <c r="I20" s="1605">
        <f>'MFNC Detail_REM G218 Gas'!H6</f>
        <v>30531</v>
      </c>
      <c r="J20" s="1605">
        <f>'MFNC Detail_REM G218 Gas'!I6</f>
        <v>6000</v>
      </c>
      <c r="K20" s="1605">
        <f>'MFNC Detail_REM G218 Gas'!J6</f>
        <v>24841.08</v>
      </c>
      <c r="L20" s="1605">
        <f>'MFNC Detail_REM G218 Gas'!K6</f>
        <v>10000</v>
      </c>
      <c r="M20" s="1605">
        <f>'MFNC Detail_REM G218 Gas'!L6</f>
        <v>500</v>
      </c>
      <c r="N20" s="1605">
        <f>'MFNC Detail_REM G218 Gas'!M6</f>
        <v>0</v>
      </c>
      <c r="O20" s="1605">
        <f>'MFNC Detail_REM G218 Gas'!N6</f>
        <v>500</v>
      </c>
      <c r="P20" s="1605">
        <f>'MFNC Detail_REM G218 Gas'!O6</f>
        <v>500</v>
      </c>
      <c r="Q20" s="1605">
        <f>'MFNC Detail_REM G218 Gas'!P6</f>
        <v>108120</v>
      </c>
      <c r="R20" s="1605">
        <f>'MFNC Detail_REM G218 Gas'!Q6</f>
        <v>0</v>
      </c>
      <c r="S20" s="1605">
        <f>'MFNC Detail_REM G218 Gas'!R6</f>
        <v>180992.08000000002</v>
      </c>
      <c r="T20" s="2144">
        <f>'MFNC Detail_REM G218 Gas'!S6</f>
        <v>52630</v>
      </c>
    </row>
    <row r="21" spans="2:33" s="1737" customFormat="1">
      <c r="B21" s="2011"/>
      <c r="D21" s="2064"/>
      <c r="F21" s="2010"/>
      <c r="G21" s="245" t="s">
        <v>155</v>
      </c>
      <c r="H21" s="2064"/>
      <c r="I21" s="603">
        <f t="shared" ref="I21:T21" si="0">SUM(I7:I20)</f>
        <v>224084.21850000002</v>
      </c>
      <c r="J21" s="2012">
        <f t="shared" si="0"/>
        <v>62569.524999999994</v>
      </c>
      <c r="K21" s="2012">
        <f t="shared" si="0"/>
        <v>194924.54558000003</v>
      </c>
      <c r="L21" s="2012">
        <f t="shared" si="0"/>
        <v>414540.52</v>
      </c>
      <c r="M21" s="2012">
        <f t="shared" si="0"/>
        <v>10950</v>
      </c>
      <c r="N21" s="2012">
        <f t="shared" si="0"/>
        <v>529000</v>
      </c>
      <c r="O21" s="2012">
        <f t="shared" si="0"/>
        <v>20450</v>
      </c>
      <c r="P21" s="2012">
        <f t="shared" si="0"/>
        <v>21050</v>
      </c>
      <c r="Q21" s="2012">
        <f t="shared" si="0"/>
        <v>5834033.3599999994</v>
      </c>
      <c r="R21" s="2012">
        <f t="shared" si="0"/>
        <v>0</v>
      </c>
      <c r="S21" s="2012">
        <f t="shared" si="0"/>
        <v>7311602.1690800004</v>
      </c>
      <c r="T21" s="2013">
        <f t="shared" si="0"/>
        <v>1646670.32</v>
      </c>
    </row>
    <row r="22" spans="2:33">
      <c r="B22" s="2141"/>
      <c r="H22" s="2140"/>
      <c r="T22" s="2144"/>
    </row>
    <row r="23" spans="2:33">
      <c r="B23" s="2141"/>
      <c r="H23" s="2140"/>
      <c r="T23" s="2144"/>
    </row>
    <row r="24" spans="2:33">
      <c r="B24" s="2141"/>
      <c r="C24" s="1866" t="s">
        <v>157</v>
      </c>
      <c r="H24" s="2140"/>
      <c r="T24" s="2144"/>
    </row>
    <row r="25" spans="2:33">
      <c r="B25" s="2259" t="s">
        <v>416</v>
      </c>
      <c r="C25" s="1866" t="s">
        <v>308</v>
      </c>
      <c r="E25" s="1866" t="s">
        <v>146</v>
      </c>
      <c r="H25" s="1340">
        <v>18230731</v>
      </c>
      <c r="I25" s="1605">
        <f>'CI Retr Detail_BEM G250 Gas'!H6</f>
        <v>281700</v>
      </c>
      <c r="J25" s="1605">
        <f>'CI Retr Detail_BEM G250 Gas'!I6</f>
        <v>4785.7299999999996</v>
      </c>
      <c r="K25" s="1605">
        <f>'CI Retr Detail_BEM G250 Gas'!J6</f>
        <v>194800</v>
      </c>
      <c r="L25" s="1605">
        <f>'CI Retr Detail_BEM G250 Gas'!K6</f>
        <v>0</v>
      </c>
      <c r="M25" s="1605">
        <f>'CI Retr Detail_BEM G250 Gas'!L6</f>
        <v>8000</v>
      </c>
      <c r="N25" s="1605">
        <f>'CI Retr Detail_BEM G250 Gas'!M6</f>
        <v>10000</v>
      </c>
      <c r="O25" s="1605">
        <f>'CI Retr Detail_BEM G250 Gas'!N6</f>
        <v>2000</v>
      </c>
      <c r="P25" s="1605">
        <f>'CI Retr Detail_BEM G250 Gas'!O6</f>
        <v>0</v>
      </c>
      <c r="Q25" s="1605">
        <f>'CI Retr Detail_BEM G250 Gas'!P6</f>
        <v>1300000</v>
      </c>
      <c r="S25" s="1605">
        <f>'CI Retr Detail_BEM G250 Gas'!R6</f>
        <v>1801285.73</v>
      </c>
      <c r="T25" s="2144">
        <f>'CI Retr Detail_BEM G250 Gas'!S6</f>
        <v>375000</v>
      </c>
    </row>
    <row r="26" spans="2:33">
      <c r="B26" s="2259" t="s">
        <v>417</v>
      </c>
      <c r="C26" s="1866" t="s">
        <v>152</v>
      </c>
      <c r="E26" s="1866" t="s">
        <v>147</v>
      </c>
      <c r="H26" s="1340">
        <v>18230706</v>
      </c>
      <c r="I26" s="1605">
        <f>'CI NC Detail_BEM G251 Gas'!H6</f>
        <v>51300</v>
      </c>
      <c r="J26" s="1605">
        <f>'CI NC Detail_BEM G251 Gas'!I6</f>
        <v>1367.35</v>
      </c>
      <c r="K26" s="1605">
        <f>'CI NC Detail_BEM G251 Gas'!J6</f>
        <v>35800</v>
      </c>
      <c r="L26" s="1605">
        <f>'CI NC Detail_BEM G251 Gas'!K6</f>
        <v>9000</v>
      </c>
      <c r="M26" s="1605">
        <f>'CI NC Detail_BEM G251 Gas'!L6</f>
        <v>1000</v>
      </c>
      <c r="N26" s="1605">
        <f>'CI NC Detail_BEM G251 Gas'!M6</f>
        <v>12000</v>
      </c>
      <c r="O26" s="1605">
        <f>'CI NC Detail_BEM G251 Gas'!N6</f>
        <v>1000</v>
      </c>
      <c r="P26" s="1605">
        <f>'CI NC Detail_BEM G251 Gas'!O6</f>
        <v>2000</v>
      </c>
      <c r="Q26" s="1605">
        <f>'CI NC Detail_BEM G251 Gas'!P6</f>
        <v>550000</v>
      </c>
      <c r="S26" s="1605">
        <f>'CI NC Detail_BEM G251 Gas'!R6</f>
        <v>663467.35</v>
      </c>
      <c r="T26" s="2144">
        <f>'CI NC Detail_BEM G251 Gas'!S6</f>
        <v>165375</v>
      </c>
    </row>
    <row r="27" spans="2:33" s="2177" customFormat="1">
      <c r="B27" s="2259"/>
      <c r="E27" s="2177" t="s">
        <v>748</v>
      </c>
      <c r="H27" s="3116"/>
      <c r="I27" s="2142">
        <f>SUM(I28:I29)</f>
        <v>175155.37</v>
      </c>
      <c r="J27" s="2142">
        <f t="shared" ref="J27:T27" si="1">SUM(J28:J29)</f>
        <v>500</v>
      </c>
      <c r="K27" s="2142">
        <f t="shared" si="1"/>
        <v>119445.6516</v>
      </c>
      <c r="L27" s="2142">
        <f t="shared" si="1"/>
        <v>0</v>
      </c>
      <c r="M27" s="2142">
        <f t="shared" si="1"/>
        <v>8700</v>
      </c>
      <c r="N27" s="2142">
        <f t="shared" si="1"/>
        <v>43250</v>
      </c>
      <c r="O27" s="2142">
        <f t="shared" si="1"/>
        <v>1000</v>
      </c>
      <c r="P27" s="2142">
        <f t="shared" si="1"/>
        <v>5000</v>
      </c>
      <c r="Q27" s="2142">
        <f t="shared" si="1"/>
        <v>155000</v>
      </c>
      <c r="R27" s="2142">
        <f t="shared" si="1"/>
        <v>0</v>
      </c>
      <c r="S27" s="2142">
        <f>SUM(S28:S29)</f>
        <v>508051.02159999998</v>
      </c>
      <c r="T27" s="2144">
        <f t="shared" si="1"/>
        <v>550000</v>
      </c>
    </row>
    <row r="28" spans="2:33" s="2822" customFormat="1">
      <c r="B28" s="2821" t="s">
        <v>418</v>
      </c>
      <c r="C28" s="2822" t="s">
        <v>309</v>
      </c>
      <c r="E28" s="3366" t="s">
        <v>542</v>
      </c>
      <c r="H28" s="2825">
        <v>18230691</v>
      </c>
      <c r="I28" s="2824">
        <f>'RCM Detail_BEM 253 Gas'!H6</f>
        <v>165000</v>
      </c>
      <c r="J28" s="2824">
        <f>'RCM Detail_BEM 253 Gas'!I6</f>
        <v>0</v>
      </c>
      <c r="K28" s="2824">
        <f>'RCM Detail_BEM 253 Gas'!J6</f>
        <v>112200</v>
      </c>
      <c r="L28" s="2824">
        <f>'RCM Detail_BEM 253 Gas'!K6</f>
        <v>0</v>
      </c>
      <c r="M28" s="2824">
        <f>'RCM Detail_BEM 253 Gas'!L6</f>
        <v>8000</v>
      </c>
      <c r="N28" s="2824">
        <f>'RCM Detail_BEM 253 Gas'!M6</f>
        <v>40000</v>
      </c>
      <c r="O28" s="2824">
        <f>'RCM Detail_BEM 253 Gas'!N6</f>
        <v>1000</v>
      </c>
      <c r="P28" s="2824">
        <f>'RCM Detail_BEM 253 Gas'!O6</f>
        <v>5000</v>
      </c>
      <c r="Q28" s="2824">
        <f>'RCM Detail_BEM 253 Gas'!P6</f>
        <v>155000</v>
      </c>
      <c r="R28" s="2824"/>
      <c r="S28" s="2824">
        <f>'RCM Detail_BEM 253 Gas'!R6</f>
        <v>486200</v>
      </c>
      <c r="T28" s="2826">
        <f>'RCM Detail_BEM 253 Gas'!S6</f>
        <v>550000</v>
      </c>
    </row>
    <row r="29" spans="2:33" s="2822" customFormat="1">
      <c r="B29" s="2821" t="s">
        <v>1640</v>
      </c>
      <c r="E29" s="3366" t="s">
        <v>1639</v>
      </c>
      <c r="H29" s="3116" t="s">
        <v>1494</v>
      </c>
      <c r="I29" s="2824">
        <f>'ResAcctSW Detail_PSWE_Gas'!H6</f>
        <v>10155.370000000001</v>
      </c>
      <c r="J29" s="2824">
        <f>'ResAcctSW Detail_PSWE_Gas'!I6</f>
        <v>500</v>
      </c>
      <c r="K29" s="2824">
        <f>'ResAcctSW Detail_PSWE_Gas'!J6</f>
        <v>7245.6516000000011</v>
      </c>
      <c r="L29" s="2824">
        <f>'ResAcctSW Detail_PSWE_Gas'!K6</f>
        <v>0</v>
      </c>
      <c r="M29" s="2824">
        <f>'ResAcctSW Detail_PSWE_Gas'!L6</f>
        <v>700</v>
      </c>
      <c r="N29" s="2824">
        <f>'ResAcctSW Detail_PSWE_Gas'!M6</f>
        <v>3250</v>
      </c>
      <c r="O29" s="2824">
        <f>'ResAcctSW Detail_PSWE_Gas'!N6</f>
        <v>0</v>
      </c>
      <c r="P29" s="2824">
        <f>'ResAcctSW Detail_PSWE_Gas'!O6</f>
        <v>0</v>
      </c>
      <c r="Q29" s="2824">
        <f>'ResAcctSW Detail_PSWE_Gas'!P6</f>
        <v>0</v>
      </c>
      <c r="R29" s="2824">
        <f>'ResAcctSW Detail_PSWE_Gas'!Q6</f>
        <v>0</v>
      </c>
      <c r="S29" s="2824">
        <f>'ResAcctSW Detail_PSWE_Gas'!R6</f>
        <v>21851.0216</v>
      </c>
      <c r="T29" s="2826"/>
    </row>
    <row r="30" spans="2:33">
      <c r="B30" s="2259" t="s">
        <v>419</v>
      </c>
      <c r="C30" s="1866" t="s">
        <v>153</v>
      </c>
      <c r="E30" s="1866" t="s">
        <v>150</v>
      </c>
      <c r="H30" s="1340">
        <v>18230694</v>
      </c>
      <c r="I30" s="1605">
        <f>'TechEval Detail_BEM G261 Gas'!H6</f>
        <v>0</v>
      </c>
      <c r="J30" s="1605">
        <f>'TechEval Detail_BEM G261 Gas'!I6</f>
        <v>0</v>
      </c>
      <c r="K30" s="1605">
        <f>'TechEval Detail_BEM G261 Gas'!J6</f>
        <v>0</v>
      </c>
      <c r="L30" s="1605">
        <f>'TechEval Detail_BEM G261 Gas'!K6</f>
        <v>0</v>
      </c>
      <c r="M30" s="1605">
        <f>'TechEval Detail_BEM G261 Gas'!L6</f>
        <v>0</v>
      </c>
      <c r="N30" s="1605">
        <f>'TechEval Detail_BEM G261 Gas'!M6</f>
        <v>0</v>
      </c>
      <c r="O30" s="1605">
        <f>'TechEval Detail_BEM G261 Gas'!N6</f>
        <v>0</v>
      </c>
      <c r="P30" s="1605">
        <f>'TechEval Detail_BEM G261 Gas'!O6</f>
        <v>0</v>
      </c>
      <c r="Q30" s="1605">
        <f>'TechEval Detail_BEM G261 Gas'!P6</f>
        <v>0</v>
      </c>
      <c r="S30" s="1605">
        <f>'TechEval Detail_BEM G261 Gas'!R6</f>
        <v>0</v>
      </c>
      <c r="T30" s="2144">
        <f>'TechEval Detail_BEM G261 Gas'!S6</f>
        <v>0</v>
      </c>
    </row>
    <row r="31" spans="2:33">
      <c r="B31" s="2259" t="s">
        <v>420</v>
      </c>
      <c r="C31" s="1866" t="s">
        <v>154</v>
      </c>
      <c r="E31" s="1866" t="s">
        <v>151</v>
      </c>
      <c r="H31" s="1340"/>
      <c r="I31" s="1605">
        <f>SUM(I32:I37)</f>
        <v>90112.03</v>
      </c>
      <c r="J31" s="2142">
        <f t="shared" ref="J31:O31" si="2">SUM(J32:J37)</f>
        <v>0</v>
      </c>
      <c r="K31" s="2142">
        <f t="shared" si="2"/>
        <v>61276.180400000005</v>
      </c>
      <c r="L31" s="2142">
        <f t="shared" si="2"/>
        <v>25250</v>
      </c>
      <c r="M31" s="2142">
        <f t="shared" si="2"/>
        <v>6225</v>
      </c>
      <c r="N31" s="2142">
        <f t="shared" si="2"/>
        <v>6915</v>
      </c>
      <c r="O31" s="2142">
        <f t="shared" si="2"/>
        <v>840</v>
      </c>
      <c r="P31" s="2142">
        <f t="shared" ref="P31:S31" si="3">SUM(P32:P37)</f>
        <v>74154.5</v>
      </c>
      <c r="Q31" s="2142">
        <f t="shared" si="3"/>
        <v>1550849.8204999999</v>
      </c>
      <c r="R31" s="2142">
        <f t="shared" si="3"/>
        <v>0</v>
      </c>
      <c r="S31" s="2142">
        <f t="shared" si="3"/>
        <v>1815622.5308999999</v>
      </c>
      <c r="T31" s="2144">
        <f>SUM(T32:T37)</f>
        <v>688307.4</v>
      </c>
    </row>
    <row r="32" spans="2:33" s="2822" customFormat="1">
      <c r="B32" s="2821" t="s">
        <v>740</v>
      </c>
      <c r="C32" s="2822" t="s">
        <v>154</v>
      </c>
      <c r="E32" s="3366" t="s">
        <v>665</v>
      </c>
      <c r="H32" s="2823">
        <v>18231027</v>
      </c>
      <c r="I32" s="2824">
        <f>'Comm Kit-Laund_G262 Gas'!H6</f>
        <v>30656.670000000002</v>
      </c>
      <c r="J32" s="2824">
        <f>'Comm Kit-Laund_G262 Gas'!I6</f>
        <v>0</v>
      </c>
      <c r="K32" s="2824">
        <f>'Comm Kit-Laund_G262 Gas'!J6</f>
        <v>20846.535600000003</v>
      </c>
      <c r="L32" s="2824">
        <f>'Comm Kit-Laund_G262 Gas'!K6</f>
        <v>15000</v>
      </c>
      <c r="M32" s="2824">
        <f>'Comm Kit-Laund_G262 Gas'!L6</f>
        <v>5225</v>
      </c>
      <c r="N32" s="2824">
        <f>'Comm Kit-Laund_G262 Gas'!M6</f>
        <v>600</v>
      </c>
      <c r="O32" s="2824">
        <f>'Comm Kit-Laund_G262 Gas'!N6</f>
        <v>240</v>
      </c>
      <c r="P32" s="2824">
        <f>'Comm Kit-Laund_G262 Gas'!O6</f>
        <v>0</v>
      </c>
      <c r="Q32" s="2824">
        <f>'Comm Kit-Laund_G262 Gas'!P6</f>
        <v>353198.5</v>
      </c>
      <c r="R32" s="2824">
        <f>'Comm Kit-Laund_G262 Gas'!Q6</f>
        <v>0</v>
      </c>
      <c r="S32" s="2824">
        <f>'Comm Kit-Laund_G262 Gas'!R6</f>
        <v>425766.70559999999</v>
      </c>
      <c r="T32" s="2826">
        <f>'Comm Kit-Laund_G262 Gas'!S6</f>
        <v>226537.4</v>
      </c>
    </row>
    <row r="33" spans="2:20" s="2822" customFormat="1" hidden="1">
      <c r="B33" s="2821" t="s">
        <v>741</v>
      </c>
      <c r="C33" s="2822" t="s">
        <v>154</v>
      </c>
      <c r="E33" s="3366" t="s">
        <v>666</v>
      </c>
      <c r="H33" s="2823">
        <v>18231028</v>
      </c>
      <c r="I33" s="2824">
        <f>'Comm DI_G262 Gas'!H6</f>
        <v>0</v>
      </c>
      <c r="J33" s="2824">
        <f>'Comm DI_G262 Gas'!I6</f>
        <v>0</v>
      </c>
      <c r="K33" s="2824">
        <f>'Comm DI_G262 Gas'!J6</f>
        <v>0</v>
      </c>
      <c r="L33" s="2824">
        <f>'Comm DI_G262 Gas'!K6</f>
        <v>0</v>
      </c>
      <c r="M33" s="2824">
        <f>'Comm DI_G262 Gas'!L6</f>
        <v>0</v>
      </c>
      <c r="N33" s="2824">
        <f>'Comm DI_G262 Gas'!M6</f>
        <v>0</v>
      </c>
      <c r="O33" s="2824">
        <f>'Comm DI_G262 Gas'!N6</f>
        <v>0</v>
      </c>
      <c r="P33" s="2824">
        <f>'Comm DI_G262 Gas'!O6</f>
        <v>0</v>
      </c>
      <c r="Q33" s="2824">
        <f>'Comm DI_G262 Gas'!P6</f>
        <v>0</v>
      </c>
      <c r="R33" s="2824">
        <f>'Comm DI_G262 Gas'!Q6</f>
        <v>0</v>
      </c>
      <c r="S33" s="2824">
        <f>'Comm DI_G262 Gas'!R6</f>
        <v>0</v>
      </c>
      <c r="T33" s="2826">
        <f>'Comm DI_G262 Gas'!S6</f>
        <v>0</v>
      </c>
    </row>
    <row r="34" spans="2:20" s="2822" customFormat="1">
      <c r="B34" s="2821" t="s">
        <v>742</v>
      </c>
      <c r="C34" s="2822" t="s">
        <v>154</v>
      </c>
      <c r="E34" s="3366" t="s">
        <v>660</v>
      </c>
      <c r="H34" s="2823">
        <v>18231029</v>
      </c>
      <c r="I34" s="2824">
        <f>'Comm HVAC_G262 Gas'!H6</f>
        <v>13934.849999999999</v>
      </c>
      <c r="J34" s="2824">
        <f>'Comm HVAC_G262 Gas'!I6</f>
        <v>0</v>
      </c>
      <c r="K34" s="2824">
        <f>'Comm HVAC_G262 Gas'!J6</f>
        <v>9475.6980000000003</v>
      </c>
      <c r="L34" s="2824">
        <f>'Comm HVAC_G262 Gas'!K6</f>
        <v>0</v>
      </c>
      <c r="M34" s="2824">
        <f>'Comm HVAC_G262 Gas'!L6</f>
        <v>500</v>
      </c>
      <c r="N34" s="2824">
        <f>'Comm HVAC_G262 Gas'!M6</f>
        <v>0</v>
      </c>
      <c r="O34" s="2824">
        <f>'Comm HVAC_G262 Gas'!N6</f>
        <v>100</v>
      </c>
      <c r="P34" s="2824">
        <f>'Comm HVAC_G262 Gas'!O6</f>
        <v>120</v>
      </c>
      <c r="Q34" s="2824">
        <f>'Comm HVAC_G262 Gas'!P6</f>
        <v>33750.002999999997</v>
      </c>
      <c r="R34" s="2824">
        <f>'Comm HVAC_G262 Gas'!Q6</f>
        <v>0</v>
      </c>
      <c r="S34" s="2824">
        <f>'Comm HVAC_G262 Gas'!R6</f>
        <v>57880.550999999992</v>
      </c>
      <c r="T34" s="2826">
        <f>'Comm HVAC_G262 Gas'!S6</f>
        <v>27400</v>
      </c>
    </row>
    <row r="35" spans="2:20" s="2822" customFormat="1">
      <c r="B35" s="3119" t="s">
        <v>1614</v>
      </c>
      <c r="C35" s="3118" t="s">
        <v>154</v>
      </c>
      <c r="D35" s="3118"/>
      <c r="E35" s="3367" t="s">
        <v>1491</v>
      </c>
      <c r="G35" s="3118"/>
      <c r="H35" s="246" t="s">
        <v>1615</v>
      </c>
      <c r="I35" s="2824">
        <f>'Sm Agr DI_G262 Gas'!H6</f>
        <v>16721.820000000003</v>
      </c>
      <c r="J35" s="2824">
        <f>'Sm Agr DI_G262 Gas'!I6</f>
        <v>0</v>
      </c>
      <c r="K35" s="2824">
        <f>'Sm Agr DI_G262 Gas'!J6</f>
        <v>11370.837600000003</v>
      </c>
      <c r="L35" s="2824">
        <f>'Sm Agr DI_G262 Gas'!K6</f>
        <v>0</v>
      </c>
      <c r="M35" s="2824">
        <f>'Sm Agr DI_G262 Gas'!L6</f>
        <v>0</v>
      </c>
      <c r="N35" s="2824">
        <f>'Sm Agr DI_G262 Gas'!M6</f>
        <v>315</v>
      </c>
      <c r="O35" s="2824">
        <f>'Sm Agr DI_G262 Gas'!N6</f>
        <v>0</v>
      </c>
      <c r="P35" s="2824">
        <f>'Sm Agr DI_G262 Gas'!O6</f>
        <v>4725</v>
      </c>
      <c r="Q35" s="2824">
        <f>'Sm Agr DI_G262 Gas'!P6</f>
        <v>13277.1325</v>
      </c>
      <c r="R35" s="2824">
        <f>'Sm Agr DI_G262 Gas'!Q6</f>
        <v>0</v>
      </c>
      <c r="S35" s="3403">
        <f>'Sm Agr DI_G262 Gas'!R6</f>
        <v>46409.790100000006</v>
      </c>
      <c r="T35" s="2826">
        <f>'Sm Agr DI_G262 Gas'!S6</f>
        <v>19875</v>
      </c>
    </row>
    <row r="36" spans="2:20" s="2822" customFormat="1">
      <c r="B36" s="3119" t="s">
        <v>1617</v>
      </c>
      <c r="C36" s="3118" t="s">
        <v>154</v>
      </c>
      <c r="D36" s="3118"/>
      <c r="E36" s="3367" t="s">
        <v>1492</v>
      </c>
      <c r="G36" s="3118"/>
      <c r="H36" s="246" t="s">
        <v>1619</v>
      </c>
      <c r="I36" s="2824">
        <f>'Lodging DI_G262_Gas'!H6</f>
        <v>9289.9</v>
      </c>
      <c r="J36" s="2824">
        <f>'Lodging DI_G262_Gas'!I6</f>
        <v>0</v>
      </c>
      <c r="K36" s="2824">
        <f>'Lodging DI_G262_Gas'!J6</f>
        <v>6317.1320000000005</v>
      </c>
      <c r="L36" s="2824">
        <f>'Lodging DI_G262_Gas'!K6</f>
        <v>10000</v>
      </c>
      <c r="M36" s="2824">
        <f>'Lodging DI_G262_Gas'!L6</f>
        <v>500</v>
      </c>
      <c r="N36" s="2824">
        <f>'Lodging DI_G262_Gas'!M6</f>
        <v>0</v>
      </c>
      <c r="O36" s="2824">
        <f>'Lodging DI_G262_Gas'!N6</f>
        <v>500</v>
      </c>
      <c r="P36" s="2824">
        <f>'Lodging DI_G262_Gas'!O6</f>
        <v>500</v>
      </c>
      <c r="Q36" s="2824">
        <f>'Lodging DI_G262_Gas'!P6</f>
        <v>399551.63</v>
      </c>
      <c r="R36" s="2824">
        <f>'Lodging DI_G262_Gas'!Q6</f>
        <v>0</v>
      </c>
      <c r="S36" s="2824">
        <f>'Lodging DI_G262_Gas'!R6</f>
        <v>426658.66200000001</v>
      </c>
      <c r="T36" s="2826">
        <f>'Lodging DI_G262_Gas'!S6</f>
        <v>133170</v>
      </c>
    </row>
    <row r="37" spans="2:20" s="2822" customFormat="1">
      <c r="B37" s="2821" t="s">
        <v>743</v>
      </c>
      <c r="C37" s="2822" t="s">
        <v>154</v>
      </c>
      <c r="E37" s="3366" t="s">
        <v>553</v>
      </c>
      <c r="H37" s="2823">
        <v>18231022</v>
      </c>
      <c r="I37" s="2824">
        <f>'Sm Bus DI_G262 Gas'!H6</f>
        <v>19508.79</v>
      </c>
      <c r="J37" s="2824">
        <f>'Sm Bus DI_G262 Gas'!I6</f>
        <v>0</v>
      </c>
      <c r="K37" s="2824">
        <f>'Sm Bus DI_G262 Gas'!J6</f>
        <v>13265.977200000001</v>
      </c>
      <c r="L37" s="2824">
        <f>'Sm Bus DI_G262 Gas'!K6</f>
        <v>250</v>
      </c>
      <c r="M37" s="2824">
        <f>'Sm Bus DI_G262 Gas'!L6</f>
        <v>0</v>
      </c>
      <c r="N37" s="2824">
        <f>'Sm Bus DI_G262 Gas'!M6</f>
        <v>6000</v>
      </c>
      <c r="O37" s="2824">
        <f>'Sm Bus DI_G262 Gas'!N6</f>
        <v>0</v>
      </c>
      <c r="P37" s="2824">
        <f>'Sm Bus DI_G262 Gas'!O6</f>
        <v>68809.5</v>
      </c>
      <c r="Q37" s="2824">
        <f>'Sm Bus DI_G262 Gas'!P6</f>
        <v>751072.55499999993</v>
      </c>
      <c r="R37" s="2824">
        <f>'Sm Bus DI_G262 Gas'!Q6</f>
        <v>0</v>
      </c>
      <c r="S37" s="3403">
        <f>'Sm Bus DI_G262 Gas'!R6</f>
        <v>858906.82219999994</v>
      </c>
      <c r="T37" s="2826">
        <f>'Sm Bus DI_G262 Gas'!S6</f>
        <v>281325</v>
      </c>
    </row>
    <row r="38" spans="2:20" s="1737" customFormat="1">
      <c r="B38" s="2064"/>
      <c r="D38" s="2064"/>
      <c r="F38" s="2010"/>
      <c r="G38" s="245" t="s">
        <v>156</v>
      </c>
      <c r="H38" s="2064"/>
      <c r="I38" s="603">
        <f>SUM(I25:I27)+I30+I31</f>
        <v>598267.4</v>
      </c>
      <c r="J38" s="2012">
        <f t="shared" ref="J38:R38" si="4">SUM(J25:J27)+J30+J31</f>
        <v>6653.08</v>
      </c>
      <c r="K38" s="2012">
        <f t="shared" si="4"/>
        <v>411321.83199999999</v>
      </c>
      <c r="L38" s="2012">
        <f t="shared" si="4"/>
        <v>34250</v>
      </c>
      <c r="M38" s="2012">
        <f t="shared" si="4"/>
        <v>23925</v>
      </c>
      <c r="N38" s="2012">
        <f t="shared" si="4"/>
        <v>72165</v>
      </c>
      <c r="O38" s="2012">
        <f t="shared" si="4"/>
        <v>4840</v>
      </c>
      <c r="P38" s="2012">
        <f t="shared" si="4"/>
        <v>81154.5</v>
      </c>
      <c r="Q38" s="2012">
        <f t="shared" si="4"/>
        <v>3555849.8204999999</v>
      </c>
      <c r="R38" s="2012">
        <f t="shared" si="4"/>
        <v>0</v>
      </c>
      <c r="S38" s="2012">
        <f>SUM(S25:S27)+S30+S31</f>
        <v>4788426.6325000003</v>
      </c>
      <c r="T38" s="2013">
        <f>SUM(T25:T27)+T30+T31</f>
        <v>1778682.4</v>
      </c>
    </row>
    <row r="39" spans="2:20">
      <c r="B39" s="2011"/>
      <c r="H39" s="2140"/>
      <c r="T39" s="2144"/>
    </row>
    <row r="40" spans="2:20" s="2177" customFormat="1">
      <c r="B40" s="2011"/>
      <c r="I40" s="2142"/>
      <c r="J40" s="2142"/>
      <c r="K40" s="2142"/>
      <c r="L40" s="2142"/>
      <c r="M40" s="2142"/>
      <c r="N40" s="2142"/>
      <c r="O40" s="2142"/>
      <c r="P40" s="2142"/>
      <c r="Q40" s="2142"/>
      <c r="R40" s="2142"/>
      <c r="S40" s="2142"/>
      <c r="T40" s="2144"/>
    </row>
    <row r="41" spans="2:20" s="1569" customFormat="1">
      <c r="B41" s="2706"/>
      <c r="C41" s="1569" t="s">
        <v>77</v>
      </c>
      <c r="E41" s="2707"/>
      <c r="F41" s="2707"/>
      <c r="G41" s="2707"/>
      <c r="H41" s="2708"/>
      <c r="I41" s="2709"/>
      <c r="J41" s="2709"/>
      <c r="K41" s="2709"/>
      <c r="L41" s="2709"/>
      <c r="M41" s="2709"/>
      <c r="N41" s="2709"/>
      <c r="O41" s="2709"/>
      <c r="P41" s="2709"/>
      <c r="Q41" s="2709"/>
      <c r="R41" s="2709"/>
      <c r="S41" s="2709"/>
      <c r="T41" s="2710"/>
    </row>
    <row r="42" spans="2:20" s="2177" customFormat="1">
      <c r="B42" s="2259" t="s">
        <v>600</v>
      </c>
      <c r="C42" s="2177" t="s">
        <v>86</v>
      </c>
      <c r="E42" s="2177" t="s">
        <v>597</v>
      </c>
      <c r="H42" s="2711">
        <v>18230622</v>
      </c>
      <c r="I42" s="2142">
        <f>'REM Pilots Detail G249 Gas'!H6</f>
        <v>0</v>
      </c>
      <c r="J42" s="2142">
        <f>'REM Pilots Detail G249 Gas'!I6</f>
        <v>0</v>
      </c>
      <c r="K42" s="2142">
        <f>'REM Pilots Detail G249 Gas'!J6</f>
        <v>0</v>
      </c>
      <c r="L42" s="2142">
        <f>'REM Pilots Detail G249 Gas'!K6</f>
        <v>0</v>
      </c>
      <c r="M42" s="2142">
        <f>'REM Pilots Detail G249 Gas'!L6</f>
        <v>0</v>
      </c>
      <c r="N42" s="2142">
        <f>'REM Pilots Detail G249 Gas'!M6</f>
        <v>0</v>
      </c>
      <c r="O42" s="2142">
        <f>'REM Pilots Detail G249 Gas'!N6</f>
        <v>0</v>
      </c>
      <c r="P42" s="2142">
        <f>'REM Pilots Detail G249 Gas'!O6</f>
        <v>0</v>
      </c>
      <c r="Q42" s="2142">
        <f>'REM Pilots Detail G249 Gas'!P6</f>
        <v>0</v>
      </c>
      <c r="R42" s="2142">
        <f>'REM Pilots Detail G249 Gas'!Q6</f>
        <v>0</v>
      </c>
      <c r="S42" s="2142">
        <f>'REM Pilots Detail G249 Gas'!R6</f>
        <v>0</v>
      </c>
      <c r="T42" s="2144">
        <f>'REM Pilots Detail G249 Gas'!S6</f>
        <v>0</v>
      </c>
    </row>
    <row r="43" spans="2:20" s="2177" customFormat="1">
      <c r="B43" s="2259" t="s">
        <v>599</v>
      </c>
      <c r="C43" s="2177" t="s">
        <v>86</v>
      </c>
      <c r="E43" s="2177" t="s">
        <v>621</v>
      </c>
      <c r="H43" s="1340">
        <v>18230639</v>
      </c>
      <c r="I43" s="2142">
        <f>'BEM Pilots Detail G249 Gas'!H6</f>
        <v>0</v>
      </c>
      <c r="J43" s="2142">
        <f>'BEM Pilots Detail G249 Gas'!I6</f>
        <v>0</v>
      </c>
      <c r="K43" s="2142">
        <f>'BEM Pilots Detail G249 Gas'!J6</f>
        <v>0</v>
      </c>
      <c r="L43" s="2142">
        <f>'BEM Pilots Detail G249 Gas'!K6</f>
        <v>0</v>
      </c>
      <c r="M43" s="2142">
        <f>'BEM Pilots Detail G249 Gas'!L6</f>
        <v>0</v>
      </c>
      <c r="N43" s="2142">
        <f>'BEM Pilots Detail G249 Gas'!M6</f>
        <v>0</v>
      </c>
      <c r="O43" s="2142">
        <f>'BEM Pilots Detail G249 Gas'!N6</f>
        <v>0</v>
      </c>
      <c r="P43" s="2142">
        <f>'BEM Pilots Detail G249 Gas'!O6</f>
        <v>0</v>
      </c>
      <c r="Q43" s="2142">
        <f>'BEM Pilots Detail G249 Gas'!P6</f>
        <v>0</v>
      </c>
      <c r="R43" s="2142">
        <f>'BEM Pilots Detail G249 Gas'!Q6</f>
        <v>0</v>
      </c>
      <c r="S43" s="2142">
        <f>'BEM Pilots Detail G249 Gas'!R6</f>
        <v>0</v>
      </c>
      <c r="T43" s="2144">
        <f>'BEM Pilots Detail G249 Gas'!S6</f>
        <v>0</v>
      </c>
    </row>
    <row r="44" spans="2:20" s="2177" customFormat="1">
      <c r="B44" s="2011"/>
      <c r="G44" s="2010" t="s">
        <v>601</v>
      </c>
      <c r="I44" s="2012">
        <f>SUM(I42:I43)</f>
        <v>0</v>
      </c>
      <c r="J44" s="2012">
        <f t="shared" ref="J44:S44" si="5">SUM(J42:J43)</f>
        <v>0</v>
      </c>
      <c r="K44" s="2012">
        <f t="shared" si="5"/>
        <v>0</v>
      </c>
      <c r="L44" s="2012">
        <f t="shared" si="5"/>
        <v>0</v>
      </c>
      <c r="M44" s="2012">
        <f t="shared" si="5"/>
        <v>0</v>
      </c>
      <c r="N44" s="2012">
        <f t="shared" si="5"/>
        <v>0</v>
      </c>
      <c r="O44" s="2012">
        <f t="shared" si="5"/>
        <v>0</v>
      </c>
      <c r="P44" s="2012">
        <f t="shared" si="5"/>
        <v>0</v>
      </c>
      <c r="Q44" s="2012">
        <f t="shared" si="5"/>
        <v>0</v>
      </c>
      <c r="R44" s="2012">
        <f t="shared" si="5"/>
        <v>0</v>
      </c>
      <c r="S44" s="2012">
        <f t="shared" si="5"/>
        <v>0</v>
      </c>
      <c r="T44" s="2013">
        <f>SUM(T42:T43)</f>
        <v>0</v>
      </c>
    </row>
    <row r="45" spans="2:20" s="2177" customFormat="1">
      <c r="B45" s="2011"/>
      <c r="G45" s="2010"/>
      <c r="I45" s="2142"/>
      <c r="J45" s="2142"/>
      <c r="K45" s="2142"/>
      <c r="L45" s="2142"/>
      <c r="M45" s="2142"/>
      <c r="N45" s="2142"/>
      <c r="O45" s="2142"/>
      <c r="P45" s="2142"/>
      <c r="Q45" s="2142"/>
      <c r="R45" s="2142"/>
      <c r="S45" s="2142"/>
      <c r="T45" s="2144"/>
    </row>
    <row r="46" spans="2:20" s="2177" customFormat="1">
      <c r="B46" s="2011"/>
      <c r="C46" s="2177" t="s">
        <v>158</v>
      </c>
      <c r="I46" s="2142"/>
      <c r="J46" s="2142"/>
      <c r="K46" s="2142"/>
      <c r="L46" s="2142"/>
      <c r="M46" s="2142"/>
      <c r="N46" s="2142"/>
      <c r="O46" s="2142"/>
      <c r="P46" s="2142"/>
      <c r="Q46" s="2142"/>
      <c r="R46" s="2142"/>
      <c r="S46" s="2142"/>
      <c r="T46" s="2144"/>
    </row>
    <row r="47" spans="2:20" s="2177" customFormat="1">
      <c r="B47" s="2259"/>
      <c r="E47" s="2177" t="s">
        <v>643</v>
      </c>
      <c r="H47" s="1340">
        <v>18230421</v>
      </c>
      <c r="I47" s="2142">
        <f>'NEEA Gas MT_no Sched Gas'!H6</f>
        <v>0</v>
      </c>
      <c r="J47" s="2142">
        <f>'NEEA Gas MT_no Sched Gas'!I6</f>
        <v>0</v>
      </c>
      <c r="K47" s="2142">
        <f>'NEEA Gas MT_no Sched Gas'!J6</f>
        <v>0</v>
      </c>
      <c r="L47" s="2142">
        <f>'NEEA Gas MT_no Sched Gas'!K6</f>
        <v>0</v>
      </c>
      <c r="M47" s="2142">
        <f>'NEEA Gas MT_no Sched Gas'!L6</f>
        <v>0</v>
      </c>
      <c r="N47" s="2142">
        <f>'NEEA Gas MT_no Sched Gas'!M6</f>
        <v>1389079</v>
      </c>
      <c r="O47" s="2142">
        <f>'NEEA Gas MT_no Sched Gas'!N6</f>
        <v>0</v>
      </c>
      <c r="P47" s="2142">
        <f>'NEEA Gas MT_no Sched Gas'!O6</f>
        <v>0</v>
      </c>
      <c r="Q47" s="2142">
        <f>'NEEA Gas MT_no Sched Gas'!P6</f>
        <v>0</v>
      </c>
      <c r="S47" s="2142">
        <f>'NEEA Gas MT_no Sched Gas'!R6</f>
        <v>1389079</v>
      </c>
      <c r="T47" s="2144">
        <f>'NEEA Gas MT_no Sched Gas'!S6</f>
        <v>37680</v>
      </c>
    </row>
    <row r="48" spans="2:20" s="2177" customFormat="1">
      <c r="B48" s="2193"/>
      <c r="F48" s="2010"/>
      <c r="G48" s="2010" t="s">
        <v>162</v>
      </c>
      <c r="I48" s="2012">
        <f t="shared" ref="I48:Q48" si="6">SUM(I47:I47)</f>
        <v>0</v>
      </c>
      <c r="J48" s="2012">
        <f t="shared" si="6"/>
        <v>0</v>
      </c>
      <c r="K48" s="2012">
        <f t="shared" si="6"/>
        <v>0</v>
      </c>
      <c r="L48" s="2012">
        <f t="shared" si="6"/>
        <v>0</v>
      </c>
      <c r="M48" s="2012">
        <f t="shared" si="6"/>
        <v>0</v>
      </c>
      <c r="N48" s="2012">
        <f t="shared" si="6"/>
        <v>1389079</v>
      </c>
      <c r="O48" s="2012">
        <f t="shared" si="6"/>
        <v>0</v>
      </c>
      <c r="P48" s="2012">
        <f t="shared" si="6"/>
        <v>0</v>
      </c>
      <c r="Q48" s="2012">
        <f t="shared" si="6"/>
        <v>0</v>
      </c>
      <c r="S48" s="2012">
        <f>SUM(S47:S47)</f>
        <v>1389079</v>
      </c>
      <c r="T48" s="2013">
        <f>SUM(T47:T47)</f>
        <v>37680</v>
      </c>
    </row>
    <row r="49" spans="2:20" s="2177" customFormat="1">
      <c r="B49" s="2011"/>
      <c r="I49" s="2142"/>
      <c r="J49" s="2142"/>
      <c r="K49" s="2142"/>
      <c r="L49" s="2142"/>
      <c r="M49" s="2142"/>
      <c r="N49" s="2142"/>
      <c r="O49" s="2142"/>
      <c r="P49" s="2142"/>
      <c r="Q49" s="2142"/>
      <c r="R49" s="2142"/>
      <c r="S49" s="2142"/>
      <c r="T49" s="2144"/>
    </row>
    <row r="50" spans="2:20">
      <c r="B50" s="2011"/>
      <c r="C50" s="2177" t="s">
        <v>335</v>
      </c>
      <c r="H50" s="2140"/>
      <c r="T50" s="2144"/>
    </row>
    <row r="51" spans="2:20">
      <c r="B51" s="2259"/>
      <c r="C51" s="1866" t="s">
        <v>252</v>
      </c>
      <c r="E51" s="1866" t="s">
        <v>163</v>
      </c>
      <c r="H51" s="2194"/>
      <c r="I51" s="1605">
        <f>SUM(I52:I55)</f>
        <v>108815.77055</v>
      </c>
      <c r="J51" s="2142">
        <f t="shared" ref="J51:S51" si="7">SUM(J52:J55)</f>
        <v>2970</v>
      </c>
      <c r="K51" s="2142">
        <f t="shared" si="7"/>
        <v>76014.323973999984</v>
      </c>
      <c r="L51" s="2142">
        <f t="shared" si="7"/>
        <v>2530</v>
      </c>
      <c r="M51" s="2142">
        <f t="shared" si="7"/>
        <v>9112</v>
      </c>
      <c r="N51" s="2142">
        <f t="shared" si="7"/>
        <v>10090</v>
      </c>
      <c r="O51" s="2142">
        <f t="shared" si="7"/>
        <v>5978</v>
      </c>
      <c r="P51" s="2142">
        <f t="shared" si="7"/>
        <v>202</v>
      </c>
      <c r="Q51" s="2142">
        <f t="shared" si="7"/>
        <v>0</v>
      </c>
      <c r="R51" s="2142">
        <f t="shared" si="7"/>
        <v>0</v>
      </c>
      <c r="S51" s="2142">
        <f t="shared" si="7"/>
        <v>215712.09452399999</v>
      </c>
      <c r="T51" s="2144"/>
    </row>
    <row r="52" spans="2:20" s="2822" customFormat="1">
      <c r="B52" s="2821" t="s">
        <v>421</v>
      </c>
      <c r="E52" s="3366" t="s">
        <v>203</v>
      </c>
      <c r="H52" s="2825">
        <v>18230704</v>
      </c>
      <c r="I52" s="2824">
        <f>'Engy Adv Detail_PSCE_Gas'!H6</f>
        <v>46269.52</v>
      </c>
      <c r="J52" s="2824">
        <f>'Engy Adv Detail_PSCE_Gas'!I6</f>
        <v>0</v>
      </c>
      <c r="K52" s="2824">
        <f>'Engy Adv Detail_PSCE_Gas'!J6</f>
        <v>31463.2736</v>
      </c>
      <c r="L52" s="2824">
        <f>'Engy Adv Detail_PSCE_Gas'!K6</f>
        <v>0</v>
      </c>
      <c r="M52" s="2824">
        <f>'Engy Adv Detail_PSCE_Gas'!L6</f>
        <v>7832</v>
      </c>
      <c r="N52" s="2824">
        <f>'Engy Adv Detail_PSCE_Gas'!M6</f>
        <v>200</v>
      </c>
      <c r="O52" s="2824">
        <f>'Engy Adv Detail_PSCE_Gas'!N6</f>
        <v>453</v>
      </c>
      <c r="P52" s="2824">
        <f>'Engy Adv Detail_PSCE_Gas'!O6</f>
        <v>202</v>
      </c>
      <c r="Q52" s="2824">
        <f>'Engy Adv Detail_PSCE_Gas'!P6</f>
        <v>0</v>
      </c>
      <c r="R52" s="2824">
        <f>'Engy Adv Detail_PSCE_Gas'!Q6</f>
        <v>0</v>
      </c>
      <c r="S52" s="2824">
        <f>'Engy Adv Detail_PSCE_Gas'!R6</f>
        <v>86419.793600000005</v>
      </c>
      <c r="T52" s="2826"/>
    </row>
    <row r="53" spans="2:20" s="2822" customFormat="1">
      <c r="B53" s="2821" t="s">
        <v>422</v>
      </c>
      <c r="E53" s="3366" t="s">
        <v>204</v>
      </c>
      <c r="H53" s="2825">
        <v>18230653</v>
      </c>
      <c r="I53" s="2824">
        <f>'Events Detail_PSCE_Gas'!H6</f>
        <v>60272.306499999992</v>
      </c>
      <c r="J53" s="2824">
        <f>'Events Detail_PSCE_Gas'!I6</f>
        <v>0</v>
      </c>
      <c r="K53" s="2824">
        <f>'Events Detail_PSCE_Gas'!J6</f>
        <v>40985.168419999995</v>
      </c>
      <c r="L53" s="2824">
        <f>'Events Detail_PSCE_Gas'!K6</f>
        <v>530</v>
      </c>
      <c r="M53" s="2824">
        <f>'Events Detail_PSCE_Gas'!L6</f>
        <v>1280</v>
      </c>
      <c r="N53" s="2824">
        <f>'Events Detail_PSCE_Gas'!M6</f>
        <v>8525</v>
      </c>
      <c r="O53" s="2824">
        <f>'Events Detail_PSCE_Gas'!N6</f>
        <v>715</v>
      </c>
      <c r="P53" s="2824">
        <f>'Events Detail_PSCE_Gas'!O6</f>
        <v>0</v>
      </c>
      <c r="Q53" s="2824">
        <f>'Events Detail_PSCE_Gas'!P6</f>
        <v>0</v>
      </c>
      <c r="R53" s="2824">
        <f>'Events Detail_PSCE_Gas'!Q6</f>
        <v>0</v>
      </c>
      <c r="S53" s="2824">
        <f>'Events Detail_PSCE_Gas'!R6</f>
        <v>112307.47491999998</v>
      </c>
      <c r="T53" s="2826"/>
    </row>
    <row r="54" spans="2:20" s="2822" customFormat="1">
      <c r="B54" s="2821" t="s">
        <v>423</v>
      </c>
      <c r="E54" s="3366" t="s">
        <v>357</v>
      </c>
      <c r="H54" s="2825">
        <v>18230685</v>
      </c>
      <c r="I54" s="2824">
        <f>'Brochure Detail_PSCE_Gas'!H6</f>
        <v>2273.9440499999996</v>
      </c>
      <c r="J54" s="2824">
        <f>'Brochure Detail_PSCE_Gas'!I6</f>
        <v>2970</v>
      </c>
      <c r="K54" s="2824">
        <f>'Brochure Detail_PSCE_Gas'!J6</f>
        <v>3565.881954</v>
      </c>
      <c r="L54" s="2824">
        <f>'Brochure Detail_PSCE_Gas'!K6</f>
        <v>2000</v>
      </c>
      <c r="M54" s="2824">
        <f>'Brochure Detail_PSCE_Gas'!L6</f>
        <v>0</v>
      </c>
      <c r="N54" s="2824">
        <f>'Brochure Detail_PSCE_Gas'!M6</f>
        <v>390</v>
      </c>
      <c r="O54" s="2824">
        <f>'Brochure Detail_PSCE_Gas'!N6</f>
        <v>4810</v>
      </c>
      <c r="P54" s="2824">
        <f>'Brochure Detail_PSCE_Gas'!O6</f>
        <v>0</v>
      </c>
      <c r="Q54" s="2824">
        <f>'Brochure Detail_PSCE_Gas'!P6</f>
        <v>0</v>
      </c>
      <c r="R54" s="2824">
        <f>'Brochure Detail_PSCE_Gas'!Q6</f>
        <v>0</v>
      </c>
      <c r="S54" s="2824">
        <f>'Brochure Detail_PSCE_Gas'!R6</f>
        <v>16009.826004</v>
      </c>
      <c r="T54" s="2826"/>
    </row>
    <row r="55" spans="2:20" s="2822" customFormat="1">
      <c r="B55" s="2821" t="s">
        <v>424</v>
      </c>
      <c r="C55" s="2822" t="s">
        <v>354</v>
      </c>
      <c r="E55" s="3366" t="s">
        <v>205</v>
      </c>
      <c r="H55" s="2825">
        <v>18230671</v>
      </c>
      <c r="I55" s="2824">
        <f>'Eductn Detail_PSCE_G207 Gas'!H6</f>
        <v>0</v>
      </c>
      <c r="J55" s="2824">
        <f>'Eductn Detail_PSCE_G207 Gas'!I6</f>
        <v>0</v>
      </c>
      <c r="K55" s="2824">
        <f>'Eductn Detail_PSCE_G207 Gas'!J6</f>
        <v>0</v>
      </c>
      <c r="L55" s="2824">
        <f>'Eductn Detail_PSCE_G207 Gas'!K6</f>
        <v>0</v>
      </c>
      <c r="M55" s="2824">
        <f>'Eductn Detail_PSCE_G207 Gas'!L6</f>
        <v>0</v>
      </c>
      <c r="N55" s="2824">
        <f>'Eductn Detail_PSCE_G207 Gas'!M6</f>
        <v>975</v>
      </c>
      <c r="O55" s="2824">
        <f>'Eductn Detail_PSCE_G207 Gas'!N6</f>
        <v>0</v>
      </c>
      <c r="P55" s="2824">
        <f>'Eductn Detail_PSCE_G207 Gas'!O6</f>
        <v>0</v>
      </c>
      <c r="Q55" s="2824">
        <f>'Eductn Detail_PSCE_G207 Gas'!P6</f>
        <v>0</v>
      </c>
      <c r="R55" s="2824">
        <f>'Eductn Detail_PSCE_G207 Gas'!Q6</f>
        <v>0</v>
      </c>
      <c r="S55" s="2824">
        <f>'Eductn Detail_PSCE_G207 Gas'!R6</f>
        <v>975</v>
      </c>
      <c r="T55" s="2826"/>
    </row>
    <row r="56" spans="2:20">
      <c r="B56" s="2259"/>
      <c r="C56" s="1866" t="s">
        <v>252</v>
      </c>
      <c r="E56" s="2708" t="s">
        <v>756</v>
      </c>
      <c r="H56" s="1340"/>
      <c r="I56" s="1605">
        <f>SUM(I57:I59)</f>
        <v>38979.120000000003</v>
      </c>
      <c r="J56" s="2142">
        <f t="shared" ref="J56:S56" si="8">SUM(J57:J59)</f>
        <v>500</v>
      </c>
      <c r="K56" s="2142">
        <f t="shared" si="8"/>
        <v>26845.801600000003</v>
      </c>
      <c r="L56" s="2142">
        <f t="shared" si="8"/>
        <v>0</v>
      </c>
      <c r="M56" s="2142">
        <f t="shared" si="8"/>
        <v>2000</v>
      </c>
      <c r="N56" s="2142">
        <f t="shared" si="8"/>
        <v>92690</v>
      </c>
      <c r="O56" s="2142">
        <f t="shared" si="8"/>
        <v>0</v>
      </c>
      <c r="P56" s="2142">
        <f t="shared" si="8"/>
        <v>0</v>
      </c>
      <c r="Q56" s="2142">
        <f t="shared" si="8"/>
        <v>0</v>
      </c>
      <c r="R56" s="2142">
        <f t="shared" si="8"/>
        <v>0</v>
      </c>
      <c r="S56" s="2142">
        <f t="shared" si="8"/>
        <v>161014.9216</v>
      </c>
      <c r="T56" s="2144"/>
    </row>
    <row r="57" spans="2:20" s="2822" customFormat="1">
      <c r="B57" s="2821" t="s">
        <v>425</v>
      </c>
      <c r="E57" s="3366" t="s">
        <v>786</v>
      </c>
      <c r="H57" s="2825">
        <v>18230737</v>
      </c>
      <c r="I57" s="2824">
        <f>'CustOnline Detail_PSWE_Gas'!H6</f>
        <v>0</v>
      </c>
      <c r="J57" s="2824">
        <f>'CustOnline Detail_PSWE_Gas'!I6</f>
        <v>0</v>
      </c>
      <c r="K57" s="2824">
        <f>'CustOnline Detail_PSWE_Gas'!J6</f>
        <v>0</v>
      </c>
      <c r="L57" s="2824">
        <f>'CustOnline Detail_PSWE_Gas'!K6</f>
        <v>0</v>
      </c>
      <c r="M57" s="2824">
        <f>'CustOnline Detail_PSWE_Gas'!L6</f>
        <v>0</v>
      </c>
      <c r="N57" s="2824">
        <f>'CustOnline Detail_PSWE_Gas'!M6</f>
        <v>88010</v>
      </c>
      <c r="O57" s="2824">
        <f>'CustOnline Detail_PSWE_Gas'!N6</f>
        <v>0</v>
      </c>
      <c r="P57" s="2824">
        <f>'CustOnline Detail_PSWE_Gas'!O6</f>
        <v>0</v>
      </c>
      <c r="Q57" s="2824">
        <f>'CustOnline Detail_PSWE_Gas'!P6</f>
        <v>0</v>
      </c>
      <c r="R57" s="2824"/>
      <c r="S57" s="2824">
        <f>'CustOnline Detail_PSWE_Gas'!R6</f>
        <v>88010</v>
      </c>
      <c r="T57" s="2826"/>
    </row>
    <row r="58" spans="2:20" s="2822" customFormat="1">
      <c r="B58" s="2821" t="s">
        <v>426</v>
      </c>
      <c r="E58" s="3366" t="s">
        <v>341</v>
      </c>
      <c r="H58" s="2825">
        <v>18230732</v>
      </c>
      <c r="I58" s="2824">
        <f>'Mkt Intg Detail_PSWE_Gas'!H6</f>
        <v>29418</v>
      </c>
      <c r="J58" s="2824">
        <f>'Mkt Intg Detail_PSWE_Gas'!I6</f>
        <v>0</v>
      </c>
      <c r="K58" s="2824">
        <f>'Mkt Intg Detail_PSWE_Gas'!J6</f>
        <v>20004.240000000002</v>
      </c>
      <c r="L58" s="2824">
        <f>'Mkt Intg Detail_PSWE_Gas'!K6</f>
        <v>0</v>
      </c>
      <c r="M58" s="2824">
        <f>'Mkt Intg Detail_PSWE_Gas'!L6</f>
        <v>1300</v>
      </c>
      <c r="N58" s="2824">
        <f>'Mkt Intg Detail_PSWE_Gas'!M6</f>
        <v>2080</v>
      </c>
      <c r="O58" s="2824">
        <f>'Mkt Intg Detail_PSWE_Gas'!N6</f>
        <v>0</v>
      </c>
      <c r="P58" s="2824">
        <f>'Mkt Intg Detail_PSWE_Gas'!O6</f>
        <v>0</v>
      </c>
      <c r="Q58" s="2824">
        <f>'Mkt Intg Detail_PSWE_Gas'!P6</f>
        <v>0</v>
      </c>
      <c r="R58" s="2824"/>
      <c r="S58" s="2824">
        <f>'Mkt Intg Detail_PSWE_Gas'!R6</f>
        <v>52802.240000000005</v>
      </c>
      <c r="T58" s="2826"/>
    </row>
    <row r="59" spans="2:20" s="2822" customFormat="1">
      <c r="B59" s="2821" t="s">
        <v>1641</v>
      </c>
      <c r="E59" s="3366" t="s">
        <v>1636</v>
      </c>
      <c r="H59" s="3156">
        <v>18230667</v>
      </c>
      <c r="I59" s="2824">
        <f>'ABS Detail_PSWE_Gas'!H6</f>
        <v>9561.1200000000008</v>
      </c>
      <c r="J59" s="2824">
        <f>'ABS Detail_PSWE_Gas'!I6</f>
        <v>500</v>
      </c>
      <c r="K59" s="2824">
        <f>'ABS Detail_PSWE_Gas'!J6</f>
        <v>6841.5616000000009</v>
      </c>
      <c r="L59" s="2824">
        <f>'ABS Detail_PSWE_Gas'!K6</f>
        <v>0</v>
      </c>
      <c r="M59" s="2824">
        <f>'ABS Detail_PSWE_Gas'!L6</f>
        <v>700</v>
      </c>
      <c r="N59" s="2824">
        <f>'ABS Detail_PSWE_Gas'!M6</f>
        <v>2600</v>
      </c>
      <c r="O59" s="2824">
        <f>'ABS Detail_PSWE_Gas'!N6</f>
        <v>0</v>
      </c>
      <c r="P59" s="2824">
        <f>'ABS Detail_PSWE_Gas'!O6</f>
        <v>0</v>
      </c>
      <c r="Q59" s="2824">
        <f>'ABS Detail_PSWE_Gas'!P6</f>
        <v>0</v>
      </c>
      <c r="R59" s="2824">
        <f>'ABS Detail_PSWE_Gas'!P6</f>
        <v>0</v>
      </c>
      <c r="S59" s="2824">
        <f>'ABS Detail_PSWE_Gas'!R6</f>
        <v>20202.681600000004</v>
      </c>
      <c r="T59" s="2826"/>
    </row>
    <row r="60" spans="2:20" s="2177" customFormat="1">
      <c r="B60" s="2259" t="s">
        <v>745</v>
      </c>
      <c r="E60" s="2177" t="s">
        <v>1564</v>
      </c>
      <c r="H60" s="2263">
        <v>18230507</v>
      </c>
      <c r="I60" s="2142">
        <f>'Rebt Procg_Detail Gas'!H6</f>
        <v>58579.794000000002</v>
      </c>
      <c r="J60" s="2142">
        <f>'Rebt Procg_Detail Gas'!I6</f>
        <v>0</v>
      </c>
      <c r="K60" s="2142">
        <f>'Rebt Procg_Detail Gas'!J6</f>
        <v>39834.259920000004</v>
      </c>
      <c r="L60" s="2142">
        <f>'Rebt Procg_Detail Gas'!K6</f>
        <v>0</v>
      </c>
      <c r="M60" s="2142">
        <f>'Rebt Procg_Detail Gas'!L6</f>
        <v>2704</v>
      </c>
      <c r="N60" s="2142">
        <f>'Rebt Procg_Detail Gas'!M6</f>
        <v>0</v>
      </c>
      <c r="O60" s="2142">
        <f>'Rebt Procg_Detail Gas'!N6</f>
        <v>650</v>
      </c>
      <c r="P60" s="2142">
        <f>'Rebt Procg_Detail Gas'!O6</f>
        <v>0</v>
      </c>
      <c r="Q60" s="2142">
        <f>'Rebt Procg_Detail Gas'!P6</f>
        <v>0</v>
      </c>
      <c r="S60" s="2142">
        <f>'Rebt Procg_Detail Gas'!R6</f>
        <v>101768.05392000001</v>
      </c>
      <c r="T60" s="2144"/>
    </row>
    <row r="61" spans="2:20" s="2177" customFormat="1">
      <c r="B61" s="2259" t="s">
        <v>400</v>
      </c>
      <c r="E61" s="2195" t="s">
        <v>636</v>
      </c>
      <c r="F61" s="2194"/>
      <c r="G61" s="2194"/>
      <c r="H61" s="1340">
        <v>18230688</v>
      </c>
      <c r="I61" s="2142">
        <f>'Progs Supp Detail_PS_Gas'!H6</f>
        <v>26568.59</v>
      </c>
      <c r="J61" s="2142">
        <f>'Progs Supp Detail_PS_Gas'!I6</f>
        <v>0</v>
      </c>
      <c r="K61" s="2142">
        <f>'Progs Supp Detail_PS_Gas'!J6</f>
        <v>18066.641200000002</v>
      </c>
      <c r="L61" s="2142">
        <f>'Progs Supp Detail_PS_Gas'!K6</f>
        <v>0</v>
      </c>
      <c r="M61" s="2142">
        <f>'Progs Supp Detail_PS_Gas'!L6</f>
        <v>2000</v>
      </c>
      <c r="N61" s="2142">
        <f>'Progs Supp Detail_PS_Gas'!M6</f>
        <v>0</v>
      </c>
      <c r="O61" s="2142">
        <f>'Progs Supp Detail_PS_Gas'!N6</f>
        <v>0</v>
      </c>
      <c r="P61" s="2142">
        <f>'Progs Supp Detail_PS_Gas'!O6</f>
        <v>0</v>
      </c>
      <c r="Q61" s="2142">
        <f>'Progs Supp Detail_PS_Gas'!P6</f>
        <v>0</v>
      </c>
      <c r="S61" s="2142">
        <f>'Progs Supp Detail_PS_Gas'!R6</f>
        <v>46635.231200000002</v>
      </c>
      <c r="T61" s="2144"/>
    </row>
    <row r="62" spans="2:20" s="2177" customFormat="1">
      <c r="B62" s="2259" t="s">
        <v>746</v>
      </c>
      <c r="E62" s="2177" t="s">
        <v>637</v>
      </c>
      <c r="H62" s="2263">
        <v>18231005</v>
      </c>
      <c r="I62" s="2142">
        <f>'Data &amp; Systm Svcs Detail Gas'!H6</f>
        <v>66421.5</v>
      </c>
      <c r="J62" s="2142">
        <f>'Data &amp; Systm Svcs Detail Gas'!I6</f>
        <v>0</v>
      </c>
      <c r="K62" s="2142">
        <f>'Data &amp; Systm Svcs Detail Gas'!J6</f>
        <v>45166.62</v>
      </c>
      <c r="L62" s="2142">
        <f>'Data &amp; Systm Svcs Detail Gas'!K6</f>
        <v>0</v>
      </c>
      <c r="M62" s="2142">
        <f>'Data &amp; Systm Svcs Detail Gas'!L6</f>
        <v>2000</v>
      </c>
      <c r="N62" s="2142">
        <f>'Data &amp; Systm Svcs Detail Gas'!M6</f>
        <v>16900</v>
      </c>
      <c r="O62" s="2142">
        <f>'Data &amp; Systm Svcs Detail Gas'!N6</f>
        <v>0</v>
      </c>
      <c r="P62" s="2142">
        <f>'Data &amp; Systm Svcs Detail Gas'!O6</f>
        <v>0</v>
      </c>
      <c r="Q62" s="2142">
        <f>'Data &amp; Systm Svcs Detail Gas'!P6</f>
        <v>0</v>
      </c>
      <c r="S62" s="2142">
        <f>'Data &amp; Systm Svcs Detail Gas'!R6</f>
        <v>130488.12</v>
      </c>
      <c r="T62" s="2144"/>
    </row>
    <row r="63" spans="2:20">
      <c r="B63" s="2259" t="s">
        <v>427</v>
      </c>
      <c r="E63" s="1866" t="s">
        <v>26</v>
      </c>
      <c r="H63" s="1340">
        <v>18230657</v>
      </c>
      <c r="I63" s="1605">
        <f>'EEC Detail_PS_Gas'!H6</f>
        <v>57606.305849999997</v>
      </c>
      <c r="J63" s="1605">
        <f>'EEC Detail_PS_Gas'!I6</f>
        <v>1690</v>
      </c>
      <c r="K63" s="1605">
        <f>'EEC Detail_PS_Gas'!J6</f>
        <v>40321.487977999997</v>
      </c>
      <c r="L63" s="1605">
        <f>'EEC Detail_PS_Gas'!K6</f>
        <v>13195</v>
      </c>
      <c r="M63" s="1605">
        <f>'EEC Detail_PS_Gas'!L6</f>
        <v>10855</v>
      </c>
      <c r="N63" s="1605">
        <f>'EEC Detail_PS_Gas'!M6</f>
        <v>4225</v>
      </c>
      <c r="O63" s="1605">
        <f>'EEC Detail_PS_Gas'!N6</f>
        <v>7865</v>
      </c>
      <c r="P63" s="1605">
        <f>'EEC Detail_PS_Gas'!O6</f>
        <v>0</v>
      </c>
      <c r="Q63" s="1605">
        <f>'EEC Detail_PS_Gas'!P6</f>
        <v>0</v>
      </c>
      <c r="S63" s="1605">
        <f>'EEC Detail_PS_Gas'!R6</f>
        <v>135757.79382799999</v>
      </c>
      <c r="T63" s="2144"/>
    </row>
    <row r="64" spans="2:20">
      <c r="B64" s="2259" t="s">
        <v>428</v>
      </c>
      <c r="E64" s="1862" t="s">
        <v>164</v>
      </c>
      <c r="F64" s="1862"/>
      <c r="G64" s="1862"/>
      <c r="H64" s="1340">
        <v>18230698</v>
      </c>
      <c r="I64" s="1605">
        <f>'TradeAlly Detail_PS_gas'!H6</f>
        <v>0</v>
      </c>
      <c r="J64" s="1605">
        <f>'TradeAlly Detail_PS_gas'!I6</f>
        <v>0</v>
      </c>
      <c r="K64" s="1605">
        <f>'TradeAlly Detail_PS_gas'!J6</f>
        <v>0</v>
      </c>
      <c r="L64" s="1605">
        <f>'TradeAlly Detail_PS_gas'!K6</f>
        <v>0</v>
      </c>
      <c r="M64" s="1605">
        <f>'TradeAlly Detail_PS_gas'!L6</f>
        <v>0</v>
      </c>
      <c r="N64" s="1605">
        <f>'TradeAlly Detail_PS_gas'!M6</f>
        <v>8450</v>
      </c>
      <c r="O64" s="1605">
        <f>'TradeAlly Detail_PS_gas'!N6</f>
        <v>0</v>
      </c>
      <c r="P64" s="1605">
        <f>'TradeAlly Detail_PS_gas'!O6</f>
        <v>12565</v>
      </c>
      <c r="Q64" s="1605">
        <f>'TradeAlly Detail_PS_gas'!P6</f>
        <v>0</v>
      </c>
      <c r="S64" s="1605">
        <f>'TradeAlly Detail_PS_gas'!R6</f>
        <v>21015</v>
      </c>
      <c r="T64" s="2144"/>
    </row>
    <row r="65" spans="2:20" s="2177" customFormat="1">
      <c r="B65" s="2259" t="s">
        <v>747</v>
      </c>
      <c r="E65" s="2194" t="s">
        <v>662</v>
      </c>
      <c r="F65" s="2194"/>
      <c r="G65" s="2194"/>
      <c r="H65" s="2263">
        <v>18231031</v>
      </c>
      <c r="I65" s="2142">
        <f>'CAN_PS_Detail Gas'!H6</f>
        <v>154984.49</v>
      </c>
      <c r="J65" s="2142">
        <f>'CAN_PS_Detail Gas'!I6</f>
        <v>4100</v>
      </c>
      <c r="K65" s="2142">
        <f>'CAN_PS_Detail Gas'!J6</f>
        <v>108177.4532</v>
      </c>
      <c r="L65" s="2142">
        <f>'CAN_PS_Detail Gas'!K6</f>
        <v>14000</v>
      </c>
      <c r="M65" s="2142">
        <f>'CAN_PS_Detail Gas'!L6</f>
        <v>5000</v>
      </c>
      <c r="N65" s="2142">
        <f>'CAN_PS_Detail Gas'!M6</f>
        <v>16000</v>
      </c>
      <c r="O65" s="2142">
        <f>'CAN_PS_Detail Gas'!N6</f>
        <v>1500</v>
      </c>
      <c r="P65" s="2142">
        <f>'CAN_PS_Detail Gas'!O6</f>
        <v>0</v>
      </c>
      <c r="Q65" s="2142">
        <f>'CAN_PS_Detail Gas'!P6</f>
        <v>0</v>
      </c>
      <c r="R65" s="2142">
        <f>'CAN_PS_Detail Gas'!Q6</f>
        <v>-313321.74</v>
      </c>
      <c r="S65" s="2142">
        <f>'CAN_PS_Detail Gas'!R6</f>
        <v>-9559.796800000011</v>
      </c>
      <c r="T65" s="2144"/>
    </row>
    <row r="66" spans="2:20" s="1737" customFormat="1">
      <c r="B66" s="2064"/>
      <c r="D66" s="2064"/>
      <c r="F66" s="2010"/>
      <c r="G66" s="245" t="s">
        <v>165</v>
      </c>
      <c r="H66" s="604"/>
      <c r="I66" s="603">
        <f t="shared" ref="I66:S66" si="9">I51+I56+SUM(I60:I65)</f>
        <v>511955.57040000003</v>
      </c>
      <c r="J66" s="2012">
        <f t="shared" si="9"/>
        <v>9260</v>
      </c>
      <c r="K66" s="2012">
        <f t="shared" si="9"/>
        <v>354426.587872</v>
      </c>
      <c r="L66" s="2012">
        <f t="shared" si="9"/>
        <v>29725</v>
      </c>
      <c r="M66" s="2012">
        <f t="shared" si="9"/>
        <v>33671</v>
      </c>
      <c r="N66" s="2012">
        <f t="shared" si="9"/>
        <v>148355</v>
      </c>
      <c r="O66" s="2012">
        <f t="shared" si="9"/>
        <v>15993</v>
      </c>
      <c r="P66" s="2012">
        <f t="shared" si="9"/>
        <v>12767</v>
      </c>
      <c r="Q66" s="2012">
        <f t="shared" si="9"/>
        <v>0</v>
      </c>
      <c r="R66" s="2012">
        <f t="shared" si="9"/>
        <v>-313321.74</v>
      </c>
      <c r="S66" s="2012">
        <f t="shared" si="9"/>
        <v>802831.41827199992</v>
      </c>
      <c r="T66" s="2013"/>
    </row>
    <row r="67" spans="2:20">
      <c r="B67" s="2141"/>
      <c r="H67" s="1340"/>
      <c r="T67" s="2144"/>
    </row>
    <row r="68" spans="2:20">
      <c r="B68" s="2141"/>
      <c r="C68" s="2177" t="s">
        <v>334</v>
      </c>
      <c r="H68" s="1340"/>
      <c r="T68" s="2144"/>
    </row>
    <row r="69" spans="2:20">
      <c r="B69" s="2259" t="s">
        <v>429</v>
      </c>
      <c r="E69" s="1866" t="s">
        <v>27</v>
      </c>
      <c r="H69" s="1340">
        <v>18230703</v>
      </c>
      <c r="I69" s="1605">
        <f>'Supp Crv Detail_R&amp;C_gas'!H6</f>
        <v>14021.4</v>
      </c>
      <c r="J69" s="1605">
        <f>'Supp Crv Detail_R&amp;C_gas'!I6</f>
        <v>0</v>
      </c>
      <c r="K69" s="1605">
        <f>'Supp Crv Detail_R&amp;C_gas'!J6</f>
        <v>9534.5519999999997</v>
      </c>
      <c r="L69" s="1605">
        <f>'Supp Crv Detail_R&amp;C_gas'!K6</f>
        <v>0</v>
      </c>
      <c r="M69" s="1605">
        <f>'Supp Crv Detail_R&amp;C_gas'!L6</f>
        <v>156</v>
      </c>
      <c r="N69" s="1605">
        <f>'Supp Crv Detail_R&amp;C_gas'!M6</f>
        <v>2600</v>
      </c>
      <c r="O69" s="1605">
        <f>'Supp Crv Detail_R&amp;C_gas'!N6</f>
        <v>0</v>
      </c>
      <c r="P69" s="1605">
        <f>'Supp Crv Detail_R&amp;C_gas'!O6</f>
        <v>0</v>
      </c>
      <c r="Q69" s="1605">
        <f>'Supp Crv Detail_R&amp;C_gas'!P6</f>
        <v>0</v>
      </c>
      <c r="S69" s="1605">
        <f>'Supp Crv Detail_R&amp;C_gas'!R6</f>
        <v>26311.951999999997</v>
      </c>
      <c r="T69" s="2144"/>
    </row>
    <row r="70" spans="2:20">
      <c r="B70" s="2259" t="s">
        <v>430</v>
      </c>
      <c r="E70" s="1866" t="s">
        <v>32</v>
      </c>
      <c r="H70" s="1340">
        <v>18230679</v>
      </c>
      <c r="I70" s="1605">
        <f>'Strat Pln Detail_R&amp;C_Gas'!H6</f>
        <v>12852.8</v>
      </c>
      <c r="J70" s="1605">
        <f>'Strat Pln Detail_R&amp;C_Gas'!I6</f>
        <v>0</v>
      </c>
      <c r="K70" s="1605">
        <f>'Strat Pln Detail_R&amp;C_Gas'!J6</f>
        <v>8739.9040000000005</v>
      </c>
      <c r="L70" s="1605">
        <f>'Strat Pln Detail_R&amp;C_Gas'!K6</f>
        <v>0</v>
      </c>
      <c r="M70" s="1605">
        <f>'Strat Pln Detail_R&amp;C_Gas'!L6</f>
        <v>156</v>
      </c>
      <c r="N70" s="1605">
        <f>'Strat Pln Detail_R&amp;C_Gas'!M6</f>
        <v>0</v>
      </c>
      <c r="O70" s="1605">
        <f>'Strat Pln Detail_R&amp;C_Gas'!N6</f>
        <v>0</v>
      </c>
      <c r="P70" s="1605">
        <f>'Strat Pln Detail_R&amp;C_Gas'!O6</f>
        <v>0</v>
      </c>
      <c r="Q70" s="1605">
        <f>'Strat Pln Detail_R&amp;C_Gas'!P6</f>
        <v>0</v>
      </c>
      <c r="S70" s="1605">
        <f>'Strat Pln Detail_R&amp;C_Gas'!R6</f>
        <v>21748.703999999998</v>
      </c>
      <c r="T70" s="2144"/>
    </row>
    <row r="71" spans="2:20">
      <c r="B71" s="2259" t="s">
        <v>431</v>
      </c>
      <c r="E71" s="2177" t="s">
        <v>356</v>
      </c>
      <c r="H71" s="1340">
        <v>18230670</v>
      </c>
      <c r="I71" s="1605">
        <f>'Mktg Rsch Detail_PS_gas'!H6</f>
        <v>22485.94</v>
      </c>
      <c r="J71" s="1605">
        <f>'Mktg Rsch Detail_PS_gas'!I6</f>
        <v>0</v>
      </c>
      <c r="K71" s="1605">
        <f>'Mktg Rsch Detail_PS_gas'!J6</f>
        <v>15290.439200000001</v>
      </c>
      <c r="L71" s="1605">
        <f>'Mktg Rsch Detail_PS_gas'!K6</f>
        <v>0</v>
      </c>
      <c r="M71" s="1605">
        <f>'Mktg Rsch Detail_PS_gas'!L6</f>
        <v>635.70000000000005</v>
      </c>
      <c r="N71" s="1605">
        <f>'Mktg Rsch Detail_PS_gas'!M6</f>
        <v>4864.1449999999995</v>
      </c>
      <c r="O71" s="1605">
        <f>'Mktg Rsch Detail_PS_gas'!N6</f>
        <v>201.5</v>
      </c>
      <c r="P71" s="1605">
        <f>'Mktg Rsch Detail_PS_gas'!O6</f>
        <v>0</v>
      </c>
      <c r="Q71" s="1605">
        <f>'Mktg Rsch Detail_PS_gas'!P6</f>
        <v>0</v>
      </c>
      <c r="S71" s="1605">
        <f>'Mktg Rsch Detail_PS_gas'!R6</f>
        <v>43477.72419999999</v>
      </c>
      <c r="T71" s="2144"/>
    </row>
    <row r="72" spans="2:20">
      <c r="B72" s="2259" t="s">
        <v>432</v>
      </c>
      <c r="E72" s="1866" t="s">
        <v>28</v>
      </c>
      <c r="H72" s="1340">
        <v>18230699</v>
      </c>
      <c r="I72" s="1605">
        <f>'Eval Detail_R&amp;C_Gas'!H6</f>
        <v>24036.63</v>
      </c>
      <c r="J72" s="1605">
        <f>'Eval Detail_R&amp;C_Gas'!I6</f>
        <v>0</v>
      </c>
      <c r="K72" s="1605">
        <f>'Eval Detail_R&amp;C_Gas'!J6</f>
        <v>16344.908400000002</v>
      </c>
      <c r="L72" s="1605">
        <f>'Eval Detail_R&amp;C_Gas'!K6</f>
        <v>0</v>
      </c>
      <c r="M72" s="1605">
        <f>'Eval Detail_R&amp;C_Gas'!L6</f>
        <v>149.5</v>
      </c>
      <c r="N72" s="1605">
        <f>'Eval Detail_R&amp;C_Gas'!M6</f>
        <v>230750</v>
      </c>
      <c r="O72" s="1605">
        <f>'Eval Detail_R&amp;C_Gas'!N6</f>
        <v>0</v>
      </c>
      <c r="P72" s="1605">
        <f>'Eval Detail_R&amp;C_Gas'!O6</f>
        <v>585</v>
      </c>
      <c r="Q72" s="1605">
        <f>'Eval Detail_R&amp;C_Gas'!P6</f>
        <v>0</v>
      </c>
      <c r="S72" s="1605">
        <f>'Eval Detail_R&amp;C_Gas'!R6</f>
        <v>271866.03840000002</v>
      </c>
      <c r="T72" s="2144"/>
    </row>
    <row r="73" spans="2:20" s="2140" customFormat="1">
      <c r="B73" s="2259" t="s">
        <v>433</v>
      </c>
      <c r="D73" s="2177"/>
      <c r="E73" s="2140" t="s">
        <v>267</v>
      </c>
      <c r="H73" s="2143">
        <v>18230668</v>
      </c>
      <c r="I73" s="2142">
        <f>'Verifctn team Detail Gas'!H6</f>
        <v>58579.794000000002</v>
      </c>
      <c r="J73" s="2142">
        <f>'Verifctn team Detail Gas'!I6</f>
        <v>0</v>
      </c>
      <c r="K73" s="2142">
        <f>'Verifctn team Detail Gas'!J6</f>
        <v>39834.259920000004</v>
      </c>
      <c r="L73" s="2142">
        <f>'Verifctn team Detail Gas'!K6</f>
        <v>0</v>
      </c>
      <c r="M73" s="2142">
        <f>'Verifctn team Detail Gas'!L6</f>
        <v>1274</v>
      </c>
      <c r="N73" s="2142">
        <f>'Verifctn team Detail Gas'!M6</f>
        <v>11700</v>
      </c>
      <c r="O73" s="2142">
        <f>'Verifctn team Detail Gas'!N6</f>
        <v>715</v>
      </c>
      <c r="P73" s="2142">
        <f>'Verifctn team Detail Gas'!O6</f>
        <v>0</v>
      </c>
      <c r="Q73" s="2142">
        <f>'Verifctn team Detail Gas'!P6</f>
        <v>0</v>
      </c>
      <c r="S73" s="2142">
        <f>'Verifctn team Detail Gas'!R6</f>
        <v>112103.05392000001</v>
      </c>
      <c r="T73" s="2144"/>
    </row>
    <row r="74" spans="2:20" s="1737" customFormat="1">
      <c r="B74" s="1613"/>
      <c r="D74" s="2064"/>
      <c r="F74" s="2010"/>
      <c r="G74" s="245" t="s">
        <v>167</v>
      </c>
      <c r="H74" s="604"/>
      <c r="I74" s="603">
        <f t="shared" ref="I74:S74" si="10">SUM(I69:I73)</f>
        <v>131976.56400000001</v>
      </c>
      <c r="J74" s="603">
        <f t="shared" si="10"/>
        <v>0</v>
      </c>
      <c r="K74" s="603">
        <f t="shared" si="10"/>
        <v>89744.063519999996</v>
      </c>
      <c r="L74" s="603">
        <f t="shared" si="10"/>
        <v>0</v>
      </c>
      <c r="M74" s="603">
        <f t="shared" si="10"/>
        <v>2371.1999999999998</v>
      </c>
      <c r="N74" s="603">
        <f t="shared" si="10"/>
        <v>249914.14499999999</v>
      </c>
      <c r="O74" s="603">
        <f t="shared" si="10"/>
        <v>916.5</v>
      </c>
      <c r="P74" s="603">
        <f t="shared" si="10"/>
        <v>585</v>
      </c>
      <c r="Q74" s="603">
        <f t="shared" si="10"/>
        <v>0</v>
      </c>
      <c r="R74" s="603">
        <f t="shared" si="10"/>
        <v>0</v>
      </c>
      <c r="S74" s="603">
        <f t="shared" si="10"/>
        <v>475507.47251999995</v>
      </c>
      <c r="T74" s="2013"/>
    </row>
    <row r="75" spans="2:20">
      <c r="H75" s="1340"/>
      <c r="T75" s="2144"/>
    </row>
    <row r="76" spans="2:20" s="1737" customFormat="1">
      <c r="B76" s="1613"/>
      <c r="D76" s="2064"/>
      <c r="F76" s="2010"/>
      <c r="G76" s="245" t="s">
        <v>171</v>
      </c>
      <c r="I76" s="603">
        <f t="shared" ref="I76:T76" si="11">I74+I66+I48+I44+I38+I21</f>
        <v>1466283.7529000002</v>
      </c>
      <c r="J76" s="2012">
        <f t="shared" si="11"/>
        <v>78482.604999999996</v>
      </c>
      <c r="K76" s="2012">
        <f t="shared" si="11"/>
        <v>1050417.0289719999</v>
      </c>
      <c r="L76" s="2012">
        <f t="shared" si="11"/>
        <v>478515.52</v>
      </c>
      <c r="M76" s="2012">
        <f t="shared" si="11"/>
        <v>70917.2</v>
      </c>
      <c r="N76" s="2012">
        <f t="shared" si="11"/>
        <v>2388513.145</v>
      </c>
      <c r="O76" s="2012">
        <f t="shared" si="11"/>
        <v>42199.5</v>
      </c>
      <c r="P76" s="2012">
        <f t="shared" si="11"/>
        <v>115556.5</v>
      </c>
      <c r="Q76" s="2012">
        <f t="shared" si="11"/>
        <v>9389883.1804999989</v>
      </c>
      <c r="R76" s="2012">
        <f t="shared" si="11"/>
        <v>-313321.74</v>
      </c>
      <c r="S76" s="2012">
        <f t="shared" si="11"/>
        <v>14767446.692372002</v>
      </c>
      <c r="T76" s="2013">
        <f t="shared" si="11"/>
        <v>3463032.7199999997</v>
      </c>
    </row>
    <row r="77" spans="2:20">
      <c r="T77" s="2144"/>
    </row>
    <row r="78" spans="2:20" s="2316" customFormat="1" ht="213.75">
      <c r="B78" s="2315"/>
      <c r="F78" s="2317"/>
      <c r="G78" s="2321" t="s">
        <v>519</v>
      </c>
      <c r="H78" s="701" t="s">
        <v>217</v>
      </c>
      <c r="I78" s="2319" t="s">
        <v>496</v>
      </c>
      <c r="J78" s="2319" t="s">
        <v>494</v>
      </c>
      <c r="K78" s="2320" t="s">
        <v>497</v>
      </c>
      <c r="L78" s="2319" t="s">
        <v>495</v>
      </c>
      <c r="M78" s="2319" t="s">
        <v>498</v>
      </c>
      <c r="N78" s="2319" t="s">
        <v>499</v>
      </c>
      <c r="O78" s="2319" t="s">
        <v>500</v>
      </c>
      <c r="P78" s="2319" t="s">
        <v>501</v>
      </c>
      <c r="Q78" s="2319" t="s">
        <v>502</v>
      </c>
      <c r="R78" s="2319" t="s">
        <v>218</v>
      </c>
      <c r="S78" s="702"/>
      <c r="T78" s="2318"/>
    </row>
  </sheetData>
  <customSheetViews>
    <customSheetView guid="{074EB09C-6289-46D7-9513-012B68BCA7BF}" hiddenRows="1">
      <pane xSplit="8" ySplit="5" topLeftCell="Q6" activePane="bottomRight" state="frozen"/>
      <selection pane="bottomRight" activeCell="S22" sqref="S22"/>
      <pageMargins left="0.7" right="0.7" top="0.4" bottom="0.37" header="0.3" footer="0.3"/>
      <pageSetup paperSize="3" scale="65" orientation="landscape" r:id="rId1"/>
    </customSheetView>
    <customSheetView guid="{D9EFFE19-D14B-4C6F-BDF4-FF696F73968D}">
      <pane xSplit="8" ySplit="5" topLeftCell="I39" activePane="bottomRight" state="frozen"/>
      <selection pane="bottomRight" activeCell="B57" sqref="B57"/>
      <pageMargins left="0.7" right="0.7" top="0.4" bottom="0.37" header="0.3" footer="0.3"/>
      <pageSetup paperSize="3" scale="65" orientation="landscape" r:id="rId2"/>
    </customSheetView>
  </customSheetViews>
  <mergeCells count="1">
    <mergeCell ref="E5:G5"/>
  </mergeCells>
  <hyperlinks>
    <hyperlink ref="H71" location="'Mktg Rsch Detail_PS_gas'!A1" display="'Mktg Rsch Detail_PS_gas'!A1"/>
    <hyperlink ref="H69" location="'Supp Crv Detail_R&amp;C_gas'!A1" display="'Supp Crv Detail_R&amp;C_gas'!A1"/>
    <hyperlink ref="H70" location="'Strat Pln Detail_R&amp;C_Gas'!A1" display="'Strat Pln Detail_R&amp;C_Gas'!A1"/>
    <hyperlink ref="H72" location="'Eval Detail_R&amp;C_Gas'!A1" display="'Eval Detail_R&amp;C_Gas'!A1"/>
    <hyperlink ref="H73" location="'Verifctn team Detail Gas'!A1" display="'Verifctn team Detail Gas'!A1"/>
    <hyperlink ref="H57" location="'CustOnline Detail_PSWE_Gas'!A1" display="'CustOnline Detail_PSWE_Gas'!A1"/>
    <hyperlink ref="H58" location="'Mkt Intg Detail_PSWE_Gas'!A1" display="'Mkt Intg Detail_PSWE_Gas'!A1"/>
    <hyperlink ref="H63" location="'EEC Detail_PS_Gas'!A1" display="'EEC Detail_PS_Gas'!A1"/>
    <hyperlink ref="H64" location="'TradeAlly Detail_PS_gas'!A1" display="'TradeAlly Detail_PS_gas'!A1"/>
    <hyperlink ref="H52" location="'Engy Adv Detail_PSCE_Gas'!A1" display="'Engy Adv Detail_PSCE_Gas'!A1"/>
    <hyperlink ref="H54" location="'Brochure Detail_PSCE_Gas'!A1" display="'Brochure Detail_PSCE_Gas'!A1"/>
    <hyperlink ref="H55" location="'Eductn Detail_PSCE_G207 Gas'!A1" display="'Eductn Detail_PSCE_G207 Gas'!A1"/>
    <hyperlink ref="H53" location="'Events Detail_PSCE_Gas'!A1" display="'Events Detail_PSCE_Gas'!A1"/>
    <hyperlink ref="H25" location="'CI Retr Detail_BEM G250 Gas'!A1" display="'CI Retr Detail_BEM G250 Gas'!A1"/>
    <hyperlink ref="H28" location="'RCM Detail_BEM 253 Gas'!A1" display="'RCM Detail_BEM 253 Gas'!A1"/>
    <hyperlink ref="H26" location="'CI NC Detail_BEM G251 Gas'!A1" display="'CI NC Detail_BEM G251 Gas'!A1"/>
    <hyperlink ref="H30"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17" location="'NCMfgHomes Detail_REM G215 Gas'!A1" display="'NCMfgHomes Detail_REM G215 Gas'!A1"/>
    <hyperlink ref="H43" location="'BEM Pilots Detail G249 Gas'!A1" display="'BEM Pilots Detail G249 Gas'!A1"/>
    <hyperlink ref="H42" location="'REM Pilots Detail G249 Gas'!A1" display="18230nnn"/>
    <hyperlink ref="H47" location="'NEEA Detail_E254 elec'!A1" display="'NEEA Detail_E254 elec'!A1"/>
    <hyperlink ref="H32" location="'Comm Kit-Laund_G262 Gas'!A1" display="'Comm Kit-Laund_G262 Gas'!A1"/>
    <hyperlink ref="H33" location="'Comm DI_G262 Gas'!A1" display="'Comm DI_G262 Gas'!A1"/>
    <hyperlink ref="H34" location="'Comm HVAC_G262 Gas'!A1" display="'Comm HVAC_G262 Gas'!A1"/>
    <hyperlink ref="H37" location="'Sm Bus DI_G262 Gas'!A1" display="'Sm Bus DI_G262 Gas'!A1"/>
    <hyperlink ref="H61" location="'Progs Supp Detail_PS_Gas'!A1" display="'Progs Supp Detail_PS_Gas'!A1"/>
    <hyperlink ref="H62" location="'Data &amp; Systm Svcs Detail Gas'!A1" display="'Data &amp; Systm Svcs Detail Gas'!A1"/>
    <hyperlink ref="H60" location="'Rebt Procg_Detail Gas'!A1" display="'Rebt Procg_Detail Gas'!A1"/>
    <hyperlink ref="H65" location="'CAN_PS_Detail Gas'!A1" display="'CAN_PS_Detail Gas'!A1"/>
    <hyperlink ref="H35" location="'Sm Agr DI_G262 Gas'!A1" display="1823nnnn"/>
    <hyperlink ref="H36" location="'Lodging DI_G262_Gas'!A1" display="1823yyyy"/>
    <hyperlink ref="H29" location="'ResAcctSW Detail_PSWE_Gas'!A1" display="1823xxxx"/>
    <hyperlink ref="H59" location="'ABS Detail_PSWE_Gas'!A1" display="'ABS Detail_PSWE_Gas'!A1"/>
  </hyperlinks>
  <pageMargins left="0.7" right="0.7" top="0.4" bottom="0.37" header="0.3" footer="0.3"/>
  <pageSetup paperSize="3" scale="65" orientation="landscape" r:id="rId3"/>
  <ignoredErrors>
    <ignoredError sqref="R66:T76 R56 R27:T38" emptyCellReference="1"/>
  </ignoredError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DB4E3"/>
  </sheetPr>
  <dimension ref="A1:AE114"/>
  <sheetViews>
    <sheetView showGridLines="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8.7109375" style="1164" customWidth="1"/>
    <col min="2" max="2" width="16.42578125" style="1866" customWidth="1"/>
    <col min="3" max="3" width="31.42578125" customWidth="1"/>
    <col min="4" max="4" width="23.7109375" customWidth="1"/>
    <col min="5" max="5" width="16.85546875" style="9" customWidth="1"/>
    <col min="6" max="6" width="15.140625" customWidth="1"/>
    <col min="7" max="7" width="19.28515625" customWidth="1"/>
    <col min="8" max="8" width="44" customWidth="1"/>
    <col min="9" max="9" width="15.28515625" bestFit="1" customWidth="1"/>
    <col min="10" max="10" width="14.140625" bestFit="1" customWidth="1"/>
    <col min="11" max="11" width="12" bestFit="1" customWidth="1"/>
    <col min="12" max="12" width="16.7109375" bestFit="1" customWidth="1"/>
    <col min="13" max="13" width="17" bestFit="1" customWidth="1"/>
    <col min="14" max="14" width="18.7109375" customWidth="1"/>
    <col min="15" max="15" width="13.7109375" customWidth="1"/>
    <col min="16" max="16" width="15.42578125" bestFit="1" customWidth="1"/>
    <col min="17" max="18" width="15.5703125" bestFit="1" customWidth="1"/>
    <col min="19" max="19" width="16.7109375" bestFit="1" customWidth="1"/>
    <col min="20" max="21" width="15.5703125" bestFit="1" customWidth="1"/>
    <col min="22" max="22" width="16.42578125" bestFit="1" customWidth="1"/>
    <col min="23" max="23" width="16.28515625" customWidth="1"/>
    <col min="24" max="24" width="15.7109375" customWidth="1"/>
    <col min="25" max="25" width="15" customWidth="1"/>
    <col min="26" max="30" width="15" style="2177" customWidth="1"/>
    <col min="31" max="31" width="13.5703125" bestFit="1" customWidth="1"/>
    <col min="254" max="254" width="24" bestFit="1" customWidth="1"/>
    <col min="255" max="255" width="45.7109375" bestFit="1" customWidth="1"/>
    <col min="256" max="256" width="34" bestFit="1" customWidth="1"/>
    <col min="257" max="257" width="13.5703125" bestFit="1" customWidth="1"/>
    <col min="258" max="258" width="46.5703125" bestFit="1" customWidth="1"/>
    <col min="259" max="259" width="13.42578125" customWidth="1"/>
    <col min="260" max="260" width="15.28515625" bestFit="1" customWidth="1"/>
    <col min="261" max="261" width="14.140625" bestFit="1" customWidth="1"/>
    <col min="262" max="262" width="12" bestFit="1" customWidth="1"/>
    <col min="263" max="263" width="16.7109375" bestFit="1" customWidth="1"/>
    <col min="264" max="264" width="17" bestFit="1" customWidth="1"/>
    <col min="265" max="265" width="18.7109375" customWidth="1"/>
    <col min="266" max="266" width="13.7109375" customWidth="1"/>
    <col min="267" max="267" width="15.42578125" bestFit="1" customWidth="1"/>
    <col min="268" max="269" width="15.5703125" bestFit="1" customWidth="1"/>
    <col min="270" max="270" width="16.7109375" bestFit="1" customWidth="1"/>
    <col min="271" max="272" width="15.5703125" bestFit="1" customWidth="1"/>
    <col min="273" max="273" width="16.42578125" bestFit="1"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4" bestFit="1" customWidth="1"/>
    <col min="511" max="511" width="45.7109375" bestFit="1" customWidth="1"/>
    <col min="512" max="512" width="34" bestFit="1" customWidth="1"/>
    <col min="513" max="513" width="13.5703125" bestFit="1" customWidth="1"/>
    <col min="514" max="514" width="46.5703125" bestFit="1" customWidth="1"/>
    <col min="515" max="515" width="13.42578125" customWidth="1"/>
    <col min="516" max="516" width="15.28515625" bestFit="1" customWidth="1"/>
    <col min="517" max="517" width="14.140625" bestFit="1" customWidth="1"/>
    <col min="518" max="518" width="12" bestFit="1" customWidth="1"/>
    <col min="519" max="519" width="16.7109375" bestFit="1" customWidth="1"/>
    <col min="520" max="520" width="17" bestFit="1" customWidth="1"/>
    <col min="521" max="521" width="18.7109375" customWidth="1"/>
    <col min="522" max="522" width="13.7109375" customWidth="1"/>
    <col min="523" max="523" width="15.42578125" bestFit="1" customWidth="1"/>
    <col min="524" max="525" width="15.5703125" bestFit="1" customWidth="1"/>
    <col min="526" max="526" width="16.7109375" bestFit="1" customWidth="1"/>
    <col min="527" max="528" width="15.5703125" bestFit="1" customWidth="1"/>
    <col min="529" max="529" width="16.42578125" bestFit="1"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4" bestFit="1" customWidth="1"/>
    <col min="767" max="767" width="45.7109375" bestFit="1" customWidth="1"/>
    <col min="768" max="768" width="34" bestFit="1" customWidth="1"/>
    <col min="769" max="769" width="13.5703125" bestFit="1" customWidth="1"/>
    <col min="770" max="770" width="46.5703125" bestFit="1" customWidth="1"/>
    <col min="771" max="771" width="13.42578125" customWidth="1"/>
    <col min="772" max="772" width="15.28515625" bestFit="1" customWidth="1"/>
    <col min="773" max="773" width="14.140625" bestFit="1" customWidth="1"/>
    <col min="774" max="774" width="12" bestFit="1" customWidth="1"/>
    <col min="775" max="775" width="16.7109375" bestFit="1" customWidth="1"/>
    <col min="776" max="776" width="17" bestFit="1" customWidth="1"/>
    <col min="777" max="777" width="18.7109375" customWidth="1"/>
    <col min="778" max="778" width="13.7109375" customWidth="1"/>
    <col min="779" max="779" width="15.42578125" bestFit="1" customWidth="1"/>
    <col min="780" max="781" width="15.5703125" bestFit="1" customWidth="1"/>
    <col min="782" max="782" width="16.7109375" bestFit="1" customWidth="1"/>
    <col min="783" max="784" width="15.5703125" bestFit="1" customWidth="1"/>
    <col min="785" max="785" width="16.42578125" bestFit="1"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4" bestFit="1" customWidth="1"/>
    <col min="1023" max="1023" width="45.7109375" bestFit="1" customWidth="1"/>
    <col min="1024" max="1024" width="34" bestFit="1" customWidth="1"/>
    <col min="1025" max="1025" width="13.5703125" bestFit="1" customWidth="1"/>
    <col min="1026" max="1026" width="46.5703125" bestFit="1" customWidth="1"/>
    <col min="1027" max="1027" width="13.42578125" customWidth="1"/>
    <col min="1028" max="1028" width="15.28515625" bestFit="1" customWidth="1"/>
    <col min="1029" max="1029" width="14.140625" bestFit="1" customWidth="1"/>
    <col min="1030" max="1030" width="12" bestFit="1" customWidth="1"/>
    <col min="1031" max="1031" width="16.7109375" bestFit="1" customWidth="1"/>
    <col min="1032" max="1032" width="17" bestFit="1" customWidth="1"/>
    <col min="1033" max="1033" width="18.7109375" customWidth="1"/>
    <col min="1034" max="1034" width="13.7109375" customWidth="1"/>
    <col min="1035" max="1035" width="15.42578125" bestFit="1" customWidth="1"/>
    <col min="1036" max="1037" width="15.5703125" bestFit="1" customWidth="1"/>
    <col min="1038" max="1038" width="16.7109375" bestFit="1" customWidth="1"/>
    <col min="1039" max="1040" width="15.5703125" bestFit="1" customWidth="1"/>
    <col min="1041" max="1041" width="16.42578125" bestFit="1"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4" bestFit="1" customWidth="1"/>
    <col min="1279" max="1279" width="45.7109375" bestFit="1" customWidth="1"/>
    <col min="1280" max="1280" width="34" bestFit="1" customWidth="1"/>
    <col min="1281" max="1281" width="13.5703125" bestFit="1" customWidth="1"/>
    <col min="1282" max="1282" width="46.5703125" bestFit="1" customWidth="1"/>
    <col min="1283" max="1283" width="13.42578125" customWidth="1"/>
    <col min="1284" max="1284" width="15.28515625" bestFit="1" customWidth="1"/>
    <col min="1285" max="1285" width="14.140625" bestFit="1" customWidth="1"/>
    <col min="1286" max="1286" width="12" bestFit="1" customWidth="1"/>
    <col min="1287" max="1287" width="16.7109375" bestFit="1" customWidth="1"/>
    <col min="1288" max="1288" width="17" bestFit="1" customWidth="1"/>
    <col min="1289" max="1289" width="18.7109375" customWidth="1"/>
    <col min="1290" max="1290" width="13.7109375" customWidth="1"/>
    <col min="1291" max="1291" width="15.42578125" bestFit="1" customWidth="1"/>
    <col min="1292" max="1293" width="15.5703125" bestFit="1" customWidth="1"/>
    <col min="1294" max="1294" width="16.7109375" bestFit="1" customWidth="1"/>
    <col min="1295" max="1296" width="15.5703125" bestFit="1" customWidth="1"/>
    <col min="1297" max="1297" width="16.42578125" bestFit="1"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4" bestFit="1" customWidth="1"/>
    <col min="1535" max="1535" width="45.7109375" bestFit="1" customWidth="1"/>
    <col min="1536" max="1536" width="34" bestFit="1" customWidth="1"/>
    <col min="1537" max="1537" width="13.5703125" bestFit="1" customWidth="1"/>
    <col min="1538" max="1538" width="46.5703125" bestFit="1" customWidth="1"/>
    <col min="1539" max="1539" width="13.42578125" customWidth="1"/>
    <col min="1540" max="1540" width="15.28515625" bestFit="1" customWidth="1"/>
    <col min="1541" max="1541" width="14.140625" bestFit="1" customWidth="1"/>
    <col min="1542" max="1542" width="12" bestFit="1" customWidth="1"/>
    <col min="1543" max="1543" width="16.7109375" bestFit="1" customWidth="1"/>
    <col min="1544" max="1544" width="17" bestFit="1" customWidth="1"/>
    <col min="1545" max="1545" width="18.7109375" customWidth="1"/>
    <col min="1546" max="1546" width="13.7109375" customWidth="1"/>
    <col min="1547" max="1547" width="15.42578125" bestFit="1" customWidth="1"/>
    <col min="1548" max="1549" width="15.5703125" bestFit="1" customWidth="1"/>
    <col min="1550" max="1550" width="16.7109375" bestFit="1" customWidth="1"/>
    <col min="1551" max="1552" width="15.5703125" bestFit="1" customWidth="1"/>
    <col min="1553" max="1553" width="16.42578125" bestFit="1"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4" bestFit="1" customWidth="1"/>
    <col min="1791" max="1791" width="45.7109375" bestFit="1" customWidth="1"/>
    <col min="1792" max="1792" width="34" bestFit="1" customWidth="1"/>
    <col min="1793" max="1793" width="13.5703125" bestFit="1" customWidth="1"/>
    <col min="1794" max="1794" width="46.5703125" bestFit="1" customWidth="1"/>
    <col min="1795" max="1795" width="13.42578125" customWidth="1"/>
    <col min="1796" max="1796" width="15.28515625" bestFit="1" customWidth="1"/>
    <col min="1797" max="1797" width="14.140625" bestFit="1" customWidth="1"/>
    <col min="1798" max="1798" width="12" bestFit="1" customWidth="1"/>
    <col min="1799" max="1799" width="16.7109375" bestFit="1" customWidth="1"/>
    <col min="1800" max="1800" width="17" bestFit="1" customWidth="1"/>
    <col min="1801" max="1801" width="18.7109375" customWidth="1"/>
    <col min="1802" max="1802" width="13.7109375" customWidth="1"/>
    <col min="1803" max="1803" width="15.42578125" bestFit="1" customWidth="1"/>
    <col min="1804" max="1805" width="15.5703125" bestFit="1" customWidth="1"/>
    <col min="1806" max="1806" width="16.7109375" bestFit="1" customWidth="1"/>
    <col min="1807" max="1808" width="15.5703125" bestFit="1" customWidth="1"/>
    <col min="1809" max="1809" width="16.42578125" bestFit="1"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4" bestFit="1" customWidth="1"/>
    <col min="2047" max="2047" width="45.7109375" bestFit="1" customWidth="1"/>
    <col min="2048" max="2048" width="34" bestFit="1" customWidth="1"/>
    <col min="2049" max="2049" width="13.5703125" bestFit="1" customWidth="1"/>
    <col min="2050" max="2050" width="46.5703125" bestFit="1" customWidth="1"/>
    <col min="2051" max="2051" width="13.42578125" customWidth="1"/>
    <col min="2052" max="2052" width="15.28515625" bestFit="1" customWidth="1"/>
    <col min="2053" max="2053" width="14.140625" bestFit="1" customWidth="1"/>
    <col min="2054" max="2054" width="12" bestFit="1" customWidth="1"/>
    <col min="2055" max="2055" width="16.7109375" bestFit="1" customWidth="1"/>
    <col min="2056" max="2056" width="17" bestFit="1" customWidth="1"/>
    <col min="2057" max="2057" width="18.7109375" customWidth="1"/>
    <col min="2058" max="2058" width="13.7109375" customWidth="1"/>
    <col min="2059" max="2059" width="15.42578125" bestFit="1" customWidth="1"/>
    <col min="2060" max="2061" width="15.5703125" bestFit="1" customWidth="1"/>
    <col min="2062" max="2062" width="16.7109375" bestFit="1" customWidth="1"/>
    <col min="2063" max="2064" width="15.5703125" bestFit="1" customWidth="1"/>
    <col min="2065" max="2065" width="16.42578125" bestFit="1"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4" bestFit="1" customWidth="1"/>
    <col min="2303" max="2303" width="45.7109375" bestFit="1" customWidth="1"/>
    <col min="2304" max="2304" width="34" bestFit="1" customWidth="1"/>
    <col min="2305" max="2305" width="13.5703125" bestFit="1" customWidth="1"/>
    <col min="2306" max="2306" width="46.5703125" bestFit="1" customWidth="1"/>
    <col min="2307" max="2307" width="13.42578125" customWidth="1"/>
    <col min="2308" max="2308" width="15.28515625" bestFit="1" customWidth="1"/>
    <col min="2309" max="2309" width="14.140625" bestFit="1" customWidth="1"/>
    <col min="2310" max="2310" width="12" bestFit="1" customWidth="1"/>
    <col min="2311" max="2311" width="16.7109375" bestFit="1" customWidth="1"/>
    <col min="2312" max="2312" width="17" bestFit="1" customWidth="1"/>
    <col min="2313" max="2313" width="18.7109375" customWidth="1"/>
    <col min="2314" max="2314" width="13.7109375" customWidth="1"/>
    <col min="2315" max="2315" width="15.42578125" bestFit="1" customWidth="1"/>
    <col min="2316" max="2317" width="15.5703125" bestFit="1" customWidth="1"/>
    <col min="2318" max="2318" width="16.7109375" bestFit="1" customWidth="1"/>
    <col min="2319" max="2320" width="15.5703125" bestFit="1" customWidth="1"/>
    <col min="2321" max="2321" width="16.42578125" bestFit="1"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4" bestFit="1" customWidth="1"/>
    <col min="2559" max="2559" width="45.7109375" bestFit="1" customWidth="1"/>
    <col min="2560" max="2560" width="34" bestFit="1" customWidth="1"/>
    <col min="2561" max="2561" width="13.5703125" bestFit="1" customWidth="1"/>
    <col min="2562" max="2562" width="46.5703125" bestFit="1" customWidth="1"/>
    <col min="2563" max="2563" width="13.42578125" customWidth="1"/>
    <col min="2564" max="2564" width="15.28515625" bestFit="1" customWidth="1"/>
    <col min="2565" max="2565" width="14.140625" bestFit="1" customWidth="1"/>
    <col min="2566" max="2566" width="12" bestFit="1" customWidth="1"/>
    <col min="2567" max="2567" width="16.7109375" bestFit="1" customWidth="1"/>
    <col min="2568" max="2568" width="17" bestFit="1" customWidth="1"/>
    <col min="2569" max="2569" width="18.7109375" customWidth="1"/>
    <col min="2570" max="2570" width="13.7109375" customWidth="1"/>
    <col min="2571" max="2571" width="15.42578125" bestFit="1" customWidth="1"/>
    <col min="2572" max="2573" width="15.5703125" bestFit="1" customWidth="1"/>
    <col min="2574" max="2574" width="16.7109375" bestFit="1" customWidth="1"/>
    <col min="2575" max="2576" width="15.5703125" bestFit="1" customWidth="1"/>
    <col min="2577" max="2577" width="16.42578125" bestFit="1"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4" bestFit="1" customWidth="1"/>
    <col min="2815" max="2815" width="45.7109375" bestFit="1" customWidth="1"/>
    <col min="2816" max="2816" width="34" bestFit="1" customWidth="1"/>
    <col min="2817" max="2817" width="13.5703125" bestFit="1" customWidth="1"/>
    <col min="2818" max="2818" width="46.5703125" bestFit="1" customWidth="1"/>
    <col min="2819" max="2819" width="13.42578125" customWidth="1"/>
    <col min="2820" max="2820" width="15.28515625" bestFit="1" customWidth="1"/>
    <col min="2821" max="2821" width="14.140625" bestFit="1" customWidth="1"/>
    <col min="2822" max="2822" width="12" bestFit="1" customWidth="1"/>
    <col min="2823" max="2823" width="16.7109375" bestFit="1" customWidth="1"/>
    <col min="2824" max="2824" width="17" bestFit="1" customWidth="1"/>
    <col min="2825" max="2825" width="18.7109375" customWidth="1"/>
    <col min="2826" max="2826" width="13.7109375" customWidth="1"/>
    <col min="2827" max="2827" width="15.42578125" bestFit="1" customWidth="1"/>
    <col min="2828" max="2829" width="15.5703125" bestFit="1" customWidth="1"/>
    <col min="2830" max="2830" width="16.7109375" bestFit="1" customWidth="1"/>
    <col min="2831" max="2832" width="15.5703125" bestFit="1" customWidth="1"/>
    <col min="2833" max="2833" width="16.42578125" bestFit="1"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4" bestFit="1" customWidth="1"/>
    <col min="3071" max="3071" width="45.7109375" bestFit="1" customWidth="1"/>
    <col min="3072" max="3072" width="34" bestFit="1" customWidth="1"/>
    <col min="3073" max="3073" width="13.5703125" bestFit="1" customWidth="1"/>
    <col min="3074" max="3074" width="46.5703125" bestFit="1" customWidth="1"/>
    <col min="3075" max="3075" width="13.42578125" customWidth="1"/>
    <col min="3076" max="3076" width="15.28515625" bestFit="1" customWidth="1"/>
    <col min="3077" max="3077" width="14.140625" bestFit="1" customWidth="1"/>
    <col min="3078" max="3078" width="12" bestFit="1" customWidth="1"/>
    <col min="3079" max="3079" width="16.7109375" bestFit="1" customWidth="1"/>
    <col min="3080" max="3080" width="17" bestFit="1" customWidth="1"/>
    <col min="3081" max="3081" width="18.7109375" customWidth="1"/>
    <col min="3082" max="3082" width="13.7109375" customWidth="1"/>
    <col min="3083" max="3083" width="15.42578125" bestFit="1" customWidth="1"/>
    <col min="3084" max="3085" width="15.5703125" bestFit="1" customWidth="1"/>
    <col min="3086" max="3086" width="16.7109375" bestFit="1" customWidth="1"/>
    <col min="3087" max="3088" width="15.5703125" bestFit="1" customWidth="1"/>
    <col min="3089" max="3089" width="16.42578125" bestFit="1"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4" bestFit="1" customWidth="1"/>
    <col min="3327" max="3327" width="45.7109375" bestFit="1" customWidth="1"/>
    <col min="3328" max="3328" width="34" bestFit="1" customWidth="1"/>
    <col min="3329" max="3329" width="13.5703125" bestFit="1" customWidth="1"/>
    <col min="3330" max="3330" width="46.5703125" bestFit="1" customWidth="1"/>
    <col min="3331" max="3331" width="13.42578125" customWidth="1"/>
    <col min="3332" max="3332" width="15.28515625" bestFit="1" customWidth="1"/>
    <col min="3333" max="3333" width="14.140625" bestFit="1" customWidth="1"/>
    <col min="3334" max="3334" width="12" bestFit="1" customWidth="1"/>
    <col min="3335" max="3335" width="16.7109375" bestFit="1" customWidth="1"/>
    <col min="3336" max="3336" width="17" bestFit="1" customWidth="1"/>
    <col min="3337" max="3337" width="18.7109375" customWidth="1"/>
    <col min="3338" max="3338" width="13.7109375" customWidth="1"/>
    <col min="3339" max="3339" width="15.42578125" bestFit="1" customWidth="1"/>
    <col min="3340" max="3341" width="15.5703125" bestFit="1" customWidth="1"/>
    <col min="3342" max="3342" width="16.7109375" bestFit="1" customWidth="1"/>
    <col min="3343" max="3344" width="15.5703125" bestFit="1" customWidth="1"/>
    <col min="3345" max="3345" width="16.42578125" bestFit="1"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4" bestFit="1" customWidth="1"/>
    <col min="3583" max="3583" width="45.7109375" bestFit="1" customWidth="1"/>
    <col min="3584" max="3584" width="34" bestFit="1" customWidth="1"/>
    <col min="3585" max="3585" width="13.5703125" bestFit="1" customWidth="1"/>
    <col min="3586" max="3586" width="46.5703125" bestFit="1" customWidth="1"/>
    <col min="3587" max="3587" width="13.42578125" customWidth="1"/>
    <col min="3588" max="3588" width="15.28515625" bestFit="1" customWidth="1"/>
    <col min="3589" max="3589" width="14.140625" bestFit="1" customWidth="1"/>
    <col min="3590" max="3590" width="12" bestFit="1" customWidth="1"/>
    <col min="3591" max="3591" width="16.7109375" bestFit="1" customWidth="1"/>
    <col min="3592" max="3592" width="17" bestFit="1" customWidth="1"/>
    <col min="3593" max="3593" width="18.7109375" customWidth="1"/>
    <col min="3594" max="3594" width="13.7109375" customWidth="1"/>
    <col min="3595" max="3595" width="15.42578125" bestFit="1" customWidth="1"/>
    <col min="3596" max="3597" width="15.5703125" bestFit="1" customWidth="1"/>
    <col min="3598" max="3598" width="16.7109375" bestFit="1" customWidth="1"/>
    <col min="3599" max="3600" width="15.5703125" bestFit="1" customWidth="1"/>
    <col min="3601" max="3601" width="16.42578125" bestFit="1"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4" bestFit="1" customWidth="1"/>
    <col min="3839" max="3839" width="45.7109375" bestFit="1" customWidth="1"/>
    <col min="3840" max="3840" width="34" bestFit="1" customWidth="1"/>
    <col min="3841" max="3841" width="13.5703125" bestFit="1" customWidth="1"/>
    <col min="3842" max="3842" width="46.5703125" bestFit="1" customWidth="1"/>
    <col min="3843" max="3843" width="13.42578125" customWidth="1"/>
    <col min="3844" max="3844" width="15.28515625" bestFit="1" customWidth="1"/>
    <col min="3845" max="3845" width="14.140625" bestFit="1" customWidth="1"/>
    <col min="3846" max="3846" width="12" bestFit="1" customWidth="1"/>
    <col min="3847" max="3847" width="16.7109375" bestFit="1" customWidth="1"/>
    <col min="3848" max="3848" width="17" bestFit="1" customWidth="1"/>
    <col min="3849" max="3849" width="18.7109375" customWidth="1"/>
    <col min="3850" max="3850" width="13.7109375" customWidth="1"/>
    <col min="3851" max="3851" width="15.42578125" bestFit="1" customWidth="1"/>
    <col min="3852" max="3853" width="15.5703125" bestFit="1" customWidth="1"/>
    <col min="3854" max="3854" width="16.7109375" bestFit="1" customWidth="1"/>
    <col min="3855" max="3856" width="15.5703125" bestFit="1" customWidth="1"/>
    <col min="3857" max="3857" width="16.42578125" bestFit="1"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4" bestFit="1" customWidth="1"/>
    <col min="4095" max="4095" width="45.7109375" bestFit="1" customWidth="1"/>
    <col min="4096" max="4096" width="34" bestFit="1" customWidth="1"/>
    <col min="4097" max="4097" width="13.5703125" bestFit="1" customWidth="1"/>
    <col min="4098" max="4098" width="46.5703125" bestFit="1" customWidth="1"/>
    <col min="4099" max="4099" width="13.42578125" customWidth="1"/>
    <col min="4100" max="4100" width="15.28515625" bestFit="1" customWidth="1"/>
    <col min="4101" max="4101" width="14.140625" bestFit="1" customWidth="1"/>
    <col min="4102" max="4102" width="12" bestFit="1" customWidth="1"/>
    <col min="4103" max="4103" width="16.7109375" bestFit="1" customWidth="1"/>
    <col min="4104" max="4104" width="17" bestFit="1" customWidth="1"/>
    <col min="4105" max="4105" width="18.7109375" customWidth="1"/>
    <col min="4106" max="4106" width="13.7109375" customWidth="1"/>
    <col min="4107" max="4107" width="15.42578125" bestFit="1" customWidth="1"/>
    <col min="4108" max="4109" width="15.5703125" bestFit="1" customWidth="1"/>
    <col min="4110" max="4110" width="16.7109375" bestFit="1" customWidth="1"/>
    <col min="4111" max="4112" width="15.5703125" bestFit="1" customWidth="1"/>
    <col min="4113" max="4113" width="16.42578125" bestFit="1"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4" bestFit="1" customWidth="1"/>
    <col min="4351" max="4351" width="45.7109375" bestFit="1" customWidth="1"/>
    <col min="4352" max="4352" width="34" bestFit="1" customWidth="1"/>
    <col min="4353" max="4353" width="13.5703125" bestFit="1" customWidth="1"/>
    <col min="4354" max="4354" width="46.5703125" bestFit="1" customWidth="1"/>
    <col min="4355" max="4355" width="13.42578125" customWidth="1"/>
    <col min="4356" max="4356" width="15.28515625" bestFit="1" customWidth="1"/>
    <col min="4357" max="4357" width="14.140625" bestFit="1" customWidth="1"/>
    <col min="4358" max="4358" width="12" bestFit="1" customWidth="1"/>
    <col min="4359" max="4359" width="16.7109375" bestFit="1" customWidth="1"/>
    <col min="4360" max="4360" width="17" bestFit="1" customWidth="1"/>
    <col min="4361" max="4361" width="18.7109375" customWidth="1"/>
    <col min="4362" max="4362" width="13.7109375" customWidth="1"/>
    <col min="4363" max="4363" width="15.42578125" bestFit="1" customWidth="1"/>
    <col min="4364" max="4365" width="15.5703125" bestFit="1" customWidth="1"/>
    <col min="4366" max="4366" width="16.7109375" bestFit="1" customWidth="1"/>
    <col min="4367" max="4368" width="15.5703125" bestFit="1" customWidth="1"/>
    <col min="4369" max="4369" width="16.42578125" bestFit="1"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4" bestFit="1" customWidth="1"/>
    <col min="4607" max="4607" width="45.7109375" bestFit="1" customWidth="1"/>
    <col min="4608" max="4608" width="34" bestFit="1" customWidth="1"/>
    <col min="4609" max="4609" width="13.5703125" bestFit="1" customWidth="1"/>
    <col min="4610" max="4610" width="46.5703125" bestFit="1" customWidth="1"/>
    <col min="4611" max="4611" width="13.42578125" customWidth="1"/>
    <col min="4612" max="4612" width="15.28515625" bestFit="1" customWidth="1"/>
    <col min="4613" max="4613" width="14.140625" bestFit="1" customWidth="1"/>
    <col min="4614" max="4614" width="12" bestFit="1" customWidth="1"/>
    <col min="4615" max="4615" width="16.7109375" bestFit="1" customWidth="1"/>
    <col min="4616" max="4616" width="17" bestFit="1" customWidth="1"/>
    <col min="4617" max="4617" width="18.7109375" customWidth="1"/>
    <col min="4618" max="4618" width="13.7109375" customWidth="1"/>
    <col min="4619" max="4619" width="15.42578125" bestFit="1" customWidth="1"/>
    <col min="4620" max="4621" width="15.5703125" bestFit="1" customWidth="1"/>
    <col min="4622" max="4622" width="16.7109375" bestFit="1" customWidth="1"/>
    <col min="4623" max="4624" width="15.5703125" bestFit="1" customWidth="1"/>
    <col min="4625" max="4625" width="16.42578125" bestFit="1"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4" bestFit="1" customWidth="1"/>
    <col min="4863" max="4863" width="45.7109375" bestFit="1" customWidth="1"/>
    <col min="4864" max="4864" width="34" bestFit="1" customWidth="1"/>
    <col min="4865" max="4865" width="13.5703125" bestFit="1" customWidth="1"/>
    <col min="4866" max="4866" width="46.5703125" bestFit="1" customWidth="1"/>
    <col min="4867" max="4867" width="13.42578125" customWidth="1"/>
    <col min="4868" max="4868" width="15.28515625" bestFit="1" customWidth="1"/>
    <col min="4869" max="4869" width="14.140625" bestFit="1" customWidth="1"/>
    <col min="4870" max="4870" width="12" bestFit="1" customWidth="1"/>
    <col min="4871" max="4871" width="16.7109375" bestFit="1" customWidth="1"/>
    <col min="4872" max="4872" width="17" bestFit="1" customWidth="1"/>
    <col min="4873" max="4873" width="18.7109375" customWidth="1"/>
    <col min="4874" max="4874" width="13.7109375" customWidth="1"/>
    <col min="4875" max="4875" width="15.42578125" bestFit="1" customWidth="1"/>
    <col min="4876" max="4877" width="15.5703125" bestFit="1" customWidth="1"/>
    <col min="4878" max="4878" width="16.7109375" bestFit="1" customWidth="1"/>
    <col min="4879" max="4880" width="15.5703125" bestFit="1" customWidth="1"/>
    <col min="4881" max="4881" width="16.42578125" bestFit="1"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4" bestFit="1" customWidth="1"/>
    <col min="5119" max="5119" width="45.7109375" bestFit="1" customWidth="1"/>
    <col min="5120" max="5120" width="34" bestFit="1" customWidth="1"/>
    <col min="5121" max="5121" width="13.5703125" bestFit="1" customWidth="1"/>
    <col min="5122" max="5122" width="46.5703125" bestFit="1" customWidth="1"/>
    <col min="5123" max="5123" width="13.42578125" customWidth="1"/>
    <col min="5124" max="5124" width="15.28515625" bestFit="1" customWidth="1"/>
    <col min="5125" max="5125" width="14.140625" bestFit="1" customWidth="1"/>
    <col min="5126" max="5126" width="12" bestFit="1" customWidth="1"/>
    <col min="5127" max="5127" width="16.7109375" bestFit="1" customWidth="1"/>
    <col min="5128" max="5128" width="17" bestFit="1" customWidth="1"/>
    <col min="5129" max="5129" width="18.7109375" customWidth="1"/>
    <col min="5130" max="5130" width="13.7109375" customWidth="1"/>
    <col min="5131" max="5131" width="15.42578125" bestFit="1" customWidth="1"/>
    <col min="5132" max="5133" width="15.5703125" bestFit="1" customWidth="1"/>
    <col min="5134" max="5134" width="16.7109375" bestFit="1" customWidth="1"/>
    <col min="5135" max="5136" width="15.5703125" bestFit="1" customWidth="1"/>
    <col min="5137" max="5137" width="16.42578125" bestFit="1"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4" bestFit="1" customWidth="1"/>
    <col min="5375" max="5375" width="45.7109375" bestFit="1" customWidth="1"/>
    <col min="5376" max="5376" width="34" bestFit="1" customWidth="1"/>
    <col min="5377" max="5377" width="13.5703125" bestFit="1" customWidth="1"/>
    <col min="5378" max="5378" width="46.5703125" bestFit="1" customWidth="1"/>
    <col min="5379" max="5379" width="13.42578125" customWidth="1"/>
    <col min="5380" max="5380" width="15.28515625" bestFit="1" customWidth="1"/>
    <col min="5381" max="5381" width="14.140625" bestFit="1" customWidth="1"/>
    <col min="5382" max="5382" width="12" bestFit="1" customWidth="1"/>
    <col min="5383" max="5383" width="16.7109375" bestFit="1" customWidth="1"/>
    <col min="5384" max="5384" width="17" bestFit="1" customWidth="1"/>
    <col min="5385" max="5385" width="18.7109375" customWidth="1"/>
    <col min="5386" max="5386" width="13.7109375" customWidth="1"/>
    <col min="5387" max="5387" width="15.42578125" bestFit="1" customWidth="1"/>
    <col min="5388" max="5389" width="15.5703125" bestFit="1" customWidth="1"/>
    <col min="5390" max="5390" width="16.7109375" bestFit="1" customWidth="1"/>
    <col min="5391" max="5392" width="15.5703125" bestFit="1" customWidth="1"/>
    <col min="5393" max="5393" width="16.42578125" bestFit="1"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4" bestFit="1" customWidth="1"/>
    <col min="5631" max="5631" width="45.7109375" bestFit="1" customWidth="1"/>
    <col min="5632" max="5632" width="34" bestFit="1" customWidth="1"/>
    <col min="5633" max="5633" width="13.5703125" bestFit="1" customWidth="1"/>
    <col min="5634" max="5634" width="46.5703125" bestFit="1" customWidth="1"/>
    <col min="5635" max="5635" width="13.42578125" customWidth="1"/>
    <col min="5636" max="5636" width="15.28515625" bestFit="1" customWidth="1"/>
    <col min="5637" max="5637" width="14.140625" bestFit="1" customWidth="1"/>
    <col min="5638" max="5638" width="12" bestFit="1" customWidth="1"/>
    <col min="5639" max="5639" width="16.7109375" bestFit="1" customWidth="1"/>
    <col min="5640" max="5640" width="17" bestFit="1" customWidth="1"/>
    <col min="5641" max="5641" width="18.7109375" customWidth="1"/>
    <col min="5642" max="5642" width="13.7109375" customWidth="1"/>
    <col min="5643" max="5643" width="15.42578125" bestFit="1" customWidth="1"/>
    <col min="5644" max="5645" width="15.5703125" bestFit="1" customWidth="1"/>
    <col min="5646" max="5646" width="16.7109375" bestFit="1" customWidth="1"/>
    <col min="5647" max="5648" width="15.5703125" bestFit="1" customWidth="1"/>
    <col min="5649" max="5649" width="16.42578125" bestFit="1"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4" bestFit="1" customWidth="1"/>
    <col min="5887" max="5887" width="45.7109375" bestFit="1" customWidth="1"/>
    <col min="5888" max="5888" width="34" bestFit="1" customWidth="1"/>
    <col min="5889" max="5889" width="13.5703125" bestFit="1" customWidth="1"/>
    <col min="5890" max="5890" width="46.5703125" bestFit="1" customWidth="1"/>
    <col min="5891" max="5891" width="13.42578125" customWidth="1"/>
    <col min="5892" max="5892" width="15.28515625" bestFit="1" customWidth="1"/>
    <col min="5893" max="5893" width="14.140625" bestFit="1" customWidth="1"/>
    <col min="5894" max="5894" width="12" bestFit="1" customWidth="1"/>
    <col min="5895" max="5895" width="16.7109375" bestFit="1" customWidth="1"/>
    <col min="5896" max="5896" width="17" bestFit="1" customWidth="1"/>
    <col min="5897" max="5897" width="18.7109375" customWidth="1"/>
    <col min="5898" max="5898" width="13.7109375" customWidth="1"/>
    <col min="5899" max="5899" width="15.42578125" bestFit="1" customWidth="1"/>
    <col min="5900" max="5901" width="15.5703125" bestFit="1" customWidth="1"/>
    <col min="5902" max="5902" width="16.7109375" bestFit="1" customWidth="1"/>
    <col min="5903" max="5904" width="15.5703125" bestFit="1" customWidth="1"/>
    <col min="5905" max="5905" width="16.42578125" bestFit="1"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4" bestFit="1" customWidth="1"/>
    <col min="6143" max="6143" width="45.7109375" bestFit="1" customWidth="1"/>
    <col min="6144" max="6144" width="34" bestFit="1" customWidth="1"/>
    <col min="6145" max="6145" width="13.5703125" bestFit="1" customWidth="1"/>
    <col min="6146" max="6146" width="46.5703125" bestFit="1" customWidth="1"/>
    <col min="6147" max="6147" width="13.42578125" customWidth="1"/>
    <col min="6148" max="6148" width="15.28515625" bestFit="1" customWidth="1"/>
    <col min="6149" max="6149" width="14.140625" bestFit="1" customWidth="1"/>
    <col min="6150" max="6150" width="12" bestFit="1" customWidth="1"/>
    <col min="6151" max="6151" width="16.7109375" bestFit="1" customWidth="1"/>
    <col min="6152" max="6152" width="17" bestFit="1" customWidth="1"/>
    <col min="6153" max="6153" width="18.7109375" customWidth="1"/>
    <col min="6154" max="6154" width="13.7109375" customWidth="1"/>
    <col min="6155" max="6155" width="15.42578125" bestFit="1" customWidth="1"/>
    <col min="6156" max="6157" width="15.5703125" bestFit="1" customWidth="1"/>
    <col min="6158" max="6158" width="16.7109375" bestFit="1" customWidth="1"/>
    <col min="6159" max="6160" width="15.5703125" bestFit="1" customWidth="1"/>
    <col min="6161" max="6161" width="16.42578125" bestFit="1"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4" bestFit="1" customWidth="1"/>
    <col min="6399" max="6399" width="45.7109375" bestFit="1" customWidth="1"/>
    <col min="6400" max="6400" width="34" bestFit="1" customWidth="1"/>
    <col min="6401" max="6401" width="13.5703125" bestFit="1" customWidth="1"/>
    <col min="6402" max="6402" width="46.5703125" bestFit="1" customWidth="1"/>
    <col min="6403" max="6403" width="13.42578125" customWidth="1"/>
    <col min="6404" max="6404" width="15.28515625" bestFit="1" customWidth="1"/>
    <col min="6405" max="6405" width="14.140625" bestFit="1" customWidth="1"/>
    <col min="6406" max="6406" width="12" bestFit="1" customWidth="1"/>
    <col min="6407" max="6407" width="16.7109375" bestFit="1" customWidth="1"/>
    <col min="6408" max="6408" width="17" bestFit="1" customWidth="1"/>
    <col min="6409" max="6409" width="18.7109375" customWidth="1"/>
    <col min="6410" max="6410" width="13.7109375" customWidth="1"/>
    <col min="6411" max="6411" width="15.42578125" bestFit="1" customWidth="1"/>
    <col min="6412" max="6413" width="15.5703125" bestFit="1" customWidth="1"/>
    <col min="6414" max="6414" width="16.7109375" bestFit="1" customWidth="1"/>
    <col min="6415" max="6416" width="15.5703125" bestFit="1" customWidth="1"/>
    <col min="6417" max="6417" width="16.42578125" bestFit="1"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4" bestFit="1" customWidth="1"/>
    <col min="6655" max="6655" width="45.7109375" bestFit="1" customWidth="1"/>
    <col min="6656" max="6656" width="34" bestFit="1" customWidth="1"/>
    <col min="6657" max="6657" width="13.5703125" bestFit="1" customWidth="1"/>
    <col min="6658" max="6658" width="46.5703125" bestFit="1" customWidth="1"/>
    <col min="6659" max="6659" width="13.42578125" customWidth="1"/>
    <col min="6660" max="6660" width="15.28515625" bestFit="1" customWidth="1"/>
    <col min="6661" max="6661" width="14.140625" bestFit="1" customWidth="1"/>
    <col min="6662" max="6662" width="12" bestFit="1" customWidth="1"/>
    <col min="6663" max="6663" width="16.7109375" bestFit="1" customWidth="1"/>
    <col min="6664" max="6664" width="17" bestFit="1" customWidth="1"/>
    <col min="6665" max="6665" width="18.7109375" customWidth="1"/>
    <col min="6666" max="6666" width="13.7109375" customWidth="1"/>
    <col min="6667" max="6667" width="15.42578125" bestFit="1" customWidth="1"/>
    <col min="6668" max="6669" width="15.5703125" bestFit="1" customWidth="1"/>
    <col min="6670" max="6670" width="16.7109375" bestFit="1" customWidth="1"/>
    <col min="6671" max="6672" width="15.5703125" bestFit="1" customWidth="1"/>
    <col min="6673" max="6673" width="16.42578125" bestFit="1"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4" bestFit="1" customWidth="1"/>
    <col min="6911" max="6911" width="45.7109375" bestFit="1" customWidth="1"/>
    <col min="6912" max="6912" width="34" bestFit="1" customWidth="1"/>
    <col min="6913" max="6913" width="13.5703125" bestFit="1" customWidth="1"/>
    <col min="6914" max="6914" width="46.5703125" bestFit="1" customWidth="1"/>
    <col min="6915" max="6915" width="13.42578125" customWidth="1"/>
    <col min="6916" max="6916" width="15.28515625" bestFit="1" customWidth="1"/>
    <col min="6917" max="6917" width="14.140625" bestFit="1" customWidth="1"/>
    <col min="6918" max="6918" width="12" bestFit="1" customWidth="1"/>
    <col min="6919" max="6919" width="16.7109375" bestFit="1" customWidth="1"/>
    <col min="6920" max="6920" width="17" bestFit="1" customWidth="1"/>
    <col min="6921" max="6921" width="18.7109375" customWidth="1"/>
    <col min="6922" max="6922" width="13.7109375" customWidth="1"/>
    <col min="6923" max="6923" width="15.42578125" bestFit="1" customWidth="1"/>
    <col min="6924" max="6925" width="15.5703125" bestFit="1" customWidth="1"/>
    <col min="6926" max="6926" width="16.7109375" bestFit="1" customWidth="1"/>
    <col min="6927" max="6928" width="15.5703125" bestFit="1" customWidth="1"/>
    <col min="6929" max="6929" width="16.42578125" bestFit="1"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4" bestFit="1" customWidth="1"/>
    <col min="7167" max="7167" width="45.7109375" bestFit="1" customWidth="1"/>
    <col min="7168" max="7168" width="34" bestFit="1" customWidth="1"/>
    <col min="7169" max="7169" width="13.5703125" bestFit="1" customWidth="1"/>
    <col min="7170" max="7170" width="46.5703125" bestFit="1" customWidth="1"/>
    <col min="7171" max="7171" width="13.42578125" customWidth="1"/>
    <col min="7172" max="7172" width="15.28515625" bestFit="1" customWidth="1"/>
    <col min="7173" max="7173" width="14.140625" bestFit="1" customWidth="1"/>
    <col min="7174" max="7174" width="12" bestFit="1" customWidth="1"/>
    <col min="7175" max="7175" width="16.7109375" bestFit="1" customWidth="1"/>
    <col min="7176" max="7176" width="17" bestFit="1" customWidth="1"/>
    <col min="7177" max="7177" width="18.7109375" customWidth="1"/>
    <col min="7178" max="7178" width="13.7109375" customWidth="1"/>
    <col min="7179" max="7179" width="15.42578125" bestFit="1" customWidth="1"/>
    <col min="7180" max="7181" width="15.5703125" bestFit="1" customWidth="1"/>
    <col min="7182" max="7182" width="16.7109375" bestFit="1" customWidth="1"/>
    <col min="7183" max="7184" width="15.5703125" bestFit="1" customWidth="1"/>
    <col min="7185" max="7185" width="16.42578125" bestFit="1"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4" bestFit="1" customWidth="1"/>
    <col min="7423" max="7423" width="45.7109375" bestFit="1" customWidth="1"/>
    <col min="7424" max="7424" width="34" bestFit="1" customWidth="1"/>
    <col min="7425" max="7425" width="13.5703125" bestFit="1" customWidth="1"/>
    <col min="7426" max="7426" width="46.5703125" bestFit="1" customWidth="1"/>
    <col min="7427" max="7427" width="13.42578125" customWidth="1"/>
    <col min="7428" max="7428" width="15.28515625" bestFit="1" customWidth="1"/>
    <col min="7429" max="7429" width="14.140625" bestFit="1" customWidth="1"/>
    <col min="7430" max="7430" width="12" bestFit="1" customWidth="1"/>
    <col min="7431" max="7431" width="16.7109375" bestFit="1" customWidth="1"/>
    <col min="7432" max="7432" width="17" bestFit="1" customWidth="1"/>
    <col min="7433" max="7433" width="18.7109375" customWidth="1"/>
    <col min="7434" max="7434" width="13.7109375" customWidth="1"/>
    <col min="7435" max="7435" width="15.42578125" bestFit="1" customWidth="1"/>
    <col min="7436" max="7437" width="15.5703125" bestFit="1" customWidth="1"/>
    <col min="7438" max="7438" width="16.7109375" bestFit="1" customWidth="1"/>
    <col min="7439" max="7440" width="15.5703125" bestFit="1" customWidth="1"/>
    <col min="7441" max="7441" width="16.42578125" bestFit="1"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4" bestFit="1" customWidth="1"/>
    <col min="7679" max="7679" width="45.7109375" bestFit="1" customWidth="1"/>
    <col min="7680" max="7680" width="34" bestFit="1" customWidth="1"/>
    <col min="7681" max="7681" width="13.5703125" bestFit="1" customWidth="1"/>
    <col min="7682" max="7682" width="46.5703125" bestFit="1" customWidth="1"/>
    <col min="7683" max="7683" width="13.42578125" customWidth="1"/>
    <col min="7684" max="7684" width="15.28515625" bestFit="1" customWidth="1"/>
    <col min="7685" max="7685" width="14.140625" bestFit="1" customWidth="1"/>
    <col min="7686" max="7686" width="12" bestFit="1" customWidth="1"/>
    <col min="7687" max="7687" width="16.7109375" bestFit="1" customWidth="1"/>
    <col min="7688" max="7688" width="17" bestFit="1" customWidth="1"/>
    <col min="7689" max="7689" width="18.7109375" customWidth="1"/>
    <col min="7690" max="7690" width="13.7109375" customWidth="1"/>
    <col min="7691" max="7691" width="15.42578125" bestFit="1" customWidth="1"/>
    <col min="7692" max="7693" width="15.5703125" bestFit="1" customWidth="1"/>
    <col min="7694" max="7694" width="16.7109375" bestFit="1" customWidth="1"/>
    <col min="7695" max="7696" width="15.5703125" bestFit="1" customWidth="1"/>
    <col min="7697" max="7697" width="16.42578125" bestFit="1"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4" bestFit="1" customWidth="1"/>
    <col min="7935" max="7935" width="45.7109375" bestFit="1" customWidth="1"/>
    <col min="7936" max="7936" width="34" bestFit="1" customWidth="1"/>
    <col min="7937" max="7937" width="13.5703125" bestFit="1" customWidth="1"/>
    <col min="7938" max="7938" width="46.5703125" bestFit="1" customWidth="1"/>
    <col min="7939" max="7939" width="13.42578125" customWidth="1"/>
    <col min="7940" max="7940" width="15.28515625" bestFit="1" customWidth="1"/>
    <col min="7941" max="7941" width="14.140625" bestFit="1" customWidth="1"/>
    <col min="7942" max="7942" width="12" bestFit="1" customWidth="1"/>
    <col min="7943" max="7943" width="16.7109375" bestFit="1" customWidth="1"/>
    <col min="7944" max="7944" width="17" bestFit="1" customWidth="1"/>
    <col min="7945" max="7945" width="18.7109375" customWidth="1"/>
    <col min="7946" max="7946" width="13.7109375" customWidth="1"/>
    <col min="7947" max="7947" width="15.42578125" bestFit="1" customWidth="1"/>
    <col min="7948" max="7949" width="15.5703125" bestFit="1" customWidth="1"/>
    <col min="7950" max="7950" width="16.7109375" bestFit="1" customWidth="1"/>
    <col min="7951" max="7952" width="15.5703125" bestFit="1" customWidth="1"/>
    <col min="7953" max="7953" width="16.42578125" bestFit="1"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4" bestFit="1" customWidth="1"/>
    <col min="8191" max="8191" width="45.7109375" bestFit="1" customWidth="1"/>
    <col min="8192" max="8192" width="34" bestFit="1" customWidth="1"/>
    <col min="8193" max="8193" width="13.5703125" bestFit="1" customWidth="1"/>
    <col min="8194" max="8194" width="46.5703125" bestFit="1" customWidth="1"/>
    <col min="8195" max="8195" width="13.42578125" customWidth="1"/>
    <col min="8196" max="8196" width="15.28515625" bestFit="1" customWidth="1"/>
    <col min="8197" max="8197" width="14.140625" bestFit="1" customWidth="1"/>
    <col min="8198" max="8198" width="12" bestFit="1" customWidth="1"/>
    <col min="8199" max="8199" width="16.7109375" bestFit="1" customWidth="1"/>
    <col min="8200" max="8200" width="17" bestFit="1" customWidth="1"/>
    <col min="8201" max="8201" width="18.7109375" customWidth="1"/>
    <col min="8202" max="8202" width="13.7109375" customWidth="1"/>
    <col min="8203" max="8203" width="15.42578125" bestFit="1" customWidth="1"/>
    <col min="8204" max="8205" width="15.5703125" bestFit="1" customWidth="1"/>
    <col min="8206" max="8206" width="16.7109375" bestFit="1" customWidth="1"/>
    <col min="8207" max="8208" width="15.5703125" bestFit="1" customWidth="1"/>
    <col min="8209" max="8209" width="16.42578125" bestFit="1"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4" bestFit="1" customWidth="1"/>
    <col min="8447" max="8447" width="45.7109375" bestFit="1" customWidth="1"/>
    <col min="8448" max="8448" width="34" bestFit="1" customWidth="1"/>
    <col min="8449" max="8449" width="13.5703125" bestFit="1" customWidth="1"/>
    <col min="8450" max="8450" width="46.5703125" bestFit="1" customWidth="1"/>
    <col min="8451" max="8451" width="13.42578125" customWidth="1"/>
    <col min="8452" max="8452" width="15.28515625" bestFit="1" customWidth="1"/>
    <col min="8453" max="8453" width="14.140625" bestFit="1" customWidth="1"/>
    <col min="8454" max="8454" width="12" bestFit="1" customWidth="1"/>
    <col min="8455" max="8455" width="16.7109375" bestFit="1" customWidth="1"/>
    <col min="8456" max="8456" width="17" bestFit="1" customWidth="1"/>
    <col min="8457" max="8457" width="18.7109375" customWidth="1"/>
    <col min="8458" max="8458" width="13.7109375" customWidth="1"/>
    <col min="8459" max="8459" width="15.42578125" bestFit="1" customWidth="1"/>
    <col min="8460" max="8461" width="15.5703125" bestFit="1" customWidth="1"/>
    <col min="8462" max="8462" width="16.7109375" bestFit="1" customWidth="1"/>
    <col min="8463" max="8464" width="15.5703125" bestFit="1" customWidth="1"/>
    <col min="8465" max="8465" width="16.42578125" bestFit="1"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4" bestFit="1" customWidth="1"/>
    <col min="8703" max="8703" width="45.7109375" bestFit="1" customWidth="1"/>
    <col min="8704" max="8704" width="34" bestFit="1" customWidth="1"/>
    <col min="8705" max="8705" width="13.5703125" bestFit="1" customWidth="1"/>
    <col min="8706" max="8706" width="46.5703125" bestFit="1" customWidth="1"/>
    <col min="8707" max="8707" width="13.42578125" customWidth="1"/>
    <col min="8708" max="8708" width="15.28515625" bestFit="1" customWidth="1"/>
    <col min="8709" max="8709" width="14.140625" bestFit="1" customWidth="1"/>
    <col min="8710" max="8710" width="12" bestFit="1" customWidth="1"/>
    <col min="8711" max="8711" width="16.7109375" bestFit="1" customWidth="1"/>
    <col min="8712" max="8712" width="17" bestFit="1" customWidth="1"/>
    <col min="8713" max="8713" width="18.7109375" customWidth="1"/>
    <col min="8714" max="8714" width="13.7109375" customWidth="1"/>
    <col min="8715" max="8715" width="15.42578125" bestFit="1" customWidth="1"/>
    <col min="8716" max="8717" width="15.5703125" bestFit="1" customWidth="1"/>
    <col min="8718" max="8718" width="16.7109375" bestFit="1" customWidth="1"/>
    <col min="8719" max="8720" width="15.5703125" bestFit="1" customWidth="1"/>
    <col min="8721" max="8721" width="16.42578125" bestFit="1"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4" bestFit="1" customWidth="1"/>
    <col min="8959" max="8959" width="45.7109375" bestFit="1" customWidth="1"/>
    <col min="8960" max="8960" width="34" bestFit="1" customWidth="1"/>
    <col min="8961" max="8961" width="13.5703125" bestFit="1" customWidth="1"/>
    <col min="8962" max="8962" width="46.5703125" bestFit="1" customWidth="1"/>
    <col min="8963" max="8963" width="13.42578125" customWidth="1"/>
    <col min="8964" max="8964" width="15.28515625" bestFit="1" customWidth="1"/>
    <col min="8965" max="8965" width="14.140625" bestFit="1" customWidth="1"/>
    <col min="8966" max="8966" width="12" bestFit="1" customWidth="1"/>
    <col min="8967" max="8967" width="16.7109375" bestFit="1" customWidth="1"/>
    <col min="8968" max="8968" width="17" bestFit="1" customWidth="1"/>
    <col min="8969" max="8969" width="18.7109375" customWidth="1"/>
    <col min="8970" max="8970" width="13.7109375" customWidth="1"/>
    <col min="8971" max="8971" width="15.42578125" bestFit="1" customWidth="1"/>
    <col min="8972" max="8973" width="15.5703125" bestFit="1" customWidth="1"/>
    <col min="8974" max="8974" width="16.7109375" bestFit="1" customWidth="1"/>
    <col min="8975" max="8976" width="15.5703125" bestFit="1" customWidth="1"/>
    <col min="8977" max="8977" width="16.42578125" bestFit="1"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4" bestFit="1" customWidth="1"/>
    <col min="9215" max="9215" width="45.7109375" bestFit="1" customWidth="1"/>
    <col min="9216" max="9216" width="34" bestFit="1" customWidth="1"/>
    <col min="9217" max="9217" width="13.5703125" bestFit="1" customWidth="1"/>
    <col min="9218" max="9218" width="46.5703125" bestFit="1" customWidth="1"/>
    <col min="9219" max="9219" width="13.42578125" customWidth="1"/>
    <col min="9220" max="9220" width="15.28515625" bestFit="1" customWidth="1"/>
    <col min="9221" max="9221" width="14.140625" bestFit="1" customWidth="1"/>
    <col min="9222" max="9222" width="12" bestFit="1" customWidth="1"/>
    <col min="9223" max="9223" width="16.7109375" bestFit="1" customWidth="1"/>
    <col min="9224" max="9224" width="17" bestFit="1" customWidth="1"/>
    <col min="9225" max="9225" width="18.7109375" customWidth="1"/>
    <col min="9226" max="9226" width="13.7109375" customWidth="1"/>
    <col min="9227" max="9227" width="15.42578125" bestFit="1" customWidth="1"/>
    <col min="9228" max="9229" width="15.5703125" bestFit="1" customWidth="1"/>
    <col min="9230" max="9230" width="16.7109375" bestFit="1" customWidth="1"/>
    <col min="9231" max="9232" width="15.5703125" bestFit="1" customWidth="1"/>
    <col min="9233" max="9233" width="16.42578125" bestFit="1"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4" bestFit="1" customWidth="1"/>
    <col min="9471" max="9471" width="45.7109375" bestFit="1" customWidth="1"/>
    <col min="9472" max="9472" width="34" bestFit="1" customWidth="1"/>
    <col min="9473" max="9473" width="13.5703125" bestFit="1" customWidth="1"/>
    <col min="9474" max="9474" width="46.5703125" bestFit="1" customWidth="1"/>
    <col min="9475" max="9475" width="13.42578125" customWidth="1"/>
    <col min="9476" max="9476" width="15.28515625" bestFit="1" customWidth="1"/>
    <col min="9477" max="9477" width="14.140625" bestFit="1" customWidth="1"/>
    <col min="9478" max="9478" width="12" bestFit="1" customWidth="1"/>
    <col min="9479" max="9479" width="16.7109375" bestFit="1" customWidth="1"/>
    <col min="9480" max="9480" width="17" bestFit="1" customWidth="1"/>
    <col min="9481" max="9481" width="18.7109375" customWidth="1"/>
    <col min="9482" max="9482" width="13.7109375" customWidth="1"/>
    <col min="9483" max="9483" width="15.42578125" bestFit="1" customWidth="1"/>
    <col min="9484" max="9485" width="15.5703125" bestFit="1" customWidth="1"/>
    <col min="9486" max="9486" width="16.7109375" bestFit="1" customWidth="1"/>
    <col min="9487" max="9488" width="15.5703125" bestFit="1" customWidth="1"/>
    <col min="9489" max="9489" width="16.42578125" bestFit="1"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4" bestFit="1" customWidth="1"/>
    <col min="9727" max="9727" width="45.7109375" bestFit="1" customWidth="1"/>
    <col min="9728" max="9728" width="34" bestFit="1" customWidth="1"/>
    <col min="9729" max="9729" width="13.5703125" bestFit="1" customWidth="1"/>
    <col min="9730" max="9730" width="46.5703125" bestFit="1" customWidth="1"/>
    <col min="9731" max="9731" width="13.42578125" customWidth="1"/>
    <col min="9732" max="9732" width="15.28515625" bestFit="1" customWidth="1"/>
    <col min="9733" max="9733" width="14.140625" bestFit="1" customWidth="1"/>
    <col min="9734" max="9734" width="12" bestFit="1" customWidth="1"/>
    <col min="9735" max="9735" width="16.7109375" bestFit="1" customWidth="1"/>
    <col min="9736" max="9736" width="17" bestFit="1" customWidth="1"/>
    <col min="9737" max="9737" width="18.7109375" customWidth="1"/>
    <col min="9738" max="9738" width="13.7109375" customWidth="1"/>
    <col min="9739" max="9739" width="15.42578125" bestFit="1" customWidth="1"/>
    <col min="9740" max="9741" width="15.5703125" bestFit="1" customWidth="1"/>
    <col min="9742" max="9742" width="16.7109375" bestFit="1" customWidth="1"/>
    <col min="9743" max="9744" width="15.5703125" bestFit="1" customWidth="1"/>
    <col min="9745" max="9745" width="16.42578125" bestFit="1"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4" bestFit="1" customWidth="1"/>
    <col min="9983" max="9983" width="45.7109375" bestFit="1" customWidth="1"/>
    <col min="9984" max="9984" width="34" bestFit="1" customWidth="1"/>
    <col min="9985" max="9985" width="13.5703125" bestFit="1" customWidth="1"/>
    <col min="9986" max="9986" width="46.5703125" bestFit="1" customWidth="1"/>
    <col min="9987" max="9987" width="13.42578125" customWidth="1"/>
    <col min="9988" max="9988" width="15.28515625" bestFit="1" customWidth="1"/>
    <col min="9989" max="9989" width="14.140625" bestFit="1" customWidth="1"/>
    <col min="9990" max="9990" width="12" bestFit="1" customWidth="1"/>
    <col min="9991" max="9991" width="16.7109375" bestFit="1" customWidth="1"/>
    <col min="9992" max="9992" width="17" bestFit="1" customWidth="1"/>
    <col min="9993" max="9993" width="18.7109375" customWidth="1"/>
    <col min="9994" max="9994" width="13.7109375" customWidth="1"/>
    <col min="9995" max="9995" width="15.42578125" bestFit="1" customWidth="1"/>
    <col min="9996" max="9997" width="15.5703125" bestFit="1" customWidth="1"/>
    <col min="9998" max="9998" width="16.7109375" bestFit="1" customWidth="1"/>
    <col min="9999" max="10000" width="15.5703125" bestFit="1" customWidth="1"/>
    <col min="10001" max="10001" width="16.42578125" bestFit="1"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4" bestFit="1" customWidth="1"/>
    <col min="10239" max="10239" width="45.7109375" bestFit="1" customWidth="1"/>
    <col min="10240" max="10240" width="34" bestFit="1" customWidth="1"/>
    <col min="10241" max="10241" width="13.5703125" bestFit="1" customWidth="1"/>
    <col min="10242" max="10242" width="46.5703125" bestFit="1" customWidth="1"/>
    <col min="10243" max="10243" width="13.42578125" customWidth="1"/>
    <col min="10244" max="10244" width="15.28515625" bestFit="1" customWidth="1"/>
    <col min="10245" max="10245" width="14.140625" bestFit="1" customWidth="1"/>
    <col min="10246" max="10246" width="12" bestFit="1" customWidth="1"/>
    <col min="10247" max="10247" width="16.7109375" bestFit="1" customWidth="1"/>
    <col min="10248" max="10248" width="17" bestFit="1" customWidth="1"/>
    <col min="10249" max="10249" width="18.7109375" customWidth="1"/>
    <col min="10250" max="10250" width="13.7109375" customWidth="1"/>
    <col min="10251" max="10251" width="15.42578125" bestFit="1" customWidth="1"/>
    <col min="10252" max="10253" width="15.5703125" bestFit="1" customWidth="1"/>
    <col min="10254" max="10254" width="16.7109375" bestFit="1" customWidth="1"/>
    <col min="10255" max="10256" width="15.5703125" bestFit="1" customWidth="1"/>
    <col min="10257" max="10257" width="16.42578125" bestFit="1"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4" bestFit="1" customWidth="1"/>
    <col min="10495" max="10495" width="45.7109375" bestFit="1" customWidth="1"/>
    <col min="10496" max="10496" width="34" bestFit="1" customWidth="1"/>
    <col min="10497" max="10497" width="13.5703125" bestFit="1" customWidth="1"/>
    <col min="10498" max="10498" width="46.5703125" bestFit="1" customWidth="1"/>
    <col min="10499" max="10499" width="13.42578125" customWidth="1"/>
    <col min="10500" max="10500" width="15.28515625" bestFit="1" customWidth="1"/>
    <col min="10501" max="10501" width="14.140625" bestFit="1" customWidth="1"/>
    <col min="10502" max="10502" width="12" bestFit="1" customWidth="1"/>
    <col min="10503" max="10503" width="16.7109375" bestFit="1" customWidth="1"/>
    <col min="10504" max="10504" width="17" bestFit="1" customWidth="1"/>
    <col min="10505" max="10505" width="18.7109375" customWidth="1"/>
    <col min="10506" max="10506" width="13.7109375" customWidth="1"/>
    <col min="10507" max="10507" width="15.42578125" bestFit="1" customWidth="1"/>
    <col min="10508" max="10509" width="15.5703125" bestFit="1" customWidth="1"/>
    <col min="10510" max="10510" width="16.7109375" bestFit="1" customWidth="1"/>
    <col min="10511" max="10512" width="15.5703125" bestFit="1" customWidth="1"/>
    <col min="10513" max="10513" width="16.42578125" bestFit="1"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4" bestFit="1" customWidth="1"/>
    <col min="10751" max="10751" width="45.7109375" bestFit="1" customWidth="1"/>
    <col min="10752" max="10752" width="34" bestFit="1" customWidth="1"/>
    <col min="10753" max="10753" width="13.5703125" bestFit="1" customWidth="1"/>
    <col min="10754" max="10754" width="46.5703125" bestFit="1" customWidth="1"/>
    <col min="10755" max="10755" width="13.42578125" customWidth="1"/>
    <col min="10756" max="10756" width="15.28515625" bestFit="1" customWidth="1"/>
    <col min="10757" max="10757" width="14.140625" bestFit="1" customWidth="1"/>
    <col min="10758" max="10758" width="12" bestFit="1" customWidth="1"/>
    <col min="10759" max="10759" width="16.7109375" bestFit="1" customWidth="1"/>
    <col min="10760" max="10760" width="17" bestFit="1" customWidth="1"/>
    <col min="10761" max="10761" width="18.7109375" customWidth="1"/>
    <col min="10762" max="10762" width="13.7109375" customWidth="1"/>
    <col min="10763" max="10763" width="15.42578125" bestFit="1" customWidth="1"/>
    <col min="10764" max="10765" width="15.5703125" bestFit="1" customWidth="1"/>
    <col min="10766" max="10766" width="16.7109375" bestFit="1" customWidth="1"/>
    <col min="10767" max="10768" width="15.5703125" bestFit="1" customWidth="1"/>
    <col min="10769" max="10769" width="16.42578125" bestFit="1"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4" bestFit="1" customWidth="1"/>
    <col min="11007" max="11007" width="45.7109375" bestFit="1" customWidth="1"/>
    <col min="11008" max="11008" width="34" bestFit="1" customWidth="1"/>
    <col min="11009" max="11009" width="13.5703125" bestFit="1" customWidth="1"/>
    <col min="11010" max="11010" width="46.5703125" bestFit="1" customWidth="1"/>
    <col min="11011" max="11011" width="13.42578125" customWidth="1"/>
    <col min="11012" max="11012" width="15.28515625" bestFit="1" customWidth="1"/>
    <col min="11013" max="11013" width="14.140625" bestFit="1" customWidth="1"/>
    <col min="11014" max="11014" width="12" bestFit="1" customWidth="1"/>
    <col min="11015" max="11015" width="16.7109375" bestFit="1" customWidth="1"/>
    <col min="11016" max="11016" width="17" bestFit="1" customWidth="1"/>
    <col min="11017" max="11017" width="18.7109375" customWidth="1"/>
    <col min="11018" max="11018" width="13.7109375" customWidth="1"/>
    <col min="11019" max="11019" width="15.42578125" bestFit="1" customWidth="1"/>
    <col min="11020" max="11021" width="15.5703125" bestFit="1" customWidth="1"/>
    <col min="11022" max="11022" width="16.7109375" bestFit="1" customWidth="1"/>
    <col min="11023" max="11024" width="15.5703125" bestFit="1" customWidth="1"/>
    <col min="11025" max="11025" width="16.42578125" bestFit="1"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4" bestFit="1" customWidth="1"/>
    <col min="11263" max="11263" width="45.7109375" bestFit="1" customWidth="1"/>
    <col min="11264" max="11264" width="34" bestFit="1" customWidth="1"/>
    <col min="11265" max="11265" width="13.5703125" bestFit="1" customWidth="1"/>
    <col min="11266" max="11266" width="46.5703125" bestFit="1" customWidth="1"/>
    <col min="11267" max="11267" width="13.42578125" customWidth="1"/>
    <col min="11268" max="11268" width="15.28515625" bestFit="1" customWidth="1"/>
    <col min="11269" max="11269" width="14.140625" bestFit="1" customWidth="1"/>
    <col min="11270" max="11270" width="12" bestFit="1" customWidth="1"/>
    <col min="11271" max="11271" width="16.7109375" bestFit="1" customWidth="1"/>
    <col min="11272" max="11272" width="17" bestFit="1" customWidth="1"/>
    <col min="11273" max="11273" width="18.7109375" customWidth="1"/>
    <col min="11274" max="11274" width="13.7109375" customWidth="1"/>
    <col min="11275" max="11275" width="15.42578125" bestFit="1" customWidth="1"/>
    <col min="11276" max="11277" width="15.5703125" bestFit="1" customWidth="1"/>
    <col min="11278" max="11278" width="16.7109375" bestFit="1" customWidth="1"/>
    <col min="11279" max="11280" width="15.5703125" bestFit="1" customWidth="1"/>
    <col min="11281" max="11281" width="16.42578125" bestFit="1"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4" bestFit="1" customWidth="1"/>
    <col min="11519" max="11519" width="45.7109375" bestFit="1" customWidth="1"/>
    <col min="11520" max="11520" width="34" bestFit="1" customWidth="1"/>
    <col min="11521" max="11521" width="13.5703125" bestFit="1" customWidth="1"/>
    <col min="11522" max="11522" width="46.5703125" bestFit="1" customWidth="1"/>
    <col min="11523" max="11523" width="13.42578125" customWidth="1"/>
    <col min="11524" max="11524" width="15.28515625" bestFit="1" customWidth="1"/>
    <col min="11525" max="11525" width="14.140625" bestFit="1" customWidth="1"/>
    <col min="11526" max="11526" width="12" bestFit="1" customWidth="1"/>
    <col min="11527" max="11527" width="16.7109375" bestFit="1" customWidth="1"/>
    <col min="11528" max="11528" width="17" bestFit="1" customWidth="1"/>
    <col min="11529" max="11529" width="18.7109375" customWidth="1"/>
    <col min="11530" max="11530" width="13.7109375" customWidth="1"/>
    <col min="11531" max="11531" width="15.42578125" bestFit="1" customWidth="1"/>
    <col min="11532" max="11533" width="15.5703125" bestFit="1" customWidth="1"/>
    <col min="11534" max="11534" width="16.7109375" bestFit="1" customWidth="1"/>
    <col min="11535" max="11536" width="15.5703125" bestFit="1" customWidth="1"/>
    <col min="11537" max="11537" width="16.42578125" bestFit="1"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4" bestFit="1" customWidth="1"/>
    <col min="11775" max="11775" width="45.7109375" bestFit="1" customWidth="1"/>
    <col min="11776" max="11776" width="34" bestFit="1" customWidth="1"/>
    <col min="11777" max="11777" width="13.5703125" bestFit="1" customWidth="1"/>
    <col min="11778" max="11778" width="46.5703125" bestFit="1" customWidth="1"/>
    <col min="11779" max="11779" width="13.42578125" customWidth="1"/>
    <col min="11780" max="11780" width="15.28515625" bestFit="1" customWidth="1"/>
    <col min="11781" max="11781" width="14.140625" bestFit="1" customWidth="1"/>
    <col min="11782" max="11782" width="12" bestFit="1" customWidth="1"/>
    <col min="11783" max="11783" width="16.7109375" bestFit="1" customWidth="1"/>
    <col min="11784" max="11784" width="17" bestFit="1" customWidth="1"/>
    <col min="11785" max="11785" width="18.7109375" customWidth="1"/>
    <col min="11786" max="11786" width="13.7109375" customWidth="1"/>
    <col min="11787" max="11787" width="15.42578125" bestFit="1" customWidth="1"/>
    <col min="11788" max="11789" width="15.5703125" bestFit="1" customWidth="1"/>
    <col min="11790" max="11790" width="16.7109375" bestFit="1" customWidth="1"/>
    <col min="11791" max="11792" width="15.5703125" bestFit="1" customWidth="1"/>
    <col min="11793" max="11793" width="16.42578125" bestFit="1"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4" bestFit="1" customWidth="1"/>
    <col min="12031" max="12031" width="45.7109375" bestFit="1" customWidth="1"/>
    <col min="12032" max="12032" width="34" bestFit="1" customWidth="1"/>
    <col min="12033" max="12033" width="13.5703125" bestFit="1" customWidth="1"/>
    <col min="12034" max="12034" width="46.5703125" bestFit="1" customWidth="1"/>
    <col min="12035" max="12035" width="13.42578125" customWidth="1"/>
    <col min="12036" max="12036" width="15.28515625" bestFit="1" customWidth="1"/>
    <col min="12037" max="12037" width="14.140625" bestFit="1" customWidth="1"/>
    <col min="12038" max="12038" width="12" bestFit="1" customWidth="1"/>
    <col min="12039" max="12039" width="16.7109375" bestFit="1" customWidth="1"/>
    <col min="12040" max="12040" width="17" bestFit="1" customWidth="1"/>
    <col min="12041" max="12041" width="18.7109375" customWidth="1"/>
    <col min="12042" max="12042" width="13.7109375" customWidth="1"/>
    <col min="12043" max="12043" width="15.42578125" bestFit="1" customWidth="1"/>
    <col min="12044" max="12045" width="15.5703125" bestFit="1" customWidth="1"/>
    <col min="12046" max="12046" width="16.7109375" bestFit="1" customWidth="1"/>
    <col min="12047" max="12048" width="15.5703125" bestFit="1" customWidth="1"/>
    <col min="12049" max="12049" width="16.42578125" bestFit="1"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4" bestFit="1" customWidth="1"/>
    <col min="12287" max="12287" width="45.7109375" bestFit="1" customWidth="1"/>
    <col min="12288" max="12288" width="34" bestFit="1" customWidth="1"/>
    <col min="12289" max="12289" width="13.5703125" bestFit="1" customWidth="1"/>
    <col min="12290" max="12290" width="46.5703125" bestFit="1" customWidth="1"/>
    <col min="12291" max="12291" width="13.42578125" customWidth="1"/>
    <col min="12292" max="12292" width="15.28515625" bestFit="1" customWidth="1"/>
    <col min="12293" max="12293" width="14.140625" bestFit="1" customWidth="1"/>
    <col min="12294" max="12294" width="12" bestFit="1" customWidth="1"/>
    <col min="12295" max="12295" width="16.7109375" bestFit="1" customWidth="1"/>
    <col min="12296" max="12296" width="17" bestFit="1" customWidth="1"/>
    <col min="12297" max="12297" width="18.7109375" customWidth="1"/>
    <col min="12298" max="12298" width="13.7109375" customWidth="1"/>
    <col min="12299" max="12299" width="15.42578125" bestFit="1" customWidth="1"/>
    <col min="12300" max="12301" width="15.5703125" bestFit="1" customWidth="1"/>
    <col min="12302" max="12302" width="16.7109375" bestFit="1" customWidth="1"/>
    <col min="12303" max="12304" width="15.5703125" bestFit="1" customWidth="1"/>
    <col min="12305" max="12305" width="16.42578125" bestFit="1"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4" bestFit="1" customWidth="1"/>
    <col min="12543" max="12543" width="45.7109375" bestFit="1" customWidth="1"/>
    <col min="12544" max="12544" width="34" bestFit="1" customWidth="1"/>
    <col min="12545" max="12545" width="13.5703125" bestFit="1" customWidth="1"/>
    <col min="12546" max="12546" width="46.5703125" bestFit="1" customWidth="1"/>
    <col min="12547" max="12547" width="13.42578125" customWidth="1"/>
    <col min="12548" max="12548" width="15.28515625" bestFit="1" customWidth="1"/>
    <col min="12549" max="12549" width="14.140625" bestFit="1" customWidth="1"/>
    <col min="12550" max="12550" width="12" bestFit="1" customWidth="1"/>
    <col min="12551" max="12551" width="16.7109375" bestFit="1" customWidth="1"/>
    <col min="12552" max="12552" width="17" bestFit="1" customWidth="1"/>
    <col min="12553" max="12553" width="18.7109375" customWidth="1"/>
    <col min="12554" max="12554" width="13.7109375" customWidth="1"/>
    <col min="12555" max="12555" width="15.42578125" bestFit="1" customWidth="1"/>
    <col min="12556" max="12557" width="15.5703125" bestFit="1" customWidth="1"/>
    <col min="12558" max="12558" width="16.7109375" bestFit="1" customWidth="1"/>
    <col min="12559" max="12560" width="15.5703125" bestFit="1" customWidth="1"/>
    <col min="12561" max="12561" width="16.42578125" bestFit="1"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4" bestFit="1" customWidth="1"/>
    <col min="12799" max="12799" width="45.7109375" bestFit="1" customWidth="1"/>
    <col min="12800" max="12800" width="34" bestFit="1" customWidth="1"/>
    <col min="12801" max="12801" width="13.5703125" bestFit="1" customWidth="1"/>
    <col min="12802" max="12802" width="46.5703125" bestFit="1" customWidth="1"/>
    <col min="12803" max="12803" width="13.42578125" customWidth="1"/>
    <col min="12804" max="12804" width="15.28515625" bestFit="1" customWidth="1"/>
    <col min="12805" max="12805" width="14.140625" bestFit="1" customWidth="1"/>
    <col min="12806" max="12806" width="12" bestFit="1" customWidth="1"/>
    <col min="12807" max="12807" width="16.7109375" bestFit="1" customWidth="1"/>
    <col min="12808" max="12808" width="17" bestFit="1" customWidth="1"/>
    <col min="12809" max="12809" width="18.7109375" customWidth="1"/>
    <col min="12810" max="12810" width="13.7109375" customWidth="1"/>
    <col min="12811" max="12811" width="15.42578125" bestFit="1" customWidth="1"/>
    <col min="12812" max="12813" width="15.5703125" bestFit="1" customWidth="1"/>
    <col min="12814" max="12814" width="16.7109375" bestFit="1" customWidth="1"/>
    <col min="12815" max="12816" width="15.5703125" bestFit="1" customWidth="1"/>
    <col min="12817" max="12817" width="16.42578125" bestFit="1"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4" bestFit="1" customWidth="1"/>
    <col min="13055" max="13055" width="45.7109375" bestFit="1" customWidth="1"/>
    <col min="13056" max="13056" width="34" bestFit="1" customWidth="1"/>
    <col min="13057" max="13057" width="13.5703125" bestFit="1" customWidth="1"/>
    <col min="13058" max="13058" width="46.5703125" bestFit="1" customWidth="1"/>
    <col min="13059" max="13059" width="13.42578125" customWidth="1"/>
    <col min="13060" max="13060" width="15.28515625" bestFit="1" customWidth="1"/>
    <col min="13061" max="13061" width="14.140625" bestFit="1" customWidth="1"/>
    <col min="13062" max="13062" width="12" bestFit="1" customWidth="1"/>
    <col min="13063" max="13063" width="16.7109375" bestFit="1" customWidth="1"/>
    <col min="13064" max="13064" width="17" bestFit="1" customWidth="1"/>
    <col min="13065" max="13065" width="18.7109375" customWidth="1"/>
    <col min="13066" max="13066" width="13.7109375" customWidth="1"/>
    <col min="13067" max="13067" width="15.42578125" bestFit="1" customWidth="1"/>
    <col min="13068" max="13069" width="15.5703125" bestFit="1" customWidth="1"/>
    <col min="13070" max="13070" width="16.7109375" bestFit="1" customWidth="1"/>
    <col min="13071" max="13072" width="15.5703125" bestFit="1" customWidth="1"/>
    <col min="13073" max="13073" width="16.42578125" bestFit="1"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4" bestFit="1" customWidth="1"/>
    <col min="13311" max="13311" width="45.7109375" bestFit="1" customWidth="1"/>
    <col min="13312" max="13312" width="34" bestFit="1" customWidth="1"/>
    <col min="13313" max="13313" width="13.5703125" bestFit="1" customWidth="1"/>
    <col min="13314" max="13314" width="46.5703125" bestFit="1" customWidth="1"/>
    <col min="13315" max="13315" width="13.42578125" customWidth="1"/>
    <col min="13316" max="13316" width="15.28515625" bestFit="1" customWidth="1"/>
    <col min="13317" max="13317" width="14.140625" bestFit="1" customWidth="1"/>
    <col min="13318" max="13318" width="12" bestFit="1" customWidth="1"/>
    <col min="13319" max="13319" width="16.7109375" bestFit="1" customWidth="1"/>
    <col min="13320" max="13320" width="17" bestFit="1" customWidth="1"/>
    <col min="13321" max="13321" width="18.7109375" customWidth="1"/>
    <col min="13322" max="13322" width="13.7109375" customWidth="1"/>
    <col min="13323" max="13323" width="15.42578125" bestFit="1" customWidth="1"/>
    <col min="13324" max="13325" width="15.5703125" bestFit="1" customWidth="1"/>
    <col min="13326" max="13326" width="16.7109375" bestFit="1" customWidth="1"/>
    <col min="13327" max="13328" width="15.5703125" bestFit="1" customWidth="1"/>
    <col min="13329" max="13329" width="16.42578125" bestFit="1"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4" bestFit="1" customWidth="1"/>
    <col min="13567" max="13567" width="45.7109375" bestFit="1" customWidth="1"/>
    <col min="13568" max="13568" width="34" bestFit="1" customWidth="1"/>
    <col min="13569" max="13569" width="13.5703125" bestFit="1" customWidth="1"/>
    <col min="13570" max="13570" width="46.5703125" bestFit="1" customWidth="1"/>
    <col min="13571" max="13571" width="13.42578125" customWidth="1"/>
    <col min="13572" max="13572" width="15.28515625" bestFit="1" customWidth="1"/>
    <col min="13573" max="13573" width="14.140625" bestFit="1" customWidth="1"/>
    <col min="13574" max="13574" width="12" bestFit="1" customWidth="1"/>
    <col min="13575" max="13575" width="16.7109375" bestFit="1" customWidth="1"/>
    <col min="13576" max="13576" width="17" bestFit="1" customWidth="1"/>
    <col min="13577" max="13577" width="18.7109375" customWidth="1"/>
    <col min="13578" max="13578" width="13.7109375" customWidth="1"/>
    <col min="13579" max="13579" width="15.42578125" bestFit="1" customWidth="1"/>
    <col min="13580" max="13581" width="15.5703125" bestFit="1" customWidth="1"/>
    <col min="13582" max="13582" width="16.7109375" bestFit="1" customWidth="1"/>
    <col min="13583" max="13584" width="15.5703125" bestFit="1" customWidth="1"/>
    <col min="13585" max="13585" width="16.42578125" bestFit="1"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4" bestFit="1" customWidth="1"/>
    <col min="13823" max="13823" width="45.7109375" bestFit="1" customWidth="1"/>
    <col min="13824" max="13824" width="34" bestFit="1" customWidth="1"/>
    <col min="13825" max="13825" width="13.5703125" bestFit="1" customWidth="1"/>
    <col min="13826" max="13826" width="46.5703125" bestFit="1" customWidth="1"/>
    <col min="13827" max="13827" width="13.42578125" customWidth="1"/>
    <col min="13828" max="13828" width="15.28515625" bestFit="1" customWidth="1"/>
    <col min="13829" max="13829" width="14.140625" bestFit="1" customWidth="1"/>
    <col min="13830" max="13830" width="12" bestFit="1" customWidth="1"/>
    <col min="13831" max="13831" width="16.7109375" bestFit="1" customWidth="1"/>
    <col min="13832" max="13832" width="17" bestFit="1" customWidth="1"/>
    <col min="13833" max="13833" width="18.7109375" customWidth="1"/>
    <col min="13834" max="13834" width="13.7109375" customWidth="1"/>
    <col min="13835" max="13835" width="15.42578125" bestFit="1" customWidth="1"/>
    <col min="13836" max="13837" width="15.5703125" bestFit="1" customWidth="1"/>
    <col min="13838" max="13838" width="16.7109375" bestFit="1" customWidth="1"/>
    <col min="13839" max="13840" width="15.5703125" bestFit="1" customWidth="1"/>
    <col min="13841" max="13841" width="16.42578125" bestFit="1"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4" bestFit="1" customWidth="1"/>
    <col min="14079" max="14079" width="45.7109375" bestFit="1" customWidth="1"/>
    <col min="14080" max="14080" width="34" bestFit="1" customWidth="1"/>
    <col min="14081" max="14081" width="13.5703125" bestFit="1" customWidth="1"/>
    <col min="14082" max="14082" width="46.5703125" bestFit="1" customWidth="1"/>
    <col min="14083" max="14083" width="13.42578125" customWidth="1"/>
    <col min="14084" max="14084" width="15.28515625" bestFit="1" customWidth="1"/>
    <col min="14085" max="14085" width="14.140625" bestFit="1" customWidth="1"/>
    <col min="14086" max="14086" width="12" bestFit="1" customWidth="1"/>
    <col min="14087" max="14087" width="16.7109375" bestFit="1" customWidth="1"/>
    <col min="14088" max="14088" width="17" bestFit="1" customWidth="1"/>
    <col min="14089" max="14089" width="18.7109375" customWidth="1"/>
    <col min="14090" max="14090" width="13.7109375" customWidth="1"/>
    <col min="14091" max="14091" width="15.42578125" bestFit="1" customWidth="1"/>
    <col min="14092" max="14093" width="15.5703125" bestFit="1" customWidth="1"/>
    <col min="14094" max="14094" width="16.7109375" bestFit="1" customWidth="1"/>
    <col min="14095" max="14096" width="15.5703125" bestFit="1" customWidth="1"/>
    <col min="14097" max="14097" width="16.42578125" bestFit="1"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4" bestFit="1" customWidth="1"/>
    <col min="14335" max="14335" width="45.7109375" bestFit="1" customWidth="1"/>
    <col min="14336" max="14336" width="34" bestFit="1" customWidth="1"/>
    <col min="14337" max="14337" width="13.5703125" bestFit="1" customWidth="1"/>
    <col min="14338" max="14338" width="46.5703125" bestFit="1" customWidth="1"/>
    <col min="14339" max="14339" width="13.42578125" customWidth="1"/>
    <col min="14340" max="14340" width="15.28515625" bestFit="1" customWidth="1"/>
    <col min="14341" max="14341" width="14.140625" bestFit="1" customWidth="1"/>
    <col min="14342" max="14342" width="12" bestFit="1" customWidth="1"/>
    <col min="14343" max="14343" width="16.7109375" bestFit="1" customWidth="1"/>
    <col min="14344" max="14344" width="17" bestFit="1" customWidth="1"/>
    <col min="14345" max="14345" width="18.7109375" customWidth="1"/>
    <col min="14346" max="14346" width="13.7109375" customWidth="1"/>
    <col min="14347" max="14347" width="15.42578125" bestFit="1" customWidth="1"/>
    <col min="14348" max="14349" width="15.5703125" bestFit="1" customWidth="1"/>
    <col min="14350" max="14350" width="16.7109375" bestFit="1" customWidth="1"/>
    <col min="14351" max="14352" width="15.5703125" bestFit="1" customWidth="1"/>
    <col min="14353" max="14353" width="16.42578125" bestFit="1"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4" bestFit="1" customWidth="1"/>
    <col min="14591" max="14591" width="45.7109375" bestFit="1" customWidth="1"/>
    <col min="14592" max="14592" width="34" bestFit="1" customWidth="1"/>
    <col min="14593" max="14593" width="13.5703125" bestFit="1" customWidth="1"/>
    <col min="14594" max="14594" width="46.5703125" bestFit="1" customWidth="1"/>
    <col min="14595" max="14595" width="13.42578125" customWidth="1"/>
    <col min="14596" max="14596" width="15.28515625" bestFit="1" customWidth="1"/>
    <col min="14597" max="14597" width="14.140625" bestFit="1" customWidth="1"/>
    <col min="14598" max="14598" width="12" bestFit="1" customWidth="1"/>
    <col min="14599" max="14599" width="16.7109375" bestFit="1" customWidth="1"/>
    <col min="14600" max="14600" width="17" bestFit="1" customWidth="1"/>
    <col min="14601" max="14601" width="18.7109375" customWidth="1"/>
    <col min="14602" max="14602" width="13.7109375" customWidth="1"/>
    <col min="14603" max="14603" width="15.42578125" bestFit="1" customWidth="1"/>
    <col min="14604" max="14605" width="15.5703125" bestFit="1" customWidth="1"/>
    <col min="14606" max="14606" width="16.7109375" bestFit="1" customWidth="1"/>
    <col min="14607" max="14608" width="15.5703125" bestFit="1" customWidth="1"/>
    <col min="14609" max="14609" width="16.42578125" bestFit="1"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4" bestFit="1" customWidth="1"/>
    <col min="14847" max="14847" width="45.7109375" bestFit="1" customWidth="1"/>
    <col min="14848" max="14848" width="34" bestFit="1" customWidth="1"/>
    <col min="14849" max="14849" width="13.5703125" bestFit="1" customWidth="1"/>
    <col min="14850" max="14850" width="46.5703125" bestFit="1" customWidth="1"/>
    <col min="14851" max="14851" width="13.42578125" customWidth="1"/>
    <col min="14852" max="14852" width="15.28515625" bestFit="1" customWidth="1"/>
    <col min="14853" max="14853" width="14.140625" bestFit="1" customWidth="1"/>
    <col min="14854" max="14854" width="12" bestFit="1" customWidth="1"/>
    <col min="14855" max="14855" width="16.7109375" bestFit="1" customWidth="1"/>
    <col min="14856" max="14856" width="17" bestFit="1" customWidth="1"/>
    <col min="14857" max="14857" width="18.7109375" customWidth="1"/>
    <col min="14858" max="14858" width="13.7109375" customWidth="1"/>
    <col min="14859" max="14859" width="15.42578125" bestFit="1" customWidth="1"/>
    <col min="14860" max="14861" width="15.5703125" bestFit="1" customWidth="1"/>
    <col min="14862" max="14862" width="16.7109375" bestFit="1" customWidth="1"/>
    <col min="14863" max="14864" width="15.5703125" bestFit="1" customWidth="1"/>
    <col min="14865" max="14865" width="16.42578125" bestFit="1"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4" bestFit="1" customWidth="1"/>
    <col min="15103" max="15103" width="45.7109375" bestFit="1" customWidth="1"/>
    <col min="15104" max="15104" width="34" bestFit="1" customWidth="1"/>
    <col min="15105" max="15105" width="13.5703125" bestFit="1" customWidth="1"/>
    <col min="15106" max="15106" width="46.5703125" bestFit="1" customWidth="1"/>
    <col min="15107" max="15107" width="13.42578125" customWidth="1"/>
    <col min="15108" max="15108" width="15.28515625" bestFit="1" customWidth="1"/>
    <col min="15109" max="15109" width="14.140625" bestFit="1" customWidth="1"/>
    <col min="15110" max="15110" width="12" bestFit="1" customWidth="1"/>
    <col min="15111" max="15111" width="16.7109375" bestFit="1" customWidth="1"/>
    <col min="15112" max="15112" width="17" bestFit="1" customWidth="1"/>
    <col min="15113" max="15113" width="18.7109375" customWidth="1"/>
    <col min="15114" max="15114" width="13.7109375" customWidth="1"/>
    <col min="15115" max="15115" width="15.42578125" bestFit="1" customWidth="1"/>
    <col min="15116" max="15117" width="15.5703125" bestFit="1" customWidth="1"/>
    <col min="15118" max="15118" width="16.7109375" bestFit="1" customWidth="1"/>
    <col min="15119" max="15120" width="15.5703125" bestFit="1" customWidth="1"/>
    <col min="15121" max="15121" width="16.42578125" bestFit="1"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4" bestFit="1" customWidth="1"/>
    <col min="15359" max="15359" width="45.7109375" bestFit="1" customWidth="1"/>
    <col min="15360" max="15360" width="34" bestFit="1" customWidth="1"/>
    <col min="15361" max="15361" width="13.5703125" bestFit="1" customWidth="1"/>
    <col min="15362" max="15362" width="46.5703125" bestFit="1" customWidth="1"/>
    <col min="15363" max="15363" width="13.42578125" customWidth="1"/>
    <col min="15364" max="15364" width="15.28515625" bestFit="1" customWidth="1"/>
    <col min="15365" max="15365" width="14.140625" bestFit="1" customWidth="1"/>
    <col min="15366" max="15366" width="12" bestFit="1" customWidth="1"/>
    <col min="15367" max="15367" width="16.7109375" bestFit="1" customWidth="1"/>
    <col min="15368" max="15368" width="17" bestFit="1" customWidth="1"/>
    <col min="15369" max="15369" width="18.7109375" customWidth="1"/>
    <col min="15370" max="15370" width="13.7109375" customWidth="1"/>
    <col min="15371" max="15371" width="15.42578125" bestFit="1" customWidth="1"/>
    <col min="15372" max="15373" width="15.5703125" bestFit="1" customWidth="1"/>
    <col min="15374" max="15374" width="16.7109375" bestFit="1" customWidth="1"/>
    <col min="15375" max="15376" width="15.5703125" bestFit="1" customWidth="1"/>
    <col min="15377" max="15377" width="16.42578125" bestFit="1"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4" bestFit="1" customWidth="1"/>
    <col min="15615" max="15615" width="45.7109375" bestFit="1" customWidth="1"/>
    <col min="15616" max="15616" width="34" bestFit="1" customWidth="1"/>
    <col min="15617" max="15617" width="13.5703125" bestFit="1" customWidth="1"/>
    <col min="15618" max="15618" width="46.5703125" bestFit="1" customWidth="1"/>
    <col min="15619" max="15619" width="13.42578125" customWidth="1"/>
    <col min="15620" max="15620" width="15.28515625" bestFit="1" customWidth="1"/>
    <col min="15621" max="15621" width="14.140625" bestFit="1" customWidth="1"/>
    <col min="15622" max="15622" width="12" bestFit="1" customWidth="1"/>
    <col min="15623" max="15623" width="16.7109375" bestFit="1" customWidth="1"/>
    <col min="15624" max="15624" width="17" bestFit="1" customWidth="1"/>
    <col min="15625" max="15625" width="18.7109375" customWidth="1"/>
    <col min="15626" max="15626" width="13.7109375" customWidth="1"/>
    <col min="15627" max="15627" width="15.42578125" bestFit="1" customWidth="1"/>
    <col min="15628" max="15629" width="15.5703125" bestFit="1" customWidth="1"/>
    <col min="15630" max="15630" width="16.7109375" bestFit="1" customWidth="1"/>
    <col min="15631" max="15632" width="15.5703125" bestFit="1" customWidth="1"/>
    <col min="15633" max="15633" width="16.42578125" bestFit="1"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4" bestFit="1" customWidth="1"/>
    <col min="15871" max="15871" width="45.7109375" bestFit="1" customWidth="1"/>
    <col min="15872" max="15872" width="34" bestFit="1" customWidth="1"/>
    <col min="15873" max="15873" width="13.5703125" bestFit="1" customWidth="1"/>
    <col min="15874" max="15874" width="46.5703125" bestFit="1" customWidth="1"/>
    <col min="15875" max="15875" width="13.42578125" customWidth="1"/>
    <col min="15876" max="15876" width="15.28515625" bestFit="1" customWidth="1"/>
    <col min="15877" max="15877" width="14.140625" bestFit="1" customWidth="1"/>
    <col min="15878" max="15878" width="12" bestFit="1" customWidth="1"/>
    <col min="15879" max="15879" width="16.7109375" bestFit="1" customWidth="1"/>
    <col min="15880" max="15880" width="17" bestFit="1" customWidth="1"/>
    <col min="15881" max="15881" width="18.7109375" customWidth="1"/>
    <col min="15882" max="15882" width="13.7109375" customWidth="1"/>
    <col min="15883" max="15883" width="15.42578125" bestFit="1" customWidth="1"/>
    <col min="15884" max="15885" width="15.5703125" bestFit="1" customWidth="1"/>
    <col min="15886" max="15886" width="16.7109375" bestFit="1" customWidth="1"/>
    <col min="15887" max="15888" width="15.5703125" bestFit="1" customWidth="1"/>
    <col min="15889" max="15889" width="16.42578125" bestFit="1"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4" bestFit="1" customWidth="1"/>
    <col min="16127" max="16127" width="45.7109375" bestFit="1" customWidth="1"/>
    <col min="16128" max="16128" width="34" bestFit="1" customWidth="1"/>
    <col min="16129" max="16129" width="13.5703125" bestFit="1" customWidth="1"/>
    <col min="16130" max="16130" width="46.5703125" bestFit="1" customWidth="1"/>
    <col min="16131" max="16131" width="13.42578125" customWidth="1"/>
    <col min="16132" max="16132" width="15.28515625" bestFit="1" customWidth="1"/>
    <col min="16133" max="16133" width="14.140625" bestFit="1" customWidth="1"/>
    <col min="16134" max="16134" width="12" bestFit="1" customWidth="1"/>
    <col min="16135" max="16135" width="16.7109375" bestFit="1" customWidth="1"/>
    <col min="16136" max="16136" width="17" bestFit="1" customWidth="1"/>
    <col min="16137" max="16137" width="18.7109375" customWidth="1"/>
    <col min="16138" max="16138" width="13.7109375" customWidth="1"/>
    <col min="16139" max="16139" width="15.42578125" bestFit="1" customWidth="1"/>
    <col min="16140" max="16141" width="15.5703125" bestFit="1" customWidth="1"/>
    <col min="16142" max="16142" width="16.7109375" bestFit="1" customWidth="1"/>
    <col min="16143" max="16144" width="15.5703125" bestFit="1" customWidth="1"/>
    <col min="16145" max="16145" width="16.42578125" bestFit="1"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A1" s="2177"/>
      <c r="C1" s="1853" t="s">
        <v>175</v>
      </c>
      <c r="D1" s="1812" t="s">
        <v>297</v>
      </c>
      <c r="E1" s="1853" t="s">
        <v>6</v>
      </c>
      <c r="F1" s="1853">
        <v>18230611</v>
      </c>
      <c r="G1" s="1853" t="s">
        <v>5</v>
      </c>
      <c r="J1" s="1812"/>
      <c r="K1" s="1812"/>
      <c r="L1" s="1853" t="s">
        <v>175</v>
      </c>
      <c r="M1" s="1812" t="s">
        <v>297</v>
      </c>
      <c r="N1" s="1853" t="s">
        <v>6</v>
      </c>
      <c r="O1" s="1853">
        <v>18230611</v>
      </c>
      <c r="P1" s="1853" t="s">
        <v>5</v>
      </c>
      <c r="T1" s="1853" t="s">
        <v>175</v>
      </c>
      <c r="U1" s="1812" t="s">
        <v>297</v>
      </c>
      <c r="V1" s="1853" t="s">
        <v>6</v>
      </c>
      <c r="W1" s="1853">
        <v>18230611</v>
      </c>
      <c r="X1" s="1853" t="s">
        <v>5</v>
      </c>
    </row>
    <row r="2" spans="1:31" ht="16.5" thickBot="1">
      <c r="A2" s="2177"/>
      <c r="C2" s="45"/>
      <c r="D2" s="46"/>
      <c r="H2" s="1576" t="s">
        <v>674</v>
      </c>
      <c r="R2" s="3596"/>
      <c r="S2" s="3596"/>
      <c r="T2" s="3597" t="s">
        <v>36</v>
      </c>
      <c r="U2" s="3598"/>
      <c r="V2" s="3599"/>
      <c r="W2" s="3594" t="s">
        <v>37</v>
      </c>
    </row>
    <row r="3" spans="1:31" ht="26.25" thickBot="1">
      <c r="A3" s="1853" t="s">
        <v>175</v>
      </c>
      <c r="B3" s="1852"/>
      <c r="H3" s="47" t="s">
        <v>8</v>
      </c>
      <c r="I3" s="48" t="s">
        <v>9</v>
      </c>
      <c r="J3" s="48" t="s">
        <v>10</v>
      </c>
      <c r="K3" s="48" t="s">
        <v>11</v>
      </c>
      <c r="L3" s="2037" t="s">
        <v>504</v>
      </c>
      <c r="M3" s="48" t="s">
        <v>12</v>
      </c>
      <c r="N3" s="48" t="s">
        <v>13</v>
      </c>
      <c r="O3" s="48" t="s">
        <v>14</v>
      </c>
      <c r="P3" s="48" t="s">
        <v>38</v>
      </c>
      <c r="Q3" s="48" t="s">
        <v>39</v>
      </c>
      <c r="R3" s="1578" t="s">
        <v>16</v>
      </c>
      <c r="S3" s="1995" t="s">
        <v>40</v>
      </c>
      <c r="T3" s="49" t="s">
        <v>41</v>
      </c>
      <c r="U3" s="49" t="s">
        <v>11</v>
      </c>
      <c r="V3" s="50" t="s">
        <v>42</v>
      </c>
      <c r="W3" s="3595"/>
    </row>
    <row r="4" spans="1:31" ht="16.5" thickBot="1">
      <c r="A4" s="1808" t="s">
        <v>297</v>
      </c>
      <c r="B4" s="1808"/>
      <c r="C4" s="46"/>
      <c r="G4" s="1704" t="s">
        <v>668</v>
      </c>
      <c r="H4" s="2003">
        <v>143233</v>
      </c>
      <c r="I4" s="2002">
        <v>17159</v>
      </c>
      <c r="J4" s="2002">
        <v>113397</v>
      </c>
      <c r="K4" s="2002">
        <v>19800</v>
      </c>
      <c r="L4" s="2002">
        <v>6000</v>
      </c>
      <c r="M4" s="2002">
        <v>10000</v>
      </c>
      <c r="N4" s="2002">
        <v>0</v>
      </c>
      <c r="O4" s="2002">
        <v>0</v>
      </c>
      <c r="P4" s="2002">
        <v>3008550</v>
      </c>
      <c r="Q4" s="2002">
        <v>0</v>
      </c>
      <c r="R4" s="2000">
        <v>3318140</v>
      </c>
      <c r="S4" s="1998" t="s">
        <v>667</v>
      </c>
      <c r="T4" s="51">
        <f>P4/R4</f>
        <v>0.90669772824534223</v>
      </c>
      <c r="U4" s="51">
        <f>(K4+(I4*1.63))/R4</f>
        <v>1.4396369652877817E-2</v>
      </c>
      <c r="V4" s="51">
        <f>M4/R4</f>
        <v>3.0137366114751036E-3</v>
      </c>
      <c r="W4" s="52" t="e">
        <f>R4/S4</f>
        <v>#VALUE!</v>
      </c>
    </row>
    <row r="5" spans="1:31" ht="16.5" thickBot="1">
      <c r="A5" s="1852" t="s">
        <v>6</v>
      </c>
      <c r="B5" s="1852"/>
      <c r="C5" s="45"/>
      <c r="G5" s="45">
        <v>2016</v>
      </c>
      <c r="H5" s="53">
        <f>D15</f>
        <v>127736.469</v>
      </c>
      <c r="I5" s="54">
        <f>D27</f>
        <v>14400</v>
      </c>
      <c r="J5" s="54">
        <f>D33</f>
        <v>94805.024823</v>
      </c>
      <c r="K5" s="54">
        <f>D40</f>
        <v>45000</v>
      </c>
      <c r="L5" s="54">
        <f>D46</f>
        <v>4000</v>
      </c>
      <c r="M5" s="54">
        <f>D52</f>
        <v>25000</v>
      </c>
      <c r="N5" s="54">
        <f>D58</f>
        <v>1000</v>
      </c>
      <c r="O5" s="54">
        <f>D64</f>
        <v>1000</v>
      </c>
      <c r="P5" s="54">
        <f>D21+D70</f>
        <v>3073683.9994999999</v>
      </c>
      <c r="Q5" s="54">
        <f>D73</f>
        <v>0</v>
      </c>
      <c r="R5" s="2001">
        <f>SUM(H5:Q5)</f>
        <v>3386625.4933230001</v>
      </c>
      <c r="S5" s="1999">
        <f>T15</f>
        <v>1560346.06</v>
      </c>
      <c r="T5" s="55">
        <f>P5/R5</f>
        <v>0.90759489218988365</v>
      </c>
      <c r="U5" s="55">
        <f>(K5+(I5*1.63))/R5</f>
        <v>2.0218356040547725E-2</v>
      </c>
      <c r="V5" s="55">
        <f>M5/R5</f>
        <v>7.3819795100726303E-3</v>
      </c>
      <c r="W5" s="56">
        <f>R5/S5</f>
        <v>2.1704323035384854</v>
      </c>
    </row>
    <row r="6" spans="1:31" ht="16.5" thickBot="1">
      <c r="A6" s="1852">
        <v>18230611</v>
      </c>
      <c r="B6" s="1852"/>
      <c r="D6" s="45"/>
      <c r="G6" s="45">
        <v>2017</v>
      </c>
      <c r="H6" s="57">
        <f>E15</f>
        <v>130929.68</v>
      </c>
      <c r="I6" s="1990">
        <f>E27</f>
        <v>14400</v>
      </c>
      <c r="J6" s="1989">
        <f>E33</f>
        <v>98824.182400000005</v>
      </c>
      <c r="K6" s="58">
        <f>E40</f>
        <v>45000</v>
      </c>
      <c r="L6" s="58">
        <f>E46</f>
        <v>4000</v>
      </c>
      <c r="M6" s="58">
        <f>E52</f>
        <v>6500</v>
      </c>
      <c r="N6" s="58">
        <f>E58</f>
        <v>1000</v>
      </c>
      <c r="O6" s="58">
        <f>E64</f>
        <v>1000</v>
      </c>
      <c r="P6" s="58">
        <f>E70+E21</f>
        <v>3073684.0324999997</v>
      </c>
      <c r="Q6" s="58">
        <f>E73</f>
        <v>0</v>
      </c>
      <c r="R6" s="1997">
        <f>SUM(H6:Q6)</f>
        <v>3375337.8948999997</v>
      </c>
      <c r="S6" s="1996">
        <f>U15</f>
        <v>1560346.06</v>
      </c>
      <c r="T6" s="55">
        <f>P6/R6</f>
        <v>0.91063002526183023</v>
      </c>
      <c r="U6" s="55">
        <f>(K6+(I6*1.63))/R6</f>
        <v>2.0285969029488409E-2</v>
      </c>
      <c r="V6" s="55">
        <f>M6/R6</f>
        <v>1.9257331272881566E-3</v>
      </c>
      <c r="W6" s="56">
        <f>R6/S6</f>
        <v>2.1631982682738977</v>
      </c>
    </row>
    <row r="7" spans="1:31" ht="16.5" thickBot="1">
      <c r="A7" s="1852" t="s">
        <v>5</v>
      </c>
      <c r="B7" s="1808"/>
      <c r="D7" s="59"/>
      <c r="G7" s="1608" t="s">
        <v>23</v>
      </c>
      <c r="H7" s="1564">
        <f>SUM(H5:H6)</f>
        <v>258666.14899999998</v>
      </c>
      <c r="I7" s="1991">
        <f t="shared" ref="I7:Q7" si="0">SUM(I5:I6)</f>
        <v>28800</v>
      </c>
      <c r="J7" s="1992">
        <f t="shared" si="0"/>
        <v>193629.207223</v>
      </c>
      <c r="K7" s="1993">
        <f t="shared" si="0"/>
        <v>90000</v>
      </c>
      <c r="L7" s="1991">
        <f t="shared" si="0"/>
        <v>8000</v>
      </c>
      <c r="M7" s="1992">
        <f t="shared" si="0"/>
        <v>31500</v>
      </c>
      <c r="N7" s="1991">
        <f t="shared" si="0"/>
        <v>2000</v>
      </c>
      <c r="O7" s="1992">
        <f t="shared" si="0"/>
        <v>2000</v>
      </c>
      <c r="P7" s="1993">
        <f t="shared" si="0"/>
        <v>6147368.0319999997</v>
      </c>
      <c r="Q7" s="1991">
        <f t="shared" si="0"/>
        <v>0</v>
      </c>
      <c r="R7" s="1993">
        <f>SUM(H7:Q7)</f>
        <v>6761963.3882229999</v>
      </c>
      <c r="S7" s="1994">
        <f>SUM(S5:S6)</f>
        <v>3120692.12</v>
      </c>
      <c r="T7" s="55">
        <f>P7/R7</f>
        <v>0.90910992548504288</v>
      </c>
      <c r="U7" s="55">
        <f>(K7+(I7*1.63))/R7</f>
        <v>2.0252106102572082E-2</v>
      </c>
      <c r="V7" s="55">
        <f>M7/R7</f>
        <v>4.6584103153918428E-3</v>
      </c>
      <c r="W7" s="56">
        <f>R7/S7</f>
        <v>2.1668152859061918</v>
      </c>
    </row>
    <row r="8" spans="1:31">
      <c r="B8" s="1852"/>
    </row>
    <row r="9" spans="1:31" ht="20.25" customHeight="1">
      <c r="A9" s="1808"/>
      <c r="B9" s="1808"/>
      <c r="C9" s="3169" t="s">
        <v>1657</v>
      </c>
      <c r="D9" s="1916"/>
      <c r="E9" s="1916"/>
      <c r="F9" s="1602"/>
    </row>
    <row r="10" spans="1:3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1927"/>
      <c r="AA10" s="1927"/>
      <c r="AB10" s="1927"/>
      <c r="AC10" s="1927"/>
      <c r="AD10" s="1927"/>
      <c r="AE10" s="2526" t="s">
        <v>317</v>
      </c>
    </row>
    <row r="11" spans="1:31">
      <c r="A11" s="1808"/>
      <c r="B11" s="1808"/>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row>
    <row r="12" spans="1:31" s="1866" customFormat="1">
      <c r="A12" s="1808"/>
      <c r="B12" s="1808"/>
      <c r="C12" s="1887" t="s">
        <v>314</v>
      </c>
      <c r="D12" s="1894">
        <f>D15+D21+D27+D33+D40+D46+D52+D58+D64+D70</f>
        <v>3386625.4933229997</v>
      </c>
      <c r="E12" s="1948">
        <f>E15++E21+E27+E33+E40+E46+E52+E58+E64+E70</f>
        <v>3375337.8948999997</v>
      </c>
      <c r="F12" s="1894">
        <f>D12+E12</f>
        <v>6761963.3882229999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05" t="s">
        <v>569</v>
      </c>
      <c r="AA12" s="3605"/>
      <c r="AB12" s="3605"/>
      <c r="AC12" s="3605"/>
      <c r="AD12" s="3605"/>
      <c r="AE12" s="2527" t="s">
        <v>319</v>
      </c>
    </row>
    <row r="13" spans="1:31" s="1866" customFormat="1">
      <c r="A13" s="1808"/>
      <c r="B13" s="1808"/>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15" t="s">
        <v>570</v>
      </c>
      <c r="AA13" s="2515" t="s">
        <v>571</v>
      </c>
      <c r="AB13" s="2515" t="s">
        <v>571</v>
      </c>
      <c r="AC13" s="2515" t="s">
        <v>571</v>
      </c>
      <c r="AD13" s="2515" t="s">
        <v>572</v>
      </c>
      <c r="AE13" s="1936" t="s">
        <v>1073</v>
      </c>
    </row>
    <row r="14" spans="1:31" s="1866" customFormat="1" ht="15.75">
      <c r="A14" s="1808"/>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11" t="s">
        <v>326</v>
      </c>
      <c r="AA14" s="2515" t="s">
        <v>573</v>
      </c>
      <c r="AB14" s="2515" t="s">
        <v>574</v>
      </c>
      <c r="AC14" s="2515" t="s">
        <v>324</v>
      </c>
      <c r="AD14" s="2511" t="s">
        <v>326</v>
      </c>
      <c r="AE14" s="1919" t="s">
        <v>326</v>
      </c>
    </row>
    <row r="15" spans="1:31">
      <c r="B15" s="1886" t="s">
        <v>312</v>
      </c>
      <c r="C15" s="1910" t="s">
        <v>8</v>
      </c>
      <c r="D15" s="1911">
        <f>SUM(D16:D19)</f>
        <v>127736.469</v>
      </c>
      <c r="E15" s="1926">
        <f>SUM(E16:E19)</f>
        <v>130929.68</v>
      </c>
      <c r="F15" s="1924">
        <f>D15+E15</f>
        <v>258666.14899999998</v>
      </c>
      <c r="G15" s="1951"/>
      <c r="H15" s="1938" t="s">
        <v>327</v>
      </c>
      <c r="I15" s="1939"/>
      <c r="J15" s="1939"/>
      <c r="K15" s="1940"/>
      <c r="L15" s="3213">
        <f>SUMPRODUCT(L16:L114,S16:S114)</f>
        <v>5509260.165</v>
      </c>
      <c r="M15" s="3213">
        <f>SUM(M16:M114)</f>
        <v>2814354.8800000008</v>
      </c>
      <c r="N15" s="1942" t="s">
        <v>241</v>
      </c>
      <c r="O15" s="1940" t="s">
        <v>328</v>
      </c>
      <c r="P15" s="1940"/>
      <c r="Q15" s="1940"/>
      <c r="R15" s="1940"/>
      <c r="S15" s="1940"/>
      <c r="T15" s="1943">
        <f>SUM(T16:T114)</f>
        <v>1560346.06</v>
      </c>
      <c r="U15" s="1943">
        <f>SUM(U17:U114)</f>
        <v>1560346.06</v>
      </c>
      <c r="V15" s="1943">
        <f>SUM(V17:V114)</f>
        <v>3120692.12</v>
      </c>
      <c r="W15" s="1941">
        <f>SUM(W17:W114)</f>
        <v>2561403.3624999998</v>
      </c>
      <c r="X15" s="1941">
        <f>SUM(X17:X114)</f>
        <v>2561403.3624999998</v>
      </c>
      <c r="Y15" s="1941">
        <f>SUM(Y17:Y114)</f>
        <v>5122806.7249999996</v>
      </c>
      <c r="Z15" s="2514"/>
      <c r="AA15" s="2514">
        <f>SUM(AA16:AA114)</f>
        <v>1024561.3449999999</v>
      </c>
      <c r="AB15" s="2514">
        <f>SUM(AB16:AB114)</f>
        <v>614594.92446999939</v>
      </c>
      <c r="AC15" s="2514">
        <f>SUM(AC16:AC114)</f>
        <v>1639156.2694700011</v>
      </c>
      <c r="AD15" s="2514">
        <v>0</v>
      </c>
      <c r="AE15" s="1945">
        <v>0</v>
      </c>
    </row>
    <row r="16" spans="1:31">
      <c r="B16" s="1885">
        <v>0.9</v>
      </c>
      <c r="C16" s="2495" t="s">
        <v>792</v>
      </c>
      <c r="D16" s="2496">
        <f>B16*98638.2</f>
        <v>88774.38</v>
      </c>
      <c r="E16" s="2799">
        <f>B16*101104</f>
        <v>90993.600000000006</v>
      </c>
      <c r="F16" s="1879">
        <f>E16+D16</f>
        <v>179767.98</v>
      </c>
      <c r="H16" s="2497" t="s">
        <v>969</v>
      </c>
      <c r="I16" s="2498">
        <v>0</v>
      </c>
      <c r="J16" s="2499" t="s">
        <v>120</v>
      </c>
      <c r="K16" s="2501" t="s">
        <v>1066</v>
      </c>
      <c r="L16" s="2503"/>
      <c r="M16" s="2503"/>
      <c r="N16" s="1923"/>
      <c r="O16" s="2506"/>
      <c r="P16" s="2506"/>
      <c r="Q16" s="2506"/>
      <c r="R16" s="2506"/>
      <c r="S16" s="2506"/>
      <c r="T16" s="2508" t="s">
        <v>241</v>
      </c>
      <c r="U16" s="2508" t="s">
        <v>241</v>
      </c>
      <c r="V16" s="2508" t="s">
        <v>241</v>
      </c>
      <c r="W16" s="2510" t="s">
        <v>241</v>
      </c>
      <c r="X16" s="2510" t="s">
        <v>241</v>
      </c>
      <c r="Y16" s="2510" t="s">
        <v>241</v>
      </c>
      <c r="Z16" s="2517">
        <v>0</v>
      </c>
      <c r="AA16" s="2516" t="s">
        <v>241</v>
      </c>
      <c r="AB16" s="2516" t="s">
        <v>241</v>
      </c>
      <c r="AC16" s="2516" t="s">
        <v>241</v>
      </c>
      <c r="AD16" s="2513"/>
      <c r="AE16" s="1946"/>
    </row>
    <row r="17" spans="2:31">
      <c r="B17" s="1885">
        <v>0.3</v>
      </c>
      <c r="C17" s="2495" t="s">
        <v>793</v>
      </c>
      <c r="D17" s="2496">
        <f>0.3*98638.2</f>
        <v>29591.46</v>
      </c>
      <c r="E17" s="2799">
        <f>B17*101104</f>
        <v>30331.199999999997</v>
      </c>
      <c r="F17" s="1891">
        <f>E17+D17</f>
        <v>59922.659999999996</v>
      </c>
      <c r="H17" s="2497" t="s">
        <v>970</v>
      </c>
      <c r="I17" s="2498">
        <v>0</v>
      </c>
      <c r="J17" s="2499" t="s">
        <v>120</v>
      </c>
      <c r="K17" s="2501" t="s">
        <v>1066</v>
      </c>
      <c r="L17" s="2502">
        <v>1314379</v>
      </c>
      <c r="M17" s="2502">
        <v>1314379</v>
      </c>
      <c r="N17" s="1923"/>
      <c r="O17" s="2504">
        <v>1</v>
      </c>
      <c r="P17" s="2505"/>
      <c r="Q17" s="3167">
        <v>0.5</v>
      </c>
      <c r="R17" s="3167">
        <v>0.5</v>
      </c>
      <c r="S17" s="2952">
        <f>SUM(Q17:R17)</f>
        <v>1</v>
      </c>
      <c r="T17" s="2507">
        <v>0</v>
      </c>
      <c r="U17" s="2507">
        <v>0</v>
      </c>
      <c r="V17" s="2507">
        <f>SUM(T17:U17)</f>
        <v>0</v>
      </c>
      <c r="W17" s="2509">
        <v>657189.5</v>
      </c>
      <c r="X17" s="2509">
        <v>657189.5</v>
      </c>
      <c r="Y17" s="2509">
        <f>SUM(W17:X17)</f>
        <v>1314379</v>
      </c>
      <c r="Z17" s="2955">
        <v>0.2</v>
      </c>
      <c r="AA17" s="2512">
        <v>262875.8</v>
      </c>
      <c r="AB17" s="3234">
        <v>157689.07663209838</v>
      </c>
      <c r="AC17" s="2512">
        <f>SUM(AA17:AB17)</f>
        <v>420564.87663209834</v>
      </c>
      <c r="AD17" s="2518"/>
      <c r="AE17" s="3235">
        <v>1314379</v>
      </c>
    </row>
    <row r="18" spans="2:31">
      <c r="B18" s="1885">
        <v>0.05</v>
      </c>
      <c r="C18" s="2495" t="s">
        <v>791</v>
      </c>
      <c r="D18" s="2496">
        <f>B18*98638.2</f>
        <v>4931.91</v>
      </c>
      <c r="E18" s="2799">
        <f>B18*101104</f>
        <v>5055.2000000000007</v>
      </c>
      <c r="F18" s="1891">
        <f>E18+D18</f>
        <v>9987.11</v>
      </c>
      <c r="H18" s="3214" t="s">
        <v>971</v>
      </c>
      <c r="I18" s="3215">
        <v>503</v>
      </c>
      <c r="J18" s="2499" t="s">
        <v>120</v>
      </c>
      <c r="K18" s="2500" t="s">
        <v>909</v>
      </c>
      <c r="L18" s="2502">
        <v>545</v>
      </c>
      <c r="M18" s="2502">
        <v>545</v>
      </c>
      <c r="N18" s="1923"/>
      <c r="O18" s="2504">
        <v>22</v>
      </c>
      <c r="P18" s="2505" t="s">
        <v>953</v>
      </c>
      <c r="Q18" s="3167">
        <v>0</v>
      </c>
      <c r="R18" s="3167">
        <v>0</v>
      </c>
      <c r="S18" s="2952">
        <f>SUM(Q18:R18)</f>
        <v>0</v>
      </c>
      <c r="T18" s="2507">
        <f>Q18*I18</f>
        <v>0</v>
      </c>
      <c r="U18" s="2507">
        <f>R18*I18</f>
        <v>0</v>
      </c>
      <c r="V18" s="2507">
        <f>SUM(T18:U18)</f>
        <v>0</v>
      </c>
      <c r="W18" s="2509">
        <f>Q18*M18</f>
        <v>0</v>
      </c>
      <c r="X18" s="2509">
        <f>R18*M18</f>
        <v>0</v>
      </c>
      <c r="Y18" s="2509">
        <f>SUM(W18:X18)</f>
        <v>0</v>
      </c>
      <c r="Z18" s="2955">
        <v>0.2</v>
      </c>
      <c r="AA18" s="2512">
        <v>0</v>
      </c>
      <c r="AB18" s="3234">
        <v>0</v>
      </c>
      <c r="AC18" s="2512">
        <f>SUM(AA18:AB18)</f>
        <v>0</v>
      </c>
      <c r="AD18" s="2513"/>
      <c r="AE18" s="3235">
        <v>0</v>
      </c>
    </row>
    <row r="19" spans="2:31">
      <c r="B19" s="1885">
        <v>4.4999999999999998E-2</v>
      </c>
      <c r="C19" s="2495" t="s">
        <v>967</v>
      </c>
      <c r="D19" s="2496">
        <f>B19*98638.2</f>
        <v>4438.7190000000001</v>
      </c>
      <c r="E19" s="2799">
        <f>B19*101104</f>
        <v>4549.6799999999994</v>
      </c>
      <c r="F19" s="1891">
        <f>E19+D19</f>
        <v>8988.3989999999994</v>
      </c>
      <c r="H19" s="3214" t="s">
        <v>972</v>
      </c>
      <c r="I19" s="3216">
        <v>503</v>
      </c>
      <c r="J19" s="2499" t="s">
        <v>120</v>
      </c>
      <c r="K19" s="2500" t="s">
        <v>909</v>
      </c>
      <c r="L19" s="2502">
        <v>545</v>
      </c>
      <c r="M19" s="2502">
        <v>545</v>
      </c>
      <c r="N19" s="1923"/>
      <c r="O19" s="2504">
        <v>22</v>
      </c>
      <c r="P19" s="2505" t="s">
        <v>953</v>
      </c>
      <c r="Q19" s="3167">
        <v>15</v>
      </c>
      <c r="R19" s="3167">
        <v>15</v>
      </c>
      <c r="S19" s="2952">
        <f t="shared" ref="S19:S82" si="1">SUM(Q19:R19)</f>
        <v>30</v>
      </c>
      <c r="T19" s="2542">
        <f t="shared" ref="T19:T82" si="2">Q19*I19</f>
        <v>7545</v>
      </c>
      <c r="U19" s="2542">
        <f t="shared" ref="U19:U82" si="3">R19*I19</f>
        <v>7545</v>
      </c>
      <c r="V19" s="2538">
        <f t="shared" ref="V19:V82" si="4">SUM(T19:U19)</f>
        <v>15090</v>
      </c>
      <c r="W19" s="2539">
        <f t="shared" ref="W19:W82" si="5">Q19*M19</f>
        <v>8175</v>
      </c>
      <c r="X19" s="2539">
        <f t="shared" ref="X19:X82" si="6">R19*M19</f>
        <v>8175</v>
      </c>
      <c r="Y19" s="2539">
        <f t="shared" ref="Y19:Y82" si="7">SUM(W19:X19)</f>
        <v>16350</v>
      </c>
      <c r="Z19" s="2955">
        <v>0.2</v>
      </c>
      <c r="AA19" s="2512">
        <v>3270</v>
      </c>
      <c r="AB19" s="3234">
        <v>1961.5471663308747</v>
      </c>
      <c r="AC19" s="2539">
        <f t="shared" ref="AC19:AC82" si="8">SUM(AA19:AB19)</f>
        <v>5231.5471663308745</v>
      </c>
      <c r="AD19" s="2513"/>
      <c r="AE19" s="3235">
        <v>0</v>
      </c>
    </row>
    <row r="20" spans="2:31">
      <c r="B20" s="1908">
        <f>SUM(B16:B19)</f>
        <v>1.2949999999999999</v>
      </c>
      <c r="C20" s="1952"/>
      <c r="D20" s="1954"/>
      <c r="E20" s="1955"/>
      <c r="F20" s="1957"/>
      <c r="H20" s="3214" t="s">
        <v>973</v>
      </c>
      <c r="I20" s="3215">
        <v>503</v>
      </c>
      <c r="J20" s="2499" t="s">
        <v>120</v>
      </c>
      <c r="K20" s="2500" t="s">
        <v>909</v>
      </c>
      <c r="L20" s="2502">
        <v>545</v>
      </c>
      <c r="M20" s="2502">
        <v>545</v>
      </c>
      <c r="N20" s="1923"/>
      <c r="O20" s="2504">
        <v>22</v>
      </c>
      <c r="P20" s="2505" t="s">
        <v>953</v>
      </c>
      <c r="Q20" s="3167">
        <v>12</v>
      </c>
      <c r="R20" s="3167">
        <v>12</v>
      </c>
      <c r="S20" s="2952">
        <f t="shared" si="1"/>
        <v>24</v>
      </c>
      <c r="T20" s="2542">
        <f t="shared" si="2"/>
        <v>6036</v>
      </c>
      <c r="U20" s="2542">
        <f t="shared" si="3"/>
        <v>6036</v>
      </c>
      <c r="V20" s="2538">
        <f t="shared" si="4"/>
        <v>12072</v>
      </c>
      <c r="W20" s="2539">
        <f t="shared" si="5"/>
        <v>6540</v>
      </c>
      <c r="X20" s="2539">
        <f t="shared" si="6"/>
        <v>6540</v>
      </c>
      <c r="Y20" s="2539">
        <f t="shared" si="7"/>
        <v>13080</v>
      </c>
      <c r="Z20" s="2955">
        <v>0.2</v>
      </c>
      <c r="AA20" s="2512">
        <v>2616.0000000000005</v>
      </c>
      <c r="AB20" s="3234">
        <v>1569.2377330646998</v>
      </c>
      <c r="AC20" s="2539">
        <f t="shared" si="8"/>
        <v>4185.2377330647005</v>
      </c>
      <c r="AD20" s="2513"/>
      <c r="AE20" s="3235">
        <v>0</v>
      </c>
    </row>
    <row r="21" spans="2:31">
      <c r="B21" s="1953"/>
      <c r="C21" s="2106" t="s">
        <v>1608</v>
      </c>
      <c r="D21" s="2158">
        <f>SUM(D22:D25)</f>
        <v>512280.63699999999</v>
      </c>
      <c r="E21" s="1926">
        <f>SUM(E22:E25)</f>
        <v>512280.67</v>
      </c>
      <c r="F21" s="2157">
        <f>D21+E21</f>
        <v>1024561.307</v>
      </c>
      <c r="H21" s="3214" t="s">
        <v>974</v>
      </c>
      <c r="I21" s="3216">
        <v>2645.44</v>
      </c>
      <c r="J21" s="2499" t="s">
        <v>120</v>
      </c>
      <c r="K21" s="2500" t="s">
        <v>909</v>
      </c>
      <c r="L21" s="2502">
        <v>3407</v>
      </c>
      <c r="M21" s="2502">
        <v>3407</v>
      </c>
      <c r="N21" s="1923"/>
      <c r="O21" s="2504">
        <v>15</v>
      </c>
      <c r="P21" s="2505" t="s">
        <v>1069</v>
      </c>
      <c r="Q21" s="3167">
        <v>40</v>
      </c>
      <c r="R21" s="3167">
        <v>40</v>
      </c>
      <c r="S21" s="2952">
        <f t="shared" si="1"/>
        <v>80</v>
      </c>
      <c r="T21" s="2542">
        <f t="shared" si="2"/>
        <v>105817.60000000001</v>
      </c>
      <c r="U21" s="2542">
        <f t="shared" si="3"/>
        <v>105817.60000000001</v>
      </c>
      <c r="V21" s="2538">
        <f t="shared" si="4"/>
        <v>211635.20000000001</v>
      </c>
      <c r="W21" s="2539">
        <f t="shared" si="5"/>
        <v>136280</v>
      </c>
      <c r="X21" s="2539">
        <f t="shared" si="6"/>
        <v>136280</v>
      </c>
      <c r="Y21" s="2539">
        <f t="shared" si="7"/>
        <v>272560</v>
      </c>
      <c r="Z21" s="2955">
        <v>0.2</v>
      </c>
      <c r="AA21" s="2512">
        <v>54512</v>
      </c>
      <c r="AB21" s="3234">
        <v>32699.65111040631</v>
      </c>
      <c r="AC21" s="2539">
        <f t="shared" si="8"/>
        <v>87211.65111040631</v>
      </c>
      <c r="AD21" s="2513"/>
      <c r="AE21" s="3235">
        <v>37.130000000000003</v>
      </c>
    </row>
    <row r="22" spans="2:31">
      <c r="C22" s="2197" t="s">
        <v>1571</v>
      </c>
      <c r="D22" s="2201">
        <v>512280.63699999999</v>
      </c>
      <c r="E22" s="2200">
        <v>512280.67</v>
      </c>
      <c r="F22" s="1879">
        <f>E22+D22</f>
        <v>1024561.307</v>
      </c>
      <c r="H22" s="3217" t="s">
        <v>975</v>
      </c>
      <c r="I22" s="3218">
        <v>3447.84</v>
      </c>
      <c r="J22" s="2499" t="s">
        <v>120</v>
      </c>
      <c r="K22" s="2500" t="s">
        <v>909</v>
      </c>
      <c r="L22" s="2502">
        <v>4130</v>
      </c>
      <c r="M22" s="2502">
        <v>3407</v>
      </c>
      <c r="N22" s="1923"/>
      <c r="O22" s="2504">
        <v>15</v>
      </c>
      <c r="P22" s="2505" t="s">
        <v>1069</v>
      </c>
      <c r="Q22" s="3167">
        <v>65</v>
      </c>
      <c r="R22" s="3167">
        <v>65</v>
      </c>
      <c r="S22" s="2952">
        <f t="shared" si="1"/>
        <v>130</v>
      </c>
      <c r="T22" s="2542">
        <f t="shared" si="2"/>
        <v>224109.6</v>
      </c>
      <c r="U22" s="2542">
        <f t="shared" si="3"/>
        <v>224109.6</v>
      </c>
      <c r="V22" s="2538">
        <f t="shared" si="4"/>
        <v>448219.2</v>
      </c>
      <c r="W22" s="2539">
        <f t="shared" si="5"/>
        <v>221455</v>
      </c>
      <c r="X22" s="2539">
        <f t="shared" si="6"/>
        <v>221455</v>
      </c>
      <c r="Y22" s="2539">
        <f t="shared" si="7"/>
        <v>442910</v>
      </c>
      <c r="Z22" s="2955">
        <v>0.2</v>
      </c>
      <c r="AA22" s="2512">
        <v>88582</v>
      </c>
      <c r="AB22" s="3234">
        <v>53136.933054410256</v>
      </c>
      <c r="AC22" s="2539">
        <f t="shared" si="8"/>
        <v>141718.93305441027</v>
      </c>
      <c r="AD22" s="2513"/>
      <c r="AE22" s="3235">
        <v>67.11</v>
      </c>
    </row>
    <row r="23" spans="2:31">
      <c r="C23" s="3114" t="s">
        <v>1607</v>
      </c>
      <c r="D23" s="1900"/>
      <c r="E23" s="1899"/>
      <c r="F23" s="2191">
        <f>E23+D23</f>
        <v>0</v>
      </c>
      <c r="H23" s="3219" t="s">
        <v>976</v>
      </c>
      <c r="I23" s="2958">
        <v>149</v>
      </c>
      <c r="J23" s="2959" t="s">
        <v>120</v>
      </c>
      <c r="K23" s="2960" t="s">
        <v>909</v>
      </c>
      <c r="L23" s="2961">
        <v>67</v>
      </c>
      <c r="M23" s="2961">
        <v>67</v>
      </c>
      <c r="N23" s="2962"/>
      <c r="O23" s="2963">
        <v>15</v>
      </c>
      <c r="P23" s="2964" t="s">
        <v>910</v>
      </c>
      <c r="Q23" s="3167">
        <v>0</v>
      </c>
      <c r="R23" s="3167">
        <v>0</v>
      </c>
      <c r="S23" s="2952">
        <f t="shared" si="1"/>
        <v>0</v>
      </c>
      <c r="T23" s="2542">
        <f t="shared" si="2"/>
        <v>0</v>
      </c>
      <c r="U23" s="2542">
        <f t="shared" si="3"/>
        <v>0</v>
      </c>
      <c r="V23" s="2538">
        <f t="shared" si="4"/>
        <v>0</v>
      </c>
      <c r="W23" s="2539">
        <f t="shared" si="5"/>
        <v>0</v>
      </c>
      <c r="X23" s="2539">
        <f t="shared" si="6"/>
        <v>0</v>
      </c>
      <c r="Y23" s="2539">
        <f t="shared" si="7"/>
        <v>0</v>
      </c>
      <c r="Z23" s="2955">
        <v>0.2</v>
      </c>
      <c r="AA23" s="2512">
        <v>0</v>
      </c>
      <c r="AB23" s="3234">
        <v>0</v>
      </c>
      <c r="AC23" s="2539">
        <f t="shared" si="8"/>
        <v>0</v>
      </c>
      <c r="AD23" s="2513"/>
      <c r="AE23" s="3235">
        <v>0</v>
      </c>
    </row>
    <row r="24" spans="2:31">
      <c r="C24" s="2495"/>
      <c r="D24" s="2496"/>
      <c r="E24" s="2799"/>
      <c r="F24" s="2191">
        <f>E24+D24</f>
        <v>0</v>
      </c>
      <c r="H24" s="3219" t="s">
        <v>977</v>
      </c>
      <c r="I24" s="2958">
        <v>149</v>
      </c>
      <c r="J24" s="2959" t="s">
        <v>120</v>
      </c>
      <c r="K24" s="2960" t="s">
        <v>909</v>
      </c>
      <c r="L24" s="2961">
        <v>67</v>
      </c>
      <c r="M24" s="2961">
        <v>67</v>
      </c>
      <c r="N24" s="2962"/>
      <c r="O24" s="2963">
        <v>15</v>
      </c>
      <c r="P24" s="2964" t="s">
        <v>910</v>
      </c>
      <c r="Q24" s="3167">
        <v>0</v>
      </c>
      <c r="R24" s="3167">
        <v>0</v>
      </c>
      <c r="S24" s="2952">
        <f t="shared" si="1"/>
        <v>0</v>
      </c>
      <c r="T24" s="2542">
        <f t="shared" si="2"/>
        <v>0</v>
      </c>
      <c r="U24" s="2542">
        <f t="shared" si="3"/>
        <v>0</v>
      </c>
      <c r="V24" s="2538">
        <f t="shared" si="4"/>
        <v>0</v>
      </c>
      <c r="W24" s="2539">
        <f t="shared" si="5"/>
        <v>0</v>
      </c>
      <c r="X24" s="2539">
        <f t="shared" si="6"/>
        <v>0</v>
      </c>
      <c r="Y24" s="2539">
        <f t="shared" si="7"/>
        <v>0</v>
      </c>
      <c r="Z24" s="2955">
        <v>0.2</v>
      </c>
      <c r="AA24" s="2512">
        <v>0</v>
      </c>
      <c r="AB24" s="3234">
        <v>0</v>
      </c>
      <c r="AC24" s="2539">
        <f t="shared" si="8"/>
        <v>0</v>
      </c>
      <c r="AD24" s="2513"/>
      <c r="AE24" s="3235">
        <v>0</v>
      </c>
    </row>
    <row r="25" spans="2:31">
      <c r="C25" s="2495"/>
      <c r="D25" s="2496"/>
      <c r="E25" s="2799"/>
      <c r="F25" s="2191">
        <f>E25+D25</f>
        <v>0</v>
      </c>
      <c r="H25" s="3219" t="s">
        <v>978</v>
      </c>
      <c r="I25" s="2958">
        <v>149</v>
      </c>
      <c r="J25" s="2959" t="s">
        <v>120</v>
      </c>
      <c r="K25" s="2960" t="s">
        <v>909</v>
      </c>
      <c r="L25" s="2961">
        <v>67</v>
      </c>
      <c r="M25" s="2961">
        <v>67</v>
      </c>
      <c r="N25" s="2962"/>
      <c r="O25" s="2963">
        <v>15</v>
      </c>
      <c r="P25" s="2964" t="s">
        <v>910</v>
      </c>
      <c r="Q25" s="3167">
        <v>0</v>
      </c>
      <c r="R25" s="3167">
        <v>0</v>
      </c>
      <c r="S25" s="2952">
        <f t="shared" si="1"/>
        <v>0</v>
      </c>
      <c r="T25" s="2542">
        <f t="shared" si="2"/>
        <v>0</v>
      </c>
      <c r="U25" s="2542">
        <f t="shared" si="3"/>
        <v>0</v>
      </c>
      <c r="V25" s="2538">
        <f t="shared" si="4"/>
        <v>0</v>
      </c>
      <c r="W25" s="2539">
        <f t="shared" si="5"/>
        <v>0</v>
      </c>
      <c r="X25" s="2539">
        <f t="shared" si="6"/>
        <v>0</v>
      </c>
      <c r="Y25" s="2539">
        <f t="shared" si="7"/>
        <v>0</v>
      </c>
      <c r="Z25" s="2955">
        <v>0.2</v>
      </c>
      <c r="AA25" s="2512">
        <v>0</v>
      </c>
      <c r="AB25" s="3234">
        <v>0</v>
      </c>
      <c r="AC25" s="2539">
        <f t="shared" si="8"/>
        <v>0</v>
      </c>
      <c r="AD25" s="2513"/>
      <c r="AE25" s="3235">
        <v>0</v>
      </c>
    </row>
    <row r="26" spans="2:31">
      <c r="C26" s="1952"/>
      <c r="D26" s="1954"/>
      <c r="E26" s="1955"/>
      <c r="F26" s="1957"/>
      <c r="H26" s="3214" t="s">
        <v>979</v>
      </c>
      <c r="I26" s="2604">
        <v>1.59</v>
      </c>
      <c r="J26" s="2499" t="s">
        <v>120</v>
      </c>
      <c r="K26" s="2500" t="s">
        <v>1067</v>
      </c>
      <c r="L26" s="2502">
        <v>2.21</v>
      </c>
      <c r="M26" s="2502">
        <v>2.21</v>
      </c>
      <c r="N26" s="1923"/>
      <c r="O26" s="2504">
        <v>30</v>
      </c>
      <c r="P26" s="2505" t="s">
        <v>1070</v>
      </c>
      <c r="Q26" s="3167">
        <v>0</v>
      </c>
      <c r="R26" s="3167">
        <v>0</v>
      </c>
      <c r="S26" s="2952">
        <f t="shared" si="1"/>
        <v>0</v>
      </c>
      <c r="T26" s="2542">
        <f t="shared" si="2"/>
        <v>0</v>
      </c>
      <c r="U26" s="2542">
        <f t="shared" si="3"/>
        <v>0</v>
      </c>
      <c r="V26" s="2538">
        <f t="shared" si="4"/>
        <v>0</v>
      </c>
      <c r="W26" s="2539">
        <f t="shared" si="5"/>
        <v>0</v>
      </c>
      <c r="X26" s="2539">
        <f t="shared" si="6"/>
        <v>0</v>
      </c>
      <c r="Y26" s="2539">
        <f t="shared" si="7"/>
        <v>0</v>
      </c>
      <c r="Z26" s="2955">
        <v>0.2</v>
      </c>
      <c r="AA26" s="2512">
        <v>0</v>
      </c>
      <c r="AB26" s="3234">
        <v>0</v>
      </c>
      <c r="AC26" s="2539">
        <f t="shared" si="8"/>
        <v>0</v>
      </c>
      <c r="AD26" s="2513"/>
      <c r="AE26" s="3235">
        <v>0</v>
      </c>
    </row>
    <row r="27" spans="2:31">
      <c r="C27" s="1910" t="s">
        <v>9</v>
      </c>
      <c r="D27" s="1911">
        <f>SUM(D28:D31)</f>
        <v>14400</v>
      </c>
      <c r="E27" s="1926">
        <f>SUM(E28:E31)</f>
        <v>14400</v>
      </c>
      <c r="F27" s="1924">
        <f>D27+E27</f>
        <v>28800</v>
      </c>
      <c r="H27" s="3220" t="s">
        <v>980</v>
      </c>
      <c r="I27" s="2604">
        <v>0.5</v>
      </c>
      <c r="J27" s="2499" t="s">
        <v>120</v>
      </c>
      <c r="K27" s="2500" t="s">
        <v>1067</v>
      </c>
      <c r="L27" s="2502">
        <v>1.1000000000000001</v>
      </c>
      <c r="M27" s="2502">
        <v>1.1000000000000001</v>
      </c>
      <c r="N27" s="1923"/>
      <c r="O27" s="2504">
        <v>25</v>
      </c>
      <c r="P27" s="2505" t="s">
        <v>1069</v>
      </c>
      <c r="Q27" s="3167">
        <v>6719</v>
      </c>
      <c r="R27" s="3167">
        <v>6719</v>
      </c>
      <c r="S27" s="2952">
        <f t="shared" si="1"/>
        <v>13438</v>
      </c>
      <c r="T27" s="2542">
        <f t="shared" si="2"/>
        <v>3359.5</v>
      </c>
      <c r="U27" s="2542">
        <f t="shared" si="3"/>
        <v>3359.5</v>
      </c>
      <c r="V27" s="2538">
        <f t="shared" si="4"/>
        <v>6719</v>
      </c>
      <c r="W27" s="2539">
        <f t="shared" si="5"/>
        <v>7390.9000000000005</v>
      </c>
      <c r="X27" s="2539">
        <f t="shared" si="6"/>
        <v>7390.9000000000005</v>
      </c>
      <c r="Y27" s="2539">
        <f t="shared" si="7"/>
        <v>14781.800000000001</v>
      </c>
      <c r="Z27" s="2955">
        <v>0.2</v>
      </c>
      <c r="AA27" s="2512">
        <v>2956.3600000000006</v>
      </c>
      <c r="AB27" s="3234">
        <v>1773.4065995883623</v>
      </c>
      <c r="AC27" s="2539">
        <f t="shared" si="8"/>
        <v>4729.7665995883626</v>
      </c>
      <c r="AD27" s="2513"/>
      <c r="AE27" s="3235">
        <v>0</v>
      </c>
    </row>
    <row r="28" spans="2:31">
      <c r="C28" s="2197" t="s">
        <v>968</v>
      </c>
      <c r="D28" s="1907">
        <f>0.18*80000</f>
        <v>14400</v>
      </c>
      <c r="E28" s="1906">
        <v>14400</v>
      </c>
      <c r="F28" s="1879">
        <f t="shared" ref="F28:F36" si="9">SUM(D28:E28)</f>
        <v>28800</v>
      </c>
      <c r="H28" s="3219" t="s">
        <v>981</v>
      </c>
      <c r="I28" s="2958">
        <v>1.38</v>
      </c>
      <c r="J28" s="2959" t="s">
        <v>120</v>
      </c>
      <c r="K28" s="2960" t="s">
        <v>1067</v>
      </c>
      <c r="L28" s="2961">
        <v>2.21</v>
      </c>
      <c r="M28" s="2961">
        <v>2.21</v>
      </c>
      <c r="N28" s="2962"/>
      <c r="O28" s="2963">
        <v>30</v>
      </c>
      <c r="P28" s="2964" t="s">
        <v>1069</v>
      </c>
      <c r="Q28" s="3167">
        <v>0</v>
      </c>
      <c r="R28" s="3167">
        <v>0</v>
      </c>
      <c r="S28" s="2952">
        <f t="shared" si="1"/>
        <v>0</v>
      </c>
      <c r="T28" s="2542">
        <f t="shared" si="2"/>
        <v>0</v>
      </c>
      <c r="U28" s="2542">
        <f t="shared" si="3"/>
        <v>0</v>
      </c>
      <c r="V28" s="2538">
        <f t="shared" si="4"/>
        <v>0</v>
      </c>
      <c r="W28" s="2539">
        <f t="shared" si="5"/>
        <v>0</v>
      </c>
      <c r="X28" s="2539">
        <f t="shared" si="6"/>
        <v>0</v>
      </c>
      <c r="Y28" s="2539">
        <f t="shared" si="7"/>
        <v>0</v>
      </c>
      <c r="Z28" s="2955">
        <v>0.2</v>
      </c>
      <c r="AA28" s="2512">
        <v>0</v>
      </c>
      <c r="AB28" s="3234">
        <v>0</v>
      </c>
      <c r="AC28" s="2539">
        <f t="shared" si="8"/>
        <v>0</v>
      </c>
      <c r="AD28" s="2513"/>
      <c r="AE28" s="3235">
        <v>0</v>
      </c>
    </row>
    <row r="29" spans="2:31">
      <c r="C29" s="1876"/>
      <c r="D29" s="1900"/>
      <c r="E29" s="1899"/>
      <c r="F29" s="1891">
        <f t="shared" si="9"/>
        <v>0</v>
      </c>
      <c r="H29" s="3214" t="s">
        <v>982</v>
      </c>
      <c r="I29" s="3216">
        <v>0.3</v>
      </c>
      <c r="J29" s="2499" t="s">
        <v>120</v>
      </c>
      <c r="K29" s="2500" t="s">
        <v>1067</v>
      </c>
      <c r="L29" s="2502">
        <v>2.1</v>
      </c>
      <c r="M29" s="2502">
        <v>1.25</v>
      </c>
      <c r="N29" s="1923"/>
      <c r="O29" s="2504">
        <v>25</v>
      </c>
      <c r="P29" s="2505" t="s">
        <v>1069</v>
      </c>
      <c r="Q29" s="3167">
        <v>32561</v>
      </c>
      <c r="R29" s="3167">
        <v>32561</v>
      </c>
      <c r="S29" s="2952">
        <f t="shared" si="1"/>
        <v>65122</v>
      </c>
      <c r="T29" s="2542">
        <f t="shared" si="2"/>
        <v>9768.2999999999993</v>
      </c>
      <c r="U29" s="2542">
        <f t="shared" si="3"/>
        <v>9768.2999999999993</v>
      </c>
      <c r="V29" s="2538">
        <f t="shared" si="4"/>
        <v>19536.599999999999</v>
      </c>
      <c r="W29" s="2539">
        <f t="shared" si="5"/>
        <v>40701.25</v>
      </c>
      <c r="X29" s="2539">
        <f t="shared" si="6"/>
        <v>40701.25</v>
      </c>
      <c r="Y29" s="2539">
        <f t="shared" si="7"/>
        <v>81402.5</v>
      </c>
      <c r="Z29" s="2955">
        <v>0.2</v>
      </c>
      <c r="AA29" s="2512">
        <v>16280.500000000002</v>
      </c>
      <c r="AB29" s="3234">
        <v>9766.0454561008573</v>
      </c>
      <c r="AC29" s="2539">
        <f t="shared" si="8"/>
        <v>26046.545456100859</v>
      </c>
      <c r="AD29" s="2513"/>
      <c r="AE29" s="3235">
        <v>2E-3</v>
      </c>
    </row>
    <row r="30" spans="2:31">
      <c r="C30" s="1876"/>
      <c r="D30" s="1898"/>
      <c r="E30" s="1897"/>
      <c r="F30" s="1891">
        <f t="shared" si="9"/>
        <v>0</v>
      </c>
      <c r="H30" s="3214" t="s">
        <v>983</v>
      </c>
      <c r="I30" s="2604">
        <v>2.1800000000000002</v>
      </c>
      <c r="J30" s="2499" t="s">
        <v>120</v>
      </c>
      <c r="K30" s="2500" t="s">
        <v>1067</v>
      </c>
      <c r="L30" s="2502">
        <v>2.4300000000000002</v>
      </c>
      <c r="M30" s="2502">
        <v>2.4300000000000002</v>
      </c>
      <c r="N30" s="1923"/>
      <c r="O30" s="2504">
        <v>30</v>
      </c>
      <c r="P30" s="2505" t="s">
        <v>1070</v>
      </c>
      <c r="Q30" s="3167">
        <v>6585</v>
      </c>
      <c r="R30" s="3167">
        <v>6585</v>
      </c>
      <c r="S30" s="2952">
        <f t="shared" si="1"/>
        <v>13170</v>
      </c>
      <c r="T30" s="2542">
        <f t="shared" si="2"/>
        <v>14355.300000000001</v>
      </c>
      <c r="U30" s="2542">
        <f t="shared" si="3"/>
        <v>14355.300000000001</v>
      </c>
      <c r="V30" s="2538">
        <f t="shared" si="4"/>
        <v>28710.600000000002</v>
      </c>
      <c r="W30" s="2539">
        <f t="shared" si="5"/>
        <v>16001.550000000001</v>
      </c>
      <c r="X30" s="2539">
        <f t="shared" si="6"/>
        <v>16001.550000000001</v>
      </c>
      <c r="Y30" s="2539">
        <f t="shared" si="7"/>
        <v>32003.100000000002</v>
      </c>
      <c r="Z30" s="2955">
        <v>0.2</v>
      </c>
      <c r="AA30" s="2512">
        <v>6400.6200000000008</v>
      </c>
      <c r="AB30" s="3234">
        <v>3839.4856341775912</v>
      </c>
      <c r="AC30" s="2539">
        <f t="shared" si="8"/>
        <v>10240.105634177591</v>
      </c>
      <c r="AD30" s="2513"/>
      <c r="AE30" s="3235">
        <v>0</v>
      </c>
    </row>
    <row r="31" spans="2:31">
      <c r="C31" s="1876"/>
      <c r="D31" s="1896"/>
      <c r="E31" s="1899"/>
      <c r="F31" s="1891">
        <f t="shared" si="9"/>
        <v>0</v>
      </c>
      <c r="H31" s="3221" t="s">
        <v>984</v>
      </c>
      <c r="I31" s="3216">
        <v>2.2000000000000002</v>
      </c>
      <c r="J31" s="2499" t="s">
        <v>120</v>
      </c>
      <c r="K31" s="2500" t="s">
        <v>1067</v>
      </c>
      <c r="L31" s="2502">
        <v>2.4300000000000002</v>
      </c>
      <c r="M31" s="2502">
        <v>2.4300000000000002</v>
      </c>
      <c r="N31" s="1923"/>
      <c r="O31" s="2504">
        <v>30</v>
      </c>
      <c r="P31" s="2505" t="s">
        <v>1069</v>
      </c>
      <c r="Q31" s="3167">
        <v>10000</v>
      </c>
      <c r="R31" s="3167">
        <v>10000</v>
      </c>
      <c r="S31" s="2952">
        <f t="shared" si="1"/>
        <v>20000</v>
      </c>
      <c r="T31" s="2542">
        <f t="shared" si="2"/>
        <v>22000</v>
      </c>
      <c r="U31" s="2542">
        <f t="shared" si="3"/>
        <v>22000</v>
      </c>
      <c r="V31" s="2538">
        <f t="shared" si="4"/>
        <v>44000</v>
      </c>
      <c r="W31" s="2539">
        <f t="shared" si="5"/>
        <v>24300</v>
      </c>
      <c r="X31" s="2539">
        <f t="shared" si="6"/>
        <v>24300</v>
      </c>
      <c r="Y31" s="2539">
        <f t="shared" si="7"/>
        <v>48600</v>
      </c>
      <c r="Z31" s="2955">
        <v>0.2</v>
      </c>
      <c r="AA31" s="2512">
        <v>9720</v>
      </c>
      <c r="AB31" s="3234">
        <v>5830.6539623046183</v>
      </c>
      <c r="AC31" s="2539">
        <f t="shared" si="8"/>
        <v>15550.653962304619</v>
      </c>
      <c r="AD31" s="2513"/>
      <c r="AE31" s="3235">
        <v>3.1249629526816258E-2</v>
      </c>
    </row>
    <row r="32" spans="2:31">
      <c r="C32" s="1877"/>
      <c r="D32" s="1892"/>
      <c r="E32" s="1884"/>
      <c r="F32" s="1892"/>
      <c r="H32" s="3222" t="s">
        <v>985</v>
      </c>
      <c r="I32" s="3216">
        <v>0.1</v>
      </c>
      <c r="J32" s="2499" t="s">
        <v>120</v>
      </c>
      <c r="K32" s="2500" t="s">
        <v>1067</v>
      </c>
      <c r="L32" s="2502">
        <v>1.71</v>
      </c>
      <c r="M32" s="2502">
        <v>1.25</v>
      </c>
      <c r="N32" s="1923"/>
      <c r="O32" s="2504">
        <v>25</v>
      </c>
      <c r="P32" s="2505" t="s">
        <v>1069</v>
      </c>
      <c r="Q32" s="3167">
        <v>25842</v>
      </c>
      <c r="R32" s="3167">
        <v>25842</v>
      </c>
      <c r="S32" s="2952">
        <f t="shared" si="1"/>
        <v>51684</v>
      </c>
      <c r="T32" s="2542">
        <f t="shared" si="2"/>
        <v>2584.2000000000003</v>
      </c>
      <c r="U32" s="2542">
        <f t="shared" si="3"/>
        <v>2584.2000000000003</v>
      </c>
      <c r="V32" s="2538">
        <f t="shared" si="4"/>
        <v>5168.4000000000005</v>
      </c>
      <c r="W32" s="2539">
        <f t="shared" si="5"/>
        <v>32302.5</v>
      </c>
      <c r="X32" s="2539">
        <f t="shared" si="6"/>
        <v>32302.5</v>
      </c>
      <c r="Y32" s="2539">
        <f t="shared" si="7"/>
        <v>64605</v>
      </c>
      <c r="Z32" s="2955">
        <v>0.2</v>
      </c>
      <c r="AA32" s="2512">
        <v>12921.000000000002</v>
      </c>
      <c r="AB32" s="3234">
        <v>7750.8106838413551</v>
      </c>
      <c r="AC32" s="2539">
        <f t="shared" si="8"/>
        <v>20671.810683841359</v>
      </c>
      <c r="AD32" s="2513"/>
      <c r="AE32" s="3235">
        <v>0</v>
      </c>
    </row>
    <row r="33" spans="1:31">
      <c r="C33" s="1910" t="s">
        <v>10</v>
      </c>
      <c r="D33" s="2238">
        <f>SUM(D35:D38)</f>
        <v>94805.024823</v>
      </c>
      <c r="E33" s="2239">
        <f>SUM(E35:E38)</f>
        <v>98824.182400000005</v>
      </c>
      <c r="F33" s="2114">
        <f>D33+E33</f>
        <v>193629.207223</v>
      </c>
      <c r="H33" s="3214" t="s">
        <v>986</v>
      </c>
      <c r="I33" s="2604">
        <v>1.39</v>
      </c>
      <c r="J33" s="2499" t="s">
        <v>120</v>
      </c>
      <c r="K33" s="2500" t="s">
        <v>1067</v>
      </c>
      <c r="L33" s="2502">
        <v>1.95</v>
      </c>
      <c r="M33" s="2502">
        <v>1.95</v>
      </c>
      <c r="N33" s="1923"/>
      <c r="O33" s="2504">
        <v>30</v>
      </c>
      <c r="P33" s="2505" t="s">
        <v>1070</v>
      </c>
      <c r="Q33" s="3167">
        <v>0</v>
      </c>
      <c r="R33" s="3167">
        <v>0</v>
      </c>
      <c r="S33" s="2952">
        <f t="shared" si="1"/>
        <v>0</v>
      </c>
      <c r="T33" s="2542">
        <f t="shared" si="2"/>
        <v>0</v>
      </c>
      <c r="U33" s="2542">
        <f t="shared" si="3"/>
        <v>0</v>
      </c>
      <c r="V33" s="2538">
        <f t="shared" si="4"/>
        <v>0</v>
      </c>
      <c r="W33" s="2539">
        <f t="shared" si="5"/>
        <v>0</v>
      </c>
      <c r="X33" s="2539">
        <f t="shared" si="6"/>
        <v>0</v>
      </c>
      <c r="Y33" s="2539">
        <f t="shared" si="7"/>
        <v>0</v>
      </c>
      <c r="Z33" s="2955">
        <v>0.2</v>
      </c>
      <c r="AA33" s="2512">
        <v>0</v>
      </c>
      <c r="AB33" s="3234">
        <v>0</v>
      </c>
      <c r="AC33" s="2539">
        <f t="shared" si="8"/>
        <v>0</v>
      </c>
      <c r="AD33" s="2513"/>
      <c r="AE33" s="3235">
        <v>0</v>
      </c>
    </row>
    <row r="34" spans="1:31" ht="25.5">
      <c r="A34" s="1853" t="s">
        <v>175</v>
      </c>
      <c r="B34" s="1953"/>
      <c r="C34" s="1909" t="s">
        <v>315</v>
      </c>
      <c r="D34" s="1912">
        <v>0.66700000000000004</v>
      </c>
      <c r="E34" s="1913">
        <v>0.68</v>
      </c>
      <c r="F34" s="1949"/>
      <c r="H34" s="3223" t="s">
        <v>987</v>
      </c>
      <c r="I34" s="3216">
        <v>0.47</v>
      </c>
      <c r="J34" s="2499" t="s">
        <v>120</v>
      </c>
      <c r="K34" s="2500" t="s">
        <v>1067</v>
      </c>
      <c r="L34" s="2502">
        <v>1.95</v>
      </c>
      <c r="M34" s="2502">
        <v>1.95</v>
      </c>
      <c r="N34" s="1923"/>
      <c r="O34" s="2504">
        <v>30</v>
      </c>
      <c r="P34" s="2505" t="s">
        <v>1069</v>
      </c>
      <c r="Q34" s="3167">
        <v>11179</v>
      </c>
      <c r="R34" s="3167">
        <v>11179</v>
      </c>
      <c r="S34" s="2952">
        <f t="shared" si="1"/>
        <v>22358</v>
      </c>
      <c r="T34" s="2542">
        <f t="shared" si="2"/>
        <v>5254.13</v>
      </c>
      <c r="U34" s="2542">
        <f t="shared" si="3"/>
        <v>5254.13</v>
      </c>
      <c r="V34" s="2538">
        <f t="shared" si="4"/>
        <v>10508.26</v>
      </c>
      <c r="W34" s="2539">
        <f t="shared" si="5"/>
        <v>21799.05</v>
      </c>
      <c r="X34" s="2539">
        <f t="shared" si="6"/>
        <v>21799.05</v>
      </c>
      <c r="Y34" s="2539">
        <f t="shared" si="7"/>
        <v>43598.1</v>
      </c>
      <c r="Z34" s="2955">
        <v>0.2</v>
      </c>
      <c r="AA34" s="2512">
        <v>8719.6200000000008</v>
      </c>
      <c r="AB34" s="3234">
        <v>5230.5644961718717</v>
      </c>
      <c r="AC34" s="2539">
        <f t="shared" si="8"/>
        <v>13950.184496171873</v>
      </c>
      <c r="AD34" s="2513"/>
      <c r="AE34" s="3235">
        <v>6.7142655073156934E-3</v>
      </c>
    </row>
    <row r="35" spans="1:31">
      <c r="A35" s="1808" t="s">
        <v>297</v>
      </c>
      <c r="C35" s="1876" t="s">
        <v>778</v>
      </c>
      <c r="D35" s="1971">
        <f>D15*D34</f>
        <v>85200.224822999997</v>
      </c>
      <c r="E35" s="1972">
        <f>E15*E34</f>
        <v>89032.182400000005</v>
      </c>
      <c r="F35" s="1891">
        <f t="shared" si="9"/>
        <v>174232.40722300002</v>
      </c>
      <c r="H35" s="3214" t="s">
        <v>988</v>
      </c>
      <c r="I35" s="2604">
        <v>0.57999999999999996</v>
      </c>
      <c r="J35" s="2499" t="s">
        <v>120</v>
      </c>
      <c r="K35" s="2500" t="s">
        <v>1067</v>
      </c>
      <c r="L35" s="2502">
        <v>1.35</v>
      </c>
      <c r="M35" s="2502">
        <v>1.35</v>
      </c>
      <c r="N35" s="1923"/>
      <c r="O35" s="2504">
        <v>30</v>
      </c>
      <c r="P35" s="2505" t="s">
        <v>1070</v>
      </c>
      <c r="Q35" s="3167">
        <v>4350</v>
      </c>
      <c r="R35" s="3167">
        <v>4350</v>
      </c>
      <c r="S35" s="2952">
        <f t="shared" si="1"/>
        <v>8700</v>
      </c>
      <c r="T35" s="2542">
        <f t="shared" si="2"/>
        <v>2523</v>
      </c>
      <c r="U35" s="2542">
        <f t="shared" si="3"/>
        <v>2523</v>
      </c>
      <c r="V35" s="2538">
        <f t="shared" si="4"/>
        <v>5046</v>
      </c>
      <c r="W35" s="2539">
        <f t="shared" si="5"/>
        <v>5872.5</v>
      </c>
      <c r="X35" s="2539">
        <f t="shared" si="6"/>
        <v>5872.5</v>
      </c>
      <c r="Y35" s="2539">
        <f t="shared" si="7"/>
        <v>11745</v>
      </c>
      <c r="Z35" s="2955">
        <v>0.2</v>
      </c>
      <c r="AA35" s="2512">
        <v>2349</v>
      </c>
      <c r="AB35" s="3234">
        <v>1409.0747075569495</v>
      </c>
      <c r="AC35" s="2539">
        <f t="shared" si="8"/>
        <v>3758.0747075569498</v>
      </c>
      <c r="AD35" s="2513"/>
      <c r="AE35" s="3235">
        <v>0</v>
      </c>
    </row>
    <row r="36" spans="1:31">
      <c r="A36" s="1852" t="s">
        <v>6</v>
      </c>
      <c r="C36" s="1876" t="s">
        <v>779</v>
      </c>
      <c r="D36" s="1973">
        <f>D27*D34</f>
        <v>9604.8000000000011</v>
      </c>
      <c r="E36" s="1972">
        <f>E27*E34</f>
        <v>9792</v>
      </c>
      <c r="F36" s="1891">
        <f t="shared" si="9"/>
        <v>19396.800000000003</v>
      </c>
      <c r="H36" s="3214" t="s">
        <v>989</v>
      </c>
      <c r="I36" s="3216">
        <v>0.22</v>
      </c>
      <c r="J36" s="2499" t="s">
        <v>120</v>
      </c>
      <c r="K36" s="2500" t="s">
        <v>1067</v>
      </c>
      <c r="L36" s="2502">
        <v>1.35</v>
      </c>
      <c r="M36" s="2502">
        <v>1.35</v>
      </c>
      <c r="N36" s="1923"/>
      <c r="O36" s="2504">
        <v>30</v>
      </c>
      <c r="P36" s="2505" t="s">
        <v>1069</v>
      </c>
      <c r="Q36" s="3167">
        <v>23304</v>
      </c>
      <c r="R36" s="3167">
        <v>23304</v>
      </c>
      <c r="S36" s="2952">
        <f t="shared" si="1"/>
        <v>46608</v>
      </c>
      <c r="T36" s="2542">
        <f t="shared" si="2"/>
        <v>5126.88</v>
      </c>
      <c r="U36" s="2542">
        <f t="shared" si="3"/>
        <v>5126.88</v>
      </c>
      <c r="V36" s="2538">
        <f t="shared" si="4"/>
        <v>10253.76</v>
      </c>
      <c r="W36" s="2539">
        <f t="shared" si="5"/>
        <v>31460.400000000001</v>
      </c>
      <c r="X36" s="2539">
        <f t="shared" si="6"/>
        <v>31460.400000000001</v>
      </c>
      <c r="Y36" s="2539">
        <f t="shared" si="7"/>
        <v>62920.800000000003</v>
      </c>
      <c r="Z36" s="2955">
        <v>0.2</v>
      </c>
      <c r="AA36" s="2512">
        <v>12584.160000000002</v>
      </c>
      <c r="AB36" s="3234">
        <v>7548.7533298637136</v>
      </c>
      <c r="AC36" s="2539">
        <f t="shared" si="8"/>
        <v>20132.913329863717</v>
      </c>
      <c r="AD36" s="2513"/>
      <c r="AE36" s="3235">
        <v>3.1548759396094472E-3</v>
      </c>
    </row>
    <row r="37" spans="1:31">
      <c r="A37" s="1852">
        <v>18230611</v>
      </c>
      <c r="C37" s="1901"/>
      <c r="D37" s="1898"/>
      <c r="E37" s="1897"/>
      <c r="F37" s="1889"/>
      <c r="H37" s="3214" t="s">
        <v>990</v>
      </c>
      <c r="I37" s="2604">
        <v>4.6500000000000004</v>
      </c>
      <c r="J37" s="2499" t="s">
        <v>120</v>
      </c>
      <c r="K37" s="2500" t="s">
        <v>1068</v>
      </c>
      <c r="L37" s="2502">
        <v>6.46</v>
      </c>
      <c r="M37" s="2502">
        <v>6.46</v>
      </c>
      <c r="N37" s="1923"/>
      <c r="O37" s="2504">
        <v>30</v>
      </c>
      <c r="P37" s="2505" t="s">
        <v>1070</v>
      </c>
      <c r="Q37" s="3167">
        <v>0</v>
      </c>
      <c r="R37" s="3167">
        <v>0</v>
      </c>
      <c r="S37" s="2952">
        <f t="shared" si="1"/>
        <v>0</v>
      </c>
      <c r="T37" s="2542">
        <f t="shared" si="2"/>
        <v>0</v>
      </c>
      <c r="U37" s="2542">
        <f t="shared" si="3"/>
        <v>0</v>
      </c>
      <c r="V37" s="2538">
        <f t="shared" si="4"/>
        <v>0</v>
      </c>
      <c r="W37" s="2539">
        <f t="shared" si="5"/>
        <v>0</v>
      </c>
      <c r="X37" s="2539">
        <f t="shared" si="6"/>
        <v>0</v>
      </c>
      <c r="Y37" s="2539">
        <f t="shared" si="7"/>
        <v>0</v>
      </c>
      <c r="Z37" s="2955">
        <v>0.2</v>
      </c>
      <c r="AA37" s="2512">
        <v>0</v>
      </c>
      <c r="AB37" s="3234">
        <v>0</v>
      </c>
      <c r="AC37" s="2539">
        <f t="shared" si="8"/>
        <v>0</v>
      </c>
      <c r="AD37" s="2513"/>
      <c r="AE37" s="3235">
        <v>0</v>
      </c>
    </row>
    <row r="38" spans="1:31">
      <c r="A38" s="1852" t="s">
        <v>5</v>
      </c>
      <c r="C38" s="1901"/>
      <c r="D38" s="1896"/>
      <c r="E38" s="1899"/>
      <c r="F38" s="1890"/>
      <c r="H38" s="3224" t="s">
        <v>991</v>
      </c>
      <c r="I38" s="2604">
        <v>4.6500000000000004</v>
      </c>
      <c r="J38" s="2499" t="s">
        <v>120</v>
      </c>
      <c r="K38" s="2500" t="s">
        <v>1068</v>
      </c>
      <c r="L38" s="2502">
        <v>6.46</v>
      </c>
      <c r="M38" s="2502">
        <v>6.46</v>
      </c>
      <c r="N38" s="1923"/>
      <c r="O38" s="2504">
        <v>30</v>
      </c>
      <c r="P38" s="2505" t="s">
        <v>1069</v>
      </c>
      <c r="Q38" s="3167">
        <v>4810</v>
      </c>
      <c r="R38" s="3167">
        <v>4810</v>
      </c>
      <c r="S38" s="2952">
        <f t="shared" si="1"/>
        <v>9620</v>
      </c>
      <c r="T38" s="2542">
        <f t="shared" si="2"/>
        <v>22366.5</v>
      </c>
      <c r="U38" s="2542">
        <f t="shared" si="3"/>
        <v>22366.5</v>
      </c>
      <c r="V38" s="2538">
        <f t="shared" si="4"/>
        <v>44733</v>
      </c>
      <c r="W38" s="2539">
        <f t="shared" si="5"/>
        <v>31072.6</v>
      </c>
      <c r="X38" s="2539">
        <f t="shared" si="6"/>
        <v>31072.6</v>
      </c>
      <c r="Y38" s="2539">
        <f t="shared" si="7"/>
        <v>62145.2</v>
      </c>
      <c r="Z38" s="2955">
        <v>0.2</v>
      </c>
      <c r="AA38" s="2512">
        <v>12429.039999999999</v>
      </c>
      <c r="AB38" s="3234">
        <v>7455.7028110743404</v>
      </c>
      <c r="AC38" s="2539">
        <f t="shared" si="8"/>
        <v>19884.742811074339</v>
      </c>
      <c r="AD38" s="2513"/>
      <c r="AE38" s="3235">
        <v>0</v>
      </c>
    </row>
    <row r="39" spans="1:31">
      <c r="C39" s="1952"/>
      <c r="D39" s="1958"/>
      <c r="E39" s="1955"/>
      <c r="F39" s="1958"/>
      <c r="H39" s="3214" t="s">
        <v>992</v>
      </c>
      <c r="I39" s="2604">
        <v>1.04</v>
      </c>
      <c r="J39" s="2499" t="s">
        <v>120</v>
      </c>
      <c r="K39" s="2500" t="s">
        <v>1067</v>
      </c>
      <c r="L39" s="2502">
        <v>1.87</v>
      </c>
      <c r="M39" s="2502">
        <v>1.87</v>
      </c>
      <c r="N39" s="1923"/>
      <c r="O39" s="2504">
        <v>30</v>
      </c>
      <c r="P39" s="2505" t="s">
        <v>1070</v>
      </c>
      <c r="Q39" s="3167">
        <v>0</v>
      </c>
      <c r="R39" s="3167">
        <v>0</v>
      </c>
      <c r="S39" s="2952">
        <f t="shared" si="1"/>
        <v>0</v>
      </c>
      <c r="T39" s="2542">
        <f t="shared" si="2"/>
        <v>0</v>
      </c>
      <c r="U39" s="2542">
        <f t="shared" si="3"/>
        <v>0</v>
      </c>
      <c r="V39" s="2538">
        <f t="shared" si="4"/>
        <v>0</v>
      </c>
      <c r="W39" s="2539">
        <f t="shared" si="5"/>
        <v>0</v>
      </c>
      <c r="X39" s="2539">
        <f t="shared" si="6"/>
        <v>0</v>
      </c>
      <c r="Y39" s="2539">
        <f t="shared" si="7"/>
        <v>0</v>
      </c>
      <c r="Z39" s="2955">
        <v>0.2</v>
      </c>
      <c r="AA39" s="2512">
        <v>0</v>
      </c>
      <c r="AB39" s="3234">
        <v>0</v>
      </c>
      <c r="AC39" s="2539">
        <f t="shared" si="8"/>
        <v>0</v>
      </c>
      <c r="AD39" s="2513"/>
      <c r="AE39" s="3235">
        <v>0</v>
      </c>
    </row>
    <row r="40" spans="1:31">
      <c r="B40" s="1953"/>
      <c r="C40" s="1910" t="s">
        <v>11</v>
      </c>
      <c r="D40" s="1911">
        <f>SUM(D41:D44)</f>
        <v>45000</v>
      </c>
      <c r="E40" s="1926">
        <f>SUM(E41:E44)</f>
        <v>45000</v>
      </c>
      <c r="F40" s="1924">
        <f>D40+E40</f>
        <v>90000</v>
      </c>
      <c r="G40" s="1960"/>
      <c r="H40" s="3214" t="s">
        <v>993</v>
      </c>
      <c r="I40" s="3216">
        <v>0.91</v>
      </c>
      <c r="J40" s="2499" t="s">
        <v>120</v>
      </c>
      <c r="K40" s="2500" t="s">
        <v>1067</v>
      </c>
      <c r="L40" s="2502">
        <v>1.87</v>
      </c>
      <c r="M40" s="2502">
        <v>1.87</v>
      </c>
      <c r="N40" s="1923"/>
      <c r="O40" s="2504">
        <v>30</v>
      </c>
      <c r="P40" s="2505" t="s">
        <v>1069</v>
      </c>
      <c r="Q40" s="3167">
        <v>20377</v>
      </c>
      <c r="R40" s="3167">
        <v>20377</v>
      </c>
      <c r="S40" s="2952">
        <f t="shared" si="1"/>
        <v>40754</v>
      </c>
      <c r="T40" s="2542">
        <f t="shared" si="2"/>
        <v>18543.07</v>
      </c>
      <c r="U40" s="2542">
        <f t="shared" si="3"/>
        <v>18543.07</v>
      </c>
      <c r="V40" s="2538">
        <f t="shared" si="4"/>
        <v>37086.14</v>
      </c>
      <c r="W40" s="2539">
        <f t="shared" si="5"/>
        <v>38104.990000000005</v>
      </c>
      <c r="X40" s="2539">
        <f t="shared" si="6"/>
        <v>38104.990000000005</v>
      </c>
      <c r="Y40" s="2539">
        <f t="shared" si="7"/>
        <v>76209.98000000001</v>
      </c>
      <c r="Z40" s="2955">
        <v>0.2</v>
      </c>
      <c r="AA40" s="2512">
        <v>15241.996000000001</v>
      </c>
      <c r="AB40" s="3234">
        <v>9143.0868694270721</v>
      </c>
      <c r="AC40" s="2539">
        <f t="shared" si="8"/>
        <v>24385.082869427075</v>
      </c>
      <c r="AD40" s="2513"/>
      <c r="AE40" s="3235">
        <v>1.4172807412021111E-2</v>
      </c>
    </row>
    <row r="41" spans="1:31">
      <c r="C41" s="2197" t="s">
        <v>13</v>
      </c>
      <c r="D41" s="1971">
        <v>45000</v>
      </c>
      <c r="E41" s="1988">
        <v>45000</v>
      </c>
      <c r="F41" s="1891">
        <f t="shared" ref="F41:F50" si="10">SUM(D41:E41)</f>
        <v>90000</v>
      </c>
      <c r="H41" s="3214" t="s">
        <v>994</v>
      </c>
      <c r="I41" s="3216">
        <v>0.5</v>
      </c>
      <c r="J41" s="2499" t="s">
        <v>120</v>
      </c>
      <c r="K41" s="2500" t="s">
        <v>1067</v>
      </c>
      <c r="L41" s="2502">
        <v>2.2599999999999998</v>
      </c>
      <c r="M41" s="2502">
        <v>1.5</v>
      </c>
      <c r="N41" s="1923"/>
      <c r="O41" s="2504">
        <v>25</v>
      </c>
      <c r="P41" s="2505" t="s">
        <v>1069</v>
      </c>
      <c r="Q41" s="3167">
        <v>99722</v>
      </c>
      <c r="R41" s="3167">
        <v>99722</v>
      </c>
      <c r="S41" s="2952">
        <f t="shared" si="1"/>
        <v>199444</v>
      </c>
      <c r="T41" s="2542">
        <f t="shared" si="2"/>
        <v>49861</v>
      </c>
      <c r="U41" s="2542">
        <f t="shared" si="3"/>
        <v>49861</v>
      </c>
      <c r="V41" s="2538">
        <f t="shared" si="4"/>
        <v>99722</v>
      </c>
      <c r="W41" s="2539">
        <f t="shared" si="5"/>
        <v>149583</v>
      </c>
      <c r="X41" s="2539">
        <f t="shared" si="6"/>
        <v>149583</v>
      </c>
      <c r="Y41" s="2539">
        <f t="shared" si="7"/>
        <v>299166</v>
      </c>
      <c r="Z41" s="2955">
        <v>0.2</v>
      </c>
      <c r="AA41" s="2512">
        <v>59833.200000000004</v>
      </c>
      <c r="AB41" s="3234">
        <v>35891.634224008711</v>
      </c>
      <c r="AC41" s="2539">
        <f t="shared" si="8"/>
        <v>95724.834224008722</v>
      </c>
      <c r="AD41" s="2513"/>
      <c r="AE41" s="3235">
        <v>3.0000000000000001E-3</v>
      </c>
    </row>
    <row r="42" spans="1:31">
      <c r="C42" s="1876"/>
      <c r="D42" s="1971"/>
      <c r="E42" s="1988"/>
      <c r="F42" s="1891">
        <f t="shared" si="10"/>
        <v>0</v>
      </c>
      <c r="H42" s="3214" t="s">
        <v>995</v>
      </c>
      <c r="I42" s="2604">
        <v>1.3</v>
      </c>
      <c r="J42" s="2499" t="s">
        <v>120</v>
      </c>
      <c r="K42" s="2500" t="s">
        <v>1067</v>
      </c>
      <c r="L42" s="2502">
        <v>2.2000000000000002</v>
      </c>
      <c r="M42" s="2502">
        <v>2.2000000000000002</v>
      </c>
      <c r="N42" s="1923"/>
      <c r="O42" s="2504">
        <v>30</v>
      </c>
      <c r="P42" s="2505" t="s">
        <v>1070</v>
      </c>
      <c r="Q42" s="3167">
        <v>0</v>
      </c>
      <c r="R42" s="3167">
        <v>0</v>
      </c>
      <c r="S42" s="2952">
        <f t="shared" si="1"/>
        <v>0</v>
      </c>
      <c r="T42" s="2542">
        <f t="shared" si="2"/>
        <v>0</v>
      </c>
      <c r="U42" s="2542">
        <f t="shared" si="3"/>
        <v>0</v>
      </c>
      <c r="V42" s="2538">
        <f t="shared" si="4"/>
        <v>0</v>
      </c>
      <c r="W42" s="2539">
        <f t="shared" si="5"/>
        <v>0</v>
      </c>
      <c r="X42" s="2539">
        <f t="shared" si="6"/>
        <v>0</v>
      </c>
      <c r="Y42" s="2539">
        <f t="shared" si="7"/>
        <v>0</v>
      </c>
      <c r="Z42" s="2955">
        <v>0.2</v>
      </c>
      <c r="AA42" s="2512">
        <v>0</v>
      </c>
      <c r="AB42" s="3234">
        <v>0</v>
      </c>
      <c r="AC42" s="2539">
        <f t="shared" si="8"/>
        <v>0</v>
      </c>
      <c r="AD42" s="2513"/>
      <c r="AE42" s="3235">
        <v>0</v>
      </c>
    </row>
    <row r="43" spans="1:31">
      <c r="C43" s="1876"/>
      <c r="D43" s="1971"/>
      <c r="E43" s="1988"/>
      <c r="F43" s="1891">
        <f t="shared" si="10"/>
        <v>0</v>
      </c>
      <c r="H43" s="3214" t="s">
        <v>996</v>
      </c>
      <c r="I43" s="2604">
        <v>1.47</v>
      </c>
      <c r="J43" s="2499" t="s">
        <v>120</v>
      </c>
      <c r="K43" s="2500" t="s">
        <v>1067</v>
      </c>
      <c r="L43" s="2502">
        <v>2.46</v>
      </c>
      <c r="M43" s="2502">
        <v>2.46</v>
      </c>
      <c r="N43" s="1923"/>
      <c r="O43" s="2504">
        <v>25</v>
      </c>
      <c r="P43" s="2505" t="s">
        <v>1069</v>
      </c>
      <c r="Q43" s="3167">
        <v>35712</v>
      </c>
      <c r="R43" s="3167">
        <v>35712</v>
      </c>
      <c r="S43" s="2952">
        <f t="shared" si="1"/>
        <v>71424</v>
      </c>
      <c r="T43" s="2542">
        <f t="shared" si="2"/>
        <v>52496.639999999999</v>
      </c>
      <c r="U43" s="2542">
        <f t="shared" si="3"/>
        <v>52496.639999999999</v>
      </c>
      <c r="V43" s="2538">
        <f t="shared" si="4"/>
        <v>104993.28</v>
      </c>
      <c r="W43" s="2539">
        <f t="shared" si="5"/>
        <v>87851.520000000004</v>
      </c>
      <c r="X43" s="2539">
        <f t="shared" si="6"/>
        <v>87851.520000000004</v>
      </c>
      <c r="Y43" s="2539">
        <f t="shared" si="7"/>
        <v>175703.04000000001</v>
      </c>
      <c r="Z43" s="2955">
        <v>0.2</v>
      </c>
      <c r="AA43" s="2512">
        <v>35140.608</v>
      </c>
      <c r="AB43" s="3234">
        <v>21079.498484875858</v>
      </c>
      <c r="AC43" s="2539">
        <f t="shared" si="8"/>
        <v>56220.106484875854</v>
      </c>
      <c r="AD43" s="2513"/>
      <c r="AE43" s="3235">
        <v>0</v>
      </c>
    </row>
    <row r="44" spans="1:31">
      <c r="C44" s="1876"/>
      <c r="D44" s="1971"/>
      <c r="E44" s="1988"/>
      <c r="F44" s="1891">
        <f t="shared" si="10"/>
        <v>0</v>
      </c>
      <c r="H44" s="3214" t="s">
        <v>997</v>
      </c>
      <c r="I44" s="3216">
        <v>1.02</v>
      </c>
      <c r="J44" s="2499" t="s">
        <v>120</v>
      </c>
      <c r="K44" s="2500" t="s">
        <v>1067</v>
      </c>
      <c r="L44" s="2502">
        <v>2.2000000000000002</v>
      </c>
      <c r="M44" s="2502">
        <v>2.2000000000000002</v>
      </c>
      <c r="N44" s="1923"/>
      <c r="O44" s="2504">
        <v>30</v>
      </c>
      <c r="P44" s="2505" t="s">
        <v>1069</v>
      </c>
      <c r="Q44" s="3167">
        <v>19185</v>
      </c>
      <c r="R44" s="3167">
        <v>19185</v>
      </c>
      <c r="S44" s="2952">
        <f t="shared" si="1"/>
        <v>38370</v>
      </c>
      <c r="T44" s="2542">
        <f t="shared" si="2"/>
        <v>19568.7</v>
      </c>
      <c r="U44" s="2542">
        <f t="shared" si="3"/>
        <v>19568.7</v>
      </c>
      <c r="V44" s="2538">
        <f t="shared" si="4"/>
        <v>39137.4</v>
      </c>
      <c r="W44" s="2539">
        <f t="shared" si="5"/>
        <v>42207</v>
      </c>
      <c r="X44" s="2539">
        <f t="shared" si="6"/>
        <v>42207</v>
      </c>
      <c r="Y44" s="2539">
        <f t="shared" si="7"/>
        <v>84414</v>
      </c>
      <c r="Z44" s="2955">
        <v>0.2</v>
      </c>
      <c r="AA44" s="2512">
        <v>16882.800000000003</v>
      </c>
      <c r="AB44" s="3234">
        <v>10127.342048847368</v>
      </c>
      <c r="AC44" s="2539">
        <f t="shared" si="8"/>
        <v>27010.14204884737</v>
      </c>
      <c r="AD44" s="2513"/>
      <c r="AE44" s="3235">
        <v>1.5838437054840622E-2</v>
      </c>
    </row>
    <row r="45" spans="1:31">
      <c r="C45" s="1952"/>
      <c r="D45" s="1958"/>
      <c r="E45" s="1955"/>
      <c r="F45" s="1958"/>
      <c r="H45" s="3214" t="s">
        <v>998</v>
      </c>
      <c r="I45" s="3216">
        <v>0.2</v>
      </c>
      <c r="J45" s="2499" t="s">
        <v>120</v>
      </c>
      <c r="K45" s="2500" t="s">
        <v>1067</v>
      </c>
      <c r="L45" s="2502">
        <v>1.4</v>
      </c>
      <c r="M45" s="2502">
        <v>1.25</v>
      </c>
      <c r="N45" s="1923"/>
      <c r="O45" s="2504">
        <v>25</v>
      </c>
      <c r="P45" s="2505" t="s">
        <v>1069</v>
      </c>
      <c r="Q45" s="3167">
        <v>9709</v>
      </c>
      <c r="R45" s="3167">
        <v>9709</v>
      </c>
      <c r="S45" s="2952">
        <f t="shared" si="1"/>
        <v>19418</v>
      </c>
      <c r="T45" s="2542">
        <f t="shared" si="2"/>
        <v>1941.8000000000002</v>
      </c>
      <c r="U45" s="2542">
        <f t="shared" si="3"/>
        <v>1941.8000000000002</v>
      </c>
      <c r="V45" s="2538">
        <f t="shared" si="4"/>
        <v>3883.6000000000004</v>
      </c>
      <c r="W45" s="2539">
        <f t="shared" si="5"/>
        <v>12136.25</v>
      </c>
      <c r="X45" s="2539">
        <f t="shared" si="6"/>
        <v>12136.25</v>
      </c>
      <c r="Y45" s="2539">
        <f t="shared" si="7"/>
        <v>24272.5</v>
      </c>
      <c r="Z45" s="2955">
        <v>0.2</v>
      </c>
      <c r="AA45" s="2512">
        <v>4854.5</v>
      </c>
      <c r="AB45" s="3234">
        <v>2912.0277427991532</v>
      </c>
      <c r="AC45" s="2539">
        <f t="shared" si="8"/>
        <v>7766.5277427991532</v>
      </c>
      <c r="AD45" s="2513"/>
      <c r="AE45" s="3235">
        <v>1E-3</v>
      </c>
    </row>
    <row r="46" spans="1:31">
      <c r="C46" s="2106" t="s">
        <v>505</v>
      </c>
      <c r="D46" s="1911">
        <f>SUM(D47:D50)</f>
        <v>4000</v>
      </c>
      <c r="E46" s="1926">
        <f>SUM(E47:E50)</f>
        <v>4000</v>
      </c>
      <c r="F46" s="1924">
        <f>D46+E46</f>
        <v>8000</v>
      </c>
      <c r="H46" s="3214" t="s">
        <v>999</v>
      </c>
      <c r="I46" s="2604">
        <v>0.66</v>
      </c>
      <c r="J46" s="2499" t="s">
        <v>120</v>
      </c>
      <c r="K46" s="2500" t="s">
        <v>1067</v>
      </c>
      <c r="L46" s="2502">
        <v>1.1299999999999999</v>
      </c>
      <c r="M46" s="2502">
        <v>1.1299999999999999</v>
      </c>
      <c r="N46" s="1923"/>
      <c r="O46" s="2504">
        <v>30</v>
      </c>
      <c r="P46" s="2505" t="s">
        <v>1070</v>
      </c>
      <c r="Q46" s="3167">
        <v>0</v>
      </c>
      <c r="R46" s="3167">
        <v>0</v>
      </c>
      <c r="S46" s="2952">
        <f t="shared" si="1"/>
        <v>0</v>
      </c>
      <c r="T46" s="2542">
        <f t="shared" si="2"/>
        <v>0</v>
      </c>
      <c r="U46" s="2542">
        <f t="shared" si="3"/>
        <v>0</v>
      </c>
      <c r="V46" s="2538">
        <f t="shared" si="4"/>
        <v>0</v>
      </c>
      <c r="W46" s="2539">
        <f t="shared" si="5"/>
        <v>0</v>
      </c>
      <c r="X46" s="2539">
        <f t="shared" si="6"/>
        <v>0</v>
      </c>
      <c r="Y46" s="2539">
        <f t="shared" si="7"/>
        <v>0</v>
      </c>
      <c r="Z46" s="2955">
        <v>0.2</v>
      </c>
      <c r="AA46" s="2512">
        <v>0</v>
      </c>
      <c r="AB46" s="3234">
        <v>0</v>
      </c>
      <c r="AC46" s="2539">
        <f t="shared" si="8"/>
        <v>0</v>
      </c>
      <c r="AD46" s="2513"/>
      <c r="AE46" s="3235">
        <v>0</v>
      </c>
    </row>
    <row r="47" spans="1:31">
      <c r="C47" s="2197"/>
      <c r="D47" s="1971">
        <v>4000</v>
      </c>
      <c r="E47" s="1988">
        <v>4000</v>
      </c>
      <c r="F47" s="1891">
        <f t="shared" si="10"/>
        <v>8000</v>
      </c>
      <c r="H47" s="3225" t="s">
        <v>1000</v>
      </c>
      <c r="I47" s="2958">
        <v>0.61</v>
      </c>
      <c r="J47" s="2959" t="s">
        <v>120</v>
      </c>
      <c r="K47" s="2960" t="s">
        <v>1067</v>
      </c>
      <c r="L47" s="2961">
        <v>1.38</v>
      </c>
      <c r="M47" s="2961">
        <v>1.38</v>
      </c>
      <c r="N47" s="2962"/>
      <c r="O47" s="2963">
        <v>30</v>
      </c>
      <c r="P47" s="2964" t="s">
        <v>1069</v>
      </c>
      <c r="Q47" s="3167">
        <v>1610</v>
      </c>
      <c r="R47" s="3167">
        <v>1610</v>
      </c>
      <c r="S47" s="2952">
        <f t="shared" si="1"/>
        <v>3220</v>
      </c>
      <c r="T47" s="2542">
        <f t="shared" si="2"/>
        <v>982.1</v>
      </c>
      <c r="U47" s="2542">
        <f t="shared" si="3"/>
        <v>982.1</v>
      </c>
      <c r="V47" s="2538">
        <f t="shared" si="4"/>
        <v>1964.2</v>
      </c>
      <c r="W47" s="2539">
        <f t="shared" si="5"/>
        <v>2221.7999999999997</v>
      </c>
      <c r="X47" s="2539">
        <f t="shared" si="6"/>
        <v>2221.7999999999997</v>
      </c>
      <c r="Y47" s="2539">
        <f t="shared" si="7"/>
        <v>4443.5999999999995</v>
      </c>
      <c r="Z47" s="2955">
        <v>0.2</v>
      </c>
      <c r="AA47" s="2512">
        <v>888.71999999999991</v>
      </c>
      <c r="AB47" s="3234">
        <v>533.10892894849383</v>
      </c>
      <c r="AC47" s="2539">
        <f t="shared" si="8"/>
        <v>1421.8289289484937</v>
      </c>
      <c r="AD47" s="2513"/>
      <c r="AE47" s="3235">
        <v>0</v>
      </c>
    </row>
    <row r="48" spans="1:31">
      <c r="C48" s="1876"/>
      <c r="D48" s="1971"/>
      <c r="E48" s="1988"/>
      <c r="F48" s="1891">
        <f t="shared" si="10"/>
        <v>0</v>
      </c>
      <c r="H48" s="3214" t="s">
        <v>1001</v>
      </c>
      <c r="I48" s="2604">
        <v>1.3</v>
      </c>
      <c r="J48" s="2499" t="s">
        <v>120</v>
      </c>
      <c r="K48" s="2500" t="s">
        <v>1067</v>
      </c>
      <c r="L48" s="2502">
        <v>2.75</v>
      </c>
      <c r="M48" s="2502">
        <v>2.75</v>
      </c>
      <c r="N48" s="1923"/>
      <c r="O48" s="2504">
        <v>30</v>
      </c>
      <c r="P48" s="2505" t="s">
        <v>1070</v>
      </c>
      <c r="Q48" s="3167">
        <v>0</v>
      </c>
      <c r="R48" s="3167">
        <v>0</v>
      </c>
      <c r="S48" s="2952">
        <f t="shared" si="1"/>
        <v>0</v>
      </c>
      <c r="T48" s="2542">
        <f t="shared" si="2"/>
        <v>0</v>
      </c>
      <c r="U48" s="2542">
        <f t="shared" si="3"/>
        <v>0</v>
      </c>
      <c r="V48" s="2538">
        <f t="shared" si="4"/>
        <v>0</v>
      </c>
      <c r="W48" s="2539">
        <f t="shared" si="5"/>
        <v>0</v>
      </c>
      <c r="X48" s="2539">
        <f t="shared" si="6"/>
        <v>0</v>
      </c>
      <c r="Y48" s="2539">
        <f t="shared" si="7"/>
        <v>0</v>
      </c>
      <c r="Z48" s="2955">
        <v>0.2</v>
      </c>
      <c r="AA48" s="2512">
        <v>0</v>
      </c>
      <c r="AB48" s="3234">
        <v>0</v>
      </c>
      <c r="AC48" s="2539">
        <f t="shared" si="8"/>
        <v>0</v>
      </c>
      <c r="AD48" s="2513"/>
      <c r="AE48" s="3235">
        <v>0</v>
      </c>
    </row>
    <row r="49" spans="2:31">
      <c r="C49" s="1876"/>
      <c r="D49" s="1971"/>
      <c r="E49" s="1988"/>
      <c r="F49" s="1891">
        <f t="shared" si="10"/>
        <v>0</v>
      </c>
      <c r="H49" s="3214" t="s">
        <v>1002</v>
      </c>
      <c r="I49" s="2604">
        <v>1.68</v>
      </c>
      <c r="J49" s="2499" t="s">
        <v>120</v>
      </c>
      <c r="K49" s="2500" t="s">
        <v>1067</v>
      </c>
      <c r="L49" s="2502">
        <v>2.75</v>
      </c>
      <c r="M49" s="2502">
        <v>2.75</v>
      </c>
      <c r="N49" s="1923"/>
      <c r="O49" s="2504">
        <v>25</v>
      </c>
      <c r="P49" s="2505" t="s">
        <v>1069</v>
      </c>
      <c r="Q49" s="3167">
        <v>1433</v>
      </c>
      <c r="R49" s="3167">
        <v>1433</v>
      </c>
      <c r="S49" s="2952">
        <f t="shared" si="1"/>
        <v>2866</v>
      </c>
      <c r="T49" s="2542">
        <f t="shared" si="2"/>
        <v>2407.44</v>
      </c>
      <c r="U49" s="2542">
        <f t="shared" si="3"/>
        <v>2407.44</v>
      </c>
      <c r="V49" s="2538">
        <f t="shared" si="4"/>
        <v>4814.88</v>
      </c>
      <c r="W49" s="2539">
        <f t="shared" si="5"/>
        <v>3940.75</v>
      </c>
      <c r="X49" s="2539">
        <f t="shared" si="6"/>
        <v>3940.75</v>
      </c>
      <c r="Y49" s="2539">
        <f t="shared" si="7"/>
        <v>7881.5</v>
      </c>
      <c r="Z49" s="2955">
        <v>0.2</v>
      </c>
      <c r="AA49" s="2512">
        <v>1576.3000000000002</v>
      </c>
      <c r="AB49" s="3234">
        <v>945.56171201448251</v>
      </c>
      <c r="AC49" s="2539">
        <f t="shared" si="8"/>
        <v>2521.8617120144827</v>
      </c>
      <c r="AD49" s="2513"/>
      <c r="AE49" s="3235">
        <v>0</v>
      </c>
    </row>
    <row r="50" spans="2:31">
      <c r="C50" s="1876"/>
      <c r="D50" s="1971"/>
      <c r="E50" s="1988"/>
      <c r="F50" s="1891">
        <f t="shared" si="10"/>
        <v>0</v>
      </c>
      <c r="H50" s="3214" t="s">
        <v>1003</v>
      </c>
      <c r="I50" s="3216">
        <v>1.78</v>
      </c>
      <c r="J50" s="2499" t="s">
        <v>120</v>
      </c>
      <c r="K50" s="2500" t="s">
        <v>1067</v>
      </c>
      <c r="L50" s="2502">
        <v>2.75</v>
      </c>
      <c r="M50" s="2502">
        <v>2.75</v>
      </c>
      <c r="N50" s="1923"/>
      <c r="O50" s="2504">
        <v>30</v>
      </c>
      <c r="P50" s="2505" t="s">
        <v>1069</v>
      </c>
      <c r="Q50" s="3167">
        <v>6902</v>
      </c>
      <c r="R50" s="3167">
        <v>6902</v>
      </c>
      <c r="S50" s="2952">
        <f t="shared" si="1"/>
        <v>13804</v>
      </c>
      <c r="T50" s="2542">
        <f t="shared" si="2"/>
        <v>12285.56</v>
      </c>
      <c r="U50" s="2542">
        <f t="shared" si="3"/>
        <v>12285.56</v>
      </c>
      <c r="V50" s="2538">
        <f t="shared" si="4"/>
        <v>24571.119999999999</v>
      </c>
      <c r="W50" s="2539">
        <f t="shared" si="5"/>
        <v>18980.5</v>
      </c>
      <c r="X50" s="2539">
        <f t="shared" si="6"/>
        <v>18980.5</v>
      </c>
      <c r="Y50" s="2539">
        <f t="shared" si="7"/>
        <v>37961</v>
      </c>
      <c r="Z50" s="2955">
        <v>0.2</v>
      </c>
      <c r="AA50" s="2512">
        <v>7592.2000000000007</v>
      </c>
      <c r="AB50" s="3234">
        <v>4554.2686226964115</v>
      </c>
      <c r="AC50" s="2539">
        <f t="shared" si="8"/>
        <v>12146.468622696411</v>
      </c>
      <c r="AD50" s="2513"/>
      <c r="AE50" s="3235">
        <v>2.7619390344973307E-2</v>
      </c>
    </row>
    <row r="51" spans="2:31">
      <c r="C51" s="1952"/>
      <c r="D51" s="1958"/>
      <c r="E51" s="1955"/>
      <c r="F51" s="1958"/>
      <c r="H51" s="3214" t="s">
        <v>1004</v>
      </c>
      <c r="I51" s="2604">
        <v>139</v>
      </c>
      <c r="J51" s="2499" t="s">
        <v>120</v>
      </c>
      <c r="K51" s="2500" t="s">
        <v>909</v>
      </c>
      <c r="L51" s="2502">
        <v>40.5</v>
      </c>
      <c r="M51" s="2502">
        <v>40.5</v>
      </c>
      <c r="N51" s="1923"/>
      <c r="O51" s="2504">
        <v>10</v>
      </c>
      <c r="P51" s="2505" t="s">
        <v>910</v>
      </c>
      <c r="Q51" s="3167">
        <v>0</v>
      </c>
      <c r="R51" s="3167">
        <v>0</v>
      </c>
      <c r="S51" s="2952">
        <f t="shared" si="1"/>
        <v>0</v>
      </c>
      <c r="T51" s="2542">
        <f t="shared" si="2"/>
        <v>0</v>
      </c>
      <c r="U51" s="2542">
        <f t="shared" si="3"/>
        <v>0</v>
      </c>
      <c r="V51" s="2538">
        <f t="shared" si="4"/>
        <v>0</v>
      </c>
      <c r="W51" s="2539">
        <f t="shared" si="5"/>
        <v>0</v>
      </c>
      <c r="X51" s="2539">
        <f t="shared" si="6"/>
        <v>0</v>
      </c>
      <c r="Y51" s="2539">
        <f t="shared" si="7"/>
        <v>0</v>
      </c>
      <c r="Z51" s="2955">
        <v>0.2</v>
      </c>
      <c r="AA51" s="2512">
        <v>0</v>
      </c>
      <c r="AB51" s="3234">
        <v>0</v>
      </c>
      <c r="AC51" s="2539">
        <f t="shared" si="8"/>
        <v>0</v>
      </c>
      <c r="AD51" s="2513"/>
      <c r="AE51" s="3235">
        <v>11.4</v>
      </c>
    </row>
    <row r="52" spans="2:31">
      <c r="B52" s="1953"/>
      <c r="C52" s="1910" t="s">
        <v>12</v>
      </c>
      <c r="D52" s="1911">
        <f>SUM(D53:D56)</f>
        <v>25000</v>
      </c>
      <c r="E52" s="1926">
        <f>SUM(E53:E56)</f>
        <v>6500</v>
      </c>
      <c r="F52" s="1924">
        <f>D52+E52</f>
        <v>31500</v>
      </c>
      <c r="G52" s="1960"/>
      <c r="H52" s="3214" t="s">
        <v>1005</v>
      </c>
      <c r="I52" s="2604">
        <v>139</v>
      </c>
      <c r="J52" s="2499" t="s">
        <v>120</v>
      </c>
      <c r="K52" s="2500" t="s">
        <v>909</v>
      </c>
      <c r="L52" s="2502">
        <v>40.5</v>
      </c>
      <c r="M52" s="2502">
        <v>40.5</v>
      </c>
      <c r="N52" s="1923"/>
      <c r="O52" s="2504">
        <v>10</v>
      </c>
      <c r="P52" s="2505" t="s">
        <v>910</v>
      </c>
      <c r="Q52" s="3167">
        <v>300</v>
      </c>
      <c r="R52" s="3167">
        <v>300</v>
      </c>
      <c r="S52" s="2952">
        <f t="shared" si="1"/>
        <v>600</v>
      </c>
      <c r="T52" s="2542">
        <f t="shared" si="2"/>
        <v>41700</v>
      </c>
      <c r="U52" s="2542">
        <f t="shared" si="3"/>
        <v>41700</v>
      </c>
      <c r="V52" s="2538">
        <f t="shared" si="4"/>
        <v>83400</v>
      </c>
      <c r="W52" s="2539">
        <f t="shared" si="5"/>
        <v>12150</v>
      </c>
      <c r="X52" s="2539">
        <f t="shared" si="6"/>
        <v>12150</v>
      </c>
      <c r="Y52" s="2539">
        <f t="shared" si="7"/>
        <v>24300</v>
      </c>
      <c r="Z52" s="2955">
        <v>0.2</v>
      </c>
      <c r="AA52" s="2512">
        <v>4860</v>
      </c>
      <c r="AB52" s="3234">
        <v>2915.3269811523091</v>
      </c>
      <c r="AC52" s="2539">
        <f t="shared" si="8"/>
        <v>7775.3269811523096</v>
      </c>
      <c r="AD52" s="2513"/>
      <c r="AE52" s="3235">
        <v>11.4</v>
      </c>
    </row>
    <row r="53" spans="2:31">
      <c r="C53" s="2197"/>
      <c r="D53" s="1971">
        <v>25000</v>
      </c>
      <c r="E53" s="1988">
        <v>6500</v>
      </c>
      <c r="F53" s="1891">
        <f t="shared" ref="F53:F68" si="11">SUM(D53:E53)</f>
        <v>31500</v>
      </c>
      <c r="H53" s="3214" t="s">
        <v>1006</v>
      </c>
      <c r="I53" s="2604">
        <v>139</v>
      </c>
      <c r="J53" s="2499" t="s">
        <v>120</v>
      </c>
      <c r="K53" s="2500" t="s">
        <v>909</v>
      </c>
      <c r="L53" s="2502">
        <v>40.5</v>
      </c>
      <c r="M53" s="2502">
        <v>40.5</v>
      </c>
      <c r="N53" s="1923"/>
      <c r="O53" s="2504">
        <v>10</v>
      </c>
      <c r="P53" s="2505" t="s">
        <v>910</v>
      </c>
      <c r="Q53" s="3167">
        <v>200</v>
      </c>
      <c r="R53" s="3167">
        <v>200</v>
      </c>
      <c r="S53" s="2952">
        <f t="shared" si="1"/>
        <v>400</v>
      </c>
      <c r="T53" s="2542">
        <f t="shared" si="2"/>
        <v>27800</v>
      </c>
      <c r="U53" s="2542">
        <f t="shared" si="3"/>
        <v>27800</v>
      </c>
      <c r="V53" s="2538">
        <f t="shared" si="4"/>
        <v>55600</v>
      </c>
      <c r="W53" s="2539">
        <f t="shared" si="5"/>
        <v>8100</v>
      </c>
      <c r="X53" s="2539">
        <f t="shared" si="6"/>
        <v>8100</v>
      </c>
      <c r="Y53" s="2539">
        <f t="shared" si="7"/>
        <v>16200</v>
      </c>
      <c r="Z53" s="2955">
        <v>0.2</v>
      </c>
      <c r="AA53" s="2512">
        <v>3240</v>
      </c>
      <c r="AB53" s="3234">
        <v>1943.5513207682061</v>
      </c>
      <c r="AC53" s="2539">
        <f t="shared" si="8"/>
        <v>5183.5513207682061</v>
      </c>
      <c r="AD53" s="2513"/>
      <c r="AE53" s="3235">
        <v>11.4</v>
      </c>
    </row>
    <row r="54" spans="2:31">
      <c r="C54" s="1876"/>
      <c r="D54" s="1971"/>
      <c r="E54" s="1988"/>
      <c r="F54" s="1891">
        <f t="shared" si="11"/>
        <v>0</v>
      </c>
      <c r="H54" s="3214" t="s">
        <v>1007</v>
      </c>
      <c r="I54" s="3226">
        <v>973</v>
      </c>
      <c r="J54" s="2499" t="s">
        <v>120</v>
      </c>
      <c r="K54" s="2500" t="s">
        <v>909</v>
      </c>
      <c r="L54" s="2502">
        <v>500</v>
      </c>
      <c r="M54" s="2502">
        <v>500</v>
      </c>
      <c r="N54" s="1923"/>
      <c r="O54" s="2504">
        <v>20</v>
      </c>
      <c r="P54" s="2505" t="s">
        <v>1069</v>
      </c>
      <c r="Q54" s="3167">
        <v>104</v>
      </c>
      <c r="R54" s="3167">
        <v>104</v>
      </c>
      <c r="S54" s="2952">
        <f t="shared" si="1"/>
        <v>208</v>
      </c>
      <c r="T54" s="2542">
        <f t="shared" si="2"/>
        <v>101192</v>
      </c>
      <c r="U54" s="2542">
        <f t="shared" si="3"/>
        <v>101192</v>
      </c>
      <c r="V54" s="2538">
        <f t="shared" si="4"/>
        <v>202384</v>
      </c>
      <c r="W54" s="2539">
        <f t="shared" si="5"/>
        <v>52000</v>
      </c>
      <c r="X54" s="2539">
        <f t="shared" si="6"/>
        <v>52000</v>
      </c>
      <c r="Y54" s="2539">
        <f t="shared" si="7"/>
        <v>104000</v>
      </c>
      <c r="Z54" s="2955">
        <v>0.2</v>
      </c>
      <c r="AA54" s="2512">
        <v>20800</v>
      </c>
      <c r="AB54" s="3234">
        <v>12477.119590116878</v>
      </c>
      <c r="AC54" s="2539">
        <f t="shared" si="8"/>
        <v>33277.119590116876</v>
      </c>
      <c r="AD54" s="2513"/>
      <c r="AE54" s="3235">
        <v>0</v>
      </c>
    </row>
    <row r="55" spans="2:31">
      <c r="C55" s="1876"/>
      <c r="D55" s="1971"/>
      <c r="E55" s="1988"/>
      <c r="F55" s="1891">
        <f t="shared" si="11"/>
        <v>0</v>
      </c>
      <c r="H55" s="3214" t="s">
        <v>1008</v>
      </c>
      <c r="I55" s="3215">
        <v>735</v>
      </c>
      <c r="J55" s="2499" t="s">
        <v>120</v>
      </c>
      <c r="K55" s="2500" t="s">
        <v>909</v>
      </c>
      <c r="L55" s="2502">
        <v>500</v>
      </c>
      <c r="M55" s="2502">
        <v>500</v>
      </c>
      <c r="N55" s="1923"/>
      <c r="O55" s="2504">
        <v>20</v>
      </c>
      <c r="P55" s="2505" t="s">
        <v>1069</v>
      </c>
      <c r="Q55" s="3167">
        <v>20</v>
      </c>
      <c r="R55" s="3167">
        <v>20</v>
      </c>
      <c r="S55" s="2952">
        <f t="shared" si="1"/>
        <v>40</v>
      </c>
      <c r="T55" s="2542">
        <f t="shared" si="2"/>
        <v>14700</v>
      </c>
      <c r="U55" s="2542">
        <f t="shared" si="3"/>
        <v>14700</v>
      </c>
      <c r="V55" s="2538">
        <f t="shared" si="4"/>
        <v>29400</v>
      </c>
      <c r="W55" s="2539">
        <f t="shared" si="5"/>
        <v>10000</v>
      </c>
      <c r="X55" s="2539">
        <f t="shared" si="6"/>
        <v>10000</v>
      </c>
      <c r="Y55" s="2539">
        <f t="shared" si="7"/>
        <v>20000</v>
      </c>
      <c r="Z55" s="2955">
        <v>0.2</v>
      </c>
      <c r="AA55" s="2512">
        <v>4000</v>
      </c>
      <c r="AB55" s="3234">
        <v>2399.4460750224766</v>
      </c>
      <c r="AC55" s="2539">
        <f t="shared" si="8"/>
        <v>6399.4460750224771</v>
      </c>
      <c r="AD55" s="2513"/>
      <c r="AE55" s="3235">
        <v>11</v>
      </c>
    </row>
    <row r="56" spans="2:31">
      <c r="C56" s="1876"/>
      <c r="D56" s="1971"/>
      <c r="E56" s="1988"/>
      <c r="F56" s="1891">
        <f t="shared" si="11"/>
        <v>0</v>
      </c>
      <c r="H56" s="3214" t="s">
        <v>1009</v>
      </c>
      <c r="I56" s="3216">
        <v>0.2</v>
      </c>
      <c r="J56" s="2499" t="s">
        <v>120</v>
      </c>
      <c r="K56" s="2500" t="s">
        <v>1067</v>
      </c>
      <c r="L56" s="2502">
        <v>1</v>
      </c>
      <c r="M56" s="2502">
        <v>1</v>
      </c>
      <c r="N56" s="1923"/>
      <c r="O56" s="2504">
        <v>25</v>
      </c>
      <c r="P56" s="2505" t="s">
        <v>1069</v>
      </c>
      <c r="Q56" s="3167">
        <v>128601</v>
      </c>
      <c r="R56" s="3167">
        <v>128601</v>
      </c>
      <c r="S56" s="2952">
        <f t="shared" si="1"/>
        <v>257202</v>
      </c>
      <c r="T56" s="2542">
        <f t="shared" si="2"/>
        <v>25720.2</v>
      </c>
      <c r="U56" s="2542">
        <f t="shared" si="3"/>
        <v>25720.2</v>
      </c>
      <c r="V56" s="2538">
        <f t="shared" si="4"/>
        <v>51440.4</v>
      </c>
      <c r="W56" s="2539">
        <f t="shared" si="5"/>
        <v>128601</v>
      </c>
      <c r="X56" s="2539">
        <f t="shared" si="6"/>
        <v>128601</v>
      </c>
      <c r="Y56" s="2539">
        <f t="shared" si="7"/>
        <v>257202</v>
      </c>
      <c r="Z56" s="2955">
        <v>0.2</v>
      </c>
      <c r="AA56" s="2512">
        <v>51440.4</v>
      </c>
      <c r="AB56" s="3234">
        <v>30857.116469396551</v>
      </c>
      <c r="AC56" s="2539">
        <f t="shared" si="8"/>
        <v>82297.516469396549</v>
      </c>
      <c r="AD56" s="2513"/>
      <c r="AE56" s="3235">
        <v>2E-3</v>
      </c>
    </row>
    <row r="57" spans="2:31">
      <c r="B57" s="1607"/>
      <c r="C57" s="1952"/>
      <c r="D57" s="1958"/>
      <c r="E57" s="1955"/>
      <c r="F57" s="1958"/>
      <c r="G57" s="1953"/>
      <c r="H57" s="3214" t="s">
        <v>1010</v>
      </c>
      <c r="I57" s="3216">
        <v>0.48</v>
      </c>
      <c r="J57" s="2499" t="s">
        <v>120</v>
      </c>
      <c r="K57" s="2500" t="s">
        <v>1067</v>
      </c>
      <c r="L57" s="2502">
        <v>1</v>
      </c>
      <c r="M57" s="2502">
        <v>1</v>
      </c>
      <c r="N57" s="1923"/>
      <c r="O57" s="2504">
        <v>15</v>
      </c>
      <c r="P57" s="2505" t="s">
        <v>1069</v>
      </c>
      <c r="Q57" s="3167">
        <v>72849</v>
      </c>
      <c r="R57" s="3167">
        <v>72849</v>
      </c>
      <c r="S57" s="2952">
        <f t="shared" si="1"/>
        <v>145698</v>
      </c>
      <c r="T57" s="2542">
        <f t="shared" si="2"/>
        <v>34967.519999999997</v>
      </c>
      <c r="U57" s="2542">
        <f t="shared" si="3"/>
        <v>34967.519999999997</v>
      </c>
      <c r="V57" s="2538">
        <f t="shared" si="4"/>
        <v>69935.039999999994</v>
      </c>
      <c r="W57" s="2539">
        <f t="shared" si="5"/>
        <v>72849</v>
      </c>
      <c r="X57" s="2539">
        <f t="shared" si="6"/>
        <v>72849</v>
      </c>
      <c r="Y57" s="2539">
        <f t="shared" si="7"/>
        <v>145698</v>
      </c>
      <c r="Z57" s="2955">
        <v>0.2</v>
      </c>
      <c r="AA57" s="2512">
        <v>29139.600000000002</v>
      </c>
      <c r="AB57" s="3234">
        <v>17479.724711931241</v>
      </c>
      <c r="AC57" s="2539">
        <f t="shared" si="8"/>
        <v>46619.324711931244</v>
      </c>
      <c r="AD57" s="2513"/>
      <c r="AE57" s="3235">
        <v>0.01</v>
      </c>
    </row>
    <row r="58" spans="2:31">
      <c r="C58" s="1910" t="s">
        <v>13</v>
      </c>
      <c r="D58" s="1911">
        <f>SUM(D59:D62)</f>
        <v>1000</v>
      </c>
      <c r="E58" s="1926">
        <f>SUM(E59:E62)</f>
        <v>1000</v>
      </c>
      <c r="F58" s="1924">
        <f>D58+E58</f>
        <v>2000</v>
      </c>
      <c r="H58" s="3214" t="s">
        <v>1011</v>
      </c>
      <c r="I58" s="2604">
        <v>2.1800000000000002</v>
      </c>
      <c r="J58" s="2499" t="s">
        <v>120</v>
      </c>
      <c r="K58" s="2500" t="s">
        <v>1067</v>
      </c>
      <c r="L58" s="2502">
        <v>2.1800000000000002</v>
      </c>
      <c r="M58" s="2502">
        <v>2.1800000000000002</v>
      </c>
      <c r="N58" s="1923"/>
      <c r="O58" s="2504">
        <v>30</v>
      </c>
      <c r="P58" s="2505" t="s">
        <v>1070</v>
      </c>
      <c r="Q58" s="3167">
        <v>100000</v>
      </c>
      <c r="R58" s="3167">
        <v>100000</v>
      </c>
      <c r="S58" s="2952">
        <f t="shared" si="1"/>
        <v>200000</v>
      </c>
      <c r="T58" s="2542">
        <f t="shared" si="2"/>
        <v>218000.00000000003</v>
      </c>
      <c r="U58" s="2542">
        <f t="shared" si="3"/>
        <v>218000.00000000003</v>
      </c>
      <c r="V58" s="2538">
        <f t="shared" si="4"/>
        <v>436000.00000000006</v>
      </c>
      <c r="W58" s="2539">
        <f t="shared" si="5"/>
        <v>218000.00000000003</v>
      </c>
      <c r="X58" s="2539">
        <f t="shared" si="6"/>
        <v>218000.00000000003</v>
      </c>
      <c r="Y58" s="2539">
        <f t="shared" si="7"/>
        <v>436000.00000000006</v>
      </c>
      <c r="Z58" s="2955">
        <v>0.2</v>
      </c>
      <c r="AA58" s="2512">
        <v>87200</v>
      </c>
      <c r="AB58" s="3234">
        <v>52307.924435489993</v>
      </c>
      <c r="AC58" s="2539">
        <f t="shared" si="8"/>
        <v>139507.92443548999</v>
      </c>
      <c r="AD58" s="2513"/>
      <c r="AE58" s="3235">
        <v>0</v>
      </c>
    </row>
    <row r="59" spans="2:31">
      <c r="C59" s="1876"/>
      <c r="D59" s="1971">
        <v>1000</v>
      </c>
      <c r="E59" s="1972">
        <v>1000</v>
      </c>
      <c r="F59" s="1891">
        <f t="shared" si="11"/>
        <v>2000</v>
      </c>
      <c r="H59" s="3214" t="s">
        <v>1012</v>
      </c>
      <c r="I59" s="3215">
        <v>143</v>
      </c>
      <c r="J59" s="2499" t="s">
        <v>120</v>
      </c>
      <c r="K59" s="2500" t="s">
        <v>909</v>
      </c>
      <c r="L59" s="2502">
        <v>250</v>
      </c>
      <c r="M59" s="2502">
        <v>250</v>
      </c>
      <c r="N59" s="1923"/>
      <c r="O59" s="2504">
        <v>15</v>
      </c>
      <c r="P59" s="2505" t="s">
        <v>1070</v>
      </c>
      <c r="Q59" s="3167">
        <v>25</v>
      </c>
      <c r="R59" s="3167">
        <v>25</v>
      </c>
      <c r="S59" s="2952">
        <f t="shared" si="1"/>
        <v>50</v>
      </c>
      <c r="T59" s="2542">
        <f t="shared" si="2"/>
        <v>3575</v>
      </c>
      <c r="U59" s="2542">
        <f t="shared" si="3"/>
        <v>3575</v>
      </c>
      <c r="V59" s="2538">
        <f t="shared" si="4"/>
        <v>7150</v>
      </c>
      <c r="W59" s="2539">
        <f t="shared" si="5"/>
        <v>6250</v>
      </c>
      <c r="X59" s="2539">
        <f t="shared" si="6"/>
        <v>6250</v>
      </c>
      <c r="Y59" s="2539">
        <f t="shared" si="7"/>
        <v>12500</v>
      </c>
      <c r="Z59" s="2955">
        <v>0.2</v>
      </c>
      <c r="AA59" s="2512">
        <v>2500</v>
      </c>
      <c r="AB59" s="3234">
        <v>1499.653796889048</v>
      </c>
      <c r="AC59" s="2539">
        <f t="shared" si="8"/>
        <v>3999.653796889048</v>
      </c>
      <c r="AD59" s="2513"/>
      <c r="AE59" s="3235">
        <v>0</v>
      </c>
    </row>
    <row r="60" spans="2:31">
      <c r="C60" s="1876"/>
      <c r="D60" s="1971"/>
      <c r="E60" s="1972"/>
      <c r="F60" s="1891">
        <f t="shared" si="11"/>
        <v>0</v>
      </c>
      <c r="G60" s="1875"/>
      <c r="H60" s="3214" t="s">
        <v>1013</v>
      </c>
      <c r="I60" s="3215">
        <v>143</v>
      </c>
      <c r="J60" s="2499" t="s">
        <v>120</v>
      </c>
      <c r="K60" s="2500" t="s">
        <v>909</v>
      </c>
      <c r="L60" s="2502">
        <v>50</v>
      </c>
      <c r="M60" s="2502">
        <v>50</v>
      </c>
      <c r="N60" s="1923"/>
      <c r="O60" s="2504">
        <v>15</v>
      </c>
      <c r="P60" s="2505" t="s">
        <v>1070</v>
      </c>
      <c r="Q60" s="3167">
        <v>77</v>
      </c>
      <c r="R60" s="3167">
        <v>77</v>
      </c>
      <c r="S60" s="2952">
        <f t="shared" si="1"/>
        <v>154</v>
      </c>
      <c r="T60" s="2542">
        <f t="shared" si="2"/>
        <v>11011</v>
      </c>
      <c r="U60" s="2542">
        <f t="shared" si="3"/>
        <v>11011</v>
      </c>
      <c r="V60" s="2538">
        <f t="shared" si="4"/>
        <v>22022</v>
      </c>
      <c r="W60" s="2539">
        <f t="shared" si="5"/>
        <v>3850</v>
      </c>
      <c r="X60" s="2539">
        <f t="shared" si="6"/>
        <v>3850</v>
      </c>
      <c r="Y60" s="2539">
        <f t="shared" si="7"/>
        <v>7700</v>
      </c>
      <c r="Z60" s="2955">
        <v>0.2</v>
      </c>
      <c r="AA60" s="2512">
        <v>1540</v>
      </c>
      <c r="AB60" s="3234">
        <v>923.78673888365358</v>
      </c>
      <c r="AC60" s="2539">
        <f t="shared" si="8"/>
        <v>2463.7867388836535</v>
      </c>
      <c r="AD60" s="2513"/>
      <c r="AE60" s="3235">
        <v>0</v>
      </c>
    </row>
    <row r="61" spans="2:31">
      <c r="C61" s="1876"/>
      <c r="D61" s="1971"/>
      <c r="E61" s="1972"/>
      <c r="F61" s="1891">
        <f t="shared" si="11"/>
        <v>0</v>
      </c>
      <c r="G61" s="62"/>
      <c r="H61" s="3214" t="s">
        <v>1014</v>
      </c>
      <c r="I61" s="3215">
        <v>143</v>
      </c>
      <c r="J61" s="2499" t="s">
        <v>120</v>
      </c>
      <c r="K61" s="2500" t="s">
        <v>909</v>
      </c>
      <c r="L61" s="2502">
        <v>50</v>
      </c>
      <c r="M61" s="2502">
        <v>50</v>
      </c>
      <c r="N61" s="1923"/>
      <c r="O61" s="2504">
        <v>15</v>
      </c>
      <c r="P61" s="2505" t="s">
        <v>1069</v>
      </c>
      <c r="Q61" s="3167">
        <v>73</v>
      </c>
      <c r="R61" s="3167">
        <v>73</v>
      </c>
      <c r="S61" s="2952">
        <f t="shared" si="1"/>
        <v>146</v>
      </c>
      <c r="T61" s="2542">
        <f t="shared" si="2"/>
        <v>10439</v>
      </c>
      <c r="U61" s="2542">
        <f t="shared" si="3"/>
        <v>10439</v>
      </c>
      <c r="V61" s="2538">
        <f t="shared" si="4"/>
        <v>20878</v>
      </c>
      <c r="W61" s="2539">
        <f t="shared" si="5"/>
        <v>3650</v>
      </c>
      <c r="X61" s="2539">
        <f t="shared" si="6"/>
        <v>3650</v>
      </c>
      <c r="Y61" s="2539">
        <f t="shared" si="7"/>
        <v>7300</v>
      </c>
      <c r="Z61" s="2955">
        <v>0.2</v>
      </c>
      <c r="AA61" s="2512">
        <v>1460.0000000000002</v>
      </c>
      <c r="AB61" s="3234">
        <v>875.79781738320401</v>
      </c>
      <c r="AC61" s="2539">
        <f t="shared" si="8"/>
        <v>2335.7978173832043</v>
      </c>
      <c r="AD61" s="2513"/>
      <c r="AE61" s="3235">
        <v>0</v>
      </c>
    </row>
    <row r="62" spans="2:31">
      <c r="C62" s="1876"/>
      <c r="D62" s="1971"/>
      <c r="E62" s="1972"/>
      <c r="F62" s="1891">
        <f t="shared" si="11"/>
        <v>0</v>
      </c>
      <c r="G62" s="1490"/>
      <c r="H62" s="3214" t="s">
        <v>1015</v>
      </c>
      <c r="I62" s="3215">
        <v>143</v>
      </c>
      <c r="J62" s="2499" t="s">
        <v>120</v>
      </c>
      <c r="K62" s="2500" t="s">
        <v>909</v>
      </c>
      <c r="L62" s="2502">
        <v>50</v>
      </c>
      <c r="M62" s="2502">
        <v>50</v>
      </c>
      <c r="N62" s="1923"/>
      <c r="O62" s="2504">
        <v>15</v>
      </c>
      <c r="P62" s="2505" t="s">
        <v>1069</v>
      </c>
      <c r="Q62" s="3167">
        <v>6</v>
      </c>
      <c r="R62" s="3167">
        <v>6</v>
      </c>
      <c r="S62" s="2952">
        <f t="shared" si="1"/>
        <v>12</v>
      </c>
      <c r="T62" s="2542">
        <f t="shared" si="2"/>
        <v>858</v>
      </c>
      <c r="U62" s="2542">
        <f t="shared" si="3"/>
        <v>858</v>
      </c>
      <c r="V62" s="2538">
        <f t="shared" si="4"/>
        <v>1716</v>
      </c>
      <c r="W62" s="2539">
        <f t="shared" si="5"/>
        <v>300</v>
      </c>
      <c r="X62" s="2539">
        <f t="shared" si="6"/>
        <v>300</v>
      </c>
      <c r="Y62" s="2539">
        <f t="shared" si="7"/>
        <v>600</v>
      </c>
      <c r="Z62" s="2955">
        <v>0.2</v>
      </c>
      <c r="AA62" s="2512">
        <v>120.00000000000001</v>
      </c>
      <c r="AB62" s="3234">
        <v>71.983382250674296</v>
      </c>
      <c r="AC62" s="2539">
        <f t="shared" si="8"/>
        <v>191.98338225067431</v>
      </c>
      <c r="AD62" s="2513"/>
      <c r="AE62" s="3235">
        <v>0</v>
      </c>
    </row>
    <row r="63" spans="2:31">
      <c r="C63" s="1952"/>
      <c r="D63" s="1958"/>
      <c r="E63" s="1955"/>
      <c r="F63" s="1958"/>
      <c r="G63" s="1491"/>
      <c r="H63" s="3214" t="s">
        <v>1016</v>
      </c>
      <c r="I63" s="2604">
        <v>20</v>
      </c>
      <c r="J63" s="2499" t="s">
        <v>120</v>
      </c>
      <c r="K63" s="2500" t="s">
        <v>1068</v>
      </c>
      <c r="L63" s="2502">
        <v>20</v>
      </c>
      <c r="M63" s="2502">
        <v>20</v>
      </c>
      <c r="N63" s="1923"/>
      <c r="O63" s="2504">
        <v>15</v>
      </c>
      <c r="P63" s="2505" t="s">
        <v>910</v>
      </c>
      <c r="Q63" s="3167">
        <v>6</v>
      </c>
      <c r="R63" s="3167">
        <v>6</v>
      </c>
      <c r="S63" s="2952">
        <f t="shared" si="1"/>
        <v>12</v>
      </c>
      <c r="T63" s="2542">
        <f t="shared" si="2"/>
        <v>120</v>
      </c>
      <c r="U63" s="2542">
        <f t="shared" si="3"/>
        <v>120</v>
      </c>
      <c r="V63" s="2538">
        <f t="shared" si="4"/>
        <v>240</v>
      </c>
      <c r="W63" s="2539">
        <f t="shared" si="5"/>
        <v>120</v>
      </c>
      <c r="X63" s="2539">
        <f t="shared" si="6"/>
        <v>120</v>
      </c>
      <c r="Y63" s="2539">
        <f t="shared" si="7"/>
        <v>240</v>
      </c>
      <c r="Z63" s="2955">
        <v>0.2</v>
      </c>
      <c r="AA63" s="2512">
        <v>48.000000000000007</v>
      </c>
      <c r="AB63" s="3234">
        <v>28.793352900269721</v>
      </c>
      <c r="AC63" s="2539">
        <f t="shared" si="8"/>
        <v>76.793352900269724</v>
      </c>
      <c r="AD63" s="2513"/>
      <c r="AE63" s="3235">
        <v>0</v>
      </c>
    </row>
    <row r="64" spans="2:31">
      <c r="B64" s="1953"/>
      <c r="C64" s="1910" t="s">
        <v>14</v>
      </c>
      <c r="D64" s="1911">
        <f>SUM(D65:D68)</f>
        <v>1000</v>
      </c>
      <c r="E64" s="1926">
        <f>SUM(E65:E68)</f>
        <v>1000</v>
      </c>
      <c r="F64" s="1924">
        <f>D64+E64</f>
        <v>2000</v>
      </c>
      <c r="G64" s="1491"/>
      <c r="H64" s="3214" t="s">
        <v>1017</v>
      </c>
      <c r="I64" s="2604">
        <v>20</v>
      </c>
      <c r="J64" s="2499" t="s">
        <v>120</v>
      </c>
      <c r="K64" s="2500" t="s">
        <v>1068</v>
      </c>
      <c r="L64" s="2502">
        <v>20</v>
      </c>
      <c r="M64" s="2502">
        <v>20</v>
      </c>
      <c r="N64" s="1923"/>
      <c r="O64" s="2504">
        <v>15</v>
      </c>
      <c r="P64" s="2505" t="s">
        <v>910</v>
      </c>
      <c r="Q64" s="3167">
        <v>73</v>
      </c>
      <c r="R64" s="3167">
        <v>73</v>
      </c>
      <c r="S64" s="2952">
        <f t="shared" si="1"/>
        <v>146</v>
      </c>
      <c r="T64" s="2542">
        <f t="shared" si="2"/>
        <v>1460</v>
      </c>
      <c r="U64" s="2542">
        <f t="shared" si="3"/>
        <v>1460</v>
      </c>
      <c r="V64" s="2538">
        <f t="shared" si="4"/>
        <v>2920</v>
      </c>
      <c r="W64" s="2539">
        <f t="shared" si="5"/>
        <v>1460</v>
      </c>
      <c r="X64" s="2539">
        <f t="shared" si="6"/>
        <v>1460</v>
      </c>
      <c r="Y64" s="2539">
        <f t="shared" si="7"/>
        <v>2920</v>
      </c>
      <c r="Z64" s="2955">
        <v>0.2</v>
      </c>
      <c r="AA64" s="2512">
        <v>584</v>
      </c>
      <c r="AB64" s="3234">
        <v>350.31912695328162</v>
      </c>
      <c r="AC64" s="2539">
        <f t="shared" si="8"/>
        <v>934.31912695328162</v>
      </c>
      <c r="AD64" s="2513"/>
      <c r="AE64" s="3235">
        <v>0</v>
      </c>
    </row>
    <row r="65" spans="1:31">
      <c r="B65" s="1953"/>
      <c r="C65" s="1876"/>
      <c r="D65" s="1971">
        <v>1000</v>
      </c>
      <c r="E65" s="1988">
        <v>1000</v>
      </c>
      <c r="F65" s="1891">
        <f t="shared" si="11"/>
        <v>2000</v>
      </c>
      <c r="G65" s="1878"/>
      <c r="H65" s="3214" t="s">
        <v>1018</v>
      </c>
      <c r="I65" s="2604">
        <v>20</v>
      </c>
      <c r="J65" s="2499" t="s">
        <v>120</v>
      </c>
      <c r="K65" s="2500" t="s">
        <v>1068</v>
      </c>
      <c r="L65" s="2502">
        <v>20</v>
      </c>
      <c r="M65" s="2502">
        <v>20</v>
      </c>
      <c r="N65" s="1923"/>
      <c r="O65" s="2504">
        <v>15</v>
      </c>
      <c r="P65" s="2505" t="s">
        <v>910</v>
      </c>
      <c r="Q65" s="3167">
        <v>33</v>
      </c>
      <c r="R65" s="3167">
        <v>33</v>
      </c>
      <c r="S65" s="2952">
        <f t="shared" si="1"/>
        <v>66</v>
      </c>
      <c r="T65" s="2542">
        <f t="shared" si="2"/>
        <v>660</v>
      </c>
      <c r="U65" s="2542">
        <f t="shared" si="3"/>
        <v>660</v>
      </c>
      <c r="V65" s="2538">
        <f t="shared" si="4"/>
        <v>1320</v>
      </c>
      <c r="W65" s="2539">
        <f t="shared" si="5"/>
        <v>660</v>
      </c>
      <c r="X65" s="2539">
        <f t="shared" si="6"/>
        <v>660</v>
      </c>
      <c r="Y65" s="2539">
        <f t="shared" si="7"/>
        <v>1320</v>
      </c>
      <c r="Z65" s="2955">
        <v>0.2</v>
      </c>
      <c r="AA65" s="2512">
        <v>264</v>
      </c>
      <c r="AB65" s="3234">
        <v>158.36344095148345</v>
      </c>
      <c r="AC65" s="2539">
        <f t="shared" si="8"/>
        <v>422.36344095148343</v>
      </c>
      <c r="AD65" s="2513"/>
      <c r="AE65" s="3235">
        <v>0</v>
      </c>
    </row>
    <row r="66" spans="1:31">
      <c r="B66" s="1607"/>
      <c r="C66" s="1876"/>
      <c r="D66" s="1971"/>
      <c r="E66" s="1988"/>
      <c r="F66" s="1891">
        <f t="shared" si="11"/>
        <v>0</v>
      </c>
      <c r="G66" s="1493"/>
      <c r="H66" s="3214" t="s">
        <v>1019</v>
      </c>
      <c r="I66" s="2604">
        <v>13.87</v>
      </c>
      <c r="J66" s="2499" t="s">
        <v>120</v>
      </c>
      <c r="K66" s="2500" t="s">
        <v>1067</v>
      </c>
      <c r="L66" s="2502">
        <v>35</v>
      </c>
      <c r="M66" s="2502">
        <v>8</v>
      </c>
      <c r="O66" s="2504">
        <v>30</v>
      </c>
      <c r="P66" s="2505" t="s">
        <v>1070</v>
      </c>
      <c r="Q66" s="3167">
        <v>0</v>
      </c>
      <c r="R66" s="3167">
        <v>0</v>
      </c>
      <c r="S66" s="2952">
        <f t="shared" si="1"/>
        <v>0</v>
      </c>
      <c r="T66" s="2542">
        <f t="shared" si="2"/>
        <v>0</v>
      </c>
      <c r="U66" s="2542">
        <f t="shared" si="3"/>
        <v>0</v>
      </c>
      <c r="V66" s="2538">
        <f t="shared" si="4"/>
        <v>0</v>
      </c>
      <c r="W66" s="2539">
        <f t="shared" si="5"/>
        <v>0</v>
      </c>
      <c r="X66" s="2539">
        <f t="shared" si="6"/>
        <v>0</v>
      </c>
      <c r="Y66" s="2539">
        <f t="shared" si="7"/>
        <v>0</v>
      </c>
      <c r="Z66" s="2955">
        <v>0.2</v>
      </c>
      <c r="AA66" s="2512">
        <v>0</v>
      </c>
      <c r="AB66" s="3234">
        <v>0</v>
      </c>
      <c r="AC66" s="2539">
        <f t="shared" si="8"/>
        <v>0</v>
      </c>
      <c r="AD66" s="2513"/>
      <c r="AE66" s="3235">
        <v>0</v>
      </c>
    </row>
    <row r="67" spans="1:31" ht="25.5">
      <c r="A67" s="1853" t="s">
        <v>175</v>
      </c>
      <c r="B67" s="1953"/>
      <c r="C67" s="1876"/>
      <c r="D67" s="1971"/>
      <c r="E67" s="1988"/>
      <c r="F67" s="1890">
        <f t="shared" si="11"/>
        <v>0</v>
      </c>
      <c r="G67" s="1491"/>
      <c r="H67" s="3214" t="s">
        <v>1020</v>
      </c>
      <c r="I67" s="3216">
        <v>6.13</v>
      </c>
      <c r="J67" s="2499" t="s">
        <v>120</v>
      </c>
      <c r="K67" s="2500" t="s">
        <v>1067</v>
      </c>
      <c r="L67" s="2502">
        <v>35</v>
      </c>
      <c r="M67" s="2502">
        <v>8</v>
      </c>
      <c r="O67" s="2504">
        <v>30</v>
      </c>
      <c r="P67" s="2505" t="s">
        <v>1069</v>
      </c>
      <c r="Q67" s="3167">
        <v>0</v>
      </c>
      <c r="R67" s="3167">
        <v>0</v>
      </c>
      <c r="S67" s="2952">
        <f t="shared" si="1"/>
        <v>0</v>
      </c>
      <c r="T67" s="2542">
        <f t="shared" si="2"/>
        <v>0</v>
      </c>
      <c r="U67" s="2542">
        <f t="shared" si="3"/>
        <v>0</v>
      </c>
      <c r="V67" s="2538">
        <f t="shared" si="4"/>
        <v>0</v>
      </c>
      <c r="W67" s="2539">
        <f t="shared" si="5"/>
        <v>0</v>
      </c>
      <c r="X67" s="2539">
        <f t="shared" si="6"/>
        <v>0</v>
      </c>
      <c r="Y67" s="2539">
        <f t="shared" si="7"/>
        <v>0</v>
      </c>
      <c r="Z67" s="2955">
        <v>0.2</v>
      </c>
      <c r="AA67" s="2512">
        <v>0</v>
      </c>
      <c r="AB67" s="3234">
        <v>0</v>
      </c>
      <c r="AC67" s="2539">
        <f t="shared" si="8"/>
        <v>0</v>
      </c>
      <c r="AD67" s="2513"/>
      <c r="AE67" s="3235">
        <v>8.7572239977268568E-2</v>
      </c>
    </row>
    <row r="68" spans="1:31">
      <c r="A68" s="1808" t="s">
        <v>297</v>
      </c>
      <c r="C68" s="1876"/>
      <c r="D68" s="1971"/>
      <c r="E68" s="1988"/>
      <c r="F68" s="1891">
        <f t="shared" si="11"/>
        <v>0</v>
      </c>
      <c r="G68" s="1491"/>
      <c r="H68" s="3214" t="s">
        <v>1021</v>
      </c>
      <c r="I68" s="2604">
        <v>11.94</v>
      </c>
      <c r="J68" s="2499" t="s">
        <v>120</v>
      </c>
      <c r="K68" s="2500" t="s">
        <v>1067</v>
      </c>
      <c r="L68" s="2502">
        <v>32.520000000000003</v>
      </c>
      <c r="M68" s="2502">
        <v>6</v>
      </c>
      <c r="O68" s="2504">
        <v>30</v>
      </c>
      <c r="P68" s="2505" t="s">
        <v>1070</v>
      </c>
      <c r="Q68" s="3167">
        <v>0</v>
      </c>
      <c r="R68" s="3167">
        <v>0</v>
      </c>
      <c r="S68" s="2952">
        <f t="shared" si="1"/>
        <v>0</v>
      </c>
      <c r="T68" s="2542">
        <f t="shared" si="2"/>
        <v>0</v>
      </c>
      <c r="U68" s="2542">
        <f t="shared" si="3"/>
        <v>0</v>
      </c>
      <c r="V68" s="2538">
        <f t="shared" si="4"/>
        <v>0</v>
      </c>
      <c r="W68" s="2539">
        <f t="shared" si="5"/>
        <v>0</v>
      </c>
      <c r="X68" s="2539">
        <f t="shared" si="6"/>
        <v>0</v>
      </c>
      <c r="Y68" s="2539">
        <f t="shared" si="7"/>
        <v>0</v>
      </c>
      <c r="Z68" s="2955">
        <v>0.2</v>
      </c>
      <c r="AA68" s="2512">
        <v>0</v>
      </c>
      <c r="AB68" s="3234">
        <v>0</v>
      </c>
      <c r="AC68" s="2539">
        <f t="shared" si="8"/>
        <v>0</v>
      </c>
      <c r="AD68" s="2513"/>
      <c r="AE68" s="3235">
        <v>0</v>
      </c>
    </row>
    <row r="69" spans="1:31">
      <c r="A69" s="1852" t="s">
        <v>6</v>
      </c>
      <c r="C69" s="1952"/>
      <c r="D69" s="1958"/>
      <c r="E69" s="1955"/>
      <c r="F69" s="1958"/>
      <c r="G69" s="1491"/>
      <c r="H69" s="3214" t="s">
        <v>1022</v>
      </c>
      <c r="I69" s="2604">
        <v>12.26</v>
      </c>
      <c r="J69" s="2499" t="s">
        <v>120</v>
      </c>
      <c r="K69" s="2500" t="s">
        <v>1067</v>
      </c>
      <c r="L69" s="2502">
        <v>32.520000000000003</v>
      </c>
      <c r="M69" s="2502">
        <v>10</v>
      </c>
      <c r="O69" s="2504">
        <v>25</v>
      </c>
      <c r="P69" s="2505" t="s">
        <v>1069</v>
      </c>
      <c r="Q69" s="3167">
        <v>46</v>
      </c>
      <c r="R69" s="3167">
        <v>46</v>
      </c>
      <c r="S69" s="2952">
        <f t="shared" si="1"/>
        <v>92</v>
      </c>
      <c r="T69" s="2542">
        <f t="shared" si="2"/>
        <v>563.96</v>
      </c>
      <c r="U69" s="2542">
        <f t="shared" si="3"/>
        <v>563.96</v>
      </c>
      <c r="V69" s="2538">
        <f t="shared" si="4"/>
        <v>1127.92</v>
      </c>
      <c r="W69" s="2539">
        <f t="shared" si="5"/>
        <v>460</v>
      </c>
      <c r="X69" s="2539">
        <f t="shared" si="6"/>
        <v>460</v>
      </c>
      <c r="Y69" s="2539">
        <f t="shared" si="7"/>
        <v>920</v>
      </c>
      <c r="Z69" s="2955">
        <v>0.2</v>
      </c>
      <c r="AA69" s="2512">
        <v>184.00000000000003</v>
      </c>
      <c r="AB69" s="3234">
        <v>110.37451945103392</v>
      </c>
      <c r="AC69" s="2539">
        <f t="shared" si="8"/>
        <v>294.37451945103396</v>
      </c>
      <c r="AD69" s="2513"/>
      <c r="AE69" s="3235">
        <v>0</v>
      </c>
    </row>
    <row r="70" spans="1:31">
      <c r="A70" s="1852">
        <v>18230611</v>
      </c>
      <c r="C70" s="1910" t="s">
        <v>15</v>
      </c>
      <c r="D70" s="1911">
        <f>W15</f>
        <v>2561403.3624999998</v>
      </c>
      <c r="E70" s="1926">
        <f>X15</f>
        <v>2561403.3624999998</v>
      </c>
      <c r="F70" s="1924">
        <f>D70+E70</f>
        <v>5122806.7249999996</v>
      </c>
      <c r="G70" s="1491"/>
      <c r="H70" s="3214" t="s">
        <v>1023</v>
      </c>
      <c r="I70" s="3216">
        <v>5.28</v>
      </c>
      <c r="J70" s="2499" t="s">
        <v>120</v>
      </c>
      <c r="K70" s="2500" t="s">
        <v>1067</v>
      </c>
      <c r="L70" s="2502">
        <v>32.520000000000003</v>
      </c>
      <c r="M70" s="2502">
        <v>10</v>
      </c>
      <c r="O70" s="2504">
        <v>30</v>
      </c>
      <c r="P70" s="2505" t="s">
        <v>1069</v>
      </c>
      <c r="Q70" s="3167">
        <v>0</v>
      </c>
      <c r="R70" s="3167">
        <v>0</v>
      </c>
      <c r="S70" s="2952">
        <f t="shared" si="1"/>
        <v>0</v>
      </c>
      <c r="T70" s="2542">
        <f t="shared" si="2"/>
        <v>0</v>
      </c>
      <c r="U70" s="2542">
        <f t="shared" si="3"/>
        <v>0</v>
      </c>
      <c r="V70" s="2538">
        <f t="shared" si="4"/>
        <v>0</v>
      </c>
      <c r="W70" s="2539">
        <f t="shared" si="5"/>
        <v>0</v>
      </c>
      <c r="X70" s="2539">
        <f t="shared" si="6"/>
        <v>0</v>
      </c>
      <c r="Y70" s="2539">
        <f t="shared" si="7"/>
        <v>0</v>
      </c>
      <c r="Z70" s="2955">
        <v>0.2</v>
      </c>
      <c r="AA70" s="2512">
        <v>0</v>
      </c>
      <c r="AB70" s="3234">
        <v>0</v>
      </c>
      <c r="AC70" s="2539">
        <f t="shared" si="8"/>
        <v>0</v>
      </c>
      <c r="AD70" s="2513"/>
      <c r="AE70" s="3235">
        <v>7.4736022866343274E-2</v>
      </c>
    </row>
    <row r="71" spans="1:31">
      <c r="A71" s="1852" t="s">
        <v>5</v>
      </c>
      <c r="C71" s="1967" t="s">
        <v>313</v>
      </c>
      <c r="D71" s="2615">
        <f>D70/D12</f>
        <v>0.75632908556024558</v>
      </c>
      <c r="E71" s="2616">
        <f>E70/E12</f>
        <v>0.75885835500208076</v>
      </c>
      <c r="F71" s="1966"/>
      <c r="G71" s="1491"/>
      <c r="H71" s="3214" t="s">
        <v>1024</v>
      </c>
      <c r="I71" s="2604">
        <v>21.65</v>
      </c>
      <c r="J71" s="2499" t="s">
        <v>120</v>
      </c>
      <c r="K71" s="2500" t="s">
        <v>1067</v>
      </c>
      <c r="L71" s="2502">
        <v>32.520000000000003</v>
      </c>
      <c r="M71" s="2502">
        <v>16.2</v>
      </c>
      <c r="O71" s="2504">
        <v>30</v>
      </c>
      <c r="P71" s="2505" t="s">
        <v>1070</v>
      </c>
      <c r="Q71" s="3167">
        <v>0</v>
      </c>
      <c r="R71" s="3167">
        <v>0</v>
      </c>
      <c r="S71" s="2952">
        <f t="shared" si="1"/>
        <v>0</v>
      </c>
      <c r="T71" s="2542">
        <f t="shared" si="2"/>
        <v>0</v>
      </c>
      <c r="U71" s="2542">
        <f t="shared" si="3"/>
        <v>0</v>
      </c>
      <c r="V71" s="2538">
        <f t="shared" si="4"/>
        <v>0</v>
      </c>
      <c r="W71" s="2539">
        <f t="shared" si="5"/>
        <v>0</v>
      </c>
      <c r="X71" s="2539">
        <f t="shared" si="6"/>
        <v>0</v>
      </c>
      <c r="Y71" s="2539">
        <f t="shared" si="7"/>
        <v>0</v>
      </c>
      <c r="Z71" s="2955">
        <v>0.2</v>
      </c>
      <c r="AA71" s="2512">
        <v>0</v>
      </c>
      <c r="AB71" s="3234">
        <v>0</v>
      </c>
      <c r="AC71" s="2539">
        <f t="shared" si="8"/>
        <v>0</v>
      </c>
      <c r="AD71" s="2513"/>
      <c r="AE71" s="3235">
        <v>0</v>
      </c>
    </row>
    <row r="72" spans="1:31">
      <c r="C72" s="1968"/>
      <c r="D72" s="1963"/>
      <c r="E72" s="1964"/>
      <c r="F72" s="1965"/>
      <c r="G72" s="1491"/>
      <c r="H72" s="3214" t="s">
        <v>1025</v>
      </c>
      <c r="I72" s="2604">
        <v>20.11</v>
      </c>
      <c r="J72" s="2499" t="s">
        <v>120</v>
      </c>
      <c r="K72" s="2500" t="s">
        <v>1067</v>
      </c>
      <c r="L72" s="2502">
        <v>32.520000000000003</v>
      </c>
      <c r="M72" s="2502">
        <v>12</v>
      </c>
      <c r="O72" s="2504">
        <v>25</v>
      </c>
      <c r="P72" s="2505" t="s">
        <v>1069</v>
      </c>
      <c r="Q72" s="3167">
        <v>1000</v>
      </c>
      <c r="R72" s="3167">
        <v>1000</v>
      </c>
      <c r="S72" s="2952">
        <f t="shared" si="1"/>
        <v>2000</v>
      </c>
      <c r="T72" s="2542">
        <f t="shared" si="2"/>
        <v>20110</v>
      </c>
      <c r="U72" s="2542">
        <f t="shared" si="3"/>
        <v>20110</v>
      </c>
      <c r="V72" s="2538">
        <f t="shared" si="4"/>
        <v>40220</v>
      </c>
      <c r="W72" s="2539">
        <f t="shared" si="5"/>
        <v>12000</v>
      </c>
      <c r="X72" s="2539">
        <f t="shared" si="6"/>
        <v>12000</v>
      </c>
      <c r="Y72" s="2539">
        <f t="shared" si="7"/>
        <v>24000</v>
      </c>
      <c r="Z72" s="2955">
        <v>0.2</v>
      </c>
      <c r="AA72" s="2512">
        <v>4800</v>
      </c>
      <c r="AB72" s="3234">
        <v>2879.335290026972</v>
      </c>
      <c r="AC72" s="2539">
        <f t="shared" si="8"/>
        <v>7679.335290026972</v>
      </c>
      <c r="AD72" s="2513"/>
      <c r="AE72" s="3235">
        <v>0</v>
      </c>
    </row>
    <row r="73" spans="1:31">
      <c r="C73" s="1959" t="s">
        <v>54</v>
      </c>
      <c r="D73" s="1971">
        <v>0</v>
      </c>
      <c r="E73" s="1971">
        <v>0</v>
      </c>
      <c r="F73" s="1956">
        <v>0</v>
      </c>
      <c r="G73" s="60"/>
      <c r="H73" s="3214" t="s">
        <v>1026</v>
      </c>
      <c r="I73" s="3216">
        <v>11.4</v>
      </c>
      <c r="J73" s="2499" t="s">
        <v>120</v>
      </c>
      <c r="K73" s="2500" t="s">
        <v>1067</v>
      </c>
      <c r="L73" s="2502">
        <v>32.520000000000003</v>
      </c>
      <c r="M73" s="2502">
        <v>13</v>
      </c>
      <c r="O73" s="2504">
        <v>30</v>
      </c>
      <c r="P73" s="2505" t="s">
        <v>1069</v>
      </c>
      <c r="Q73" s="3167">
        <v>403</v>
      </c>
      <c r="R73" s="3167">
        <v>403</v>
      </c>
      <c r="S73" s="2952">
        <f t="shared" si="1"/>
        <v>806</v>
      </c>
      <c r="T73" s="2542">
        <f t="shared" si="2"/>
        <v>4594.2</v>
      </c>
      <c r="U73" s="2542">
        <f t="shared" si="3"/>
        <v>4594.2</v>
      </c>
      <c r="V73" s="2538">
        <f t="shared" si="4"/>
        <v>9188.4</v>
      </c>
      <c r="W73" s="2539">
        <f t="shared" si="5"/>
        <v>5239</v>
      </c>
      <c r="X73" s="2539">
        <f t="shared" si="6"/>
        <v>5239</v>
      </c>
      <c r="Y73" s="2539">
        <f t="shared" si="7"/>
        <v>10478</v>
      </c>
      <c r="Z73" s="2955">
        <v>0.2</v>
      </c>
      <c r="AA73" s="2512">
        <v>2095.6000000000004</v>
      </c>
      <c r="AB73" s="3234">
        <v>1257.0697987042756</v>
      </c>
      <c r="AC73" s="2539">
        <f t="shared" si="8"/>
        <v>3352.6697987042762</v>
      </c>
      <c r="AD73" s="2513"/>
      <c r="AE73" s="3235">
        <v>0.16630451850935446</v>
      </c>
    </row>
    <row r="74" spans="1:31">
      <c r="C74" s="1610"/>
      <c r="D74" s="1895" t="s">
        <v>316</v>
      </c>
      <c r="E74" s="1612"/>
      <c r="F74" s="1612"/>
      <c r="H74" s="3214" t="s">
        <v>1027</v>
      </c>
      <c r="I74" s="3216">
        <v>12.43</v>
      </c>
      <c r="J74" s="2499" t="s">
        <v>120</v>
      </c>
      <c r="K74" s="2500" t="s">
        <v>1067</v>
      </c>
      <c r="L74" s="2502">
        <v>35</v>
      </c>
      <c r="M74" s="2502">
        <v>18</v>
      </c>
      <c r="O74" s="2504">
        <v>30</v>
      </c>
      <c r="P74" s="2505" t="s">
        <v>1070</v>
      </c>
      <c r="Q74" s="3168">
        <v>0</v>
      </c>
      <c r="R74" s="3168">
        <v>0</v>
      </c>
      <c r="S74" s="2952">
        <f t="shared" si="1"/>
        <v>0</v>
      </c>
      <c r="T74" s="2542">
        <f t="shared" si="2"/>
        <v>0</v>
      </c>
      <c r="U74" s="2542">
        <f t="shared" si="3"/>
        <v>0</v>
      </c>
      <c r="V74" s="2538">
        <f t="shared" si="4"/>
        <v>0</v>
      </c>
      <c r="W74" s="2539">
        <f t="shared" si="5"/>
        <v>0</v>
      </c>
      <c r="X74" s="2539">
        <f t="shared" si="6"/>
        <v>0</v>
      </c>
      <c r="Y74" s="2539">
        <f t="shared" si="7"/>
        <v>0</v>
      </c>
      <c r="Z74" s="2955">
        <v>0.2</v>
      </c>
      <c r="AA74" s="2512">
        <v>0</v>
      </c>
      <c r="AB74" s="3234">
        <v>0</v>
      </c>
      <c r="AC74" s="2539">
        <f t="shared" si="8"/>
        <v>0</v>
      </c>
      <c r="AD74" s="2513"/>
      <c r="AE74" s="3235">
        <v>0.18144845922080971</v>
      </c>
    </row>
    <row r="75" spans="1:31">
      <c r="C75" s="1610"/>
      <c r="D75" s="1609"/>
      <c r="E75" s="1609"/>
      <c r="F75" s="1609"/>
      <c r="H75" s="3214" t="s">
        <v>1028</v>
      </c>
      <c r="I75" s="2604">
        <v>20.13</v>
      </c>
      <c r="J75" s="2499" t="s">
        <v>120</v>
      </c>
      <c r="K75" s="2500" t="s">
        <v>1067</v>
      </c>
      <c r="L75" s="2502">
        <v>35</v>
      </c>
      <c r="M75" s="2502">
        <v>18</v>
      </c>
      <c r="O75" s="2504">
        <v>30</v>
      </c>
      <c r="P75" s="2505" t="s">
        <v>1069</v>
      </c>
      <c r="Q75" s="3168">
        <v>0</v>
      </c>
      <c r="R75" s="3168">
        <v>0</v>
      </c>
      <c r="S75" s="2952">
        <f t="shared" si="1"/>
        <v>0</v>
      </c>
      <c r="T75" s="2542">
        <f t="shared" si="2"/>
        <v>0</v>
      </c>
      <c r="U75" s="2542">
        <f t="shared" si="3"/>
        <v>0</v>
      </c>
      <c r="V75" s="2538">
        <f t="shared" si="4"/>
        <v>0</v>
      </c>
      <c r="W75" s="2539">
        <f t="shared" si="5"/>
        <v>0</v>
      </c>
      <c r="X75" s="2539">
        <f t="shared" si="6"/>
        <v>0</v>
      </c>
      <c r="Y75" s="2539">
        <f t="shared" si="7"/>
        <v>0</v>
      </c>
      <c r="Z75" s="2955">
        <v>0.2</v>
      </c>
      <c r="AA75" s="2512">
        <v>0</v>
      </c>
      <c r="AB75" s="3234">
        <v>0</v>
      </c>
      <c r="AC75" s="2539">
        <f t="shared" si="8"/>
        <v>0</v>
      </c>
      <c r="AD75" s="2513"/>
      <c r="AE75" s="3235">
        <v>0</v>
      </c>
    </row>
    <row r="76" spans="1:31">
      <c r="C76" s="1610"/>
      <c r="D76" s="1612"/>
      <c r="E76" s="1612"/>
      <c r="F76" s="1612"/>
      <c r="H76" s="3214" t="s">
        <v>1029</v>
      </c>
      <c r="I76" s="2604">
        <v>348</v>
      </c>
      <c r="J76" s="2499" t="s">
        <v>120</v>
      </c>
      <c r="K76" s="2500" t="s">
        <v>909</v>
      </c>
      <c r="L76" s="2502">
        <v>202.5</v>
      </c>
      <c r="M76" s="2502">
        <v>202.5</v>
      </c>
      <c r="O76" s="2504">
        <v>15</v>
      </c>
      <c r="P76" s="2505" t="s">
        <v>1069</v>
      </c>
      <c r="Q76" s="3168">
        <v>1</v>
      </c>
      <c r="R76" s="3168">
        <v>1</v>
      </c>
      <c r="S76" s="2952">
        <f t="shared" si="1"/>
        <v>2</v>
      </c>
      <c r="T76" s="2542">
        <f t="shared" si="2"/>
        <v>348</v>
      </c>
      <c r="U76" s="2542">
        <f t="shared" si="3"/>
        <v>348</v>
      </c>
      <c r="V76" s="2538">
        <f t="shared" si="4"/>
        <v>696</v>
      </c>
      <c r="W76" s="2539">
        <f t="shared" si="5"/>
        <v>202.5</v>
      </c>
      <c r="X76" s="2539">
        <f t="shared" si="6"/>
        <v>202.5</v>
      </c>
      <c r="Y76" s="2539">
        <f t="shared" si="7"/>
        <v>405</v>
      </c>
      <c r="Z76" s="2955">
        <v>0.2</v>
      </c>
      <c r="AA76" s="2512">
        <v>81</v>
      </c>
      <c r="AB76" s="3234">
        <v>48.588783019205152</v>
      </c>
      <c r="AC76" s="2539">
        <f t="shared" si="8"/>
        <v>129.58878301920515</v>
      </c>
      <c r="AD76" s="2513"/>
      <c r="AE76" s="3235">
        <v>0</v>
      </c>
    </row>
    <row r="77" spans="1:31">
      <c r="C77" s="1610"/>
      <c r="D77" s="1612"/>
      <c r="E77" s="1612"/>
      <c r="F77" s="1612"/>
      <c r="H77" s="3214" t="s">
        <v>1030</v>
      </c>
      <c r="I77" s="2604">
        <v>54135</v>
      </c>
      <c r="J77" s="2499" t="s">
        <v>120</v>
      </c>
      <c r="K77" s="2500" t="s">
        <v>1066</v>
      </c>
      <c r="L77" s="2502">
        <v>16055</v>
      </c>
      <c r="M77" s="2502">
        <v>8000</v>
      </c>
      <c r="O77" s="2504">
        <v>15</v>
      </c>
      <c r="P77" s="2505" t="s">
        <v>1071</v>
      </c>
      <c r="Q77" s="3168">
        <v>0</v>
      </c>
      <c r="R77" s="3168">
        <v>0</v>
      </c>
      <c r="S77" s="2952">
        <f t="shared" si="1"/>
        <v>0</v>
      </c>
      <c r="T77" s="2542">
        <f t="shared" si="2"/>
        <v>0</v>
      </c>
      <c r="U77" s="2542">
        <f t="shared" si="3"/>
        <v>0</v>
      </c>
      <c r="V77" s="2538">
        <f t="shared" si="4"/>
        <v>0</v>
      </c>
      <c r="W77" s="2539">
        <f t="shared" si="5"/>
        <v>0</v>
      </c>
      <c r="X77" s="2539">
        <f t="shared" si="6"/>
        <v>0</v>
      </c>
      <c r="Y77" s="2539">
        <f t="shared" si="7"/>
        <v>0</v>
      </c>
      <c r="Z77" s="2955">
        <v>0.2</v>
      </c>
      <c r="AA77" s="2512">
        <v>0</v>
      </c>
      <c r="AB77" s="3234">
        <v>0</v>
      </c>
      <c r="AC77" s="2539">
        <f t="shared" si="8"/>
        <v>0</v>
      </c>
      <c r="AD77" s="2513"/>
      <c r="AE77" s="3235">
        <v>0</v>
      </c>
    </row>
    <row r="78" spans="1:31">
      <c r="D78" s="61"/>
      <c r="E78" s="62"/>
      <c r="F78" s="62"/>
      <c r="H78" s="3227" t="s">
        <v>1031</v>
      </c>
      <c r="I78" s="3216">
        <v>230602</v>
      </c>
      <c r="J78" s="2499" t="s">
        <v>120</v>
      </c>
      <c r="K78" s="2500" t="s">
        <v>1066</v>
      </c>
      <c r="L78" s="2502">
        <v>287464.75</v>
      </c>
      <c r="M78" s="2502">
        <v>287464.75</v>
      </c>
      <c r="O78" s="2504">
        <v>20</v>
      </c>
      <c r="P78" s="2505" t="s">
        <v>1070</v>
      </c>
      <c r="Q78" s="3168">
        <v>0.3</v>
      </c>
      <c r="R78" s="3168">
        <v>0.3</v>
      </c>
      <c r="S78" s="3166">
        <f t="shared" si="1"/>
        <v>0.6</v>
      </c>
      <c r="T78" s="2542">
        <f t="shared" si="2"/>
        <v>69180.599999999991</v>
      </c>
      <c r="U78" s="2542">
        <f t="shared" si="3"/>
        <v>69180.599999999991</v>
      </c>
      <c r="V78" s="2538">
        <f t="shared" si="4"/>
        <v>138361.19999999998</v>
      </c>
      <c r="W78" s="2539">
        <f t="shared" si="5"/>
        <v>86239.425000000003</v>
      </c>
      <c r="X78" s="2539">
        <f t="shared" si="6"/>
        <v>86239.425000000003</v>
      </c>
      <c r="Y78" s="2539">
        <f t="shared" si="7"/>
        <v>172478.85</v>
      </c>
      <c r="Z78" s="2955">
        <v>0.2</v>
      </c>
      <c r="AA78" s="2512">
        <v>34495.769999999997</v>
      </c>
      <c r="AB78" s="3234">
        <v>20692.684982844527</v>
      </c>
      <c r="AC78" s="2539">
        <f t="shared" si="8"/>
        <v>55188.454982844523</v>
      </c>
      <c r="AD78" s="2513"/>
      <c r="AE78" s="3235">
        <v>0</v>
      </c>
    </row>
    <row r="79" spans="1:31">
      <c r="D79" s="1489"/>
      <c r="E79" s="1490"/>
      <c r="F79" s="1491"/>
      <c r="H79" s="3227" t="s">
        <v>1032</v>
      </c>
      <c r="I79" s="3216">
        <v>588506</v>
      </c>
      <c r="J79" s="2499" t="s">
        <v>120</v>
      </c>
      <c r="K79" s="2500" t="s">
        <v>1066</v>
      </c>
      <c r="L79" s="2502">
        <v>728951.7</v>
      </c>
      <c r="M79" s="2502">
        <v>728951.7</v>
      </c>
      <c r="O79" s="2504">
        <v>15</v>
      </c>
      <c r="P79" s="2505" t="s">
        <v>1070</v>
      </c>
      <c r="Q79" s="3168">
        <v>0.25</v>
      </c>
      <c r="R79" s="3168">
        <v>0.25</v>
      </c>
      <c r="S79" s="3166">
        <f t="shared" si="1"/>
        <v>0.5</v>
      </c>
      <c r="T79" s="2542">
        <f t="shared" si="2"/>
        <v>147126.5</v>
      </c>
      <c r="U79" s="2542">
        <f t="shared" si="3"/>
        <v>147126.5</v>
      </c>
      <c r="V79" s="2538">
        <f t="shared" si="4"/>
        <v>294253</v>
      </c>
      <c r="W79" s="2539">
        <f t="shared" si="5"/>
        <v>182237.92499999999</v>
      </c>
      <c r="X79" s="2539">
        <f t="shared" si="6"/>
        <v>182237.92499999999</v>
      </c>
      <c r="Y79" s="2539">
        <f t="shared" si="7"/>
        <v>364475.85</v>
      </c>
      <c r="Z79" s="2955">
        <v>0.2</v>
      </c>
      <c r="AA79" s="2512">
        <v>72895.17</v>
      </c>
      <c r="AB79" s="3234">
        <v>43727.007386149045</v>
      </c>
      <c r="AC79" s="2539">
        <f t="shared" si="8"/>
        <v>116622.17738614904</v>
      </c>
      <c r="AD79" s="2513"/>
      <c r="AE79" s="3235">
        <v>0</v>
      </c>
    </row>
    <row r="80" spans="1:31">
      <c r="D80" s="1492"/>
      <c r="E80" s="1491"/>
      <c r="F80" s="1491"/>
      <c r="H80" s="3227" t="s">
        <v>1033</v>
      </c>
      <c r="I80" s="3216">
        <v>223191</v>
      </c>
      <c r="J80" s="2499" t="s">
        <v>120</v>
      </c>
      <c r="K80" s="2500" t="s">
        <v>1066</v>
      </c>
      <c r="L80" s="2502">
        <v>66000</v>
      </c>
      <c r="M80" s="2502">
        <v>66000</v>
      </c>
      <c r="O80" s="2504">
        <v>15</v>
      </c>
      <c r="P80" s="2505" t="s">
        <v>1072</v>
      </c>
      <c r="Q80" s="3168">
        <v>0.15</v>
      </c>
      <c r="R80" s="3168">
        <v>0.15</v>
      </c>
      <c r="S80" s="3166">
        <f t="shared" si="1"/>
        <v>0.3</v>
      </c>
      <c r="T80" s="2542">
        <f t="shared" si="2"/>
        <v>33478.65</v>
      </c>
      <c r="U80" s="2542">
        <f t="shared" si="3"/>
        <v>33478.65</v>
      </c>
      <c r="V80" s="2538">
        <f t="shared" si="4"/>
        <v>66957.3</v>
      </c>
      <c r="W80" s="2539">
        <f t="shared" si="5"/>
        <v>9900</v>
      </c>
      <c r="X80" s="2539">
        <f t="shared" si="6"/>
        <v>9900</v>
      </c>
      <c r="Y80" s="2539">
        <f t="shared" si="7"/>
        <v>19800</v>
      </c>
      <c r="Z80" s="2955">
        <v>0.2</v>
      </c>
      <c r="AA80" s="2512">
        <v>3960</v>
      </c>
      <c r="AB80" s="3234">
        <v>2375.4516142722518</v>
      </c>
      <c r="AC80" s="2539">
        <f t="shared" si="8"/>
        <v>6335.4516142722514</v>
      </c>
      <c r="AD80" s="2513"/>
      <c r="AE80" s="3235">
        <v>0</v>
      </c>
    </row>
    <row r="81" spans="8:31">
      <c r="H81" s="3227" t="s">
        <v>1034</v>
      </c>
      <c r="I81" s="3216">
        <v>164124</v>
      </c>
      <c r="J81" s="2499" t="s">
        <v>120</v>
      </c>
      <c r="K81" s="2500" t="s">
        <v>1066</v>
      </c>
      <c r="L81" s="2502">
        <v>168059.41</v>
      </c>
      <c r="M81" s="2502">
        <v>168059.41</v>
      </c>
      <c r="O81" s="2504">
        <v>30</v>
      </c>
      <c r="P81" s="2505" t="s">
        <v>1070</v>
      </c>
      <c r="Q81" s="3168">
        <v>0.15</v>
      </c>
      <c r="R81" s="3168">
        <v>0.15</v>
      </c>
      <c r="S81" s="3166">
        <f t="shared" si="1"/>
        <v>0.3</v>
      </c>
      <c r="T81" s="2542">
        <f t="shared" si="2"/>
        <v>24618.6</v>
      </c>
      <c r="U81" s="2542">
        <f t="shared" si="3"/>
        <v>24618.6</v>
      </c>
      <c r="V81" s="2538">
        <f t="shared" si="4"/>
        <v>49237.2</v>
      </c>
      <c r="W81" s="2539">
        <f t="shared" si="5"/>
        <v>25208.911499999998</v>
      </c>
      <c r="X81" s="2539">
        <f t="shared" si="6"/>
        <v>25208.911499999998</v>
      </c>
      <c r="Y81" s="2539">
        <f t="shared" si="7"/>
        <v>50417.822999999997</v>
      </c>
      <c r="Z81" s="2955">
        <v>0.2</v>
      </c>
      <c r="AA81" s="2512">
        <v>10083.5646</v>
      </c>
      <c r="AB81" s="3234">
        <v>6048.7423754263973</v>
      </c>
      <c r="AC81" s="2539">
        <f t="shared" si="8"/>
        <v>16132.306975426396</v>
      </c>
      <c r="AD81" s="2513"/>
      <c r="AE81" s="3235">
        <v>0</v>
      </c>
    </row>
    <row r="82" spans="8:31">
      <c r="H82" s="3227" t="s">
        <v>1035</v>
      </c>
      <c r="I82" s="3216">
        <v>243836</v>
      </c>
      <c r="J82" s="2499" t="s">
        <v>120</v>
      </c>
      <c r="K82" s="2500" t="s">
        <v>1066</v>
      </c>
      <c r="L82" s="2502">
        <v>225868.07</v>
      </c>
      <c r="M82" s="2502">
        <v>225868.07</v>
      </c>
      <c r="O82" s="2504">
        <v>30</v>
      </c>
      <c r="P82" s="2505" t="s">
        <v>1070</v>
      </c>
      <c r="Q82" s="3168">
        <v>0.3</v>
      </c>
      <c r="R82" s="3168">
        <v>0.3</v>
      </c>
      <c r="S82" s="3166">
        <f t="shared" si="1"/>
        <v>0.6</v>
      </c>
      <c r="T82" s="2542">
        <f t="shared" si="2"/>
        <v>73150.8</v>
      </c>
      <c r="U82" s="2542">
        <f t="shared" si="3"/>
        <v>73150.8</v>
      </c>
      <c r="V82" s="2538">
        <f t="shared" si="4"/>
        <v>146301.6</v>
      </c>
      <c r="W82" s="2539">
        <f t="shared" si="5"/>
        <v>67760.421000000002</v>
      </c>
      <c r="X82" s="2539">
        <f t="shared" si="6"/>
        <v>67760.421000000002</v>
      </c>
      <c r="Y82" s="2539">
        <f t="shared" si="7"/>
        <v>135520.842</v>
      </c>
      <c r="Z82" s="2955">
        <v>0.2</v>
      </c>
      <c r="AA82" s="2512">
        <v>27104.168399999999</v>
      </c>
      <c r="AB82" s="3234">
        <v>16258.74762103206</v>
      </c>
      <c r="AC82" s="2539">
        <f t="shared" si="8"/>
        <v>43362.916021032055</v>
      </c>
      <c r="AD82" s="2513"/>
      <c r="AE82" s="3235">
        <v>0</v>
      </c>
    </row>
    <row r="83" spans="8:31">
      <c r="H83" s="3214" t="s">
        <v>1036</v>
      </c>
      <c r="I83" s="3216">
        <v>18.97</v>
      </c>
      <c r="J83" s="2499" t="s">
        <v>120</v>
      </c>
      <c r="K83" s="2500" t="s">
        <v>909</v>
      </c>
      <c r="L83" s="2502">
        <v>15</v>
      </c>
      <c r="M83" s="2502">
        <v>15</v>
      </c>
      <c r="O83" s="2504">
        <v>12</v>
      </c>
      <c r="P83" s="2505" t="s">
        <v>954</v>
      </c>
      <c r="Q83" s="3167">
        <v>1</v>
      </c>
      <c r="R83" s="3167">
        <v>1</v>
      </c>
      <c r="S83" s="2952">
        <f t="shared" ref="S83:S88" si="12">SUM(Q83:R83)</f>
        <v>2</v>
      </c>
      <c r="T83" s="2542">
        <f t="shared" ref="T83:T88" si="13">Q83*I83</f>
        <v>18.97</v>
      </c>
      <c r="U83" s="2542">
        <f t="shared" ref="U83:U88" si="14">R83*I83</f>
        <v>18.97</v>
      </c>
      <c r="V83" s="2538">
        <f t="shared" ref="V83:V88" si="15">SUM(T83:U83)</f>
        <v>37.94</v>
      </c>
      <c r="W83" s="2539">
        <f t="shared" ref="W83:W88" si="16">Q83*M83</f>
        <v>15</v>
      </c>
      <c r="X83" s="2539">
        <f t="shared" ref="X83:X88" si="17">R83*M83</f>
        <v>15</v>
      </c>
      <c r="Y83" s="2539">
        <f t="shared" ref="Y83:Y88" si="18">SUM(W83:X83)</f>
        <v>30</v>
      </c>
      <c r="Z83" s="2955">
        <v>0.2</v>
      </c>
      <c r="AA83" s="2512">
        <v>6</v>
      </c>
      <c r="AB83" s="3234">
        <v>3.5991691125337151</v>
      </c>
      <c r="AC83" s="2539">
        <f t="shared" ref="AC83:AC88" si="19">SUM(AA83:AB83)</f>
        <v>9.5991691125337155</v>
      </c>
      <c r="AD83" s="2513"/>
      <c r="AE83" s="3235">
        <v>0</v>
      </c>
    </row>
    <row r="84" spans="8:31">
      <c r="H84" s="3214" t="s">
        <v>1037</v>
      </c>
      <c r="I84" s="3216">
        <v>18.66</v>
      </c>
      <c r="J84" s="2499" t="s">
        <v>120</v>
      </c>
      <c r="K84" s="2500" t="s">
        <v>909</v>
      </c>
      <c r="L84" s="2502">
        <v>15</v>
      </c>
      <c r="M84" s="2502">
        <v>15</v>
      </c>
      <c r="O84" s="2504">
        <v>12</v>
      </c>
      <c r="P84" s="2505" t="s">
        <v>954</v>
      </c>
      <c r="Q84" s="3167">
        <v>15</v>
      </c>
      <c r="R84" s="3167">
        <v>15</v>
      </c>
      <c r="S84" s="2952">
        <f t="shared" si="12"/>
        <v>30</v>
      </c>
      <c r="T84" s="2542">
        <f t="shared" si="13"/>
        <v>279.89999999999998</v>
      </c>
      <c r="U84" s="2542">
        <f t="shared" si="14"/>
        <v>279.89999999999998</v>
      </c>
      <c r="V84" s="2538">
        <f t="shared" si="15"/>
        <v>559.79999999999995</v>
      </c>
      <c r="W84" s="2539">
        <f t="shared" si="16"/>
        <v>225</v>
      </c>
      <c r="X84" s="2539">
        <f t="shared" si="17"/>
        <v>225</v>
      </c>
      <c r="Y84" s="2539">
        <f t="shared" si="18"/>
        <v>450</v>
      </c>
      <c r="Z84" s="2955">
        <v>0.2</v>
      </c>
      <c r="AA84" s="2512">
        <v>90</v>
      </c>
      <c r="AB84" s="3234">
        <v>53.987536688005726</v>
      </c>
      <c r="AC84" s="2539">
        <f t="shared" si="19"/>
        <v>143.98753668800572</v>
      </c>
      <c r="AD84" s="2513"/>
      <c r="AE84" s="3235">
        <v>0</v>
      </c>
    </row>
    <row r="85" spans="8:31">
      <c r="H85" s="3214" t="s">
        <v>1038</v>
      </c>
      <c r="I85" s="3216">
        <v>20.38</v>
      </c>
      <c r="J85" s="2499" t="s">
        <v>120</v>
      </c>
      <c r="K85" s="2500" t="s">
        <v>909</v>
      </c>
      <c r="L85" s="2502">
        <v>15</v>
      </c>
      <c r="M85" s="2502">
        <v>15</v>
      </c>
      <c r="O85" s="2504">
        <v>12</v>
      </c>
      <c r="P85" s="2505" t="s">
        <v>954</v>
      </c>
      <c r="Q85" s="3167">
        <v>15</v>
      </c>
      <c r="R85" s="3167">
        <v>15</v>
      </c>
      <c r="S85" s="2952">
        <f t="shared" si="12"/>
        <v>30</v>
      </c>
      <c r="T85" s="2542">
        <f t="shared" si="13"/>
        <v>305.7</v>
      </c>
      <c r="U85" s="2542">
        <f t="shared" si="14"/>
        <v>305.7</v>
      </c>
      <c r="V85" s="2538">
        <f t="shared" si="15"/>
        <v>611.4</v>
      </c>
      <c r="W85" s="2539">
        <f t="shared" si="16"/>
        <v>225</v>
      </c>
      <c r="X85" s="2539">
        <f t="shared" si="17"/>
        <v>225</v>
      </c>
      <c r="Y85" s="2539">
        <f t="shared" si="18"/>
        <v>450</v>
      </c>
      <c r="Z85" s="2955">
        <v>0.2</v>
      </c>
      <c r="AA85" s="2512">
        <v>90</v>
      </c>
      <c r="AB85" s="3234">
        <v>53.987536688005726</v>
      </c>
      <c r="AC85" s="2539">
        <f t="shared" si="19"/>
        <v>143.98753668800572</v>
      </c>
      <c r="AD85" s="2513"/>
      <c r="AE85" s="3235">
        <v>0</v>
      </c>
    </row>
    <row r="86" spans="8:31">
      <c r="H86" s="3214" t="s">
        <v>1039</v>
      </c>
      <c r="I86" s="3216">
        <v>27.94</v>
      </c>
      <c r="J86" s="2499" t="s">
        <v>120</v>
      </c>
      <c r="K86" s="2500" t="s">
        <v>909</v>
      </c>
      <c r="L86" s="2502">
        <v>15</v>
      </c>
      <c r="M86" s="2502">
        <v>15</v>
      </c>
      <c r="O86" s="2504">
        <v>12</v>
      </c>
      <c r="P86" s="2505" t="s">
        <v>954</v>
      </c>
      <c r="Q86" s="3167">
        <v>5</v>
      </c>
      <c r="R86" s="3167">
        <v>5</v>
      </c>
      <c r="S86" s="2952">
        <f t="shared" si="12"/>
        <v>10</v>
      </c>
      <c r="T86" s="2542">
        <f t="shared" si="13"/>
        <v>139.70000000000002</v>
      </c>
      <c r="U86" s="2542">
        <f t="shared" si="14"/>
        <v>139.70000000000002</v>
      </c>
      <c r="V86" s="2538">
        <f t="shared" si="15"/>
        <v>279.40000000000003</v>
      </c>
      <c r="W86" s="2539">
        <f t="shared" si="16"/>
        <v>75</v>
      </c>
      <c r="X86" s="2539">
        <f t="shared" si="17"/>
        <v>75</v>
      </c>
      <c r="Y86" s="2539">
        <f t="shared" si="18"/>
        <v>150</v>
      </c>
      <c r="Z86" s="2955">
        <v>0.2</v>
      </c>
      <c r="AA86" s="2512">
        <v>30</v>
      </c>
      <c r="AB86" s="3234">
        <v>17.995845562668574</v>
      </c>
      <c r="AC86" s="2539">
        <f t="shared" si="19"/>
        <v>47.995845562668578</v>
      </c>
      <c r="AD86" s="2513"/>
      <c r="AE86" s="3235">
        <v>0</v>
      </c>
    </row>
    <row r="87" spans="8:31">
      <c r="H87" s="3214" t="s">
        <v>1040</v>
      </c>
      <c r="I87" s="3216">
        <v>38.22</v>
      </c>
      <c r="J87" s="2499" t="s">
        <v>120</v>
      </c>
      <c r="K87" s="2500" t="s">
        <v>909</v>
      </c>
      <c r="L87" s="2502">
        <v>15</v>
      </c>
      <c r="M87" s="2502">
        <v>15</v>
      </c>
      <c r="O87" s="2504">
        <v>12</v>
      </c>
      <c r="P87" s="2505" t="s">
        <v>954</v>
      </c>
      <c r="Q87" s="3167">
        <v>5</v>
      </c>
      <c r="R87" s="3167">
        <v>5</v>
      </c>
      <c r="S87" s="2952">
        <f t="shared" si="12"/>
        <v>10</v>
      </c>
      <c r="T87" s="2542">
        <f t="shared" si="13"/>
        <v>191.1</v>
      </c>
      <c r="U87" s="2542">
        <f t="shared" si="14"/>
        <v>191.1</v>
      </c>
      <c r="V87" s="2538">
        <f t="shared" si="15"/>
        <v>382.2</v>
      </c>
      <c r="W87" s="2539">
        <f t="shared" si="16"/>
        <v>75</v>
      </c>
      <c r="X87" s="2539">
        <f t="shared" si="17"/>
        <v>75</v>
      </c>
      <c r="Y87" s="2539">
        <f t="shared" si="18"/>
        <v>150</v>
      </c>
      <c r="Z87" s="2955">
        <v>0.2</v>
      </c>
      <c r="AA87" s="2512">
        <v>30</v>
      </c>
      <c r="AB87" s="3234">
        <v>17.995845562668574</v>
      </c>
      <c r="AC87" s="2539">
        <f t="shared" si="19"/>
        <v>47.995845562668578</v>
      </c>
      <c r="AD87" s="2513"/>
      <c r="AE87" s="3235">
        <v>0</v>
      </c>
    </row>
    <row r="88" spans="8:31">
      <c r="H88" s="3214" t="s">
        <v>1041</v>
      </c>
      <c r="I88" s="3216">
        <v>22.07</v>
      </c>
      <c r="J88" s="2499" t="s">
        <v>120</v>
      </c>
      <c r="K88" s="2500" t="s">
        <v>909</v>
      </c>
      <c r="L88" s="2502">
        <v>15</v>
      </c>
      <c r="M88" s="2502">
        <v>15</v>
      </c>
      <c r="O88" s="2504">
        <v>12</v>
      </c>
      <c r="P88" s="2505" t="s">
        <v>954</v>
      </c>
      <c r="Q88" s="3167">
        <v>5</v>
      </c>
      <c r="R88" s="3167">
        <v>5</v>
      </c>
      <c r="S88" s="2952">
        <f t="shared" si="12"/>
        <v>10</v>
      </c>
      <c r="T88" s="2542">
        <f t="shared" si="13"/>
        <v>110.35</v>
      </c>
      <c r="U88" s="2542">
        <f t="shared" si="14"/>
        <v>110.35</v>
      </c>
      <c r="V88" s="2538">
        <f t="shared" si="15"/>
        <v>220.7</v>
      </c>
      <c r="W88" s="2539">
        <f t="shared" si="16"/>
        <v>75</v>
      </c>
      <c r="X88" s="2539">
        <f t="shared" si="17"/>
        <v>75</v>
      </c>
      <c r="Y88" s="2539">
        <f t="shared" si="18"/>
        <v>150</v>
      </c>
      <c r="Z88" s="2955">
        <v>0.2</v>
      </c>
      <c r="AA88" s="2512">
        <v>30</v>
      </c>
      <c r="AB88" s="3234">
        <v>17.995845562668574</v>
      </c>
      <c r="AC88" s="2539">
        <f t="shared" si="19"/>
        <v>47.995845562668578</v>
      </c>
      <c r="AD88" s="2513"/>
      <c r="AE88" s="3235">
        <v>0</v>
      </c>
    </row>
    <row r="89" spans="8:31">
      <c r="H89" s="3214" t="s">
        <v>1042</v>
      </c>
      <c r="I89" s="3216">
        <v>22.23</v>
      </c>
      <c r="J89" s="2950" t="s">
        <v>120</v>
      </c>
      <c r="K89" s="2948" t="s">
        <v>909</v>
      </c>
      <c r="L89" s="2951">
        <v>15</v>
      </c>
      <c r="M89" s="2951">
        <v>15</v>
      </c>
      <c r="O89" s="2948">
        <v>12</v>
      </c>
      <c r="P89" s="2949" t="s">
        <v>954</v>
      </c>
      <c r="Q89" s="3167">
        <v>5</v>
      </c>
      <c r="R89" s="3167">
        <v>5</v>
      </c>
      <c r="S89" s="2952">
        <f t="shared" ref="S89:S114" si="20">SUM(Q89:R89)</f>
        <v>10</v>
      </c>
      <c r="T89" s="2952">
        <f t="shared" ref="T89:T114" si="21">Q89*I89</f>
        <v>111.15</v>
      </c>
      <c r="U89" s="2952">
        <f t="shared" ref="U89:U114" si="22">R89*I89</f>
        <v>111.15</v>
      </c>
      <c r="V89" s="2952">
        <f t="shared" ref="V89:V114" si="23">SUM(T89:U89)</f>
        <v>222.3</v>
      </c>
      <c r="W89" s="2954">
        <f t="shared" ref="W89:W114" si="24">Q89*M89</f>
        <v>75</v>
      </c>
      <c r="X89" s="2954">
        <f t="shared" ref="X89:X114" si="25">R89*M89</f>
        <v>75</v>
      </c>
      <c r="Y89" s="2954">
        <f t="shared" ref="Y89:Y114" si="26">SUM(W89:X89)</f>
        <v>150</v>
      </c>
      <c r="Z89" s="2956">
        <v>0.2</v>
      </c>
      <c r="AA89" s="2954">
        <v>30</v>
      </c>
      <c r="AB89" s="3234">
        <v>17.995845562668574</v>
      </c>
      <c r="AC89" s="2954">
        <f t="shared" ref="AC89:AC114" si="27">SUM(AA89:AB89)</f>
        <v>47.995845562668578</v>
      </c>
      <c r="AD89" s="2951"/>
      <c r="AE89" s="3235">
        <v>0</v>
      </c>
    </row>
    <row r="90" spans="8:31">
      <c r="H90" s="3228" t="s">
        <v>1043</v>
      </c>
      <c r="I90" s="3229">
        <v>1069</v>
      </c>
      <c r="J90" s="2950" t="s">
        <v>120</v>
      </c>
      <c r="K90" s="2948" t="s">
        <v>909</v>
      </c>
      <c r="L90" s="2951">
        <v>900</v>
      </c>
      <c r="M90" s="2951">
        <v>900</v>
      </c>
      <c r="O90" s="2948">
        <v>13</v>
      </c>
      <c r="P90" s="2949" t="s">
        <v>910</v>
      </c>
      <c r="Q90" s="3167">
        <v>1</v>
      </c>
      <c r="R90" s="3167">
        <v>1</v>
      </c>
      <c r="S90" s="2952">
        <f t="shared" si="20"/>
        <v>2</v>
      </c>
      <c r="T90" s="2952">
        <f t="shared" si="21"/>
        <v>1069</v>
      </c>
      <c r="U90" s="2952">
        <f t="shared" si="22"/>
        <v>1069</v>
      </c>
      <c r="V90" s="2952">
        <f t="shared" si="23"/>
        <v>2138</v>
      </c>
      <c r="W90" s="2954">
        <f t="shared" si="24"/>
        <v>900</v>
      </c>
      <c r="X90" s="2954">
        <f t="shared" si="25"/>
        <v>900</v>
      </c>
      <c r="Y90" s="2954">
        <f t="shared" si="26"/>
        <v>1800</v>
      </c>
      <c r="Z90" s="2956">
        <v>0.2</v>
      </c>
      <c r="AA90" s="2954">
        <v>360</v>
      </c>
      <c r="AB90" s="3234">
        <v>215.9501467520229</v>
      </c>
      <c r="AC90" s="2954">
        <f t="shared" si="27"/>
        <v>575.95014675202287</v>
      </c>
      <c r="AD90" s="2951"/>
      <c r="AE90" s="3235">
        <v>0</v>
      </c>
    </row>
    <row r="91" spans="8:31">
      <c r="H91" s="3228" t="s">
        <v>1044</v>
      </c>
      <c r="I91" s="3229">
        <v>1069</v>
      </c>
      <c r="J91" s="2950" t="s">
        <v>120</v>
      </c>
      <c r="K91" s="2948" t="s">
        <v>909</v>
      </c>
      <c r="L91" s="2951">
        <v>900</v>
      </c>
      <c r="M91" s="2951">
        <v>900</v>
      </c>
      <c r="O91" s="2948">
        <v>13</v>
      </c>
      <c r="P91" s="2949" t="s">
        <v>910</v>
      </c>
      <c r="Q91" s="3167">
        <v>1</v>
      </c>
      <c r="R91" s="3167">
        <v>1</v>
      </c>
      <c r="S91" s="2952">
        <f t="shared" si="20"/>
        <v>2</v>
      </c>
      <c r="T91" s="2952">
        <f t="shared" si="21"/>
        <v>1069</v>
      </c>
      <c r="U91" s="2952">
        <f t="shared" si="22"/>
        <v>1069</v>
      </c>
      <c r="V91" s="2952">
        <f t="shared" si="23"/>
        <v>2138</v>
      </c>
      <c r="W91" s="2954">
        <f t="shared" si="24"/>
        <v>900</v>
      </c>
      <c r="X91" s="2954">
        <f t="shared" si="25"/>
        <v>900</v>
      </c>
      <c r="Y91" s="2954">
        <f t="shared" si="26"/>
        <v>1800</v>
      </c>
      <c r="Z91" s="2956">
        <v>0.2</v>
      </c>
      <c r="AA91" s="2954">
        <v>360</v>
      </c>
      <c r="AB91" s="3234">
        <v>215.9501467520229</v>
      </c>
      <c r="AC91" s="2954">
        <f t="shared" si="27"/>
        <v>575.95014675202287</v>
      </c>
      <c r="AD91" s="2951"/>
      <c r="AE91" s="3235">
        <v>0</v>
      </c>
    </row>
    <row r="92" spans="8:31">
      <c r="H92" s="3228" t="s">
        <v>1045</v>
      </c>
      <c r="I92" s="3229">
        <v>1518</v>
      </c>
      <c r="J92" s="2950" t="s">
        <v>120</v>
      </c>
      <c r="K92" s="2948" t="s">
        <v>909</v>
      </c>
      <c r="L92" s="2951">
        <v>1369</v>
      </c>
      <c r="M92" s="2951">
        <v>1369</v>
      </c>
      <c r="O92" s="2948">
        <v>13</v>
      </c>
      <c r="P92" s="2949" t="s">
        <v>910</v>
      </c>
      <c r="Q92" s="3167">
        <v>1</v>
      </c>
      <c r="R92" s="3167">
        <v>1</v>
      </c>
      <c r="S92" s="2952">
        <f t="shared" si="20"/>
        <v>2</v>
      </c>
      <c r="T92" s="2952">
        <f t="shared" si="21"/>
        <v>1518</v>
      </c>
      <c r="U92" s="2952">
        <f t="shared" si="22"/>
        <v>1518</v>
      </c>
      <c r="V92" s="2952">
        <f t="shared" si="23"/>
        <v>3036</v>
      </c>
      <c r="W92" s="2954">
        <f t="shared" si="24"/>
        <v>1369</v>
      </c>
      <c r="X92" s="2954">
        <f t="shared" si="25"/>
        <v>1369</v>
      </c>
      <c r="Y92" s="2954">
        <f t="shared" si="26"/>
        <v>2738</v>
      </c>
      <c r="Z92" s="2956">
        <v>0.2</v>
      </c>
      <c r="AA92" s="2954">
        <v>547.6</v>
      </c>
      <c r="AB92" s="3234">
        <v>328.48416767057705</v>
      </c>
      <c r="AC92" s="2954">
        <f t="shared" si="27"/>
        <v>876.08416767057702</v>
      </c>
      <c r="AD92" s="2951"/>
      <c r="AE92" s="3235">
        <v>0</v>
      </c>
    </row>
    <row r="93" spans="8:31">
      <c r="H93" s="3228" t="s">
        <v>1046</v>
      </c>
      <c r="I93" s="3229">
        <v>1518</v>
      </c>
      <c r="J93" s="2950" t="s">
        <v>120</v>
      </c>
      <c r="K93" s="2948" t="s">
        <v>909</v>
      </c>
      <c r="L93" s="2951">
        <v>1369</v>
      </c>
      <c r="M93" s="2951">
        <v>1369</v>
      </c>
      <c r="O93" s="2948">
        <v>13</v>
      </c>
      <c r="P93" s="2949" t="s">
        <v>910</v>
      </c>
      <c r="Q93" s="3167">
        <v>1</v>
      </c>
      <c r="R93" s="3167">
        <v>1</v>
      </c>
      <c r="S93" s="2952">
        <f t="shared" si="20"/>
        <v>2</v>
      </c>
      <c r="T93" s="2952">
        <f t="shared" si="21"/>
        <v>1518</v>
      </c>
      <c r="U93" s="2952">
        <f t="shared" si="22"/>
        <v>1518</v>
      </c>
      <c r="V93" s="2952">
        <f t="shared" si="23"/>
        <v>3036</v>
      </c>
      <c r="W93" s="2954">
        <f t="shared" si="24"/>
        <v>1369</v>
      </c>
      <c r="X93" s="2954">
        <f t="shared" si="25"/>
        <v>1369</v>
      </c>
      <c r="Y93" s="2954">
        <f t="shared" si="26"/>
        <v>2738</v>
      </c>
      <c r="Z93" s="2956">
        <v>0.2</v>
      </c>
      <c r="AA93" s="2954">
        <v>547.6</v>
      </c>
      <c r="AB93" s="3234">
        <v>328.48416767057705</v>
      </c>
      <c r="AC93" s="2954">
        <f t="shared" si="27"/>
        <v>876.08416767057702</v>
      </c>
      <c r="AD93" s="2951"/>
      <c r="AE93" s="3235">
        <v>0</v>
      </c>
    </row>
    <row r="94" spans="8:31">
      <c r="H94" s="3228" t="s">
        <v>1047</v>
      </c>
      <c r="I94" s="3230">
        <v>216</v>
      </c>
      <c r="J94" s="2950" t="s">
        <v>120</v>
      </c>
      <c r="K94" s="2948" t="s">
        <v>909</v>
      </c>
      <c r="L94" s="2951">
        <v>55</v>
      </c>
      <c r="M94" s="2951">
        <v>55</v>
      </c>
      <c r="O94" s="2948">
        <v>5</v>
      </c>
      <c r="P94" s="2949" t="s">
        <v>952</v>
      </c>
      <c r="Q94" s="3167">
        <v>50</v>
      </c>
      <c r="R94" s="3167">
        <v>50</v>
      </c>
      <c r="S94" s="2952">
        <f t="shared" si="20"/>
        <v>100</v>
      </c>
      <c r="T94" s="2952">
        <f t="shared" si="21"/>
        <v>10800</v>
      </c>
      <c r="U94" s="2952">
        <f t="shared" si="22"/>
        <v>10800</v>
      </c>
      <c r="V94" s="2952">
        <f t="shared" si="23"/>
        <v>21600</v>
      </c>
      <c r="W94" s="2954">
        <f t="shared" si="24"/>
        <v>2750</v>
      </c>
      <c r="X94" s="2954">
        <f t="shared" si="25"/>
        <v>2750</v>
      </c>
      <c r="Y94" s="2954">
        <f t="shared" si="26"/>
        <v>5500</v>
      </c>
      <c r="Z94" s="2956">
        <v>0.2</v>
      </c>
      <c r="AA94" s="2954">
        <v>1100</v>
      </c>
      <c r="AB94" s="3234">
        <v>659.84767063118113</v>
      </c>
      <c r="AC94" s="2954">
        <f t="shared" si="27"/>
        <v>1759.8476706311812</v>
      </c>
      <c r="AD94" s="2951"/>
      <c r="AE94" s="3235">
        <v>0</v>
      </c>
    </row>
    <row r="95" spans="8:31">
      <c r="H95" s="3228" t="s">
        <v>1048</v>
      </c>
      <c r="I95" s="3230">
        <v>216</v>
      </c>
      <c r="J95" s="2950" t="s">
        <v>120</v>
      </c>
      <c r="K95" s="2948" t="s">
        <v>909</v>
      </c>
      <c r="L95" s="2951">
        <v>55</v>
      </c>
      <c r="M95" s="2951">
        <v>55</v>
      </c>
      <c r="O95" s="2948">
        <v>5</v>
      </c>
      <c r="P95" s="2949" t="s">
        <v>952</v>
      </c>
      <c r="Q95" s="3167">
        <v>150</v>
      </c>
      <c r="R95" s="3167">
        <v>150</v>
      </c>
      <c r="S95" s="2952">
        <f t="shared" si="20"/>
        <v>300</v>
      </c>
      <c r="T95" s="2952">
        <f t="shared" si="21"/>
        <v>32400</v>
      </c>
      <c r="U95" s="2952">
        <f t="shared" si="22"/>
        <v>32400</v>
      </c>
      <c r="V95" s="2952">
        <f t="shared" si="23"/>
        <v>64800</v>
      </c>
      <c r="W95" s="2954">
        <f t="shared" si="24"/>
        <v>8250</v>
      </c>
      <c r="X95" s="2954">
        <f t="shared" si="25"/>
        <v>8250</v>
      </c>
      <c r="Y95" s="2954">
        <f t="shared" si="26"/>
        <v>16500</v>
      </c>
      <c r="Z95" s="2956">
        <v>0.2</v>
      </c>
      <c r="AA95" s="2954">
        <v>3300</v>
      </c>
      <c r="AB95" s="3234">
        <v>1979.5430118935431</v>
      </c>
      <c r="AC95" s="2954">
        <f t="shared" si="27"/>
        <v>5279.5430118935428</v>
      </c>
      <c r="AD95" s="2951"/>
      <c r="AE95" s="3235">
        <v>0</v>
      </c>
    </row>
    <row r="96" spans="8:31">
      <c r="H96" s="3228" t="s">
        <v>1049</v>
      </c>
      <c r="I96" s="3230">
        <v>216</v>
      </c>
      <c r="J96" s="2950" t="s">
        <v>120</v>
      </c>
      <c r="K96" s="2948" t="s">
        <v>909</v>
      </c>
      <c r="L96" s="2951">
        <v>55</v>
      </c>
      <c r="M96" s="2951">
        <v>55</v>
      </c>
      <c r="O96" s="2948">
        <v>5</v>
      </c>
      <c r="P96" s="2949" t="s">
        <v>952</v>
      </c>
      <c r="Q96" s="3167">
        <v>75</v>
      </c>
      <c r="R96" s="3167">
        <v>75</v>
      </c>
      <c r="S96" s="2952">
        <f t="shared" si="20"/>
        <v>150</v>
      </c>
      <c r="T96" s="2952">
        <f t="shared" si="21"/>
        <v>16200</v>
      </c>
      <c r="U96" s="2952">
        <f t="shared" si="22"/>
        <v>16200</v>
      </c>
      <c r="V96" s="2952">
        <f t="shared" si="23"/>
        <v>32400</v>
      </c>
      <c r="W96" s="2954">
        <f t="shared" si="24"/>
        <v>4125</v>
      </c>
      <c r="X96" s="2954">
        <f t="shared" si="25"/>
        <v>4125</v>
      </c>
      <c r="Y96" s="2954">
        <f t="shared" si="26"/>
        <v>8250</v>
      </c>
      <c r="Z96" s="2956">
        <v>0.2</v>
      </c>
      <c r="AA96" s="2954">
        <v>1650</v>
      </c>
      <c r="AB96" s="3234">
        <v>989.77150594677153</v>
      </c>
      <c r="AC96" s="2954">
        <f t="shared" si="27"/>
        <v>2639.7715059467714</v>
      </c>
      <c r="AD96" s="2951"/>
      <c r="AE96" s="3235">
        <v>0</v>
      </c>
    </row>
    <row r="97" spans="8:31">
      <c r="H97" s="3228" t="s">
        <v>1050</v>
      </c>
      <c r="I97" s="3229">
        <v>22.63</v>
      </c>
      <c r="J97" s="2950" t="s">
        <v>120</v>
      </c>
      <c r="K97" s="2948" t="s">
        <v>909</v>
      </c>
      <c r="L97" s="2951">
        <v>15</v>
      </c>
      <c r="M97" s="2951">
        <v>15</v>
      </c>
      <c r="O97" s="2948">
        <v>12</v>
      </c>
      <c r="P97" s="2949" t="s">
        <v>954</v>
      </c>
      <c r="Q97" s="3167">
        <v>15</v>
      </c>
      <c r="R97" s="3167">
        <v>15</v>
      </c>
      <c r="S97" s="2952">
        <f t="shared" si="20"/>
        <v>30</v>
      </c>
      <c r="T97" s="2952">
        <f t="shared" si="21"/>
        <v>339.45</v>
      </c>
      <c r="U97" s="2952">
        <f t="shared" si="22"/>
        <v>339.45</v>
      </c>
      <c r="V97" s="2952">
        <f t="shared" si="23"/>
        <v>678.9</v>
      </c>
      <c r="W97" s="2954">
        <f t="shared" si="24"/>
        <v>225</v>
      </c>
      <c r="X97" s="2954">
        <f t="shared" si="25"/>
        <v>225</v>
      </c>
      <c r="Y97" s="2954">
        <f t="shared" si="26"/>
        <v>450</v>
      </c>
      <c r="Z97" s="2956">
        <v>0.2</v>
      </c>
      <c r="AA97" s="2954">
        <v>90</v>
      </c>
      <c r="AB97" s="3234">
        <v>53.987536688005726</v>
      </c>
      <c r="AC97" s="2954">
        <f t="shared" si="27"/>
        <v>143.98753668800572</v>
      </c>
      <c r="AD97" s="2951"/>
      <c r="AE97" s="3235">
        <v>0</v>
      </c>
    </row>
    <row r="98" spans="8:31">
      <c r="H98" s="3228" t="s">
        <v>1051</v>
      </c>
      <c r="I98" s="3229">
        <v>17.899999999999999</v>
      </c>
      <c r="J98" s="2950" t="s">
        <v>120</v>
      </c>
      <c r="K98" s="2948" t="s">
        <v>909</v>
      </c>
      <c r="L98" s="2951">
        <v>15</v>
      </c>
      <c r="M98" s="2951">
        <v>15</v>
      </c>
      <c r="O98" s="2948">
        <v>12</v>
      </c>
      <c r="P98" s="2949" t="s">
        <v>954</v>
      </c>
      <c r="Q98" s="3167">
        <v>10</v>
      </c>
      <c r="R98" s="3167">
        <v>10</v>
      </c>
      <c r="S98" s="2952">
        <f t="shared" si="20"/>
        <v>20</v>
      </c>
      <c r="T98" s="2952">
        <f t="shared" si="21"/>
        <v>179</v>
      </c>
      <c r="U98" s="2952">
        <f t="shared" si="22"/>
        <v>179</v>
      </c>
      <c r="V98" s="2952">
        <f t="shared" si="23"/>
        <v>358</v>
      </c>
      <c r="W98" s="2954">
        <f t="shared" si="24"/>
        <v>150</v>
      </c>
      <c r="X98" s="2954">
        <f t="shared" si="25"/>
        <v>150</v>
      </c>
      <c r="Y98" s="2954">
        <f t="shared" si="26"/>
        <v>300</v>
      </c>
      <c r="Z98" s="2956">
        <v>0.2</v>
      </c>
      <c r="AA98" s="2954">
        <v>60</v>
      </c>
      <c r="AB98" s="3234">
        <v>35.991691125337148</v>
      </c>
      <c r="AC98" s="2954">
        <f t="shared" si="27"/>
        <v>95.991691125337155</v>
      </c>
      <c r="AD98" s="2951"/>
      <c r="AE98" s="3235">
        <v>0</v>
      </c>
    </row>
    <row r="99" spans="8:31">
      <c r="H99" s="3228" t="s">
        <v>1052</v>
      </c>
      <c r="I99" s="3229">
        <v>19.03</v>
      </c>
      <c r="J99" s="2950" t="s">
        <v>120</v>
      </c>
      <c r="K99" s="2948" t="s">
        <v>909</v>
      </c>
      <c r="L99" s="2951">
        <v>15</v>
      </c>
      <c r="M99" s="2951">
        <v>15</v>
      </c>
      <c r="O99" s="2948">
        <v>12</v>
      </c>
      <c r="P99" s="2949" t="s">
        <v>954</v>
      </c>
      <c r="Q99" s="3167">
        <v>10</v>
      </c>
      <c r="R99" s="3167">
        <v>10</v>
      </c>
      <c r="S99" s="2952">
        <f t="shared" si="20"/>
        <v>20</v>
      </c>
      <c r="T99" s="2952">
        <f t="shared" si="21"/>
        <v>190.3</v>
      </c>
      <c r="U99" s="2952">
        <f t="shared" si="22"/>
        <v>190.3</v>
      </c>
      <c r="V99" s="2952">
        <f t="shared" si="23"/>
        <v>380.6</v>
      </c>
      <c r="W99" s="2954">
        <f t="shared" si="24"/>
        <v>150</v>
      </c>
      <c r="X99" s="2954">
        <f t="shared" si="25"/>
        <v>150</v>
      </c>
      <c r="Y99" s="2954">
        <f t="shared" si="26"/>
        <v>300</v>
      </c>
      <c r="Z99" s="2956">
        <v>0.2</v>
      </c>
      <c r="AA99" s="2954">
        <v>60</v>
      </c>
      <c r="AB99" s="3234">
        <v>35.991691125337148</v>
      </c>
      <c r="AC99" s="2954">
        <f t="shared" si="27"/>
        <v>95.991691125337155</v>
      </c>
      <c r="AD99" s="2951"/>
      <c r="AE99" s="3235">
        <v>0</v>
      </c>
    </row>
    <row r="100" spans="8:31">
      <c r="H100" s="3228" t="s">
        <v>1053</v>
      </c>
      <c r="I100" s="3229">
        <v>19.68</v>
      </c>
      <c r="J100" s="2950" t="s">
        <v>120</v>
      </c>
      <c r="K100" s="2948" t="s">
        <v>909</v>
      </c>
      <c r="L100" s="2951">
        <v>15</v>
      </c>
      <c r="M100" s="2951">
        <v>15</v>
      </c>
      <c r="O100" s="2948">
        <v>12</v>
      </c>
      <c r="P100" s="2949" t="s">
        <v>954</v>
      </c>
      <c r="Q100" s="3167">
        <v>10</v>
      </c>
      <c r="R100" s="3167">
        <v>10</v>
      </c>
      <c r="S100" s="2952">
        <f t="shared" si="20"/>
        <v>20</v>
      </c>
      <c r="T100" s="2952">
        <f t="shared" si="21"/>
        <v>196.8</v>
      </c>
      <c r="U100" s="2952">
        <f t="shared" si="22"/>
        <v>196.8</v>
      </c>
      <c r="V100" s="2952">
        <f t="shared" si="23"/>
        <v>393.6</v>
      </c>
      <c r="W100" s="2954">
        <f t="shared" si="24"/>
        <v>150</v>
      </c>
      <c r="X100" s="2954">
        <f t="shared" si="25"/>
        <v>150</v>
      </c>
      <c r="Y100" s="2954">
        <f t="shared" si="26"/>
        <v>300</v>
      </c>
      <c r="Z100" s="2956">
        <v>0.2</v>
      </c>
      <c r="AA100" s="2954">
        <v>60</v>
      </c>
      <c r="AB100" s="3234">
        <v>35.991691125337148</v>
      </c>
      <c r="AC100" s="2954">
        <f t="shared" si="27"/>
        <v>95.991691125337155</v>
      </c>
      <c r="AD100" s="2951"/>
      <c r="AE100" s="3235">
        <v>0</v>
      </c>
    </row>
    <row r="101" spans="8:31">
      <c r="H101" s="3228" t="s">
        <v>1054</v>
      </c>
      <c r="I101" s="3229">
        <v>33.39</v>
      </c>
      <c r="J101" s="2950" t="s">
        <v>120</v>
      </c>
      <c r="K101" s="2948" t="s">
        <v>909</v>
      </c>
      <c r="L101" s="2951">
        <v>15</v>
      </c>
      <c r="M101" s="2951">
        <v>15</v>
      </c>
      <c r="O101" s="2948">
        <v>12</v>
      </c>
      <c r="P101" s="2949" t="s">
        <v>954</v>
      </c>
      <c r="Q101" s="3167">
        <v>10</v>
      </c>
      <c r="R101" s="3167">
        <v>10</v>
      </c>
      <c r="S101" s="2952">
        <f t="shared" si="20"/>
        <v>20</v>
      </c>
      <c r="T101" s="2952">
        <f t="shared" si="21"/>
        <v>333.9</v>
      </c>
      <c r="U101" s="2952">
        <f t="shared" si="22"/>
        <v>333.9</v>
      </c>
      <c r="V101" s="2952">
        <f t="shared" si="23"/>
        <v>667.8</v>
      </c>
      <c r="W101" s="2954">
        <f t="shared" si="24"/>
        <v>150</v>
      </c>
      <c r="X101" s="2954">
        <f t="shared" si="25"/>
        <v>150</v>
      </c>
      <c r="Y101" s="2954">
        <f t="shared" si="26"/>
        <v>300</v>
      </c>
      <c r="Z101" s="2956">
        <v>0.2</v>
      </c>
      <c r="AA101" s="2954">
        <v>60</v>
      </c>
      <c r="AB101" s="3234">
        <v>35.991691125337148</v>
      </c>
      <c r="AC101" s="2954">
        <f t="shared" si="27"/>
        <v>95.991691125337155</v>
      </c>
      <c r="AD101" s="2951"/>
      <c r="AE101" s="3235">
        <v>0</v>
      </c>
    </row>
    <row r="102" spans="8:31">
      <c r="H102" s="3231"/>
      <c r="I102" s="3232"/>
      <c r="J102" s="2950" t="s">
        <v>120</v>
      </c>
      <c r="K102" s="2948"/>
      <c r="L102" s="2951"/>
      <c r="M102" s="2951"/>
      <c r="O102" s="2948"/>
      <c r="P102" s="2949"/>
      <c r="Q102" s="3167"/>
      <c r="R102" s="3167"/>
      <c r="S102" s="2952">
        <f t="shared" si="20"/>
        <v>0</v>
      </c>
      <c r="T102" s="2952">
        <f t="shared" si="21"/>
        <v>0</v>
      </c>
      <c r="U102" s="2952">
        <f t="shared" si="22"/>
        <v>0</v>
      </c>
      <c r="V102" s="2952">
        <f t="shared" si="23"/>
        <v>0</v>
      </c>
      <c r="W102" s="2954">
        <f t="shared" si="24"/>
        <v>0</v>
      </c>
      <c r="X102" s="2954">
        <f t="shared" si="25"/>
        <v>0</v>
      </c>
      <c r="Y102" s="2954">
        <f t="shared" si="26"/>
        <v>0</v>
      </c>
      <c r="Z102" s="2956">
        <v>0.2</v>
      </c>
      <c r="AA102" s="2954" t="s">
        <v>241</v>
      </c>
      <c r="AB102" s="3234" t="s">
        <v>241</v>
      </c>
      <c r="AC102" s="2954">
        <f t="shared" si="27"/>
        <v>0</v>
      </c>
      <c r="AD102" s="2951"/>
      <c r="AE102" s="3235">
        <v>0</v>
      </c>
    </row>
    <row r="103" spans="8:31">
      <c r="H103" s="3228" t="s">
        <v>1055</v>
      </c>
      <c r="I103" s="3229">
        <v>36.729999999999997</v>
      </c>
      <c r="J103" s="2950" t="s">
        <v>120</v>
      </c>
      <c r="K103" s="2948" t="s">
        <v>909</v>
      </c>
      <c r="L103" s="2951">
        <v>2.1</v>
      </c>
      <c r="M103" s="2951">
        <v>2.1</v>
      </c>
      <c r="O103" s="2948">
        <v>10</v>
      </c>
      <c r="P103" s="2949" t="s">
        <v>910</v>
      </c>
      <c r="Q103" s="3167">
        <v>75</v>
      </c>
      <c r="R103" s="3167">
        <v>75</v>
      </c>
      <c r="S103" s="2952">
        <f t="shared" si="20"/>
        <v>150</v>
      </c>
      <c r="T103" s="2952">
        <f t="shared" si="21"/>
        <v>2754.7499999999995</v>
      </c>
      <c r="U103" s="2952">
        <f t="shared" si="22"/>
        <v>2754.7499999999995</v>
      </c>
      <c r="V103" s="2952">
        <f t="shared" si="23"/>
        <v>5509.4999999999991</v>
      </c>
      <c r="W103" s="2954">
        <f t="shared" si="24"/>
        <v>157.5</v>
      </c>
      <c r="X103" s="2954">
        <f t="shared" si="25"/>
        <v>157.5</v>
      </c>
      <c r="Y103" s="2954">
        <f t="shared" si="26"/>
        <v>315</v>
      </c>
      <c r="Z103" s="2956">
        <v>0.2</v>
      </c>
      <c r="AA103" s="2954">
        <v>63</v>
      </c>
      <c r="AB103" s="3234">
        <v>37.791275681604006</v>
      </c>
      <c r="AC103" s="2954">
        <f t="shared" si="27"/>
        <v>100.79127568160401</v>
      </c>
      <c r="AD103" s="2951"/>
      <c r="AE103" s="3235">
        <v>3.97</v>
      </c>
    </row>
    <row r="104" spans="8:31">
      <c r="H104" s="3228" t="s">
        <v>1056</v>
      </c>
      <c r="I104" s="3229">
        <v>44.84</v>
      </c>
      <c r="J104" s="2950" t="s">
        <v>120</v>
      </c>
      <c r="K104" s="2948" t="s">
        <v>909</v>
      </c>
      <c r="L104" s="2951">
        <v>2.1</v>
      </c>
      <c r="M104" s="2951">
        <v>2.1</v>
      </c>
      <c r="O104" s="2948">
        <v>10</v>
      </c>
      <c r="P104" s="2949" t="s">
        <v>910</v>
      </c>
      <c r="Q104" s="3167">
        <v>200</v>
      </c>
      <c r="R104" s="3167">
        <v>200</v>
      </c>
      <c r="S104" s="2952">
        <f t="shared" si="20"/>
        <v>400</v>
      </c>
      <c r="T104" s="2952">
        <f t="shared" si="21"/>
        <v>8968</v>
      </c>
      <c r="U104" s="2952">
        <f t="shared" si="22"/>
        <v>8968</v>
      </c>
      <c r="V104" s="2952">
        <f t="shared" si="23"/>
        <v>17936</v>
      </c>
      <c r="W104" s="2954">
        <f t="shared" si="24"/>
        <v>420</v>
      </c>
      <c r="X104" s="2954">
        <f t="shared" si="25"/>
        <v>420</v>
      </c>
      <c r="Y104" s="2954">
        <f t="shared" si="26"/>
        <v>840</v>
      </c>
      <c r="Z104" s="2956">
        <v>0.2</v>
      </c>
      <c r="AA104" s="2954">
        <v>168</v>
      </c>
      <c r="AB104" s="3234">
        <v>100.77673515094403</v>
      </c>
      <c r="AC104" s="2954">
        <f t="shared" si="27"/>
        <v>268.77673515094403</v>
      </c>
      <c r="AD104" s="2951"/>
      <c r="AE104" s="3235">
        <v>4.8499999999999996</v>
      </c>
    </row>
    <row r="105" spans="8:31">
      <c r="H105" s="3228" t="s">
        <v>1057</v>
      </c>
      <c r="I105" s="3229">
        <v>36.729999999999997</v>
      </c>
      <c r="J105" s="2950" t="s">
        <v>120</v>
      </c>
      <c r="K105" s="2948" t="s">
        <v>909</v>
      </c>
      <c r="L105" s="2951">
        <v>2.1</v>
      </c>
      <c r="M105" s="2951">
        <v>2.1</v>
      </c>
      <c r="O105" s="2948">
        <v>10</v>
      </c>
      <c r="P105" s="2949" t="s">
        <v>910</v>
      </c>
      <c r="Q105" s="3167">
        <v>75</v>
      </c>
      <c r="R105" s="3167">
        <v>75</v>
      </c>
      <c r="S105" s="2952">
        <f t="shared" si="20"/>
        <v>150</v>
      </c>
      <c r="T105" s="2952">
        <f t="shared" si="21"/>
        <v>2754.7499999999995</v>
      </c>
      <c r="U105" s="2952">
        <f t="shared" si="22"/>
        <v>2754.7499999999995</v>
      </c>
      <c r="V105" s="2952">
        <f t="shared" si="23"/>
        <v>5509.4999999999991</v>
      </c>
      <c r="W105" s="2954">
        <f t="shared" si="24"/>
        <v>157.5</v>
      </c>
      <c r="X105" s="2954">
        <f t="shared" si="25"/>
        <v>157.5</v>
      </c>
      <c r="Y105" s="2954">
        <f t="shared" si="26"/>
        <v>315</v>
      </c>
      <c r="Z105" s="2956">
        <v>0.2</v>
      </c>
      <c r="AA105" s="2954">
        <v>63</v>
      </c>
      <c r="AB105" s="3234">
        <v>37.791275681604006</v>
      </c>
      <c r="AC105" s="2954">
        <f t="shared" si="27"/>
        <v>100.79127568160401</v>
      </c>
      <c r="AD105" s="2951"/>
      <c r="AE105" s="3235">
        <v>3.97</v>
      </c>
    </row>
    <row r="106" spans="8:31">
      <c r="H106" s="3228" t="s">
        <v>1058</v>
      </c>
      <c r="I106" s="3232"/>
      <c r="J106" s="2950" t="s">
        <v>120</v>
      </c>
      <c r="K106" s="2948" t="s">
        <v>909</v>
      </c>
      <c r="L106" s="2951"/>
      <c r="M106" s="2951"/>
      <c r="O106" s="2948"/>
      <c r="P106" s="2949"/>
      <c r="Q106" s="3167"/>
      <c r="R106" s="3167"/>
      <c r="S106" s="2952">
        <f t="shared" si="20"/>
        <v>0</v>
      </c>
      <c r="T106" s="2952">
        <f t="shared" si="21"/>
        <v>0</v>
      </c>
      <c r="U106" s="2952">
        <f t="shared" si="22"/>
        <v>0</v>
      </c>
      <c r="V106" s="2952">
        <f t="shared" si="23"/>
        <v>0</v>
      </c>
      <c r="W106" s="2954">
        <f t="shared" si="24"/>
        <v>0</v>
      </c>
      <c r="X106" s="2954">
        <f t="shared" si="25"/>
        <v>0</v>
      </c>
      <c r="Y106" s="2954">
        <f t="shared" si="26"/>
        <v>0</v>
      </c>
      <c r="Z106" s="2956">
        <v>0.2</v>
      </c>
      <c r="AA106" s="2954" t="s">
        <v>241</v>
      </c>
      <c r="AB106" s="3234" t="s">
        <v>241</v>
      </c>
      <c r="AC106" s="2954">
        <f t="shared" si="27"/>
        <v>0</v>
      </c>
      <c r="AD106" s="2951"/>
      <c r="AE106" s="3235">
        <v>0</v>
      </c>
    </row>
    <row r="107" spans="8:31">
      <c r="H107" s="3227" t="s">
        <v>1059</v>
      </c>
      <c r="I107" s="3229">
        <v>2.23</v>
      </c>
      <c r="J107" s="2950" t="s">
        <v>120</v>
      </c>
      <c r="K107" s="2948" t="s">
        <v>1067</v>
      </c>
      <c r="L107" s="2951">
        <v>2.4300000000000002</v>
      </c>
      <c r="M107" s="2951">
        <v>2.4300000000000002</v>
      </c>
      <c r="O107" s="2948">
        <v>30</v>
      </c>
      <c r="P107" s="2949" t="s">
        <v>1069</v>
      </c>
      <c r="Q107" s="3167">
        <v>7119</v>
      </c>
      <c r="R107" s="3167">
        <v>7119</v>
      </c>
      <c r="S107" s="2952">
        <f t="shared" si="20"/>
        <v>14238</v>
      </c>
      <c r="T107" s="2952">
        <f t="shared" si="21"/>
        <v>15875.369999999999</v>
      </c>
      <c r="U107" s="2952">
        <f t="shared" si="22"/>
        <v>15875.369999999999</v>
      </c>
      <c r="V107" s="2952">
        <f t="shared" si="23"/>
        <v>31750.739999999998</v>
      </c>
      <c r="W107" s="2954">
        <f t="shared" si="24"/>
        <v>17299.170000000002</v>
      </c>
      <c r="X107" s="2954">
        <f t="shared" si="25"/>
        <v>17299.170000000002</v>
      </c>
      <c r="Y107" s="2954">
        <f t="shared" si="26"/>
        <v>34598.340000000004</v>
      </c>
      <c r="Z107" s="2956">
        <v>0.2</v>
      </c>
      <c r="AA107" s="2954">
        <v>6919.6680000000015</v>
      </c>
      <c r="AB107" s="3234">
        <v>4150.8425557646578</v>
      </c>
      <c r="AC107" s="2954">
        <f t="shared" si="27"/>
        <v>11070.51055576466</v>
      </c>
      <c r="AD107" s="2951"/>
      <c r="AE107" s="3235">
        <v>3.1919350594928661E-2</v>
      </c>
    </row>
    <row r="108" spans="8:31">
      <c r="H108" s="3227" t="s">
        <v>1060</v>
      </c>
      <c r="I108" s="3229">
        <v>2.31</v>
      </c>
      <c r="J108" s="2950" t="s">
        <v>120</v>
      </c>
      <c r="K108" s="2948" t="s">
        <v>1067</v>
      </c>
      <c r="L108" s="2951">
        <v>2.4300000000000002</v>
      </c>
      <c r="M108" s="2951">
        <v>2.4300000000000002</v>
      </c>
      <c r="O108" s="2948">
        <v>30</v>
      </c>
      <c r="P108" s="2949" t="s">
        <v>1070</v>
      </c>
      <c r="Q108" s="3167">
        <v>2000</v>
      </c>
      <c r="R108" s="3167">
        <v>2000</v>
      </c>
      <c r="S108" s="2952">
        <f t="shared" si="20"/>
        <v>4000</v>
      </c>
      <c r="T108" s="2952">
        <f t="shared" si="21"/>
        <v>4620</v>
      </c>
      <c r="U108" s="2952">
        <f t="shared" si="22"/>
        <v>4620</v>
      </c>
      <c r="V108" s="2952">
        <f t="shared" si="23"/>
        <v>9240</v>
      </c>
      <c r="W108" s="2954">
        <f t="shared" si="24"/>
        <v>4860</v>
      </c>
      <c r="X108" s="2954">
        <f t="shared" si="25"/>
        <v>4860</v>
      </c>
      <c r="Y108" s="2954">
        <f t="shared" si="26"/>
        <v>9720</v>
      </c>
      <c r="Z108" s="2956">
        <v>0.2</v>
      </c>
      <c r="AA108" s="2954">
        <v>1944.0000000000002</v>
      </c>
      <c r="AB108" s="3234">
        <v>1166.1307924609237</v>
      </c>
      <c r="AC108" s="2954">
        <f t="shared" si="27"/>
        <v>3110.1307924609237</v>
      </c>
      <c r="AD108" s="2951"/>
      <c r="AE108" s="3235">
        <v>0</v>
      </c>
    </row>
    <row r="109" spans="8:31">
      <c r="H109" s="3227" t="s">
        <v>1061</v>
      </c>
      <c r="I109" s="3229">
        <v>0.51</v>
      </c>
      <c r="J109" s="2950" t="s">
        <v>120</v>
      </c>
      <c r="K109" s="2948" t="s">
        <v>1067</v>
      </c>
      <c r="L109" s="2951">
        <v>1.95</v>
      </c>
      <c r="M109" s="2951">
        <v>1.95</v>
      </c>
      <c r="O109" s="2948">
        <v>30</v>
      </c>
      <c r="P109" s="2949" t="s">
        <v>1069</v>
      </c>
      <c r="Q109" s="3167">
        <v>7000</v>
      </c>
      <c r="R109" s="3167">
        <v>7000</v>
      </c>
      <c r="S109" s="2952">
        <f t="shared" si="20"/>
        <v>14000</v>
      </c>
      <c r="T109" s="2952">
        <f t="shared" si="21"/>
        <v>3570</v>
      </c>
      <c r="U109" s="2952">
        <f t="shared" si="22"/>
        <v>3570</v>
      </c>
      <c r="V109" s="2952">
        <f t="shared" si="23"/>
        <v>7140</v>
      </c>
      <c r="W109" s="2954">
        <f t="shared" si="24"/>
        <v>13650</v>
      </c>
      <c r="X109" s="2954">
        <f t="shared" si="25"/>
        <v>13650</v>
      </c>
      <c r="Y109" s="2954">
        <f t="shared" si="26"/>
        <v>27300</v>
      </c>
      <c r="Z109" s="2956">
        <v>0.2</v>
      </c>
      <c r="AA109" s="2954">
        <v>5460</v>
      </c>
      <c r="AB109" s="3234">
        <v>3275.2438924056805</v>
      </c>
      <c r="AC109" s="2954">
        <f t="shared" si="27"/>
        <v>8735.2438924056805</v>
      </c>
      <c r="AD109" s="2951"/>
      <c r="AE109" s="3235">
        <v>7.4153226467526482E-3</v>
      </c>
    </row>
    <row r="110" spans="8:31">
      <c r="H110" s="3227" t="s">
        <v>1062</v>
      </c>
      <c r="I110" s="3229">
        <v>0.72</v>
      </c>
      <c r="J110" s="2950" t="s">
        <v>120</v>
      </c>
      <c r="K110" s="2948" t="s">
        <v>1067</v>
      </c>
      <c r="L110" s="2951">
        <v>1.95</v>
      </c>
      <c r="M110" s="2951">
        <v>1.95</v>
      </c>
      <c r="O110" s="2948">
        <v>30</v>
      </c>
      <c r="P110" s="2949" t="s">
        <v>1070</v>
      </c>
      <c r="Q110" s="3167">
        <v>1</v>
      </c>
      <c r="R110" s="3167">
        <v>1</v>
      </c>
      <c r="S110" s="2952">
        <f t="shared" si="20"/>
        <v>2</v>
      </c>
      <c r="T110" s="2952">
        <f t="shared" si="21"/>
        <v>0.72</v>
      </c>
      <c r="U110" s="2952">
        <f t="shared" si="22"/>
        <v>0.72</v>
      </c>
      <c r="V110" s="2952">
        <f t="shared" si="23"/>
        <v>1.44</v>
      </c>
      <c r="W110" s="2954">
        <f t="shared" si="24"/>
        <v>1.95</v>
      </c>
      <c r="X110" s="2954">
        <f t="shared" si="25"/>
        <v>1.95</v>
      </c>
      <c r="Y110" s="2954">
        <f t="shared" si="26"/>
        <v>3.9</v>
      </c>
      <c r="Z110" s="2956">
        <v>0.2</v>
      </c>
      <c r="AA110" s="2954">
        <v>0.78</v>
      </c>
      <c r="AB110" s="3234">
        <v>0.46789198462938292</v>
      </c>
      <c r="AC110" s="2954">
        <f t="shared" si="27"/>
        <v>1.247891984629383</v>
      </c>
      <c r="AD110" s="2951"/>
      <c r="AE110" s="2951">
        <v>0</v>
      </c>
    </row>
    <row r="111" spans="8:31">
      <c r="H111" s="3233" t="s">
        <v>1063</v>
      </c>
      <c r="I111" s="3232">
        <v>26.63</v>
      </c>
      <c r="J111" s="2950" t="s">
        <v>120</v>
      </c>
      <c r="K111" s="2948" t="s">
        <v>909</v>
      </c>
      <c r="L111" s="2951">
        <v>40</v>
      </c>
      <c r="M111" s="2951">
        <v>40</v>
      </c>
      <c r="O111" s="2948">
        <v>15</v>
      </c>
      <c r="P111" s="2949" t="s">
        <v>954</v>
      </c>
      <c r="Q111" s="3167">
        <v>5</v>
      </c>
      <c r="R111" s="3167">
        <v>5</v>
      </c>
      <c r="S111" s="2952">
        <f t="shared" si="20"/>
        <v>10</v>
      </c>
      <c r="T111" s="2952">
        <f t="shared" si="21"/>
        <v>133.15</v>
      </c>
      <c r="U111" s="2952">
        <f t="shared" si="22"/>
        <v>133.15</v>
      </c>
      <c r="V111" s="2952">
        <f t="shared" si="23"/>
        <v>266.3</v>
      </c>
      <c r="W111" s="2954">
        <f t="shared" si="24"/>
        <v>200</v>
      </c>
      <c r="X111" s="2954">
        <f t="shared" si="25"/>
        <v>200</v>
      </c>
      <c r="Y111" s="2954">
        <f t="shared" si="26"/>
        <v>400</v>
      </c>
      <c r="Z111" s="2956">
        <v>0.2</v>
      </c>
      <c r="AA111" s="2954">
        <v>80</v>
      </c>
      <c r="AB111" s="3234">
        <v>47.988921500449528</v>
      </c>
      <c r="AC111" s="2954">
        <f t="shared" si="27"/>
        <v>127.98892150044952</v>
      </c>
      <c r="AD111" s="2951"/>
      <c r="AE111" s="2951">
        <v>0</v>
      </c>
    </row>
    <row r="112" spans="8:31">
      <c r="H112" s="3233" t="s">
        <v>1064</v>
      </c>
      <c r="I112" s="3232">
        <v>24.56</v>
      </c>
      <c r="J112" s="2950" t="s">
        <v>120</v>
      </c>
      <c r="K112" s="2948" t="s">
        <v>909</v>
      </c>
      <c r="L112" s="2951">
        <v>40</v>
      </c>
      <c r="M112" s="2951">
        <v>40</v>
      </c>
      <c r="O112" s="2948">
        <v>15</v>
      </c>
      <c r="P112" s="2949" t="s">
        <v>954</v>
      </c>
      <c r="Q112" s="3167">
        <v>10</v>
      </c>
      <c r="R112" s="3167">
        <v>10</v>
      </c>
      <c r="S112" s="2952">
        <f t="shared" si="20"/>
        <v>20</v>
      </c>
      <c r="T112" s="2952">
        <f t="shared" si="21"/>
        <v>245.6</v>
      </c>
      <c r="U112" s="2952">
        <f t="shared" si="22"/>
        <v>245.6</v>
      </c>
      <c r="V112" s="2952">
        <f t="shared" si="23"/>
        <v>491.2</v>
      </c>
      <c r="W112" s="2954">
        <f t="shared" si="24"/>
        <v>400</v>
      </c>
      <c r="X112" s="2954">
        <f t="shared" si="25"/>
        <v>400</v>
      </c>
      <c r="Y112" s="2954">
        <f t="shared" si="26"/>
        <v>800</v>
      </c>
      <c r="Z112" s="2956">
        <v>0.2</v>
      </c>
      <c r="AA112" s="2954">
        <v>160</v>
      </c>
      <c r="AB112" s="3234">
        <v>95.977843000899057</v>
      </c>
      <c r="AC112" s="2954">
        <f t="shared" si="27"/>
        <v>255.97784300089904</v>
      </c>
      <c r="AD112" s="2951"/>
      <c r="AE112" s="2951">
        <v>0</v>
      </c>
    </row>
    <row r="113" spans="8:31">
      <c r="H113" s="3233" t="s">
        <v>1065</v>
      </c>
      <c r="I113" s="3232">
        <v>29.41</v>
      </c>
      <c r="J113" s="2950" t="s">
        <v>120</v>
      </c>
      <c r="K113" s="2948" t="s">
        <v>909</v>
      </c>
      <c r="L113" s="2951">
        <v>40</v>
      </c>
      <c r="M113" s="2951">
        <v>40</v>
      </c>
      <c r="O113" s="2948">
        <v>15</v>
      </c>
      <c r="P113" s="2949" t="s">
        <v>954</v>
      </c>
      <c r="Q113" s="3167">
        <v>5</v>
      </c>
      <c r="R113" s="3167">
        <v>5</v>
      </c>
      <c r="S113" s="2952">
        <f t="shared" si="20"/>
        <v>10</v>
      </c>
      <c r="T113" s="2952">
        <f t="shared" si="21"/>
        <v>147.05000000000001</v>
      </c>
      <c r="U113" s="2952">
        <f t="shared" si="22"/>
        <v>147.05000000000001</v>
      </c>
      <c r="V113" s="2952">
        <f t="shared" si="23"/>
        <v>294.10000000000002</v>
      </c>
      <c r="W113" s="2954">
        <f t="shared" si="24"/>
        <v>200</v>
      </c>
      <c r="X113" s="2954">
        <f t="shared" si="25"/>
        <v>200</v>
      </c>
      <c r="Y113" s="2954">
        <f t="shared" si="26"/>
        <v>400</v>
      </c>
      <c r="Z113" s="2956">
        <v>0.2</v>
      </c>
      <c r="AA113" s="2954">
        <v>80</v>
      </c>
      <c r="AB113" s="3234">
        <v>47.988921500449528</v>
      </c>
      <c r="AC113" s="2954">
        <f t="shared" si="27"/>
        <v>127.98892150044952</v>
      </c>
      <c r="AD113" s="2951"/>
      <c r="AE113" s="2951">
        <v>0</v>
      </c>
    </row>
    <row r="114" spans="8:31">
      <c r="H114" s="2948"/>
      <c r="I114" s="2949"/>
      <c r="J114" s="2950" t="s">
        <v>120</v>
      </c>
      <c r="K114" s="2948"/>
      <c r="L114" s="2951"/>
      <c r="M114" s="2951"/>
      <c r="O114" s="2948"/>
      <c r="P114" s="2949"/>
      <c r="Q114" s="3167"/>
      <c r="R114" s="3167"/>
      <c r="S114" s="2952">
        <f t="shared" si="20"/>
        <v>0</v>
      </c>
      <c r="T114" s="2952">
        <f t="shared" si="21"/>
        <v>0</v>
      </c>
      <c r="U114" s="2952">
        <f t="shared" si="22"/>
        <v>0</v>
      </c>
      <c r="V114" s="2952">
        <f t="shared" si="23"/>
        <v>0</v>
      </c>
      <c r="W114" s="2954">
        <f t="shared" si="24"/>
        <v>0</v>
      </c>
      <c r="X114" s="2954">
        <f t="shared" si="25"/>
        <v>0</v>
      </c>
      <c r="Y114" s="2954">
        <f t="shared" si="26"/>
        <v>0</v>
      </c>
      <c r="Z114" s="2956"/>
      <c r="AA114" s="2954"/>
      <c r="AB114" s="2954"/>
      <c r="AC114" s="2954">
        <f t="shared" si="27"/>
        <v>0</v>
      </c>
      <c r="AD114" s="2951"/>
      <c r="AE114" s="2951"/>
    </row>
  </sheetData>
  <customSheetViews>
    <customSheetView guid="{074EB09C-6289-46D7-9513-012B68BCA7BF}" showGridLines="0">
      <pane xSplit="1" ySplit="1" topLeftCell="B2" activePane="bottomRight" state="frozen"/>
      <selection pane="bottomRight" activeCell="AC29" sqref="AC29"/>
      <pageMargins left="0.17" right="0.24" top="0.43" bottom="0.39" header="0.3" footer="0.3"/>
      <pageSetup paperSize="17" scale="40" orientation="landscape" r:id="rId1"/>
    </customSheetView>
    <customSheetView guid="{D9EFFE19-D14B-4C6F-BDF4-FF696F73968D}" showGridLines="0">
      <pane xSplit="1" ySplit="1" topLeftCell="B2" activePane="bottomRight" state="frozen"/>
      <selection pane="bottomRight" activeCell="P7" sqref="P7"/>
      <pageMargins left="0.17" right="0.24" top="0.43" bottom="0.39" header="0.3" footer="0.3"/>
      <pageSetup paperSize="17" scale="40" orientation="landscape" r:id="rId2"/>
    </customSheetView>
  </customSheetViews>
  <mergeCells count="9">
    <mergeCell ref="Z12:AD12"/>
    <mergeCell ref="W2:W3"/>
    <mergeCell ref="R2:S2"/>
    <mergeCell ref="T2:V2"/>
    <mergeCell ref="T12:V12"/>
    <mergeCell ref="H10:P10"/>
    <mergeCell ref="H12:P12"/>
    <mergeCell ref="W12:Y12"/>
    <mergeCell ref="Q12:S12"/>
  </mergeCells>
  <pageMargins left="0.17" right="0.24" top="0.43" bottom="0.39" header="0.3" footer="0.3"/>
  <pageSetup paperSize="17" scale="40" orientation="landscape" r:id="rId3"/>
  <ignoredErrors>
    <ignoredError sqref="AC17:AC88" formulaRange="1"/>
    <ignoredError sqref="R7" formula="1"/>
  </ignoredError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B4"/>
  <sheetViews>
    <sheetView showGridLines="0" workbookViewId="0">
      <selection activeCell="F17" sqref="F17"/>
    </sheetView>
  </sheetViews>
  <sheetFormatPr defaultRowHeight="12.75"/>
  <sheetData>
    <row r="1" spans="1:2">
      <c r="A1" t="s">
        <v>35</v>
      </c>
    </row>
    <row r="4" spans="1:2">
      <c r="B4" s="2177" t="s">
        <v>365</v>
      </c>
    </row>
  </sheetData>
  <customSheetViews>
    <customSheetView guid="{074EB09C-6289-46D7-9513-012B68BCA7BF}" showGridLines="0">
      <selection activeCell="C59" sqref="C59:E62"/>
      <pageMargins left="0.7" right="0.7" top="0.75" bottom="0.75" header="0.3" footer="0.3"/>
      <pageSetup paperSize="3" orientation="landscape" r:id="rId1"/>
    </customSheetView>
    <customSheetView guid="{D9EFFE19-D14B-4C6F-BDF4-FF696F73968D}" showGridLines="0">
      <selection activeCell="C59" sqref="C59:E62"/>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Z69"/>
  <sheetViews>
    <sheetView showGridLines="0" zoomScaleNormal="100" workbookViewId="0">
      <pane xSplit="1" ySplit="1" topLeftCell="H2" activePane="bottomRight" state="frozen"/>
      <selection pane="topRight" activeCell="B1" sqref="B1"/>
      <selection pane="bottomLeft" activeCell="A2" sqref="A2"/>
      <selection pane="bottomRight" activeCell="A2" sqref="A2"/>
    </sheetView>
  </sheetViews>
  <sheetFormatPr defaultRowHeight="12.75"/>
  <cols>
    <col min="1" max="1" width="17.5703125" style="1164" customWidth="1"/>
    <col min="2" max="2" width="15.5703125" style="1866" customWidth="1"/>
    <col min="3" max="3" width="31.85546875" customWidth="1"/>
    <col min="4" max="4" width="22.140625" customWidth="1"/>
    <col min="5" max="5" width="19.7109375" style="9" bestFit="1" customWidth="1"/>
    <col min="6" max="6" width="18.42578125" bestFit="1" customWidth="1"/>
    <col min="7" max="7" width="20.140625" bestFit="1" customWidth="1"/>
    <col min="8" max="8" width="54.5703125" customWidth="1"/>
    <col min="9" max="9" width="15.5703125" bestFit="1" customWidth="1"/>
    <col min="10" max="10" width="14.425781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8.42578125" bestFit="1" customWidth="1"/>
    <col min="18" max="18" width="20.42578125" bestFit="1" customWidth="1"/>
    <col min="19" max="19" width="24.42578125" customWidth="1"/>
    <col min="20" max="21" width="15.5703125" bestFit="1" customWidth="1"/>
    <col min="22" max="22" width="16.42578125" bestFit="1" customWidth="1"/>
    <col min="23" max="23" width="13.140625" customWidth="1"/>
    <col min="24" max="24" width="15" bestFit="1" customWidth="1"/>
    <col min="25" max="25" width="17.140625" customWidth="1"/>
    <col min="26" max="26" width="12.5703125" bestFit="1" customWidth="1"/>
    <col min="249" max="249" width="24" bestFit="1" customWidth="1"/>
    <col min="250" max="250" width="45.7109375" bestFit="1" customWidth="1"/>
    <col min="251" max="251" width="19.7109375" bestFit="1" customWidth="1"/>
    <col min="252" max="252" width="18.42578125" bestFit="1" customWidth="1"/>
    <col min="253" max="253" width="20.1406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8.42578125" bestFit="1" customWidth="1"/>
    <col min="264" max="264" width="20.42578125" bestFit="1" customWidth="1"/>
    <col min="265" max="265" width="32.140625" customWidth="1"/>
    <col min="266" max="267" width="15.5703125" bestFit="1" customWidth="1"/>
    <col min="268" max="268" width="16.42578125" bestFit="1" customWidth="1"/>
    <col min="269" max="269" width="13.140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8.42578125" bestFit="1" customWidth="1"/>
    <col min="509" max="509" width="20.1406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8.42578125" bestFit="1" customWidth="1"/>
    <col min="520" max="520" width="20.42578125" bestFit="1" customWidth="1"/>
    <col min="521" max="521" width="32.140625" customWidth="1"/>
    <col min="522" max="523" width="15.5703125" bestFit="1" customWidth="1"/>
    <col min="524" max="524" width="16.42578125" bestFit="1" customWidth="1"/>
    <col min="525" max="525" width="13.140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8.42578125" bestFit="1" customWidth="1"/>
    <col min="765" max="765" width="20.1406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8.42578125" bestFit="1" customWidth="1"/>
    <col min="776" max="776" width="20.42578125" bestFit="1" customWidth="1"/>
    <col min="777" max="777" width="32.140625" customWidth="1"/>
    <col min="778" max="779" width="15.5703125" bestFit="1" customWidth="1"/>
    <col min="780" max="780" width="16.42578125" bestFit="1" customWidth="1"/>
    <col min="781" max="781" width="13.140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8.42578125" bestFit="1" customWidth="1"/>
    <col min="1021" max="1021" width="20.1406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8.42578125" bestFit="1" customWidth="1"/>
    <col min="1032" max="1032" width="20.42578125" bestFit="1" customWidth="1"/>
    <col min="1033" max="1033" width="32.140625" customWidth="1"/>
    <col min="1034" max="1035" width="15.5703125" bestFit="1" customWidth="1"/>
    <col min="1036" max="1036" width="16.42578125" bestFit="1" customWidth="1"/>
    <col min="1037" max="1037" width="13.140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8.42578125" bestFit="1" customWidth="1"/>
    <col min="1277" max="1277" width="20.1406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8.42578125" bestFit="1" customWidth="1"/>
    <col min="1288" max="1288" width="20.42578125" bestFit="1" customWidth="1"/>
    <col min="1289" max="1289" width="32.140625" customWidth="1"/>
    <col min="1290" max="1291" width="15.5703125" bestFit="1" customWidth="1"/>
    <col min="1292" max="1292" width="16.42578125" bestFit="1" customWidth="1"/>
    <col min="1293" max="1293" width="13.140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8.42578125" bestFit="1" customWidth="1"/>
    <col min="1533" max="1533" width="20.1406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8.42578125" bestFit="1" customWidth="1"/>
    <col min="1544" max="1544" width="20.42578125" bestFit="1" customWidth="1"/>
    <col min="1545" max="1545" width="32.140625" customWidth="1"/>
    <col min="1546" max="1547" width="15.5703125" bestFit="1" customWidth="1"/>
    <col min="1548" max="1548" width="16.42578125" bestFit="1" customWidth="1"/>
    <col min="1549" max="1549" width="13.140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8.42578125" bestFit="1" customWidth="1"/>
    <col min="1789" max="1789" width="20.1406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8.42578125" bestFit="1" customWidth="1"/>
    <col min="1800" max="1800" width="20.42578125" bestFit="1" customWidth="1"/>
    <col min="1801" max="1801" width="32.140625" customWidth="1"/>
    <col min="1802" max="1803" width="15.5703125" bestFit="1" customWidth="1"/>
    <col min="1804" max="1804" width="16.42578125" bestFit="1" customWidth="1"/>
    <col min="1805" max="1805" width="13.140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8.42578125" bestFit="1" customWidth="1"/>
    <col min="2045" max="2045" width="20.1406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8.42578125" bestFit="1" customWidth="1"/>
    <col min="2056" max="2056" width="20.42578125" bestFit="1" customWidth="1"/>
    <col min="2057" max="2057" width="32.140625" customWidth="1"/>
    <col min="2058" max="2059" width="15.5703125" bestFit="1" customWidth="1"/>
    <col min="2060" max="2060" width="16.42578125" bestFit="1" customWidth="1"/>
    <col min="2061" max="2061" width="13.140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8.42578125" bestFit="1" customWidth="1"/>
    <col min="2301" max="2301" width="20.1406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8.42578125" bestFit="1" customWidth="1"/>
    <col min="2312" max="2312" width="20.42578125" bestFit="1" customWidth="1"/>
    <col min="2313" max="2313" width="32.140625" customWidth="1"/>
    <col min="2314" max="2315" width="15.5703125" bestFit="1" customWidth="1"/>
    <col min="2316" max="2316" width="16.42578125" bestFit="1" customWidth="1"/>
    <col min="2317" max="2317" width="13.140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8.42578125" bestFit="1" customWidth="1"/>
    <col min="2557" max="2557" width="20.1406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8.42578125" bestFit="1" customWidth="1"/>
    <col min="2568" max="2568" width="20.42578125" bestFit="1" customWidth="1"/>
    <col min="2569" max="2569" width="32.140625" customWidth="1"/>
    <col min="2570" max="2571" width="15.5703125" bestFit="1" customWidth="1"/>
    <col min="2572" max="2572" width="16.42578125" bestFit="1" customWidth="1"/>
    <col min="2573" max="2573" width="13.140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8.42578125" bestFit="1" customWidth="1"/>
    <col min="2813" max="2813" width="20.1406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8.42578125" bestFit="1" customWidth="1"/>
    <col min="2824" max="2824" width="20.42578125" bestFit="1" customWidth="1"/>
    <col min="2825" max="2825" width="32.140625" customWidth="1"/>
    <col min="2826" max="2827" width="15.5703125" bestFit="1" customWidth="1"/>
    <col min="2828" max="2828" width="16.42578125" bestFit="1" customWidth="1"/>
    <col min="2829" max="2829" width="13.140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8.42578125" bestFit="1" customWidth="1"/>
    <col min="3069" max="3069" width="20.1406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8.42578125" bestFit="1" customWidth="1"/>
    <col min="3080" max="3080" width="20.42578125" bestFit="1" customWidth="1"/>
    <col min="3081" max="3081" width="32.140625" customWidth="1"/>
    <col min="3082" max="3083" width="15.5703125" bestFit="1" customWidth="1"/>
    <col min="3084" max="3084" width="16.42578125" bestFit="1" customWidth="1"/>
    <col min="3085" max="3085" width="13.140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8.42578125" bestFit="1" customWidth="1"/>
    <col min="3325" max="3325" width="20.1406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8.42578125" bestFit="1" customWidth="1"/>
    <col min="3336" max="3336" width="20.42578125" bestFit="1" customWidth="1"/>
    <col min="3337" max="3337" width="32.140625" customWidth="1"/>
    <col min="3338" max="3339" width="15.5703125" bestFit="1" customWidth="1"/>
    <col min="3340" max="3340" width="16.42578125" bestFit="1" customWidth="1"/>
    <col min="3341" max="3341" width="13.140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8.42578125" bestFit="1" customWidth="1"/>
    <col min="3581" max="3581" width="20.1406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8.42578125" bestFit="1" customWidth="1"/>
    <col min="3592" max="3592" width="20.42578125" bestFit="1" customWidth="1"/>
    <col min="3593" max="3593" width="32.140625" customWidth="1"/>
    <col min="3594" max="3595" width="15.5703125" bestFit="1" customWidth="1"/>
    <col min="3596" max="3596" width="16.42578125" bestFit="1" customWidth="1"/>
    <col min="3597" max="3597" width="13.140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8.42578125" bestFit="1" customWidth="1"/>
    <col min="3837" max="3837" width="20.1406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8.42578125" bestFit="1" customWidth="1"/>
    <col min="3848" max="3848" width="20.42578125" bestFit="1" customWidth="1"/>
    <col min="3849" max="3849" width="32.140625" customWidth="1"/>
    <col min="3850" max="3851" width="15.5703125" bestFit="1" customWidth="1"/>
    <col min="3852" max="3852" width="16.42578125" bestFit="1" customWidth="1"/>
    <col min="3853" max="3853" width="13.140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8.42578125" bestFit="1" customWidth="1"/>
    <col min="4093" max="4093" width="20.1406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8.42578125" bestFit="1" customWidth="1"/>
    <col min="4104" max="4104" width="20.42578125" bestFit="1" customWidth="1"/>
    <col min="4105" max="4105" width="32.140625" customWidth="1"/>
    <col min="4106" max="4107" width="15.5703125" bestFit="1" customWidth="1"/>
    <col min="4108" max="4108" width="16.42578125" bestFit="1" customWidth="1"/>
    <col min="4109" max="4109" width="13.140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8.42578125" bestFit="1" customWidth="1"/>
    <col min="4349" max="4349" width="20.1406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8.42578125" bestFit="1" customWidth="1"/>
    <col min="4360" max="4360" width="20.42578125" bestFit="1" customWidth="1"/>
    <col min="4361" max="4361" width="32.140625" customWidth="1"/>
    <col min="4362" max="4363" width="15.5703125" bestFit="1" customWidth="1"/>
    <col min="4364" max="4364" width="16.42578125" bestFit="1" customWidth="1"/>
    <col min="4365" max="4365" width="13.140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8.42578125" bestFit="1" customWidth="1"/>
    <col min="4605" max="4605" width="20.1406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8.42578125" bestFit="1" customWidth="1"/>
    <col min="4616" max="4616" width="20.42578125" bestFit="1" customWidth="1"/>
    <col min="4617" max="4617" width="32.140625" customWidth="1"/>
    <col min="4618" max="4619" width="15.5703125" bestFit="1" customWidth="1"/>
    <col min="4620" max="4620" width="16.42578125" bestFit="1" customWidth="1"/>
    <col min="4621" max="4621" width="13.140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8.42578125" bestFit="1" customWidth="1"/>
    <col min="4861" max="4861" width="20.1406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8.42578125" bestFit="1" customWidth="1"/>
    <col min="4872" max="4872" width="20.42578125" bestFit="1" customWidth="1"/>
    <col min="4873" max="4873" width="32.140625" customWidth="1"/>
    <col min="4874" max="4875" width="15.5703125" bestFit="1" customWidth="1"/>
    <col min="4876" max="4876" width="16.42578125" bestFit="1" customWidth="1"/>
    <col min="4877" max="4877" width="13.140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8.42578125" bestFit="1" customWidth="1"/>
    <col min="5117" max="5117" width="20.1406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8.42578125" bestFit="1" customWidth="1"/>
    <col min="5128" max="5128" width="20.42578125" bestFit="1" customWidth="1"/>
    <col min="5129" max="5129" width="32.140625" customWidth="1"/>
    <col min="5130" max="5131" width="15.5703125" bestFit="1" customWidth="1"/>
    <col min="5132" max="5132" width="16.42578125" bestFit="1" customWidth="1"/>
    <col min="5133" max="5133" width="13.140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8.42578125" bestFit="1" customWidth="1"/>
    <col min="5373" max="5373" width="20.1406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8.42578125" bestFit="1" customWidth="1"/>
    <col min="5384" max="5384" width="20.42578125" bestFit="1" customWidth="1"/>
    <col min="5385" max="5385" width="32.140625" customWidth="1"/>
    <col min="5386" max="5387" width="15.5703125" bestFit="1" customWidth="1"/>
    <col min="5388" max="5388" width="16.42578125" bestFit="1" customWidth="1"/>
    <col min="5389" max="5389" width="13.140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8.42578125" bestFit="1" customWidth="1"/>
    <col min="5629" max="5629" width="20.1406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8.42578125" bestFit="1" customWidth="1"/>
    <col min="5640" max="5640" width="20.42578125" bestFit="1" customWidth="1"/>
    <col min="5641" max="5641" width="32.140625" customWidth="1"/>
    <col min="5642" max="5643" width="15.5703125" bestFit="1" customWidth="1"/>
    <col min="5644" max="5644" width="16.42578125" bestFit="1" customWidth="1"/>
    <col min="5645" max="5645" width="13.140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8.42578125" bestFit="1" customWidth="1"/>
    <col min="5885" max="5885" width="20.1406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8.42578125" bestFit="1" customWidth="1"/>
    <col min="5896" max="5896" width="20.42578125" bestFit="1" customWidth="1"/>
    <col min="5897" max="5897" width="32.140625" customWidth="1"/>
    <col min="5898" max="5899" width="15.5703125" bestFit="1" customWidth="1"/>
    <col min="5900" max="5900" width="16.42578125" bestFit="1" customWidth="1"/>
    <col min="5901" max="5901" width="13.140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8.42578125" bestFit="1" customWidth="1"/>
    <col min="6141" max="6141" width="20.1406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8.42578125" bestFit="1" customWidth="1"/>
    <col min="6152" max="6152" width="20.42578125" bestFit="1" customWidth="1"/>
    <col min="6153" max="6153" width="32.140625" customWidth="1"/>
    <col min="6154" max="6155" width="15.5703125" bestFit="1" customWidth="1"/>
    <col min="6156" max="6156" width="16.42578125" bestFit="1" customWidth="1"/>
    <col min="6157" max="6157" width="13.140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8.42578125" bestFit="1" customWidth="1"/>
    <col min="6397" max="6397" width="20.1406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8.42578125" bestFit="1" customWidth="1"/>
    <col min="6408" max="6408" width="20.42578125" bestFit="1" customWidth="1"/>
    <col min="6409" max="6409" width="32.140625" customWidth="1"/>
    <col min="6410" max="6411" width="15.5703125" bestFit="1" customWidth="1"/>
    <col min="6412" max="6412" width="16.42578125" bestFit="1" customWidth="1"/>
    <col min="6413" max="6413" width="13.140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8.42578125" bestFit="1" customWidth="1"/>
    <col min="6653" max="6653" width="20.1406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8.42578125" bestFit="1" customWidth="1"/>
    <col min="6664" max="6664" width="20.42578125" bestFit="1" customWidth="1"/>
    <col min="6665" max="6665" width="32.140625" customWidth="1"/>
    <col min="6666" max="6667" width="15.5703125" bestFit="1" customWidth="1"/>
    <col min="6668" max="6668" width="16.42578125" bestFit="1" customWidth="1"/>
    <col min="6669" max="6669" width="13.140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8.42578125" bestFit="1" customWidth="1"/>
    <col min="6909" max="6909" width="20.1406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8.42578125" bestFit="1" customWidth="1"/>
    <col min="6920" max="6920" width="20.42578125" bestFit="1" customWidth="1"/>
    <col min="6921" max="6921" width="32.140625" customWidth="1"/>
    <col min="6922" max="6923" width="15.5703125" bestFit="1" customWidth="1"/>
    <col min="6924" max="6924" width="16.42578125" bestFit="1" customWidth="1"/>
    <col min="6925" max="6925" width="13.140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8.42578125" bestFit="1" customWidth="1"/>
    <col min="7165" max="7165" width="20.1406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8.42578125" bestFit="1" customWidth="1"/>
    <col min="7176" max="7176" width="20.42578125" bestFit="1" customWidth="1"/>
    <col min="7177" max="7177" width="32.140625" customWidth="1"/>
    <col min="7178" max="7179" width="15.5703125" bestFit="1" customWidth="1"/>
    <col min="7180" max="7180" width="16.42578125" bestFit="1" customWidth="1"/>
    <col min="7181" max="7181" width="13.140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8.42578125" bestFit="1" customWidth="1"/>
    <col min="7421" max="7421" width="20.1406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8.42578125" bestFit="1" customWidth="1"/>
    <col min="7432" max="7432" width="20.42578125" bestFit="1" customWidth="1"/>
    <col min="7433" max="7433" width="32.140625" customWidth="1"/>
    <col min="7434" max="7435" width="15.5703125" bestFit="1" customWidth="1"/>
    <col min="7436" max="7436" width="16.42578125" bestFit="1" customWidth="1"/>
    <col min="7437" max="7437" width="13.140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8.42578125" bestFit="1" customWidth="1"/>
    <col min="7677" max="7677" width="20.1406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8.42578125" bestFit="1" customWidth="1"/>
    <col min="7688" max="7688" width="20.42578125" bestFit="1" customWidth="1"/>
    <col min="7689" max="7689" width="32.140625" customWidth="1"/>
    <col min="7690" max="7691" width="15.5703125" bestFit="1" customWidth="1"/>
    <col min="7692" max="7692" width="16.42578125" bestFit="1" customWidth="1"/>
    <col min="7693" max="7693" width="13.140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8.42578125" bestFit="1" customWidth="1"/>
    <col min="7933" max="7933" width="20.1406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8.42578125" bestFit="1" customWidth="1"/>
    <col min="7944" max="7944" width="20.42578125" bestFit="1" customWidth="1"/>
    <col min="7945" max="7945" width="32.140625" customWidth="1"/>
    <col min="7946" max="7947" width="15.5703125" bestFit="1" customWidth="1"/>
    <col min="7948" max="7948" width="16.42578125" bestFit="1" customWidth="1"/>
    <col min="7949" max="7949" width="13.140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8.42578125" bestFit="1" customWidth="1"/>
    <col min="8189" max="8189" width="20.1406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8.42578125" bestFit="1" customWidth="1"/>
    <col min="8200" max="8200" width="20.42578125" bestFit="1" customWidth="1"/>
    <col min="8201" max="8201" width="32.140625" customWidth="1"/>
    <col min="8202" max="8203" width="15.5703125" bestFit="1" customWidth="1"/>
    <col min="8204" max="8204" width="16.42578125" bestFit="1" customWidth="1"/>
    <col min="8205" max="8205" width="13.140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8.42578125" bestFit="1" customWidth="1"/>
    <col min="8445" max="8445" width="20.1406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8.42578125" bestFit="1" customWidth="1"/>
    <col min="8456" max="8456" width="20.42578125" bestFit="1" customWidth="1"/>
    <col min="8457" max="8457" width="32.140625" customWidth="1"/>
    <col min="8458" max="8459" width="15.5703125" bestFit="1" customWidth="1"/>
    <col min="8460" max="8460" width="16.42578125" bestFit="1" customWidth="1"/>
    <col min="8461" max="8461" width="13.140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8.42578125" bestFit="1" customWidth="1"/>
    <col min="8701" max="8701" width="20.1406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8.42578125" bestFit="1" customWidth="1"/>
    <col min="8712" max="8712" width="20.42578125" bestFit="1" customWidth="1"/>
    <col min="8713" max="8713" width="32.140625" customWidth="1"/>
    <col min="8714" max="8715" width="15.5703125" bestFit="1" customWidth="1"/>
    <col min="8716" max="8716" width="16.42578125" bestFit="1" customWidth="1"/>
    <col min="8717" max="8717" width="13.140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8.42578125" bestFit="1" customWidth="1"/>
    <col min="8957" max="8957" width="20.1406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8.42578125" bestFit="1" customWidth="1"/>
    <col min="8968" max="8968" width="20.42578125" bestFit="1" customWidth="1"/>
    <col min="8969" max="8969" width="32.140625" customWidth="1"/>
    <col min="8970" max="8971" width="15.5703125" bestFit="1" customWidth="1"/>
    <col min="8972" max="8972" width="16.42578125" bestFit="1" customWidth="1"/>
    <col min="8973" max="8973" width="13.140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8.42578125" bestFit="1" customWidth="1"/>
    <col min="9213" max="9213" width="20.1406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8.42578125" bestFit="1" customWidth="1"/>
    <col min="9224" max="9224" width="20.42578125" bestFit="1" customWidth="1"/>
    <col min="9225" max="9225" width="32.140625" customWidth="1"/>
    <col min="9226" max="9227" width="15.5703125" bestFit="1" customWidth="1"/>
    <col min="9228" max="9228" width="16.42578125" bestFit="1" customWidth="1"/>
    <col min="9229" max="9229" width="13.140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8.42578125" bestFit="1" customWidth="1"/>
    <col min="9469" max="9469" width="20.1406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8.42578125" bestFit="1" customWidth="1"/>
    <col min="9480" max="9480" width="20.42578125" bestFit="1" customWidth="1"/>
    <col min="9481" max="9481" width="32.140625" customWidth="1"/>
    <col min="9482" max="9483" width="15.5703125" bestFit="1" customWidth="1"/>
    <col min="9484" max="9484" width="16.42578125" bestFit="1" customWidth="1"/>
    <col min="9485" max="9485" width="13.140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8.42578125" bestFit="1" customWidth="1"/>
    <col min="9725" max="9725" width="20.1406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8.42578125" bestFit="1" customWidth="1"/>
    <col min="9736" max="9736" width="20.42578125" bestFit="1" customWidth="1"/>
    <col min="9737" max="9737" width="32.140625" customWidth="1"/>
    <col min="9738" max="9739" width="15.5703125" bestFit="1" customWidth="1"/>
    <col min="9740" max="9740" width="16.42578125" bestFit="1" customWidth="1"/>
    <col min="9741" max="9741" width="13.140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8.42578125" bestFit="1" customWidth="1"/>
    <col min="9981" max="9981" width="20.1406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8.42578125" bestFit="1" customWidth="1"/>
    <col min="9992" max="9992" width="20.42578125" bestFit="1" customWidth="1"/>
    <col min="9993" max="9993" width="32.140625" customWidth="1"/>
    <col min="9994" max="9995" width="15.5703125" bestFit="1" customWidth="1"/>
    <col min="9996" max="9996" width="16.42578125" bestFit="1" customWidth="1"/>
    <col min="9997" max="9997" width="13.140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8.42578125" bestFit="1" customWidth="1"/>
    <col min="10237" max="10237" width="20.1406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8.42578125" bestFit="1" customWidth="1"/>
    <col min="10248" max="10248" width="20.42578125" bestFit="1" customWidth="1"/>
    <col min="10249" max="10249" width="32.140625" customWidth="1"/>
    <col min="10250" max="10251" width="15.5703125" bestFit="1" customWidth="1"/>
    <col min="10252" max="10252" width="16.42578125" bestFit="1" customWidth="1"/>
    <col min="10253" max="10253" width="13.140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8.42578125" bestFit="1" customWidth="1"/>
    <col min="10493" max="10493" width="20.1406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8.42578125" bestFit="1" customWidth="1"/>
    <col min="10504" max="10504" width="20.42578125" bestFit="1" customWidth="1"/>
    <col min="10505" max="10505" width="32.140625" customWidth="1"/>
    <col min="10506" max="10507" width="15.5703125" bestFit="1" customWidth="1"/>
    <col min="10508" max="10508" width="16.42578125" bestFit="1" customWidth="1"/>
    <col min="10509" max="10509" width="13.140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8.42578125" bestFit="1" customWidth="1"/>
    <col min="10749" max="10749" width="20.1406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8.42578125" bestFit="1" customWidth="1"/>
    <col min="10760" max="10760" width="20.42578125" bestFit="1" customWidth="1"/>
    <col min="10761" max="10761" width="32.140625" customWidth="1"/>
    <col min="10762" max="10763" width="15.5703125" bestFit="1" customWidth="1"/>
    <col min="10764" max="10764" width="16.42578125" bestFit="1" customWidth="1"/>
    <col min="10765" max="10765" width="13.140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8.42578125" bestFit="1" customWidth="1"/>
    <col min="11005" max="11005" width="20.1406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8.42578125" bestFit="1" customWidth="1"/>
    <col min="11016" max="11016" width="20.42578125" bestFit="1" customWidth="1"/>
    <col min="11017" max="11017" width="32.140625" customWidth="1"/>
    <col min="11018" max="11019" width="15.5703125" bestFit="1" customWidth="1"/>
    <col min="11020" max="11020" width="16.42578125" bestFit="1" customWidth="1"/>
    <col min="11021" max="11021" width="13.140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8.42578125" bestFit="1" customWidth="1"/>
    <col min="11261" max="11261" width="20.1406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8.42578125" bestFit="1" customWidth="1"/>
    <col min="11272" max="11272" width="20.42578125" bestFit="1" customWidth="1"/>
    <col min="11273" max="11273" width="32.140625" customWidth="1"/>
    <col min="11274" max="11275" width="15.5703125" bestFit="1" customWidth="1"/>
    <col min="11276" max="11276" width="16.42578125" bestFit="1" customWidth="1"/>
    <col min="11277" max="11277" width="13.140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8.42578125" bestFit="1" customWidth="1"/>
    <col min="11517" max="11517" width="20.1406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8.42578125" bestFit="1" customWidth="1"/>
    <col min="11528" max="11528" width="20.42578125" bestFit="1" customWidth="1"/>
    <col min="11529" max="11529" width="32.140625" customWidth="1"/>
    <col min="11530" max="11531" width="15.5703125" bestFit="1" customWidth="1"/>
    <col min="11532" max="11532" width="16.42578125" bestFit="1" customWidth="1"/>
    <col min="11533" max="11533" width="13.140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8.42578125" bestFit="1" customWidth="1"/>
    <col min="11773" max="11773" width="20.1406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8.42578125" bestFit="1" customWidth="1"/>
    <col min="11784" max="11784" width="20.42578125" bestFit="1" customWidth="1"/>
    <col min="11785" max="11785" width="32.140625" customWidth="1"/>
    <col min="11786" max="11787" width="15.5703125" bestFit="1" customWidth="1"/>
    <col min="11788" max="11788" width="16.42578125" bestFit="1" customWidth="1"/>
    <col min="11789" max="11789" width="13.140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8.42578125" bestFit="1" customWidth="1"/>
    <col min="12029" max="12029" width="20.1406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8.42578125" bestFit="1" customWidth="1"/>
    <col min="12040" max="12040" width="20.42578125" bestFit="1" customWidth="1"/>
    <col min="12041" max="12041" width="32.140625" customWidth="1"/>
    <col min="12042" max="12043" width="15.5703125" bestFit="1" customWidth="1"/>
    <col min="12044" max="12044" width="16.42578125" bestFit="1" customWidth="1"/>
    <col min="12045" max="12045" width="13.140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8.42578125" bestFit="1" customWidth="1"/>
    <col min="12285" max="12285" width="20.1406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8.42578125" bestFit="1" customWidth="1"/>
    <col min="12296" max="12296" width="20.42578125" bestFit="1" customWidth="1"/>
    <col min="12297" max="12297" width="32.140625" customWidth="1"/>
    <col min="12298" max="12299" width="15.5703125" bestFit="1" customWidth="1"/>
    <col min="12300" max="12300" width="16.42578125" bestFit="1" customWidth="1"/>
    <col min="12301" max="12301" width="13.140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8.42578125" bestFit="1" customWidth="1"/>
    <col min="12541" max="12541" width="20.1406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8.42578125" bestFit="1" customWidth="1"/>
    <col min="12552" max="12552" width="20.42578125" bestFit="1" customWidth="1"/>
    <col min="12553" max="12553" width="32.140625" customWidth="1"/>
    <col min="12554" max="12555" width="15.5703125" bestFit="1" customWidth="1"/>
    <col min="12556" max="12556" width="16.42578125" bestFit="1" customWidth="1"/>
    <col min="12557" max="12557" width="13.140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8.42578125" bestFit="1" customWidth="1"/>
    <col min="12797" max="12797" width="20.1406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8.42578125" bestFit="1" customWidth="1"/>
    <col min="12808" max="12808" width="20.42578125" bestFit="1" customWidth="1"/>
    <col min="12809" max="12809" width="32.140625" customWidth="1"/>
    <col min="12810" max="12811" width="15.5703125" bestFit="1" customWidth="1"/>
    <col min="12812" max="12812" width="16.42578125" bestFit="1" customWidth="1"/>
    <col min="12813" max="12813" width="13.140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8.42578125" bestFit="1" customWidth="1"/>
    <col min="13053" max="13053" width="20.1406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8.42578125" bestFit="1" customWidth="1"/>
    <col min="13064" max="13064" width="20.42578125" bestFit="1" customWidth="1"/>
    <col min="13065" max="13065" width="32.140625" customWidth="1"/>
    <col min="13066" max="13067" width="15.5703125" bestFit="1" customWidth="1"/>
    <col min="13068" max="13068" width="16.42578125" bestFit="1" customWidth="1"/>
    <col min="13069" max="13069" width="13.140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8.42578125" bestFit="1" customWidth="1"/>
    <col min="13309" max="13309" width="20.1406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8.42578125" bestFit="1" customWidth="1"/>
    <col min="13320" max="13320" width="20.42578125" bestFit="1" customWidth="1"/>
    <col min="13321" max="13321" width="32.140625" customWidth="1"/>
    <col min="13322" max="13323" width="15.5703125" bestFit="1" customWidth="1"/>
    <col min="13324" max="13324" width="16.42578125" bestFit="1" customWidth="1"/>
    <col min="13325" max="13325" width="13.140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8.42578125" bestFit="1" customWidth="1"/>
    <col min="13565" max="13565" width="20.1406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8.42578125" bestFit="1" customWidth="1"/>
    <col min="13576" max="13576" width="20.42578125" bestFit="1" customWidth="1"/>
    <col min="13577" max="13577" width="32.140625" customWidth="1"/>
    <col min="13578" max="13579" width="15.5703125" bestFit="1" customWidth="1"/>
    <col min="13580" max="13580" width="16.42578125" bestFit="1" customWidth="1"/>
    <col min="13581" max="13581" width="13.140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8.42578125" bestFit="1" customWidth="1"/>
    <col min="13821" max="13821" width="20.1406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8.42578125" bestFit="1" customWidth="1"/>
    <col min="13832" max="13832" width="20.42578125" bestFit="1" customWidth="1"/>
    <col min="13833" max="13833" width="32.140625" customWidth="1"/>
    <col min="13834" max="13835" width="15.5703125" bestFit="1" customWidth="1"/>
    <col min="13836" max="13836" width="16.42578125" bestFit="1" customWidth="1"/>
    <col min="13837" max="13837" width="13.140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8.42578125" bestFit="1" customWidth="1"/>
    <col min="14077" max="14077" width="20.1406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8.42578125" bestFit="1" customWidth="1"/>
    <col min="14088" max="14088" width="20.42578125" bestFit="1" customWidth="1"/>
    <col min="14089" max="14089" width="32.140625" customWidth="1"/>
    <col min="14090" max="14091" width="15.5703125" bestFit="1" customWidth="1"/>
    <col min="14092" max="14092" width="16.42578125" bestFit="1" customWidth="1"/>
    <col min="14093" max="14093" width="13.140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8.42578125" bestFit="1" customWidth="1"/>
    <col min="14333" max="14333" width="20.1406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8.42578125" bestFit="1" customWidth="1"/>
    <col min="14344" max="14344" width="20.42578125" bestFit="1" customWidth="1"/>
    <col min="14345" max="14345" width="32.140625" customWidth="1"/>
    <col min="14346" max="14347" width="15.5703125" bestFit="1" customWidth="1"/>
    <col min="14348" max="14348" width="16.42578125" bestFit="1" customWidth="1"/>
    <col min="14349" max="14349" width="13.140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8.42578125" bestFit="1" customWidth="1"/>
    <col min="14589" max="14589" width="20.1406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8.42578125" bestFit="1" customWidth="1"/>
    <col min="14600" max="14600" width="20.42578125" bestFit="1" customWidth="1"/>
    <col min="14601" max="14601" width="32.140625" customWidth="1"/>
    <col min="14602" max="14603" width="15.5703125" bestFit="1" customWidth="1"/>
    <col min="14604" max="14604" width="16.42578125" bestFit="1" customWidth="1"/>
    <col min="14605" max="14605" width="13.140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8.42578125" bestFit="1" customWidth="1"/>
    <col min="14845" max="14845" width="20.1406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8.42578125" bestFit="1" customWidth="1"/>
    <col min="14856" max="14856" width="20.42578125" bestFit="1" customWidth="1"/>
    <col min="14857" max="14857" width="32.140625" customWidth="1"/>
    <col min="14858" max="14859" width="15.5703125" bestFit="1" customWidth="1"/>
    <col min="14860" max="14860" width="16.42578125" bestFit="1" customWidth="1"/>
    <col min="14861" max="14861" width="13.140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8.42578125" bestFit="1" customWidth="1"/>
    <col min="15101" max="15101" width="20.1406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8.42578125" bestFit="1" customWidth="1"/>
    <col min="15112" max="15112" width="20.42578125" bestFit="1" customWidth="1"/>
    <col min="15113" max="15113" width="32.140625" customWidth="1"/>
    <col min="15114" max="15115" width="15.5703125" bestFit="1" customWidth="1"/>
    <col min="15116" max="15116" width="16.42578125" bestFit="1" customWidth="1"/>
    <col min="15117" max="15117" width="13.140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8.42578125" bestFit="1" customWidth="1"/>
    <col min="15357" max="15357" width="20.1406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8.42578125" bestFit="1" customWidth="1"/>
    <col min="15368" max="15368" width="20.42578125" bestFit="1" customWidth="1"/>
    <col min="15369" max="15369" width="32.140625" customWidth="1"/>
    <col min="15370" max="15371" width="15.5703125" bestFit="1" customWidth="1"/>
    <col min="15372" max="15372" width="16.42578125" bestFit="1" customWidth="1"/>
    <col min="15373" max="15373" width="13.140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8.42578125" bestFit="1" customWidth="1"/>
    <col min="15613" max="15613" width="20.1406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8.42578125" bestFit="1" customWidth="1"/>
    <col min="15624" max="15624" width="20.42578125" bestFit="1" customWidth="1"/>
    <col min="15625" max="15625" width="32.140625" customWidth="1"/>
    <col min="15626" max="15627" width="15.5703125" bestFit="1" customWidth="1"/>
    <col min="15628" max="15628" width="16.42578125" bestFit="1" customWidth="1"/>
    <col min="15629" max="15629" width="13.140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8.42578125" bestFit="1" customWidth="1"/>
    <col min="15869" max="15869" width="20.1406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8.42578125" bestFit="1" customWidth="1"/>
    <col min="15880" max="15880" width="20.42578125" bestFit="1" customWidth="1"/>
    <col min="15881" max="15881" width="32.140625" customWidth="1"/>
    <col min="15882" max="15883" width="15.5703125" bestFit="1" customWidth="1"/>
    <col min="15884" max="15884" width="16.42578125" bestFit="1" customWidth="1"/>
    <col min="15885" max="15885" width="13.140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8.42578125" bestFit="1" customWidth="1"/>
    <col min="16125" max="16125" width="20.1406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8.42578125" bestFit="1" customWidth="1"/>
    <col min="16136" max="16136" width="20.42578125" bestFit="1" customWidth="1"/>
    <col min="16137" max="16137" width="32.140625" customWidth="1"/>
    <col min="16138" max="16139" width="15.5703125" bestFit="1" customWidth="1"/>
    <col min="16140" max="16140" width="16.42578125" bestFit="1" customWidth="1"/>
    <col min="16141" max="16141" width="13.140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4" customHeight="1" thickBot="1">
      <c r="C1" s="1853" t="s">
        <v>1655</v>
      </c>
      <c r="D1" s="1812" t="s">
        <v>291</v>
      </c>
      <c r="E1" s="1853" t="s">
        <v>6</v>
      </c>
      <c r="F1" s="1853">
        <v>18230625</v>
      </c>
      <c r="G1" s="1853" t="s">
        <v>5</v>
      </c>
      <c r="J1" s="1812"/>
      <c r="K1" s="1812"/>
      <c r="L1" s="1853" t="s">
        <v>1655</v>
      </c>
      <c r="M1" s="1812" t="s">
        <v>291</v>
      </c>
      <c r="N1" s="1853" t="s">
        <v>6</v>
      </c>
      <c r="O1" s="1853">
        <v>18230625</v>
      </c>
      <c r="P1" s="1853" t="s">
        <v>5</v>
      </c>
      <c r="T1" s="1853" t="s">
        <v>1655</v>
      </c>
      <c r="U1" s="1812" t="s">
        <v>291</v>
      </c>
      <c r="V1" s="1853" t="s">
        <v>6</v>
      </c>
      <c r="W1" s="1853">
        <v>18230625</v>
      </c>
      <c r="X1" s="1853" t="s">
        <v>5</v>
      </c>
    </row>
    <row r="2" spans="1:26" ht="16.5" customHeight="1" thickBot="1">
      <c r="C2" s="45"/>
      <c r="D2" s="46"/>
      <c r="H2" s="1576" t="s">
        <v>674</v>
      </c>
      <c r="R2" s="3596"/>
      <c r="S2" s="3596"/>
      <c r="T2" s="3597" t="s">
        <v>36</v>
      </c>
      <c r="U2" s="3598"/>
      <c r="V2" s="3599"/>
      <c r="W2" s="3594" t="s">
        <v>37</v>
      </c>
    </row>
    <row r="3" spans="1:26" ht="26.25" thickBot="1">
      <c r="A3" s="1852" t="s">
        <v>1655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45638</v>
      </c>
      <c r="I4" s="2002">
        <v>22134</v>
      </c>
      <c r="J4" s="2002">
        <v>47915</v>
      </c>
      <c r="K4" s="2002">
        <v>93750</v>
      </c>
      <c r="L4" s="2002">
        <v>3000</v>
      </c>
      <c r="M4" s="2002">
        <v>25000</v>
      </c>
      <c r="N4" s="2002">
        <v>1000</v>
      </c>
      <c r="O4" s="2002">
        <v>2000</v>
      </c>
      <c r="P4" s="2002">
        <v>1570800</v>
      </c>
      <c r="Q4" s="2002">
        <v>0</v>
      </c>
      <c r="R4" s="2000">
        <v>1811236</v>
      </c>
      <c r="S4" s="1998" t="s">
        <v>669</v>
      </c>
      <c r="T4" s="51">
        <f>P4/R4</f>
        <v>0.86725308021704517</v>
      </c>
      <c r="U4" s="51">
        <f>(K4+(I4*1.63))/R4</f>
        <v>7.1679460876440171E-2</v>
      </c>
      <c r="V4" s="51">
        <f>M4/R4</f>
        <v>1.3802729186036497E-2</v>
      </c>
      <c r="W4" s="52" t="e">
        <f>R4/S4</f>
        <v>#VALUE!</v>
      </c>
    </row>
    <row r="5" spans="1:26" ht="16.5" thickBot="1">
      <c r="A5" s="1852" t="s">
        <v>6</v>
      </c>
      <c r="B5" s="1852"/>
      <c r="C5" s="45"/>
      <c r="G5" s="1496">
        <v>2016</v>
      </c>
      <c r="H5" s="1582">
        <f>D15</f>
        <v>49847.990000000005</v>
      </c>
      <c r="I5" s="1549">
        <f>D21</f>
        <v>22011</v>
      </c>
      <c r="J5" s="1549">
        <f>D27</f>
        <v>47929.946330000006</v>
      </c>
      <c r="K5" s="1549">
        <f>D34</f>
        <v>134200</v>
      </c>
      <c r="L5" s="1549">
        <f>D40</f>
        <v>3000</v>
      </c>
      <c r="M5" s="1549">
        <f>D46</f>
        <v>65000</v>
      </c>
      <c r="N5" s="1549">
        <f>D52</f>
        <v>1000</v>
      </c>
      <c r="O5" s="1549">
        <f>D58</f>
        <v>2000</v>
      </c>
      <c r="P5" s="1549">
        <f>D64</f>
        <v>1867488</v>
      </c>
      <c r="Q5" s="1549">
        <f>D67</f>
        <v>0</v>
      </c>
      <c r="R5" s="2001">
        <f>SUM(H5:Q5)</f>
        <v>2192476.9363299999</v>
      </c>
      <c r="S5" s="1999">
        <f>T15</f>
        <v>3423202</v>
      </c>
      <c r="T5" s="55">
        <f>P5/R5</f>
        <v>0.85177087569550414</v>
      </c>
      <c r="U5" s="55">
        <f>(K5+(I5*1.63))/R5</f>
        <v>7.7573418074214473E-2</v>
      </c>
      <c r="V5" s="55">
        <f>M5/R5</f>
        <v>2.9646834100250052E-2</v>
      </c>
      <c r="W5" s="56">
        <f>R5/S5</f>
        <v>0.64047547773400459</v>
      </c>
    </row>
    <row r="6" spans="1:26" ht="16.5" thickBot="1">
      <c r="A6" s="1852">
        <v>18230625</v>
      </c>
      <c r="B6" s="1852"/>
      <c r="D6" s="45"/>
      <c r="G6" s="1496">
        <v>2017</v>
      </c>
      <c r="H6" s="57">
        <f>E15</f>
        <v>51094.399999999994</v>
      </c>
      <c r="I6" s="1990">
        <f>E21</f>
        <v>22561.279999999999</v>
      </c>
      <c r="J6" s="1989">
        <f>E27</f>
        <v>50085.862399999998</v>
      </c>
      <c r="K6" s="58">
        <f>E34</f>
        <v>134200</v>
      </c>
      <c r="L6" s="58">
        <f>E40</f>
        <v>3000</v>
      </c>
      <c r="M6" s="58">
        <f>E46</f>
        <v>65000</v>
      </c>
      <c r="N6" s="58">
        <f>E52</f>
        <v>1000</v>
      </c>
      <c r="O6" s="58">
        <f>E58</f>
        <v>2000</v>
      </c>
      <c r="P6" s="58">
        <f>E64</f>
        <v>1867488</v>
      </c>
      <c r="Q6" s="58">
        <f>E67</f>
        <v>0</v>
      </c>
      <c r="R6" s="1997">
        <f>SUM(H6:Q6)</f>
        <v>2196429.5424000002</v>
      </c>
      <c r="S6" s="1996">
        <f>U15</f>
        <v>3423202</v>
      </c>
      <c r="T6" s="55">
        <f>P6/R6</f>
        <v>0.85023806316110118</v>
      </c>
      <c r="U6" s="55">
        <f>(K6+(I6*1.63))/R6</f>
        <v>7.7842190290874858E-2</v>
      </c>
      <c r="V6" s="55">
        <f>M6/R6</f>
        <v>2.9593482852618907E-2</v>
      </c>
      <c r="W6" s="56">
        <f>R6/S6</f>
        <v>0.64163012945189912</v>
      </c>
    </row>
    <row r="7" spans="1:26" ht="16.5" thickBot="1">
      <c r="A7" s="1852" t="s">
        <v>5</v>
      </c>
      <c r="B7" s="1852"/>
      <c r="C7" s="1866"/>
      <c r="D7" s="1592"/>
      <c r="E7" s="1867"/>
      <c r="F7" s="1866"/>
      <c r="G7" s="1608" t="s">
        <v>23</v>
      </c>
      <c r="H7" s="1564">
        <f>SUM(H5:H6)</f>
        <v>100942.39</v>
      </c>
      <c r="I7" s="1991">
        <f t="shared" ref="I7:Q7" si="0">SUM(I5:I6)</f>
        <v>44572.28</v>
      </c>
      <c r="J7" s="1992">
        <f t="shared" si="0"/>
        <v>98015.808730000004</v>
      </c>
      <c r="K7" s="1993">
        <f t="shared" si="0"/>
        <v>268400</v>
      </c>
      <c r="L7" s="1991">
        <f t="shared" si="0"/>
        <v>6000</v>
      </c>
      <c r="M7" s="1992">
        <f t="shared" si="0"/>
        <v>130000</v>
      </c>
      <c r="N7" s="1991">
        <f t="shared" si="0"/>
        <v>2000</v>
      </c>
      <c r="O7" s="1992">
        <f t="shared" si="0"/>
        <v>4000</v>
      </c>
      <c r="P7" s="1993">
        <f t="shared" si="0"/>
        <v>3734976</v>
      </c>
      <c r="Q7" s="1991">
        <f t="shared" si="0"/>
        <v>0</v>
      </c>
      <c r="R7" s="1993">
        <f>SUM(H7:Q7)</f>
        <v>4388906.4787299996</v>
      </c>
      <c r="S7" s="1994">
        <f>SUM(S5:S6)</f>
        <v>6846404</v>
      </c>
      <c r="T7" s="55">
        <f>P7/R7</f>
        <v>0.85100377921034565</v>
      </c>
      <c r="U7" s="55">
        <f>(K7+(I7*1.63))/R7</f>
        <v>7.770792520935399E-2</v>
      </c>
      <c r="V7" s="55">
        <f>M7/R7</f>
        <v>2.9620134452629662E-2</v>
      </c>
      <c r="W7" s="56">
        <f>R7/S7</f>
        <v>0.6410528035929518</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2192476.9363299999</v>
      </c>
      <c r="E12" s="1948">
        <f>E15+E21+E27+E34+E40+E46+E52+E58+E64</f>
        <v>2196429.5424000002</v>
      </c>
      <c r="F12" s="1924">
        <f>D12+E12</f>
        <v>4388906.4787300006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SUM(D16:D18)</f>
        <v>49847.990000000005</v>
      </c>
      <c r="E15" s="1926">
        <f>SUM(E16:E18)</f>
        <v>51094.399999999994</v>
      </c>
      <c r="F15" s="1924">
        <f>D15+E15</f>
        <v>100942.39</v>
      </c>
      <c r="H15" s="1938" t="s">
        <v>327</v>
      </c>
      <c r="I15" s="1939"/>
      <c r="J15" s="1939"/>
      <c r="K15" s="1940"/>
      <c r="L15" s="1941">
        <f>SUMPRODUCT(L16:L26,S16:S26)</f>
        <v>3734976</v>
      </c>
      <c r="M15" s="1941">
        <f>SUM(M16:M26)</f>
        <v>518.13</v>
      </c>
      <c r="N15" s="1942" t="s">
        <v>241</v>
      </c>
      <c r="O15" s="1940">
        <v>11</v>
      </c>
      <c r="P15" s="1940"/>
      <c r="Q15" s="1940"/>
      <c r="R15" s="1940"/>
      <c r="S15" s="1940"/>
      <c r="T15" s="1943">
        <f t="shared" ref="T15:Z15" si="1">SUM(T16:T65)</f>
        <v>3423202</v>
      </c>
      <c r="U15" s="1943">
        <f t="shared" si="1"/>
        <v>3423202</v>
      </c>
      <c r="V15" s="1943">
        <f t="shared" si="1"/>
        <v>6846404</v>
      </c>
      <c r="W15" s="2968">
        <f t="shared" si="1"/>
        <v>1867488</v>
      </c>
      <c r="X15" s="2968">
        <f t="shared" si="1"/>
        <v>1867488</v>
      </c>
      <c r="Y15" s="2968">
        <f t="shared" si="1"/>
        <v>3734976</v>
      </c>
      <c r="Z15" s="1943">
        <f t="shared" si="1"/>
        <v>25.25</v>
      </c>
    </row>
    <row r="16" spans="1:26">
      <c r="B16" s="1885">
        <v>0.1</v>
      </c>
      <c r="C16" s="2197" t="s">
        <v>791</v>
      </c>
      <c r="D16" s="1907">
        <v>9063.27</v>
      </c>
      <c r="E16" s="1906">
        <v>9289.89</v>
      </c>
      <c r="F16" s="1879">
        <f t="shared" ref="F16:F32" si="2">SUM(D16:E16)</f>
        <v>18353.16</v>
      </c>
      <c r="H16" s="2519" t="s">
        <v>1089</v>
      </c>
      <c r="I16" s="2520">
        <v>20</v>
      </c>
      <c r="J16" s="1932" t="s">
        <v>120</v>
      </c>
      <c r="K16" s="2521" t="s">
        <v>909</v>
      </c>
      <c r="L16" s="2537">
        <v>5.48</v>
      </c>
      <c r="M16" s="2537">
        <v>5.48</v>
      </c>
      <c r="N16" s="2522">
        <v>0.27111159088901754</v>
      </c>
      <c r="O16" s="2521">
        <v>12</v>
      </c>
      <c r="P16" s="2523" t="s">
        <v>954</v>
      </c>
      <c r="Q16" s="2967">
        <v>54480</v>
      </c>
      <c r="R16" s="2967">
        <v>54480</v>
      </c>
      <c r="S16" s="2580">
        <f t="shared" ref="S16:S26" si="3">SUM(Q16:R16)</f>
        <v>108960</v>
      </c>
      <c r="T16" s="2580">
        <f t="shared" ref="T16:T26" si="4">Q16*I16</f>
        <v>1089600</v>
      </c>
      <c r="U16" s="2580">
        <f t="shared" ref="U16:U26" si="5">R16*I16</f>
        <v>1089600</v>
      </c>
      <c r="V16" s="2580">
        <f t="shared" ref="V16:V26" si="6">SUM(T16:U16)</f>
        <v>2179200</v>
      </c>
      <c r="W16" s="1921">
        <f t="shared" ref="W16:W26" si="7">Q16*M16</f>
        <v>298550.40000000002</v>
      </c>
      <c r="X16" s="1921">
        <f t="shared" ref="X16:X26" si="8">R16*M16</f>
        <v>298550.40000000002</v>
      </c>
      <c r="Y16" s="1921">
        <f t="shared" ref="Y16:Y26" si="9">SUM(W16:X16)</f>
        <v>597100.80000000005</v>
      </c>
      <c r="Z16" s="1946">
        <v>0</v>
      </c>
    </row>
    <row r="17" spans="2:26">
      <c r="B17" s="1885">
        <v>0.25</v>
      </c>
      <c r="C17" s="1876" t="s">
        <v>792</v>
      </c>
      <c r="D17" s="1905">
        <v>22658.18</v>
      </c>
      <c r="E17" s="1904">
        <v>23224.73</v>
      </c>
      <c r="F17" s="1879">
        <f t="shared" si="2"/>
        <v>45882.91</v>
      </c>
      <c r="H17" s="2519" t="s">
        <v>1090</v>
      </c>
      <c r="I17" s="2520">
        <v>216</v>
      </c>
      <c r="J17" s="1932" t="s">
        <v>120</v>
      </c>
      <c r="K17" s="2521" t="s">
        <v>909</v>
      </c>
      <c r="L17" s="2537">
        <v>42</v>
      </c>
      <c r="M17" s="2537">
        <v>42</v>
      </c>
      <c r="N17" s="2522">
        <v>9.3033297677111645E-2</v>
      </c>
      <c r="O17" s="2521">
        <v>5</v>
      </c>
      <c r="P17" s="2523" t="s">
        <v>952</v>
      </c>
      <c r="Q17" s="2611">
        <v>1123</v>
      </c>
      <c r="R17" s="2611">
        <v>1123</v>
      </c>
      <c r="S17" s="2524">
        <f t="shared" si="3"/>
        <v>2246</v>
      </c>
      <c r="T17" s="2525">
        <f t="shared" si="4"/>
        <v>242568</v>
      </c>
      <c r="U17" s="2525">
        <f t="shared" si="5"/>
        <v>242568</v>
      </c>
      <c r="V17" s="2525">
        <f t="shared" si="6"/>
        <v>485136</v>
      </c>
      <c r="W17" s="1921">
        <f t="shared" si="7"/>
        <v>47166</v>
      </c>
      <c r="X17" s="1921">
        <f t="shared" si="8"/>
        <v>47166</v>
      </c>
      <c r="Y17" s="1921">
        <f t="shared" si="9"/>
        <v>94332</v>
      </c>
      <c r="Z17" s="1946">
        <v>0</v>
      </c>
    </row>
    <row r="18" spans="2:26">
      <c r="B18" s="1885">
        <v>0.2</v>
      </c>
      <c r="C18" s="1876" t="s">
        <v>794</v>
      </c>
      <c r="D18" s="1905">
        <v>18126.54</v>
      </c>
      <c r="E18" s="1904">
        <v>18579.78</v>
      </c>
      <c r="F18" s="1879">
        <f t="shared" si="2"/>
        <v>36706.32</v>
      </c>
      <c r="H18" s="2519" t="s">
        <v>1091</v>
      </c>
      <c r="I18" s="2520">
        <v>18</v>
      </c>
      <c r="J18" s="1932" t="s">
        <v>120</v>
      </c>
      <c r="K18" s="2521" t="s">
        <v>909</v>
      </c>
      <c r="L18" s="2537">
        <v>5.48</v>
      </c>
      <c r="M18" s="2537">
        <v>5.48</v>
      </c>
      <c r="N18" s="2522">
        <v>7.8960539357599197E-2</v>
      </c>
      <c r="O18" s="2521">
        <v>12</v>
      </c>
      <c r="P18" s="2523" t="s">
        <v>954</v>
      </c>
      <c r="Q18" s="2611">
        <v>15444</v>
      </c>
      <c r="R18" s="2611">
        <v>15444</v>
      </c>
      <c r="S18" s="2524">
        <f t="shared" si="3"/>
        <v>30888</v>
      </c>
      <c r="T18" s="2580">
        <f t="shared" si="4"/>
        <v>277992</v>
      </c>
      <c r="U18" s="2580">
        <f t="shared" si="5"/>
        <v>277992</v>
      </c>
      <c r="V18" s="2580">
        <f t="shared" si="6"/>
        <v>555984</v>
      </c>
      <c r="W18" s="1921">
        <f t="shared" si="7"/>
        <v>84633.12000000001</v>
      </c>
      <c r="X18" s="1921">
        <f t="shared" si="8"/>
        <v>84633.12000000001</v>
      </c>
      <c r="Y18" s="1921">
        <f t="shared" si="9"/>
        <v>169266.24000000002</v>
      </c>
      <c r="Z18" s="1946">
        <v>0</v>
      </c>
    </row>
    <row r="19" spans="2:26">
      <c r="B19" s="1885"/>
      <c r="C19" s="1876"/>
      <c r="D19" s="1903"/>
      <c r="E19" s="1902"/>
      <c r="F19" s="1879">
        <f t="shared" si="2"/>
        <v>0</v>
      </c>
      <c r="H19" s="2519" t="s">
        <v>1092</v>
      </c>
      <c r="I19" s="2520">
        <v>0</v>
      </c>
      <c r="J19" s="1932" t="s">
        <v>120</v>
      </c>
      <c r="K19" s="2521" t="s">
        <v>966</v>
      </c>
      <c r="L19" s="2537">
        <v>165</v>
      </c>
      <c r="M19" s="2537">
        <v>165</v>
      </c>
      <c r="N19" s="2522">
        <v>0</v>
      </c>
      <c r="O19" s="2521">
        <v>1</v>
      </c>
      <c r="P19" s="2523" t="s">
        <v>1069</v>
      </c>
      <c r="Q19" s="2611">
        <v>6150</v>
      </c>
      <c r="R19" s="2611">
        <v>6150</v>
      </c>
      <c r="S19" s="2524">
        <f t="shared" si="3"/>
        <v>12300</v>
      </c>
      <c r="T19" s="2580">
        <f t="shared" si="4"/>
        <v>0</v>
      </c>
      <c r="U19" s="2580">
        <f t="shared" si="5"/>
        <v>0</v>
      </c>
      <c r="V19" s="2580">
        <f t="shared" si="6"/>
        <v>0</v>
      </c>
      <c r="W19" s="1921">
        <f t="shared" si="7"/>
        <v>1014750</v>
      </c>
      <c r="X19" s="1921">
        <f t="shared" si="8"/>
        <v>1014750</v>
      </c>
      <c r="Y19" s="1921">
        <f t="shared" si="9"/>
        <v>2029500</v>
      </c>
      <c r="Z19" s="1946">
        <v>0</v>
      </c>
    </row>
    <row r="20" spans="2:26" s="1862" customFormat="1">
      <c r="B20" s="1914">
        <f>SUM(B16:B19)</f>
        <v>0.55000000000000004</v>
      </c>
      <c r="C20" s="1952"/>
      <c r="D20" s="1954"/>
      <c r="E20" s="1955"/>
      <c r="F20" s="1957"/>
      <c r="H20" s="1922" t="s">
        <v>1093</v>
      </c>
      <c r="I20" s="1928">
        <v>38</v>
      </c>
      <c r="J20" s="1932" t="s">
        <v>120</v>
      </c>
      <c r="K20" s="1922" t="s">
        <v>909</v>
      </c>
      <c r="L20" s="1929">
        <v>7.12</v>
      </c>
      <c r="M20" s="1929">
        <v>7.12</v>
      </c>
      <c r="N20" s="1923">
        <v>0.38708917653755187</v>
      </c>
      <c r="O20" s="1922">
        <v>12</v>
      </c>
      <c r="P20" s="1925" t="s">
        <v>954</v>
      </c>
      <c r="Q20" s="1928">
        <v>39379</v>
      </c>
      <c r="R20" s="1928">
        <v>39379</v>
      </c>
      <c r="S20" s="1931">
        <f t="shared" si="3"/>
        <v>78758</v>
      </c>
      <c r="T20" s="1931">
        <f t="shared" si="4"/>
        <v>1496402</v>
      </c>
      <c r="U20" s="1931">
        <f t="shared" si="5"/>
        <v>1496402</v>
      </c>
      <c r="V20" s="1931">
        <f t="shared" si="6"/>
        <v>2992804</v>
      </c>
      <c r="W20" s="1921">
        <f t="shared" si="7"/>
        <v>280378.48</v>
      </c>
      <c r="X20" s="1921">
        <f t="shared" si="8"/>
        <v>280378.48</v>
      </c>
      <c r="Y20" s="1921">
        <f t="shared" si="9"/>
        <v>560756.96</v>
      </c>
      <c r="Z20" s="1946">
        <v>0</v>
      </c>
    </row>
    <row r="21" spans="2:26">
      <c r="C21" s="1910" t="s">
        <v>47</v>
      </c>
      <c r="D21" s="1911">
        <f>SUM(D22:D25)</f>
        <v>22011</v>
      </c>
      <c r="E21" s="1926">
        <f>SUM(E22:E25)</f>
        <v>22561.279999999999</v>
      </c>
      <c r="F21" s="2157">
        <f>D21+E21</f>
        <v>44572.28</v>
      </c>
      <c r="H21" s="1922" t="s">
        <v>1094</v>
      </c>
      <c r="I21" s="1928">
        <v>260</v>
      </c>
      <c r="J21" s="1932" t="s">
        <v>120</v>
      </c>
      <c r="K21" s="1922" t="s">
        <v>909</v>
      </c>
      <c r="L21" s="1929">
        <v>15</v>
      </c>
      <c r="M21" s="1929">
        <v>15</v>
      </c>
      <c r="N21" s="1923">
        <v>6.149226194565207E-2</v>
      </c>
      <c r="O21" s="1922">
        <v>10</v>
      </c>
      <c r="P21" s="1925" t="s">
        <v>910</v>
      </c>
      <c r="Q21" s="1928">
        <v>854</v>
      </c>
      <c r="R21" s="1928">
        <v>854</v>
      </c>
      <c r="S21" s="1931">
        <f t="shared" si="3"/>
        <v>1708</v>
      </c>
      <c r="T21" s="1931">
        <f t="shared" si="4"/>
        <v>222040</v>
      </c>
      <c r="U21" s="1931">
        <f t="shared" si="5"/>
        <v>222040</v>
      </c>
      <c r="V21" s="1931">
        <f t="shared" si="6"/>
        <v>444080</v>
      </c>
      <c r="W21" s="1921">
        <f t="shared" si="7"/>
        <v>12810</v>
      </c>
      <c r="X21" s="1921">
        <f t="shared" si="8"/>
        <v>12810</v>
      </c>
      <c r="Y21" s="1921">
        <f t="shared" si="9"/>
        <v>25620</v>
      </c>
      <c r="Z21" s="1946">
        <v>20.53</v>
      </c>
    </row>
    <row r="22" spans="2:26">
      <c r="C22" s="1876"/>
      <c r="D22" s="1907">
        <v>22011</v>
      </c>
      <c r="E22" s="1906">
        <v>22561.279999999999</v>
      </c>
      <c r="F22" s="1879">
        <f t="shared" si="2"/>
        <v>44572.28</v>
      </c>
      <c r="H22" s="1922" t="s">
        <v>1095</v>
      </c>
      <c r="I22" s="1928">
        <v>22</v>
      </c>
      <c r="J22" s="1932" t="s">
        <v>120</v>
      </c>
      <c r="K22" s="1922" t="s">
        <v>909</v>
      </c>
      <c r="L22" s="1929">
        <v>4.8899999999999997</v>
      </c>
      <c r="M22" s="1929">
        <v>4.8899999999999997</v>
      </c>
      <c r="N22" s="1923">
        <v>7.4701420033562643E-2</v>
      </c>
      <c r="O22" s="1922">
        <v>12</v>
      </c>
      <c r="P22" s="1925" t="s">
        <v>954</v>
      </c>
      <c r="Q22" s="1928"/>
      <c r="R22" s="1928"/>
      <c r="S22" s="1931">
        <f t="shared" si="3"/>
        <v>0</v>
      </c>
      <c r="T22" s="1931">
        <f t="shared" si="4"/>
        <v>0</v>
      </c>
      <c r="U22" s="1931">
        <f t="shared" si="5"/>
        <v>0</v>
      </c>
      <c r="V22" s="1931">
        <f t="shared" si="6"/>
        <v>0</v>
      </c>
      <c r="W22" s="1921">
        <f t="shared" si="7"/>
        <v>0</v>
      </c>
      <c r="X22" s="1921">
        <f t="shared" si="8"/>
        <v>0</v>
      </c>
      <c r="Y22" s="1921">
        <f t="shared" si="9"/>
        <v>0</v>
      </c>
      <c r="Z22" s="1946">
        <v>0</v>
      </c>
    </row>
    <row r="23" spans="2:26">
      <c r="C23" s="1876"/>
      <c r="D23" s="1900"/>
      <c r="E23" s="1899"/>
      <c r="F23" s="1879">
        <f t="shared" si="2"/>
        <v>0</v>
      </c>
      <c r="H23" s="1922" t="s">
        <v>1096</v>
      </c>
      <c r="I23" s="1928">
        <v>0</v>
      </c>
      <c r="J23" s="1932" t="s">
        <v>120</v>
      </c>
      <c r="K23" s="1922" t="s">
        <v>966</v>
      </c>
      <c r="L23" s="1929">
        <v>4.16</v>
      </c>
      <c r="M23" s="1929">
        <v>4.16</v>
      </c>
      <c r="N23" s="1923">
        <v>0</v>
      </c>
      <c r="O23" s="1922">
        <v>1</v>
      </c>
      <c r="P23" s="1925" t="s">
        <v>1069</v>
      </c>
      <c r="Q23" s="1928">
        <v>30000</v>
      </c>
      <c r="R23" s="1928">
        <v>30000</v>
      </c>
      <c r="S23" s="1931">
        <f t="shared" si="3"/>
        <v>60000</v>
      </c>
      <c r="T23" s="1931">
        <f t="shared" si="4"/>
        <v>0</v>
      </c>
      <c r="U23" s="1931">
        <f t="shared" si="5"/>
        <v>0</v>
      </c>
      <c r="V23" s="1931">
        <f t="shared" si="6"/>
        <v>0</v>
      </c>
      <c r="W23" s="1921">
        <f t="shared" si="7"/>
        <v>124800</v>
      </c>
      <c r="X23" s="1921">
        <f t="shared" si="8"/>
        <v>124800</v>
      </c>
      <c r="Y23" s="1921">
        <f t="shared" si="9"/>
        <v>249600</v>
      </c>
      <c r="Z23" s="1946">
        <v>0</v>
      </c>
    </row>
    <row r="24" spans="2:26">
      <c r="C24" s="1876"/>
      <c r="D24" s="1898"/>
      <c r="E24" s="1897"/>
      <c r="F24" s="1879">
        <f t="shared" si="2"/>
        <v>0</v>
      </c>
      <c r="H24" s="1922" t="s">
        <v>1097</v>
      </c>
      <c r="I24" s="1928">
        <v>53</v>
      </c>
      <c r="J24" s="1932" t="s">
        <v>120</v>
      </c>
      <c r="K24" s="1922" t="s">
        <v>909</v>
      </c>
      <c r="L24" s="1929">
        <v>2</v>
      </c>
      <c r="M24" s="1929">
        <v>2</v>
      </c>
      <c r="N24" s="1923">
        <v>2.6006143338011167E-2</v>
      </c>
      <c r="O24" s="1922">
        <v>10</v>
      </c>
      <c r="P24" s="1925" t="s">
        <v>910</v>
      </c>
      <c r="Q24" s="1928">
        <v>1200</v>
      </c>
      <c r="R24" s="1928">
        <v>1200</v>
      </c>
      <c r="S24" s="1931">
        <f t="shared" si="3"/>
        <v>2400</v>
      </c>
      <c r="T24" s="1931">
        <f t="shared" si="4"/>
        <v>63600</v>
      </c>
      <c r="U24" s="1931">
        <f t="shared" si="5"/>
        <v>63600</v>
      </c>
      <c r="V24" s="1931">
        <f t="shared" si="6"/>
        <v>127200</v>
      </c>
      <c r="W24" s="1921">
        <f t="shared" si="7"/>
        <v>2400</v>
      </c>
      <c r="X24" s="1921">
        <f t="shared" si="8"/>
        <v>2400</v>
      </c>
      <c r="Y24" s="1921">
        <f t="shared" si="9"/>
        <v>4800</v>
      </c>
      <c r="Z24" s="1946">
        <v>2.36</v>
      </c>
    </row>
    <row r="25" spans="2:26">
      <c r="C25" s="1876"/>
      <c r="D25" s="1896"/>
      <c r="E25" s="1899"/>
      <c r="F25" s="1879">
        <f t="shared" si="2"/>
        <v>0</v>
      </c>
      <c r="H25" s="1922" t="s">
        <v>1098</v>
      </c>
      <c r="I25" s="1928">
        <v>31</v>
      </c>
      <c r="J25" s="1932" t="s">
        <v>120</v>
      </c>
      <c r="K25" s="1922" t="s">
        <v>909</v>
      </c>
      <c r="L25" s="1929">
        <v>2</v>
      </c>
      <c r="M25" s="1929">
        <v>2</v>
      </c>
      <c r="N25" s="1923">
        <v>7.6055702214938318E-3</v>
      </c>
      <c r="O25" s="1922">
        <v>10</v>
      </c>
      <c r="P25" s="1925" t="s">
        <v>910</v>
      </c>
      <c r="Q25" s="1928">
        <v>1000</v>
      </c>
      <c r="R25" s="1928">
        <v>1000</v>
      </c>
      <c r="S25" s="1931">
        <f t="shared" si="3"/>
        <v>2000</v>
      </c>
      <c r="T25" s="1931">
        <f t="shared" si="4"/>
        <v>31000</v>
      </c>
      <c r="U25" s="1931">
        <f t="shared" si="5"/>
        <v>31000</v>
      </c>
      <c r="V25" s="1931">
        <f t="shared" si="6"/>
        <v>62000</v>
      </c>
      <c r="W25" s="1921">
        <f t="shared" si="7"/>
        <v>2000</v>
      </c>
      <c r="X25" s="1921">
        <f t="shared" si="8"/>
        <v>2000</v>
      </c>
      <c r="Y25" s="1921">
        <f t="shared" si="9"/>
        <v>4000</v>
      </c>
      <c r="Z25" s="1946">
        <v>2.36</v>
      </c>
    </row>
    <row r="26" spans="2:26">
      <c r="C26" s="1877"/>
      <c r="D26" s="1892"/>
      <c r="E26" s="1884"/>
      <c r="F26" s="1892"/>
      <c r="H26" s="1922" t="s">
        <v>1099</v>
      </c>
      <c r="I26" s="1928">
        <v>0</v>
      </c>
      <c r="J26" s="1932" t="s">
        <v>120</v>
      </c>
      <c r="K26" s="1922" t="s">
        <v>966</v>
      </c>
      <c r="L26" s="1929">
        <v>265</v>
      </c>
      <c r="M26" s="1929">
        <v>265</v>
      </c>
      <c r="N26" s="1923">
        <v>0</v>
      </c>
      <c r="O26" s="1922">
        <v>1</v>
      </c>
      <c r="P26" s="1925" t="s">
        <v>1069</v>
      </c>
      <c r="Q26" s="1928"/>
      <c r="R26" s="1928"/>
      <c r="S26" s="1931">
        <f t="shared" si="3"/>
        <v>0</v>
      </c>
      <c r="T26" s="1931">
        <f t="shared" si="4"/>
        <v>0</v>
      </c>
      <c r="U26" s="1931">
        <f t="shared" si="5"/>
        <v>0</v>
      </c>
      <c r="V26" s="1931">
        <f t="shared" si="6"/>
        <v>0</v>
      </c>
      <c r="W26" s="1921">
        <f t="shared" si="7"/>
        <v>0</v>
      </c>
      <c r="X26" s="1921">
        <f t="shared" si="8"/>
        <v>0</v>
      </c>
      <c r="Y26" s="1921">
        <f t="shared" si="9"/>
        <v>0</v>
      </c>
      <c r="Z26" s="1946">
        <v>0</v>
      </c>
    </row>
    <row r="27" spans="2:26">
      <c r="C27" s="1910" t="s">
        <v>48</v>
      </c>
      <c r="D27" s="1911">
        <f>SUM(D29:D32)</f>
        <v>47929.946330000006</v>
      </c>
      <c r="E27" s="1926">
        <f>SUM(E29:E32)</f>
        <v>50085.862399999998</v>
      </c>
      <c r="F27" s="2157">
        <f>D27+E27</f>
        <v>98015.808730000004</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33248.609330000007</v>
      </c>
      <c r="E29" s="1972">
        <f>E15*E28</f>
        <v>34744.191999999995</v>
      </c>
      <c r="F29" s="1879">
        <f t="shared" si="2"/>
        <v>67992.801330000002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14681.337000000001</v>
      </c>
      <c r="E30" s="1972">
        <f>E21*E28</f>
        <v>15341.670400000001</v>
      </c>
      <c r="F30" s="1879">
        <f t="shared" si="2"/>
        <v>30023.007400000002</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2"/>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2"/>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1655</v>
      </c>
      <c r="C34" s="2106" t="s">
        <v>49</v>
      </c>
      <c r="D34" s="1911">
        <f>SUM(D35:D38)</f>
        <v>134200</v>
      </c>
      <c r="E34" s="1926">
        <f>SUM(E35:E38)</f>
        <v>134200</v>
      </c>
      <c r="F34" s="2157">
        <f>D34+E34</f>
        <v>268400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1085</v>
      </c>
      <c r="D35" s="1971">
        <v>77500</v>
      </c>
      <c r="E35" s="1988">
        <v>77500</v>
      </c>
      <c r="F35" s="1879">
        <f t="shared" ref="F35:F38" si="10">SUM(D35:E35)</f>
        <v>155000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t="s">
        <v>1086</v>
      </c>
      <c r="D36" s="1971">
        <v>56700</v>
      </c>
      <c r="E36" s="1988">
        <v>56700</v>
      </c>
      <c r="F36" s="1879">
        <f t="shared" si="10"/>
        <v>113400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18230625</v>
      </c>
      <c r="C37" s="2197"/>
      <c r="D37" s="1971"/>
      <c r="E37" s="1988"/>
      <c r="F37" s="1879">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3000</v>
      </c>
      <c r="E40" s="1926">
        <f>SUM(E41:E44)</f>
        <v>3000</v>
      </c>
      <c r="F40" s="2157">
        <f>D40+E40</f>
        <v>6000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1087</v>
      </c>
      <c r="D41" s="1971">
        <v>3000</v>
      </c>
      <c r="E41" s="1988">
        <v>3000</v>
      </c>
      <c r="F41" s="1879">
        <f t="shared" ref="F41:F44" si="11">SUM(D41:E41)</f>
        <v>6000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1"/>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1"/>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1"/>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65000</v>
      </c>
      <c r="E46" s="1926">
        <f>SUM(E47:E50)</f>
        <v>65000</v>
      </c>
      <c r="F46" s="2157">
        <f>D46+E46</f>
        <v>130000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1088</v>
      </c>
      <c r="D47" s="1971">
        <v>65000</v>
      </c>
      <c r="E47" s="1988">
        <v>65000</v>
      </c>
      <c r="F47" s="1879">
        <f t="shared" ref="F47:F50" si="12">SUM(D47:E47)</f>
        <v>130000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2"/>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2"/>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2"/>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1000</v>
      </c>
      <c r="E53" s="1972">
        <v>1000</v>
      </c>
      <c r="F53" s="1879">
        <f t="shared" ref="F53:F56" si="13">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2000</v>
      </c>
      <c r="E58" s="1926">
        <f>SUM(E59:E62)</f>
        <v>2000</v>
      </c>
      <c r="F58" s="2157">
        <f>D58+E58</f>
        <v>4000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2000</v>
      </c>
      <c r="E59" s="1988">
        <v>2000</v>
      </c>
      <c r="F59" s="1879">
        <f t="shared" ref="F59:F62" si="14">SUM(D59:E59)</f>
        <v>4000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4"/>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4"/>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4"/>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1655</v>
      </c>
      <c r="C64" s="1910" t="s">
        <v>53</v>
      </c>
      <c r="D64" s="1911">
        <f>W15</f>
        <v>1867488</v>
      </c>
      <c r="E64" s="1926">
        <f>X15</f>
        <v>1867488</v>
      </c>
      <c r="F64" s="1924">
        <f>D64+E64</f>
        <v>3734976</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0.85177087569550414</v>
      </c>
      <c r="E65" s="2616">
        <f>E64/E12</f>
        <v>0.85023806316110118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18230625</v>
      </c>
      <c r="C67" s="1959" t="s">
        <v>54</v>
      </c>
      <c r="D67" s="1971">
        <v>0</v>
      </c>
      <c r="E67" s="1971">
        <v>0</v>
      </c>
      <c r="F67" s="1956">
        <v>0</v>
      </c>
    </row>
    <row r="68" spans="1:26">
      <c r="A68" s="1852" t="s">
        <v>5</v>
      </c>
      <c r="C68" s="1610"/>
      <c r="D68" s="1895" t="s">
        <v>316</v>
      </c>
      <c r="E68" s="1612"/>
      <c r="F68" s="1612"/>
    </row>
    <row r="69" spans="1:26">
      <c r="C69" s="1610"/>
      <c r="D69" s="1609"/>
      <c r="E69" s="1609"/>
      <c r="F69" s="1609"/>
    </row>
  </sheetData>
  <customSheetViews>
    <customSheetView guid="{074EB09C-6289-46D7-9513-012B68BCA7BF}" showGridLines="0">
      <pane xSplit="1" ySplit="1" topLeftCell="H2" activePane="bottomRight" state="frozen"/>
      <selection pane="bottomRight"/>
      <pageMargins left="0.24" right="0.28999999999999998" top="0.38" bottom="0.33" header="0.3" footer="0.3"/>
      <pageSetup paperSize="17" scale="43" orientation="landscape" r:id="rId1"/>
    </customSheetView>
    <customSheetView guid="{D9EFFE19-D14B-4C6F-BDF4-FF696F73968D}" showGridLines="0">
      <pane xSplit="1" ySplit="1" topLeftCell="I2" activePane="bottomRight" state="frozen"/>
      <selection pane="bottomRight" activeCell="L16" sqref="L16:M26"/>
      <pageMargins left="0.24" right="0.28999999999999998" top="0.38" bottom="0.33" header="0.3" footer="0.3"/>
      <pageSetup paperSize="17" scale="43" orientation="landscape" r:id="rId2"/>
    </customSheetView>
  </customSheetViews>
  <mergeCells count="8">
    <mergeCell ref="H12:P12"/>
    <mergeCell ref="Q12:S12"/>
    <mergeCell ref="T12:V12"/>
    <mergeCell ref="W12:Y12"/>
    <mergeCell ref="R2:S2"/>
    <mergeCell ref="T2:V2"/>
    <mergeCell ref="W2:W3"/>
    <mergeCell ref="H10:P10"/>
  </mergeCells>
  <pageMargins left="0.24" right="0.28999999999999998" top="0.38" bottom="0.33" header="0.3" footer="0.3"/>
  <pageSetup paperSize="17" scale="43"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8DB4E3"/>
  </sheetPr>
  <dimension ref="A1:Z117"/>
  <sheetViews>
    <sheetView showGridLines="0" workbookViewId="0">
      <pane xSplit="1" ySplit="1" topLeftCell="D2" activePane="bottomRight" state="frozen"/>
      <selection pane="topRight" activeCell="B1" sqref="B1"/>
      <selection pane="bottomLeft" activeCell="A2" sqref="A2"/>
      <selection pane="bottomRight" activeCell="A2" sqref="A2"/>
    </sheetView>
  </sheetViews>
  <sheetFormatPr defaultRowHeight="12.75"/>
  <cols>
    <col min="1" max="1" width="18.28515625" style="1164" customWidth="1"/>
    <col min="2" max="2" width="15.85546875" style="1866" customWidth="1"/>
    <col min="3" max="3" width="27.7109375" customWidth="1"/>
    <col min="4" max="4" width="18.28515625" customWidth="1"/>
    <col min="5" max="5" width="19.7109375" style="9" bestFit="1" customWidth="1"/>
    <col min="6" max="6" width="15.28515625" bestFit="1" customWidth="1"/>
    <col min="7" max="7" width="15.85546875" bestFit="1" customWidth="1"/>
    <col min="8" max="8" width="47.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5.8554687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8.5" customHeight="1" thickBot="1">
      <c r="C1" s="1853" t="s">
        <v>296</v>
      </c>
      <c r="D1" s="1812" t="s">
        <v>291</v>
      </c>
      <c r="E1" s="1853" t="s">
        <v>6</v>
      </c>
      <c r="F1" s="1853">
        <v>18230626</v>
      </c>
      <c r="G1" s="1853" t="s">
        <v>5</v>
      </c>
      <c r="J1" s="1812"/>
      <c r="K1" s="1812"/>
      <c r="L1" s="1853" t="s">
        <v>296</v>
      </c>
      <c r="M1" s="1812" t="s">
        <v>291</v>
      </c>
      <c r="N1" s="1853" t="s">
        <v>6</v>
      </c>
      <c r="O1" s="1853">
        <v>18230626</v>
      </c>
      <c r="P1" s="1853" t="s">
        <v>5</v>
      </c>
      <c r="T1" s="1853" t="s">
        <v>296</v>
      </c>
      <c r="U1" s="1812" t="s">
        <v>291</v>
      </c>
      <c r="V1" s="1853" t="s">
        <v>6</v>
      </c>
      <c r="W1" s="1853">
        <v>18230626</v>
      </c>
      <c r="X1" s="1853" t="s">
        <v>5</v>
      </c>
    </row>
    <row r="2" spans="1:26" ht="16.5" thickBot="1">
      <c r="C2" s="45"/>
      <c r="D2" s="46"/>
      <c r="H2" s="1576" t="s">
        <v>674</v>
      </c>
      <c r="R2" s="3596"/>
      <c r="S2" s="3596"/>
      <c r="T2" s="3597" t="s">
        <v>36</v>
      </c>
      <c r="U2" s="3598"/>
      <c r="V2" s="3599"/>
      <c r="W2" s="3594" t="s">
        <v>37</v>
      </c>
    </row>
    <row r="3" spans="1:26" ht="26.25" thickBot="1">
      <c r="A3" s="1852" t="s">
        <v>296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11409</v>
      </c>
      <c r="I4" s="2002">
        <v>6036</v>
      </c>
      <c r="J4" s="2002">
        <v>12334</v>
      </c>
      <c r="K4" s="2002">
        <v>78750</v>
      </c>
      <c r="L4" s="2002">
        <v>1200</v>
      </c>
      <c r="M4" s="2002">
        <v>4000</v>
      </c>
      <c r="N4" s="2002">
        <v>5000</v>
      </c>
      <c r="O4" s="2002">
        <v>2400</v>
      </c>
      <c r="P4" s="2002">
        <v>279500</v>
      </c>
      <c r="Q4" s="2002">
        <v>0</v>
      </c>
      <c r="R4" s="2000">
        <v>400630</v>
      </c>
      <c r="S4" s="1998" t="s">
        <v>670</v>
      </c>
      <c r="T4" s="51">
        <f>P4/R4</f>
        <v>0.69765119936100639</v>
      </c>
      <c r="U4" s="51">
        <f>(K4+(I4*1.63))/R4</f>
        <v>0.22112343059681</v>
      </c>
      <c r="V4" s="51">
        <f>M4/R4</f>
        <v>9.9842747672415945E-3</v>
      </c>
      <c r="W4" s="52" t="e">
        <f>R4/S4</f>
        <v>#VALUE!</v>
      </c>
    </row>
    <row r="5" spans="1:26" ht="16.5" thickBot="1">
      <c r="A5" s="1852" t="s">
        <v>6</v>
      </c>
      <c r="B5" s="1852"/>
      <c r="C5" s="45"/>
      <c r="G5" s="1497">
        <v>2016</v>
      </c>
      <c r="H5" s="1582">
        <f>D15</f>
        <v>12688.58</v>
      </c>
      <c r="I5" s="1549">
        <f>D21</f>
        <v>6003</v>
      </c>
      <c r="J5" s="1549">
        <f>D27</f>
        <v>12467.283860000001</v>
      </c>
      <c r="K5" s="1549">
        <f>D34</f>
        <v>78750</v>
      </c>
      <c r="L5" s="1549">
        <f>D40</f>
        <v>1200</v>
      </c>
      <c r="M5" s="1549">
        <f>D46</f>
        <v>0</v>
      </c>
      <c r="N5" s="1549">
        <f>D52</f>
        <v>5000</v>
      </c>
      <c r="O5" s="1549">
        <f>D58</f>
        <v>2400</v>
      </c>
      <c r="P5" s="1549">
        <f>D64</f>
        <v>290000</v>
      </c>
      <c r="Q5" s="1549">
        <f>D67</f>
        <v>0</v>
      </c>
      <c r="R5" s="2001">
        <f>SUM(H5:Q5)</f>
        <v>408508.86386000004</v>
      </c>
      <c r="S5" s="1999">
        <f>T15</f>
        <v>571300</v>
      </c>
      <c r="T5" s="55">
        <f>P5/R5</f>
        <v>0.70989891690425067</v>
      </c>
      <c r="U5" s="55">
        <f>(K5+(I5*1.63))/R5</f>
        <v>0.2167269742042654</v>
      </c>
      <c r="V5" s="55">
        <f>M5/R5</f>
        <v>0</v>
      </c>
      <c r="W5" s="56">
        <f>R5/S5</f>
        <v>0.71505139831962194</v>
      </c>
    </row>
    <row r="6" spans="1:26" ht="16.5" thickBot="1">
      <c r="A6" s="1852">
        <v>18230626</v>
      </c>
      <c r="B6" s="1852"/>
      <c r="D6" s="45"/>
      <c r="G6" s="1497">
        <v>2017</v>
      </c>
      <c r="H6" s="57">
        <f>E15</f>
        <v>13005.849999999999</v>
      </c>
      <c r="I6" s="1990">
        <f>E21</f>
        <v>6153.0749999999998</v>
      </c>
      <c r="J6" s="1989">
        <f>E27</f>
        <v>13028.069</v>
      </c>
      <c r="K6" s="58">
        <f>E34</f>
        <v>78750</v>
      </c>
      <c r="L6" s="58">
        <f>E40</f>
        <v>1200</v>
      </c>
      <c r="M6" s="58">
        <f>E46</f>
        <v>0</v>
      </c>
      <c r="N6" s="58">
        <f>E52</f>
        <v>5000</v>
      </c>
      <c r="O6" s="58">
        <f>E58</f>
        <v>2400</v>
      </c>
      <c r="P6" s="58">
        <f>E64</f>
        <v>290000</v>
      </c>
      <c r="Q6" s="58">
        <f>E67</f>
        <v>0</v>
      </c>
      <c r="R6" s="1997">
        <f>SUM(H6:Q6)</f>
        <v>409536.99400000001</v>
      </c>
      <c r="S6" s="1996">
        <f>U15</f>
        <v>571300</v>
      </c>
      <c r="T6" s="55">
        <f>P6/R6</f>
        <v>0.70811673731238056</v>
      </c>
      <c r="U6" s="55">
        <f>(K6+(I6*1.63))/R6</f>
        <v>0.21678020191260181</v>
      </c>
      <c r="V6" s="55">
        <f>M6/R6</f>
        <v>0</v>
      </c>
      <c r="W6" s="56">
        <f>R6/S6</f>
        <v>0.716851030981971</v>
      </c>
    </row>
    <row r="7" spans="1:26" ht="16.5" thickBot="1">
      <c r="A7" s="1852" t="s">
        <v>5</v>
      </c>
      <c r="B7" s="1808"/>
      <c r="C7" s="1866"/>
      <c r="D7" s="1592"/>
      <c r="E7" s="1867"/>
      <c r="F7" s="1866"/>
      <c r="G7" s="1608" t="s">
        <v>23</v>
      </c>
      <c r="H7" s="1564">
        <f>SUM(H5:H6)</f>
        <v>25694.43</v>
      </c>
      <c r="I7" s="1991">
        <f t="shared" ref="I7:Q7" si="0">SUM(I5:I6)</f>
        <v>12156.075000000001</v>
      </c>
      <c r="J7" s="1992">
        <f t="shared" si="0"/>
        <v>25495.352859999999</v>
      </c>
      <c r="K7" s="1993">
        <f t="shared" si="0"/>
        <v>157500</v>
      </c>
      <c r="L7" s="1991">
        <f t="shared" si="0"/>
        <v>2400</v>
      </c>
      <c r="M7" s="1992">
        <f t="shared" si="0"/>
        <v>0</v>
      </c>
      <c r="N7" s="1991">
        <f t="shared" si="0"/>
        <v>10000</v>
      </c>
      <c r="O7" s="1992">
        <f t="shared" si="0"/>
        <v>4800</v>
      </c>
      <c r="P7" s="1993">
        <f t="shared" si="0"/>
        <v>580000</v>
      </c>
      <c r="Q7" s="1991">
        <f t="shared" si="0"/>
        <v>0</v>
      </c>
      <c r="R7" s="1993">
        <f>SUM(H7:Q7)</f>
        <v>818045.85785999999</v>
      </c>
      <c r="S7" s="1994">
        <f>SUM(S5:S6)</f>
        <v>1142600</v>
      </c>
      <c r="T7" s="55">
        <f>P7/R7</f>
        <v>0.70900670717565195</v>
      </c>
      <c r="U7" s="55">
        <f>(K7+(I7*1.63))/R7</f>
        <v>0.21675362150705429</v>
      </c>
      <c r="V7" s="55">
        <f>M7/R7</f>
        <v>0</v>
      </c>
      <c r="W7" s="56">
        <f>R7/S7</f>
        <v>0.71595121465079647</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408508.86386000004</v>
      </c>
      <c r="E12" s="1948">
        <f>E15+E21+E27+E34+E40+E46+E52+E58+E64</f>
        <v>409536.99400000001</v>
      </c>
      <c r="F12" s="1924">
        <f>D12+E12</f>
        <v>818045.85786000011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SUM(D16:D18)</f>
        <v>12688.58</v>
      </c>
      <c r="E15" s="1926">
        <f>SUM(E16:E18)</f>
        <v>13005.849999999999</v>
      </c>
      <c r="F15" s="1924">
        <f>D15+E15</f>
        <v>25694.43</v>
      </c>
      <c r="H15" s="1938" t="s">
        <v>327</v>
      </c>
      <c r="I15" s="1939"/>
      <c r="J15" s="1939"/>
      <c r="K15" s="1940"/>
      <c r="L15" s="1941">
        <f>SUMPRODUCT(L16:L22,S16:S22)</f>
        <v>650000</v>
      </c>
      <c r="M15" s="1941">
        <f>SUM(M16:M22)</f>
        <v>2150</v>
      </c>
      <c r="N15" s="1942" t="s">
        <v>241</v>
      </c>
      <c r="O15" s="1940">
        <v>13</v>
      </c>
      <c r="P15" s="1940"/>
      <c r="Q15" s="1940"/>
      <c r="R15" s="1940"/>
      <c r="S15" s="1940"/>
      <c r="T15" s="1943">
        <f t="shared" ref="T15:Y15" si="1">SUM(T16:T65)</f>
        <v>571300</v>
      </c>
      <c r="U15" s="1943">
        <f t="shared" si="1"/>
        <v>571300</v>
      </c>
      <c r="V15" s="1943">
        <f t="shared" si="1"/>
        <v>1142600</v>
      </c>
      <c r="W15" s="1941">
        <f t="shared" si="1"/>
        <v>290000</v>
      </c>
      <c r="X15" s="1941">
        <f t="shared" si="1"/>
        <v>290000</v>
      </c>
      <c r="Y15" s="1941">
        <f t="shared" si="1"/>
        <v>580000</v>
      </c>
      <c r="Z15" s="1945">
        <v>0</v>
      </c>
    </row>
    <row r="16" spans="1:26">
      <c r="B16" s="1885">
        <v>8.7499999999999994E-2</v>
      </c>
      <c r="C16" s="2197" t="s">
        <v>792</v>
      </c>
      <c r="D16" s="1907">
        <v>8156.94</v>
      </c>
      <c r="E16" s="1906">
        <v>8360.9</v>
      </c>
      <c r="F16" s="1879">
        <f>SUM(D16:E16)</f>
        <v>16517.84</v>
      </c>
      <c r="H16" s="2536" t="s">
        <v>1141</v>
      </c>
      <c r="I16" s="2540">
        <v>149</v>
      </c>
      <c r="J16" s="1932" t="s">
        <v>120</v>
      </c>
      <c r="K16" s="1922" t="s">
        <v>909</v>
      </c>
      <c r="L16" s="1929">
        <v>73</v>
      </c>
      <c r="M16" s="1929">
        <v>50</v>
      </c>
      <c r="N16" s="1923" t="s">
        <v>241</v>
      </c>
      <c r="O16" s="1922">
        <v>15</v>
      </c>
      <c r="P16" s="1925" t="s">
        <v>910</v>
      </c>
      <c r="Q16" s="1928"/>
      <c r="R16" s="1928"/>
      <c r="S16" s="1931">
        <f t="shared" ref="S16:S22" si="2">SUM(Q16:R16)</f>
        <v>0</v>
      </c>
      <c r="T16" s="1931">
        <f t="shared" ref="T16:T22" si="3">Q16*I16</f>
        <v>0</v>
      </c>
      <c r="U16" s="1931">
        <f t="shared" ref="U16:U22" si="4">R16*I16</f>
        <v>0</v>
      </c>
      <c r="V16" s="1931">
        <f t="shared" ref="V16:V22" si="5">SUM(T16:U16)</f>
        <v>0</v>
      </c>
      <c r="W16" s="1921">
        <f t="shared" ref="W16:W22" si="6">Q16*M16</f>
        <v>0</v>
      </c>
      <c r="X16" s="1921">
        <f t="shared" ref="X16:X22" si="7">R16*M16</f>
        <v>0</v>
      </c>
      <c r="Y16" s="1921">
        <f t="shared" ref="Y16:Y22" si="8">SUM(W16:X16)</f>
        <v>0</v>
      </c>
      <c r="Z16" s="2957">
        <v>0</v>
      </c>
    </row>
    <row r="17" spans="2:26">
      <c r="B17" s="1885">
        <v>0.05</v>
      </c>
      <c r="C17" s="1876" t="s">
        <v>794</v>
      </c>
      <c r="D17" s="1905">
        <v>4531.6400000000003</v>
      </c>
      <c r="E17" s="1904">
        <v>4644.95</v>
      </c>
      <c r="F17" s="1879">
        <f t="shared" ref="F17:F19" si="9">SUM(D17:E17)</f>
        <v>9176.59</v>
      </c>
      <c r="H17" s="2536" t="s">
        <v>1142</v>
      </c>
      <c r="I17" s="2540">
        <v>1067</v>
      </c>
      <c r="J17" s="1932" t="s">
        <v>120</v>
      </c>
      <c r="K17" s="1922" t="s">
        <v>909</v>
      </c>
      <c r="L17" s="1929">
        <v>796</v>
      </c>
      <c r="M17" s="1929">
        <v>500</v>
      </c>
      <c r="N17" s="1923">
        <v>0.18676702258008052</v>
      </c>
      <c r="O17" s="1922">
        <v>13</v>
      </c>
      <c r="P17" s="1925" t="s">
        <v>910</v>
      </c>
      <c r="Q17" s="1928">
        <v>100</v>
      </c>
      <c r="R17" s="1928">
        <v>100</v>
      </c>
      <c r="S17" s="1931">
        <f t="shared" si="2"/>
        <v>200</v>
      </c>
      <c r="T17" s="1931">
        <f t="shared" si="3"/>
        <v>106700</v>
      </c>
      <c r="U17" s="1931">
        <f t="shared" si="4"/>
        <v>106700</v>
      </c>
      <c r="V17" s="1931">
        <f t="shared" si="5"/>
        <v>213400</v>
      </c>
      <c r="W17" s="1921">
        <f t="shared" si="6"/>
        <v>50000</v>
      </c>
      <c r="X17" s="1921">
        <f t="shared" si="7"/>
        <v>50000</v>
      </c>
      <c r="Y17" s="1921">
        <f t="shared" si="8"/>
        <v>100000</v>
      </c>
      <c r="Z17" s="2957">
        <v>0</v>
      </c>
    </row>
    <row r="18" spans="2:26">
      <c r="B18" s="1885"/>
      <c r="C18" s="1876"/>
      <c r="D18" s="1905"/>
      <c r="E18" s="1904"/>
      <c r="F18" s="1879">
        <f t="shared" si="9"/>
        <v>0</v>
      </c>
      <c r="H18" s="2536" t="s">
        <v>1143</v>
      </c>
      <c r="I18" s="2540">
        <v>1518</v>
      </c>
      <c r="J18" s="1932" t="s">
        <v>120</v>
      </c>
      <c r="K18" s="1922" t="s">
        <v>909</v>
      </c>
      <c r="L18" s="1929">
        <v>818</v>
      </c>
      <c r="M18" s="1929">
        <v>800</v>
      </c>
      <c r="N18" s="1923">
        <v>0.53141956940311574</v>
      </c>
      <c r="O18" s="1922">
        <v>13</v>
      </c>
      <c r="P18" s="1925" t="s">
        <v>910</v>
      </c>
      <c r="Q18" s="1928">
        <v>200</v>
      </c>
      <c r="R18" s="1928">
        <v>200</v>
      </c>
      <c r="S18" s="1931">
        <f t="shared" si="2"/>
        <v>400</v>
      </c>
      <c r="T18" s="1931">
        <f t="shared" si="3"/>
        <v>303600</v>
      </c>
      <c r="U18" s="1931">
        <f t="shared" si="4"/>
        <v>303600</v>
      </c>
      <c r="V18" s="1931">
        <f t="shared" si="5"/>
        <v>607200</v>
      </c>
      <c r="W18" s="1921">
        <f t="shared" si="6"/>
        <v>160000</v>
      </c>
      <c r="X18" s="1921">
        <f t="shared" si="7"/>
        <v>160000</v>
      </c>
      <c r="Y18" s="1921">
        <f t="shared" si="8"/>
        <v>320000</v>
      </c>
      <c r="Z18" s="2957">
        <v>0</v>
      </c>
    </row>
    <row r="19" spans="2:26">
      <c r="B19" s="1885"/>
      <c r="C19" s="1876"/>
      <c r="D19" s="1903"/>
      <c r="E19" s="1902"/>
      <c r="F19" s="1879">
        <f t="shared" si="9"/>
        <v>0</v>
      </c>
      <c r="H19" s="2536"/>
      <c r="I19" s="2540"/>
      <c r="J19" s="1932" t="s">
        <v>120</v>
      </c>
      <c r="K19" s="1922" t="s">
        <v>909</v>
      </c>
      <c r="L19" s="1929"/>
      <c r="M19" s="1929"/>
      <c r="N19" s="1923" t="s">
        <v>241</v>
      </c>
      <c r="O19" s="1922"/>
      <c r="P19" s="1925"/>
      <c r="Q19" s="1928"/>
      <c r="R19" s="1928"/>
      <c r="S19" s="1931">
        <f t="shared" si="2"/>
        <v>0</v>
      </c>
      <c r="T19" s="1931">
        <f t="shared" si="3"/>
        <v>0</v>
      </c>
      <c r="U19" s="1931">
        <f t="shared" si="4"/>
        <v>0</v>
      </c>
      <c r="V19" s="1931">
        <f t="shared" si="5"/>
        <v>0</v>
      </c>
      <c r="W19" s="1921">
        <f t="shared" si="6"/>
        <v>0</v>
      </c>
      <c r="X19" s="1921">
        <f t="shared" si="7"/>
        <v>0</v>
      </c>
      <c r="Y19" s="1921">
        <f t="shared" si="8"/>
        <v>0</v>
      </c>
      <c r="Z19" s="2973">
        <v>24</v>
      </c>
    </row>
    <row r="20" spans="2:26">
      <c r="B20" s="1908">
        <f>SUM(B16:B19)</f>
        <v>0.13750000000000001</v>
      </c>
      <c r="C20" s="1952"/>
      <c r="D20" s="1954"/>
      <c r="E20" s="1955"/>
      <c r="F20" s="1957"/>
      <c r="H20" s="2536" t="s">
        <v>1144</v>
      </c>
      <c r="I20" s="2540">
        <v>1610</v>
      </c>
      <c r="J20" s="1932" t="s">
        <v>120</v>
      </c>
      <c r="K20" s="1922" t="s">
        <v>909</v>
      </c>
      <c r="L20" s="1929">
        <v>818</v>
      </c>
      <c r="M20" s="1929">
        <v>800</v>
      </c>
      <c r="N20" s="1923">
        <v>0.28181340801680377</v>
      </c>
      <c r="O20" s="1922">
        <v>13</v>
      </c>
      <c r="P20" s="1925" t="s">
        <v>910</v>
      </c>
      <c r="Q20" s="1928">
        <v>100</v>
      </c>
      <c r="R20" s="1928">
        <v>100</v>
      </c>
      <c r="S20" s="1931">
        <f t="shared" si="2"/>
        <v>200</v>
      </c>
      <c r="T20" s="1931">
        <f t="shared" si="3"/>
        <v>161000</v>
      </c>
      <c r="U20" s="1931">
        <f t="shared" si="4"/>
        <v>161000</v>
      </c>
      <c r="V20" s="1931">
        <f t="shared" si="5"/>
        <v>322000</v>
      </c>
      <c r="W20" s="1921">
        <f t="shared" si="6"/>
        <v>80000</v>
      </c>
      <c r="X20" s="1921">
        <f t="shared" si="7"/>
        <v>80000</v>
      </c>
      <c r="Y20" s="1921">
        <f t="shared" si="8"/>
        <v>160000</v>
      </c>
      <c r="Z20" s="2957">
        <v>0</v>
      </c>
    </row>
    <row r="21" spans="2:26">
      <c r="C21" s="1910" t="s">
        <v>47</v>
      </c>
      <c r="D21" s="1911">
        <f>SUM(D22:D25)</f>
        <v>6003</v>
      </c>
      <c r="E21" s="1926">
        <f>SUM(E22:E25)</f>
        <v>6153.0749999999998</v>
      </c>
      <c r="F21" s="2157">
        <f>D21+E21</f>
        <v>12156.075000000001</v>
      </c>
      <c r="H21" s="1922"/>
      <c r="I21" s="1928"/>
      <c r="J21" s="1932" t="s">
        <v>120</v>
      </c>
      <c r="K21" s="1922" t="s">
        <v>909</v>
      </c>
      <c r="L21" s="1929"/>
      <c r="M21" s="1929"/>
      <c r="N21" s="1923" t="s">
        <v>241</v>
      </c>
      <c r="O21" s="1922"/>
      <c r="P21" s="1925"/>
      <c r="Q21" s="1928"/>
      <c r="R21" s="1928"/>
      <c r="S21" s="1931">
        <f t="shared" si="2"/>
        <v>0</v>
      </c>
      <c r="T21" s="1931">
        <f t="shared" si="3"/>
        <v>0</v>
      </c>
      <c r="U21" s="1931">
        <f t="shared" si="4"/>
        <v>0</v>
      </c>
      <c r="V21" s="1931">
        <f t="shared" si="5"/>
        <v>0</v>
      </c>
      <c r="W21" s="1921">
        <f t="shared" si="6"/>
        <v>0</v>
      </c>
      <c r="X21" s="1921">
        <f t="shared" si="7"/>
        <v>0</v>
      </c>
      <c r="Y21" s="1921">
        <f t="shared" si="8"/>
        <v>0</v>
      </c>
      <c r="Z21" s="2957">
        <v>2.36</v>
      </c>
    </row>
    <row r="22" spans="2:26">
      <c r="C22" s="3242" t="s">
        <v>1286</v>
      </c>
      <c r="D22" s="3243">
        <f>80040*0.075</f>
        <v>6003</v>
      </c>
      <c r="E22" s="3243">
        <f>(80040*0.075)*1.025</f>
        <v>6153.0749999999998</v>
      </c>
      <c r="F22" s="1879">
        <f t="shared" ref="F22:F25" si="10">SUM(D22:E22)</f>
        <v>12156.075000000001</v>
      </c>
      <c r="H22" s="1922"/>
      <c r="I22" s="1928"/>
      <c r="J22" s="1932" t="s">
        <v>120</v>
      </c>
      <c r="K22" s="1922" t="s">
        <v>909</v>
      </c>
      <c r="L22" s="1929"/>
      <c r="M22" s="1929"/>
      <c r="N22" s="1923" t="s">
        <v>241</v>
      </c>
      <c r="O22" s="1922"/>
      <c r="P22" s="1925"/>
      <c r="Q22" s="1928"/>
      <c r="R22" s="1928"/>
      <c r="S22" s="1931">
        <f t="shared" si="2"/>
        <v>0</v>
      </c>
      <c r="T22" s="1931">
        <f t="shared" si="3"/>
        <v>0</v>
      </c>
      <c r="U22" s="1931">
        <f t="shared" si="4"/>
        <v>0</v>
      </c>
      <c r="V22" s="1931">
        <f t="shared" si="5"/>
        <v>0</v>
      </c>
      <c r="W22" s="1921">
        <f t="shared" si="6"/>
        <v>0</v>
      </c>
      <c r="X22" s="1921">
        <f t="shared" si="7"/>
        <v>0</v>
      </c>
      <c r="Y22" s="1921">
        <f t="shared" si="8"/>
        <v>0</v>
      </c>
      <c r="Z22" s="2957">
        <v>2.36</v>
      </c>
    </row>
    <row r="23" spans="2:26">
      <c r="C23" s="3242"/>
      <c r="D23" s="3243"/>
      <c r="E23" s="3243"/>
      <c r="F23" s="1879">
        <f t="shared" si="10"/>
        <v>0</v>
      </c>
      <c r="H23" s="1922"/>
      <c r="I23" s="1928"/>
      <c r="J23" s="1932" t="s">
        <v>241</v>
      </c>
      <c r="K23" s="1922"/>
      <c r="L23" s="1929"/>
      <c r="M23" s="1929"/>
      <c r="N23" s="1923" t="s">
        <v>241</v>
      </c>
      <c r="O23" s="1922"/>
      <c r="P23" s="1925"/>
      <c r="Q23" s="1928"/>
      <c r="R23" s="1928"/>
      <c r="S23" s="1931"/>
      <c r="T23" s="1931"/>
      <c r="U23" s="1931"/>
      <c r="V23" s="1931"/>
      <c r="W23" s="1921"/>
      <c r="X23" s="1921"/>
      <c r="Y23" s="1921"/>
      <c r="Z23" s="1946"/>
    </row>
    <row r="24" spans="2:26">
      <c r="C24" s="1876"/>
      <c r="D24" s="1898"/>
      <c r="E24" s="1897"/>
      <c r="F24" s="1879">
        <f t="shared" si="10"/>
        <v>0</v>
      </c>
      <c r="H24" s="1922"/>
      <c r="I24" s="1928"/>
      <c r="J24" s="1932" t="s">
        <v>241</v>
      </c>
      <c r="K24" s="1922"/>
      <c r="L24" s="1929"/>
      <c r="M24" s="1929"/>
      <c r="N24" s="1923" t="s">
        <v>241</v>
      </c>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t="s">
        <v>241</v>
      </c>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t="s">
        <v>241</v>
      </c>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12467.283860000001</v>
      </c>
      <c r="E27" s="1926">
        <f>SUM(E29:E32)</f>
        <v>13028.069</v>
      </c>
      <c r="F27" s="2157">
        <f>D27+E27</f>
        <v>25495.352859999999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8463.2828600000012</v>
      </c>
      <c r="E29" s="1972">
        <f>E15*E28</f>
        <v>8843.9779999999992</v>
      </c>
      <c r="F29" s="1879">
        <f t="shared" ref="F29:F32" si="11">SUM(D29:E29)</f>
        <v>17307.260860000002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4004.0010000000002</v>
      </c>
      <c r="E30" s="1972">
        <f>E21*E28</f>
        <v>4184.0910000000003</v>
      </c>
      <c r="F30" s="1879">
        <f t="shared" si="11"/>
        <v>8188.0920000000006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296</v>
      </c>
      <c r="C34" s="2106" t="s">
        <v>49</v>
      </c>
      <c r="D34" s="1911">
        <f>SUM(D35:D38)</f>
        <v>78750</v>
      </c>
      <c r="E34" s="1926">
        <f>SUM(E35:E38)</f>
        <v>78750</v>
      </c>
      <c r="F34" s="2157">
        <f>D34+E34</f>
        <v>157500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78750</v>
      </c>
      <c r="E35" s="1988">
        <v>78750</v>
      </c>
      <c r="F35" s="1879">
        <f t="shared" ref="F35:F38" si="12">SUM(D35:E35)</f>
        <v>157500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18230626</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1200</v>
      </c>
      <c r="E40" s="1926">
        <f>SUM(E41:E44)</f>
        <v>1200</v>
      </c>
      <c r="F40" s="2157">
        <f>D40+E40</f>
        <v>2400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1132</v>
      </c>
      <c r="D41" s="1971">
        <v>1200</v>
      </c>
      <c r="E41" s="1988">
        <v>1200</v>
      </c>
      <c r="F41" s="1879">
        <f t="shared" ref="F41:F44" si="13">SUM(D41:E41)</f>
        <v>2400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5000</v>
      </c>
      <c r="E52" s="1926">
        <f>SUM(E53:E56)</f>
        <v>5000</v>
      </c>
      <c r="F52" s="2157">
        <f>D52+E52</f>
        <v>10000</v>
      </c>
      <c r="G52" s="1862"/>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5000</v>
      </c>
      <c r="E53" s="1972">
        <v>5000</v>
      </c>
      <c r="F53" s="1879">
        <f t="shared" ref="F53:F56" si="15">SUM(D53:E53)</f>
        <v>10000</v>
      </c>
      <c r="G53" s="1862"/>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G54" s="1862"/>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G55" s="1862"/>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G56" s="1862"/>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G57" s="1874"/>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2400</v>
      </c>
      <c r="E58" s="1926">
        <f>SUM(E59:E62)</f>
        <v>2400</v>
      </c>
      <c r="F58" s="2157">
        <f>D58+E58</f>
        <v>4800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2400</v>
      </c>
      <c r="E59" s="1988">
        <v>2400</v>
      </c>
      <c r="F59" s="1879">
        <f t="shared" ref="F59:F62" si="16">SUM(D59:E59)</f>
        <v>4800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296</v>
      </c>
      <c r="C64" s="1910" t="s">
        <v>53</v>
      </c>
      <c r="D64" s="1911">
        <f>W15</f>
        <v>290000</v>
      </c>
      <c r="E64" s="1926">
        <f>X15</f>
        <v>290000</v>
      </c>
      <c r="F64" s="1924">
        <f>D64+E64</f>
        <v>580000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0.70989891690425067</v>
      </c>
      <c r="E65" s="2616">
        <f>E64/E12</f>
        <v>0.70811673731238056</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c r="O66" s="2722"/>
      <c r="P66" s="63"/>
      <c r="Q66" s="63"/>
      <c r="R66" s="63"/>
    </row>
    <row r="67" spans="1:26">
      <c r="A67" s="1852">
        <v>18230626</v>
      </c>
      <c r="C67" s="1959" t="s">
        <v>54</v>
      </c>
      <c r="D67" s="1971">
        <v>0</v>
      </c>
      <c r="E67" s="1971">
        <v>0</v>
      </c>
      <c r="F67" s="1956">
        <v>0</v>
      </c>
      <c r="O67" s="2723"/>
      <c r="P67" s="63"/>
      <c r="Q67" s="63"/>
      <c r="R67" s="63"/>
    </row>
    <row r="68" spans="1:26">
      <c r="A68" s="1852" t="s">
        <v>5</v>
      </c>
      <c r="C68" s="1610"/>
      <c r="D68" s="1895" t="s">
        <v>316</v>
      </c>
      <c r="E68" s="1612"/>
      <c r="F68" s="1612"/>
      <c r="O68" s="2723"/>
      <c r="P68" s="63"/>
      <c r="Q68" s="63"/>
      <c r="R68" s="63"/>
    </row>
    <row r="69" spans="1:26">
      <c r="C69" s="1610"/>
      <c r="D69" s="1611"/>
      <c r="E69" s="1611"/>
      <c r="F69" s="1611"/>
      <c r="O69" s="2723"/>
      <c r="P69" s="63"/>
      <c r="Q69" s="63"/>
      <c r="R69" s="63"/>
    </row>
    <row r="70" spans="1:26">
      <c r="O70" s="2723"/>
      <c r="P70" s="63"/>
      <c r="Q70" s="63"/>
      <c r="R70" s="63"/>
    </row>
    <row r="71" spans="1:26">
      <c r="E71"/>
      <c r="O71" s="2723"/>
      <c r="P71" s="63"/>
      <c r="Q71" s="63"/>
      <c r="R71" s="63"/>
    </row>
    <row r="72" spans="1:26">
      <c r="E72"/>
      <c r="O72" s="2723"/>
      <c r="P72" s="63"/>
      <c r="Q72" s="63"/>
      <c r="R72" s="63"/>
    </row>
    <row r="73" spans="1:26">
      <c r="E73"/>
      <c r="O73" s="2723"/>
      <c r="P73" s="63"/>
      <c r="Q73" s="63"/>
      <c r="R73" s="63"/>
    </row>
    <row r="74" spans="1:26">
      <c r="E74"/>
      <c r="O74" s="2723"/>
      <c r="P74" s="63"/>
      <c r="Q74" s="63"/>
      <c r="R74" s="63"/>
    </row>
    <row r="75" spans="1:26">
      <c r="E75"/>
      <c r="O75" s="2723"/>
      <c r="P75" s="63"/>
      <c r="Q75" s="63"/>
      <c r="R75" s="63"/>
    </row>
    <row r="76" spans="1:26">
      <c r="E76"/>
      <c r="O76" s="2723"/>
      <c r="P76" s="63"/>
      <c r="Q76" s="63"/>
      <c r="R76" s="63"/>
    </row>
    <row r="77" spans="1:26">
      <c r="E77"/>
      <c r="O77" s="2723"/>
      <c r="P77" s="63"/>
      <c r="Q77" s="63"/>
      <c r="R77" s="63"/>
    </row>
    <row r="78" spans="1:26">
      <c r="E78"/>
      <c r="O78" s="2723"/>
      <c r="P78" s="63"/>
      <c r="Q78" s="63"/>
      <c r="R78" s="63"/>
    </row>
    <row r="79" spans="1:26">
      <c r="E79"/>
      <c r="O79" s="2723"/>
      <c r="P79" s="63"/>
      <c r="Q79" s="63"/>
      <c r="R79" s="63"/>
    </row>
    <row r="80" spans="1:26">
      <c r="E80"/>
      <c r="O80" s="2723"/>
      <c r="P80" s="63"/>
      <c r="Q80" s="63"/>
      <c r="R80" s="63"/>
    </row>
    <row r="81" spans="5:15">
      <c r="E81"/>
      <c r="O81" s="2723"/>
    </row>
    <row r="82" spans="5:15">
      <c r="E82"/>
      <c r="O82" s="2723"/>
    </row>
    <row r="83" spans="5:15">
      <c r="E83"/>
      <c r="O83" s="2723"/>
    </row>
    <row r="84" spans="5:15">
      <c r="E84"/>
      <c r="O84" s="2723"/>
    </row>
    <row r="85" spans="5:15">
      <c r="E85"/>
      <c r="O85" s="2723"/>
    </row>
    <row r="86" spans="5:15">
      <c r="E86"/>
      <c r="O86" s="2723"/>
    </row>
    <row r="87" spans="5:15">
      <c r="E87"/>
      <c r="O87" s="2723"/>
    </row>
    <row r="88" spans="5:15">
      <c r="E88"/>
      <c r="O88" s="2723"/>
    </row>
    <row r="89" spans="5:15">
      <c r="E89"/>
      <c r="O89" s="2723"/>
    </row>
    <row r="90" spans="5:15">
      <c r="E90"/>
      <c r="O90" s="2723"/>
    </row>
    <row r="91" spans="5:15">
      <c r="E91"/>
      <c r="O91" s="2723"/>
    </row>
    <row r="92" spans="5:15">
      <c r="E92"/>
      <c r="O92" s="2723"/>
    </row>
    <row r="93" spans="5:15">
      <c r="E93"/>
      <c r="O93" s="2723"/>
    </row>
    <row r="94" spans="5:15">
      <c r="E94"/>
      <c r="O94" s="2723"/>
    </row>
    <row r="95" spans="5:15">
      <c r="E95"/>
      <c r="O95" s="2723"/>
    </row>
    <row r="96" spans="5:15">
      <c r="E96"/>
      <c r="O96" s="2723"/>
    </row>
    <row r="97" spans="5:15">
      <c r="E97"/>
      <c r="O97" s="2723"/>
    </row>
    <row r="98" spans="5:15">
      <c r="E98"/>
      <c r="O98" s="2723"/>
    </row>
    <row r="99" spans="5:15">
      <c r="E99"/>
      <c r="O99" s="2723"/>
    </row>
    <row r="100" spans="5:15">
      <c r="E100"/>
      <c r="O100" s="2723"/>
    </row>
    <row r="101" spans="5:15">
      <c r="E101"/>
      <c r="O101" s="2723"/>
    </row>
    <row r="102" spans="5:15">
      <c r="E102"/>
      <c r="O102" s="2723"/>
    </row>
    <row r="103" spans="5:15">
      <c r="E103"/>
      <c r="O103" s="2723"/>
    </row>
    <row r="104" spans="5:15">
      <c r="E104"/>
      <c r="O104" s="2724"/>
    </row>
    <row r="105" spans="5:15">
      <c r="E105"/>
      <c r="O105" s="1607"/>
    </row>
    <row r="106" spans="5:15">
      <c r="E106"/>
    </row>
    <row r="107" spans="5:15">
      <c r="E107"/>
    </row>
    <row r="108" spans="5:15">
      <c r="E108"/>
    </row>
    <row r="109" spans="5:15">
      <c r="E109"/>
    </row>
    <row r="110" spans="5:15">
      <c r="E110"/>
    </row>
    <row r="111" spans="5:15">
      <c r="E111"/>
    </row>
    <row r="112" spans="5:15">
      <c r="E112"/>
    </row>
    <row r="113" spans="5:5">
      <c r="E113"/>
    </row>
    <row r="114" spans="5:5">
      <c r="E114"/>
    </row>
    <row r="115" spans="5:5">
      <c r="E115"/>
    </row>
    <row r="116" spans="5:5">
      <c r="E116"/>
    </row>
    <row r="117" spans="5:5">
      <c r="E117"/>
    </row>
  </sheetData>
  <customSheetViews>
    <customSheetView guid="{074EB09C-6289-46D7-9513-012B68BCA7BF}" showGridLines="0">
      <pane xSplit="1" ySplit="1" topLeftCell="F2" activePane="bottomRight" state="frozen"/>
      <selection pane="bottomRight" activeCell="V18" sqref="V18"/>
      <pageMargins left="0.27" right="0.28000000000000003" top="0.38" bottom="0.37" header="0.3" footer="0.3"/>
      <pageSetup paperSize="17" scale="46" orientation="landscape" r:id="rId1"/>
    </customSheetView>
    <customSheetView guid="{D9EFFE19-D14B-4C6F-BDF4-FF696F73968D}" showGridLines="0">
      <pane xSplit="1" ySplit="1" topLeftCell="I2" activePane="bottomRight" state="frozen"/>
      <selection pane="bottomRight" activeCell="O16" sqref="O16:R25"/>
      <pageMargins left="0.27" right="0.28000000000000003" top="0.38" bottom="0.37"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7" right="0.28000000000000003" top="0.38" bottom="0.37" header="0.3" footer="0.3"/>
  <pageSetup paperSize="17" scale="46" orientation="landscape" r:id="rId3"/>
  <ignoredErrors>
    <ignoredError sqref="R7"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8DB4E3"/>
  </sheetPr>
  <dimension ref="A1:Z68"/>
  <sheetViews>
    <sheetView showGridLines="0" workbookViewId="0">
      <pane xSplit="1" ySplit="1" topLeftCell="B14" activePane="bottomRight" state="frozen"/>
      <selection pane="topRight" activeCell="B1" sqref="B1"/>
      <selection pane="bottomLeft" activeCell="A2" sqref="A2"/>
      <selection pane="bottomRight"/>
    </sheetView>
  </sheetViews>
  <sheetFormatPr defaultRowHeight="12.75"/>
  <cols>
    <col min="1" max="1" width="18.42578125" style="1164" customWidth="1"/>
    <col min="2" max="2" width="16.28515625" style="1866" customWidth="1"/>
    <col min="3" max="3" width="25.7109375" customWidth="1"/>
    <col min="4" max="4" width="24.5703125" customWidth="1"/>
    <col min="5" max="5" width="16" style="9" customWidth="1"/>
    <col min="6" max="6" width="16" customWidth="1"/>
    <col min="7" max="7" width="17" customWidth="1"/>
    <col min="8" max="8" width="40.855468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6" customWidth="1"/>
    <col min="26" max="26" width="12.5703125"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3.25" customHeight="1" thickBot="1">
      <c r="C1" s="1853" t="s">
        <v>303</v>
      </c>
      <c r="D1" s="1812" t="s">
        <v>291</v>
      </c>
      <c r="E1" s="1853" t="s">
        <v>6</v>
      </c>
      <c r="F1" s="1853">
        <v>18230627</v>
      </c>
      <c r="G1" s="1853" t="s">
        <v>5</v>
      </c>
      <c r="J1" s="1812"/>
      <c r="K1" s="1812"/>
      <c r="L1" s="1853" t="s">
        <v>303</v>
      </c>
      <c r="M1" s="1812" t="s">
        <v>291</v>
      </c>
      <c r="N1" s="1853" t="s">
        <v>6</v>
      </c>
      <c r="O1" s="1853">
        <v>18230627</v>
      </c>
      <c r="P1" s="1853" t="s">
        <v>5</v>
      </c>
      <c r="U1" s="1853" t="s">
        <v>303</v>
      </c>
      <c r="V1" s="1812" t="s">
        <v>291</v>
      </c>
      <c r="W1" s="1853" t="s">
        <v>6</v>
      </c>
      <c r="X1" s="1853">
        <v>18230627</v>
      </c>
      <c r="Y1" s="1853" t="s">
        <v>5</v>
      </c>
    </row>
    <row r="2" spans="1:26" ht="16.5" thickBot="1">
      <c r="C2" s="45"/>
      <c r="D2" s="46"/>
      <c r="H2" s="1576" t="s">
        <v>674</v>
      </c>
      <c r="R2" s="3596"/>
      <c r="S2" s="3596"/>
      <c r="T2" s="3597" t="s">
        <v>36</v>
      </c>
      <c r="U2" s="3598"/>
      <c r="V2" s="3599"/>
      <c r="W2" s="3594" t="s">
        <v>37</v>
      </c>
    </row>
    <row r="3" spans="1:26" ht="26.25" thickBot="1">
      <c r="A3" s="1852" t="s">
        <v>303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53166</v>
      </c>
      <c r="I4" s="2002">
        <v>22134</v>
      </c>
      <c r="J4" s="2002">
        <v>53237</v>
      </c>
      <c r="K4" s="2002">
        <v>163500</v>
      </c>
      <c r="L4" s="2002">
        <v>5302</v>
      </c>
      <c r="M4" s="2002">
        <v>85000</v>
      </c>
      <c r="N4" s="2002">
        <v>0</v>
      </c>
      <c r="O4" s="2002">
        <v>15000</v>
      </c>
      <c r="P4" s="2002">
        <v>730386</v>
      </c>
      <c r="Q4" s="2002">
        <v>0</v>
      </c>
      <c r="R4" s="2000">
        <v>1127724</v>
      </c>
      <c r="S4" s="1998" t="s">
        <v>671</v>
      </c>
      <c r="T4" s="65">
        <f>P4/R4</f>
        <v>0.64766379007629526</v>
      </c>
      <c r="U4" s="65">
        <f>(K4+(I4*1.63))/R4</f>
        <v>0.17697452568181574</v>
      </c>
      <c r="V4" s="65">
        <f>M4/R4</f>
        <v>7.5373052271655125E-2</v>
      </c>
      <c r="W4" s="52" t="e">
        <f>R4/S4</f>
        <v>#VALUE!</v>
      </c>
    </row>
    <row r="5" spans="1:26" ht="16.5" thickBot="1">
      <c r="A5" s="1852" t="s">
        <v>6</v>
      </c>
      <c r="B5" s="1852"/>
      <c r="C5" s="45"/>
      <c r="G5" s="1498">
        <v>2016</v>
      </c>
      <c r="H5" s="1582">
        <f>D15</f>
        <v>54379.8</v>
      </c>
      <c r="I5" s="1549">
        <f>D21</f>
        <v>24012</v>
      </c>
      <c r="J5" s="1549">
        <f>D27</f>
        <v>52287.330600000008</v>
      </c>
      <c r="K5" s="1549">
        <f>D34</f>
        <v>150545</v>
      </c>
      <c r="L5" s="1549">
        <f>D40</f>
        <v>5302</v>
      </c>
      <c r="M5" s="1549">
        <f>D46</f>
        <v>85000</v>
      </c>
      <c r="N5" s="1549">
        <f>D52</f>
        <v>0</v>
      </c>
      <c r="O5" s="1549">
        <f>D58</f>
        <v>0</v>
      </c>
      <c r="P5" s="1549">
        <f>D64</f>
        <v>907047.99999999988</v>
      </c>
      <c r="Q5" s="1549">
        <f>D67</f>
        <v>0</v>
      </c>
      <c r="R5" s="2001">
        <f>SUM(H5:Q5)</f>
        <v>1278574.1305999998</v>
      </c>
      <c r="S5" s="1999">
        <f>T15</f>
        <v>3221386.38</v>
      </c>
      <c r="T5" s="66">
        <f>P5/R5</f>
        <v>0.70942151752620486</v>
      </c>
      <c r="U5" s="66">
        <f>(K5+(I5*1.63))/R5</f>
        <v>0.14835632558198736</v>
      </c>
      <c r="V5" s="66">
        <f>M5/R5</f>
        <v>6.6480306433317107E-2</v>
      </c>
      <c r="W5" s="56">
        <f>R5/S5</f>
        <v>0.39690182417670739</v>
      </c>
    </row>
    <row r="6" spans="1:26" ht="16.5" thickBot="1">
      <c r="A6" s="1852">
        <v>18230627</v>
      </c>
      <c r="B6" s="1852"/>
      <c r="C6" s="1592"/>
      <c r="D6" s="1866"/>
      <c r="E6" s="1867"/>
      <c r="F6" s="1866"/>
      <c r="G6" s="1498">
        <v>2017</v>
      </c>
      <c r="H6" s="57">
        <f>E15</f>
        <v>55739.4</v>
      </c>
      <c r="I6" s="1990">
        <f>E21</f>
        <v>24612.3</v>
      </c>
      <c r="J6" s="1989">
        <f>E27</f>
        <v>54639.156000000003</v>
      </c>
      <c r="K6" s="58">
        <f>E34</f>
        <v>150545</v>
      </c>
      <c r="L6" s="58">
        <f>E40</f>
        <v>5302</v>
      </c>
      <c r="M6" s="58">
        <f>E46</f>
        <v>85000</v>
      </c>
      <c r="N6" s="58">
        <f>E52</f>
        <v>0</v>
      </c>
      <c r="O6" s="58">
        <f>E58</f>
        <v>0</v>
      </c>
      <c r="P6" s="58">
        <f>E64</f>
        <v>907047.99999999988</v>
      </c>
      <c r="Q6" s="58">
        <f>E67</f>
        <v>0</v>
      </c>
      <c r="R6" s="1997">
        <f>SUM(H6:Q6)</f>
        <v>1282885.8559999999</v>
      </c>
      <c r="S6" s="1996">
        <f>U15</f>
        <v>3221386.38</v>
      </c>
      <c r="T6" s="66">
        <f>P6/R6</f>
        <v>0.70703718164619</v>
      </c>
      <c r="U6" s="66">
        <f>(K6+(I6*1.63))/R6</f>
        <v>0.14862043112275145</v>
      </c>
      <c r="V6" s="66">
        <f>M6/R6</f>
        <v>6.6256868919755241E-2</v>
      </c>
      <c r="W6" s="56">
        <f>R6/S6</f>
        <v>0.39824029305047226</v>
      </c>
    </row>
    <row r="7" spans="1:26" ht="16.5" thickBot="1">
      <c r="A7" s="1852" t="s">
        <v>5</v>
      </c>
      <c r="B7" s="1852"/>
      <c r="C7" s="1592"/>
      <c r="D7" s="1866"/>
      <c r="E7" s="1867"/>
      <c r="F7" s="1866"/>
      <c r="G7" s="1608" t="s">
        <v>23</v>
      </c>
      <c r="H7" s="1564">
        <f>SUM(H5:H6)</f>
        <v>110119.20000000001</v>
      </c>
      <c r="I7" s="1991">
        <f t="shared" ref="I7:Q7" si="0">SUM(I5:I6)</f>
        <v>48624.3</v>
      </c>
      <c r="J7" s="1992">
        <f t="shared" si="0"/>
        <v>106926.4866</v>
      </c>
      <c r="K7" s="1993">
        <f t="shared" si="0"/>
        <v>301090</v>
      </c>
      <c r="L7" s="1991">
        <f t="shared" si="0"/>
        <v>10604</v>
      </c>
      <c r="M7" s="1992">
        <f t="shared" si="0"/>
        <v>170000</v>
      </c>
      <c r="N7" s="1991">
        <f t="shared" si="0"/>
        <v>0</v>
      </c>
      <c r="O7" s="1992">
        <f t="shared" si="0"/>
        <v>0</v>
      </c>
      <c r="P7" s="1993">
        <f t="shared" si="0"/>
        <v>1814095.9999999998</v>
      </c>
      <c r="Q7" s="1991">
        <f t="shared" si="0"/>
        <v>0</v>
      </c>
      <c r="R7" s="1993">
        <f>SUM(H7:Q7)</f>
        <v>2561459.9865999995</v>
      </c>
      <c r="S7" s="1994">
        <f>SUM(S5:S6)</f>
        <v>6442772.7599999998</v>
      </c>
      <c r="T7" s="66">
        <f>P7/R7</f>
        <v>0.70822734280068655</v>
      </c>
      <c r="U7" s="66">
        <f>(K7+(I7*1.63))/R7</f>
        <v>0.1484886006378188</v>
      </c>
      <c r="V7" s="66">
        <f>M7/R7</f>
        <v>6.6368399619489121E-2</v>
      </c>
      <c r="W7" s="56">
        <f>R7/S7</f>
        <v>0.39757105861358977</v>
      </c>
    </row>
    <row r="8" spans="1:26" ht="15.75">
      <c r="B8" s="1852"/>
      <c r="C8" s="1592"/>
      <c r="D8" s="1866"/>
      <c r="E8" s="1867"/>
      <c r="F8" s="1866"/>
    </row>
    <row r="9" spans="1:26" ht="12.75" customHeight="1">
      <c r="A9" s="1808"/>
      <c r="B9" s="1852"/>
      <c r="C9" s="1592"/>
      <c r="D9" s="1866"/>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1278574.1305999998</v>
      </c>
      <c r="E12" s="1948">
        <f>E15+E21+E27+E34+E40+E46+E52+E58+E64</f>
        <v>1282885.8559999999</v>
      </c>
      <c r="F12" s="1924">
        <f>D12+E12</f>
        <v>2561459.9865999995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54379.8</v>
      </c>
      <c r="E15" s="1926">
        <f>SUM(E16:E19)</f>
        <v>55739.4</v>
      </c>
      <c r="F15" s="1924">
        <f>D15+E15</f>
        <v>110119.20000000001</v>
      </c>
      <c r="H15" s="1938" t="s">
        <v>327</v>
      </c>
      <c r="I15" s="1939"/>
      <c r="J15" s="1939"/>
      <c r="K15" s="1940"/>
      <c r="L15" s="1941">
        <f>SUMPRODUCT(L16:L64,S16:S64)</f>
        <v>5898811.3200000012</v>
      </c>
      <c r="M15" s="1941">
        <f>SUM(M16:M64)</f>
        <v>1880.0599999999997</v>
      </c>
      <c r="N15" s="1942"/>
      <c r="O15" s="1940">
        <v>23</v>
      </c>
      <c r="P15" s="1940"/>
      <c r="Q15" s="1940"/>
      <c r="R15" s="1940"/>
      <c r="S15" s="1940"/>
      <c r="T15" s="1943">
        <f t="shared" ref="T15:Y15" si="1">SUM(T16:T65)</f>
        <v>3221386.38</v>
      </c>
      <c r="U15" s="1943">
        <f t="shared" si="1"/>
        <v>3221386.38</v>
      </c>
      <c r="V15" s="1943">
        <f t="shared" si="1"/>
        <v>6442772.7599999998</v>
      </c>
      <c r="W15" s="1941">
        <f t="shared" si="1"/>
        <v>907047.99999999988</v>
      </c>
      <c r="X15" s="1941">
        <f t="shared" si="1"/>
        <v>907047.99999999988</v>
      </c>
      <c r="Y15" s="1941">
        <f t="shared" si="1"/>
        <v>1814095.9999999998</v>
      </c>
      <c r="Z15" s="1945"/>
    </row>
    <row r="16" spans="1:26">
      <c r="B16" s="1885">
        <v>0.1</v>
      </c>
      <c r="C16" s="2197" t="s">
        <v>791</v>
      </c>
      <c r="D16" s="1907">
        <v>9063.3000000000011</v>
      </c>
      <c r="E16" s="1906">
        <v>9289.9</v>
      </c>
      <c r="F16" s="1879">
        <f>SUM(D16:E16)</f>
        <v>18353.2</v>
      </c>
      <c r="H16" s="2541" t="s">
        <v>1147</v>
      </c>
      <c r="I16" s="2946">
        <v>0.54</v>
      </c>
      <c r="J16" s="1932" t="s">
        <v>120</v>
      </c>
      <c r="K16" s="1922" t="s">
        <v>909</v>
      </c>
      <c r="L16" s="1929">
        <v>0.66</v>
      </c>
      <c r="M16" s="1929">
        <v>0.66</v>
      </c>
      <c r="N16" s="1923">
        <v>3.9015810329464423E-3</v>
      </c>
      <c r="O16" s="1922">
        <v>15</v>
      </c>
      <c r="P16" s="1925" t="s">
        <v>1069</v>
      </c>
      <c r="Q16" s="1928">
        <v>23275</v>
      </c>
      <c r="R16" s="1928">
        <v>23275</v>
      </c>
      <c r="S16" s="1931">
        <f>SUM(Q16:R16)</f>
        <v>46550</v>
      </c>
      <c r="T16" s="1931">
        <f>Q16*I16</f>
        <v>12568.5</v>
      </c>
      <c r="U16" s="1931">
        <f>R16*I16</f>
        <v>12568.5</v>
      </c>
      <c r="V16" s="1931">
        <f>SUM(T16:U16)</f>
        <v>25137</v>
      </c>
      <c r="W16" s="1921">
        <f>Q16*$M16</f>
        <v>15361.5</v>
      </c>
      <c r="X16" s="1921">
        <f>R16*M16</f>
        <v>15361.5</v>
      </c>
      <c r="Y16" s="1921">
        <f>SUM(W16:X16)</f>
        <v>30723</v>
      </c>
      <c r="Z16" s="2957">
        <v>0.01</v>
      </c>
    </row>
    <row r="17" spans="2:26">
      <c r="B17" s="1885">
        <v>0.37</v>
      </c>
      <c r="C17" s="1876" t="s">
        <v>792</v>
      </c>
      <c r="D17" s="1905">
        <v>33534.21</v>
      </c>
      <c r="E17" s="1904">
        <v>34372.629999999997</v>
      </c>
      <c r="F17" s="1879">
        <f t="shared" ref="F17:F19" si="2">SUM(D17:E17)</f>
        <v>67906.84</v>
      </c>
      <c r="H17" s="2541" t="s">
        <v>1148</v>
      </c>
      <c r="I17" s="2946">
        <v>0.24</v>
      </c>
      <c r="J17" s="1932" t="s">
        <v>120</v>
      </c>
      <c r="K17" s="1922" t="s">
        <v>909</v>
      </c>
      <c r="L17" s="1929">
        <v>0.66</v>
      </c>
      <c r="M17" s="1929">
        <v>0.66</v>
      </c>
      <c r="N17" s="1923">
        <v>2.8375608889238549E-3</v>
      </c>
      <c r="O17" s="1922">
        <v>15</v>
      </c>
      <c r="P17" s="1925" t="s">
        <v>1069</v>
      </c>
      <c r="Q17" s="1928">
        <v>38087</v>
      </c>
      <c r="R17" s="1928">
        <v>38087</v>
      </c>
      <c r="S17" s="1931">
        <f>SUM(Q17:R17)</f>
        <v>76174</v>
      </c>
      <c r="T17" s="1931">
        <f>Q17*I17</f>
        <v>9140.8799999999992</v>
      </c>
      <c r="U17" s="1931">
        <f>R17*I17</f>
        <v>9140.8799999999992</v>
      </c>
      <c r="V17" s="1931">
        <f>SUM(T17:U17)</f>
        <v>18281.759999999998</v>
      </c>
      <c r="W17" s="1921">
        <f>Q17*M17</f>
        <v>25137.420000000002</v>
      </c>
      <c r="X17" s="1921">
        <f>R17*M17</f>
        <v>25137.420000000002</v>
      </c>
      <c r="Y17" s="1921">
        <f>SUM(W17:X17)</f>
        <v>50274.840000000004</v>
      </c>
      <c r="Z17" s="2957">
        <v>0</v>
      </c>
    </row>
    <row r="18" spans="2:26">
      <c r="B18" s="1885">
        <v>0.13</v>
      </c>
      <c r="C18" s="1876" t="s">
        <v>794</v>
      </c>
      <c r="D18" s="1905">
        <v>11782.29</v>
      </c>
      <c r="E18" s="1904">
        <v>12076.87</v>
      </c>
      <c r="F18" s="1879">
        <f t="shared" si="2"/>
        <v>23859.160000000003</v>
      </c>
      <c r="H18" s="2541" t="s">
        <v>1149</v>
      </c>
      <c r="I18" s="2946">
        <v>0.44</v>
      </c>
      <c r="J18" s="1932" t="s">
        <v>120</v>
      </c>
      <c r="K18" s="1922" t="s">
        <v>909</v>
      </c>
      <c r="L18" s="1929">
        <v>0.66</v>
      </c>
      <c r="M18" s="1929">
        <v>0.66</v>
      </c>
      <c r="N18" s="1923">
        <v>6.0691136342359529E-3</v>
      </c>
      <c r="O18" s="1922">
        <v>15</v>
      </c>
      <c r="P18" s="1925" t="s">
        <v>1069</v>
      </c>
      <c r="Q18" s="1928">
        <v>44434</v>
      </c>
      <c r="R18" s="1928">
        <v>44434</v>
      </c>
      <c r="S18" s="1931">
        <f t="shared" ref="S18:S37" si="3">SUM(Q18:R18)</f>
        <v>88868</v>
      </c>
      <c r="T18" s="1931">
        <f t="shared" ref="T18:T37" si="4">Q18*I18</f>
        <v>19550.96</v>
      </c>
      <c r="U18" s="1931">
        <f t="shared" ref="U18:U37" si="5">R18*I18</f>
        <v>19550.96</v>
      </c>
      <c r="V18" s="1931">
        <f t="shared" ref="V18:V37" si="6">SUM(T18:U18)</f>
        <v>39101.919999999998</v>
      </c>
      <c r="W18" s="1921">
        <f t="shared" ref="W18:W37" si="7">Q18*M18</f>
        <v>29326.440000000002</v>
      </c>
      <c r="X18" s="1921">
        <f t="shared" ref="X18:X37" si="8">R18*M18</f>
        <v>29326.440000000002</v>
      </c>
      <c r="Y18" s="1921">
        <f t="shared" ref="Y18:Y37" si="9">SUM(W18:X18)</f>
        <v>58652.880000000005</v>
      </c>
      <c r="Z18" s="2957">
        <v>0.01</v>
      </c>
    </row>
    <row r="19" spans="2:26">
      <c r="B19" s="1885"/>
      <c r="C19" s="1876"/>
      <c r="D19" s="1903"/>
      <c r="E19" s="1902"/>
      <c r="F19" s="1879">
        <f t="shared" si="2"/>
        <v>0</v>
      </c>
      <c r="H19" s="2541" t="s">
        <v>1150</v>
      </c>
      <c r="I19" s="2946">
        <v>2.35</v>
      </c>
      <c r="J19" s="1932" t="s">
        <v>120</v>
      </c>
      <c r="K19" s="1922" t="s">
        <v>1067</v>
      </c>
      <c r="L19" s="1929">
        <v>1.1200000000000001</v>
      </c>
      <c r="M19" s="1929">
        <v>0.33</v>
      </c>
      <c r="N19" s="1923">
        <v>3.799525594318804E-2</v>
      </c>
      <c r="O19" s="1922">
        <v>30</v>
      </c>
      <c r="P19" s="1925" t="s">
        <v>1069</v>
      </c>
      <c r="Q19" s="1928">
        <v>52084</v>
      </c>
      <c r="R19" s="1928">
        <v>52084</v>
      </c>
      <c r="S19" s="1931">
        <f t="shared" si="3"/>
        <v>104168</v>
      </c>
      <c r="T19" s="1931">
        <f t="shared" si="4"/>
        <v>122397.40000000001</v>
      </c>
      <c r="U19" s="1931">
        <f t="shared" si="5"/>
        <v>122397.40000000001</v>
      </c>
      <c r="V19" s="1931">
        <f t="shared" si="6"/>
        <v>244794.80000000002</v>
      </c>
      <c r="W19" s="1921">
        <f t="shared" si="7"/>
        <v>17187.72</v>
      </c>
      <c r="X19" s="1921">
        <f t="shared" si="8"/>
        <v>17187.72</v>
      </c>
      <c r="Y19" s="1921">
        <f t="shared" si="9"/>
        <v>34375.440000000002</v>
      </c>
      <c r="Z19" s="2957">
        <v>0.03</v>
      </c>
    </row>
    <row r="20" spans="2:26">
      <c r="B20" s="1908">
        <f>SUM(B16:B19)</f>
        <v>0.6</v>
      </c>
      <c r="C20" s="1952"/>
      <c r="D20" s="1954"/>
      <c r="E20" s="1955"/>
      <c r="F20" s="1957"/>
      <c r="H20" s="2541" t="s">
        <v>1151</v>
      </c>
      <c r="I20" s="2946">
        <v>1.33</v>
      </c>
      <c r="J20" s="1932" t="s">
        <v>120</v>
      </c>
      <c r="K20" s="1922" t="s">
        <v>1067</v>
      </c>
      <c r="L20" s="1929">
        <v>1.1200000000000001</v>
      </c>
      <c r="M20" s="1929">
        <v>0.33</v>
      </c>
      <c r="N20" s="1923">
        <v>9.676746693142722E-3</v>
      </c>
      <c r="O20" s="1922">
        <v>30</v>
      </c>
      <c r="P20" s="1925" t="s">
        <v>1069</v>
      </c>
      <c r="Q20" s="1928">
        <v>23438</v>
      </c>
      <c r="R20" s="1928">
        <v>23438</v>
      </c>
      <c r="S20" s="1931">
        <f t="shared" si="3"/>
        <v>46876</v>
      </c>
      <c r="T20" s="1931">
        <f t="shared" si="4"/>
        <v>31172.54</v>
      </c>
      <c r="U20" s="1931">
        <f t="shared" si="5"/>
        <v>31172.54</v>
      </c>
      <c r="V20" s="1931">
        <f t="shared" si="6"/>
        <v>62345.08</v>
      </c>
      <c r="W20" s="1921">
        <f t="shared" si="7"/>
        <v>7734.54</v>
      </c>
      <c r="X20" s="1921">
        <f t="shared" si="8"/>
        <v>7734.54</v>
      </c>
      <c r="Y20" s="1921">
        <f t="shared" si="9"/>
        <v>15469.08</v>
      </c>
      <c r="Z20" s="2957">
        <v>0.02</v>
      </c>
    </row>
    <row r="21" spans="2:26">
      <c r="C21" s="1910" t="s">
        <v>47</v>
      </c>
      <c r="D21" s="1911">
        <f>SUM(D22:D25)</f>
        <v>24012</v>
      </c>
      <c r="E21" s="1926">
        <f>SUM(E22:E25)</f>
        <v>24612.3</v>
      </c>
      <c r="F21" s="2157">
        <f>D21+E21</f>
        <v>48624.3</v>
      </c>
      <c r="H21" s="2541" t="s">
        <v>1152</v>
      </c>
      <c r="I21" s="2946">
        <v>2.16</v>
      </c>
      <c r="J21" s="1932" t="s">
        <v>120</v>
      </c>
      <c r="K21" s="1922" t="s">
        <v>1067</v>
      </c>
      <c r="L21" s="1929">
        <v>1.1200000000000001</v>
      </c>
      <c r="M21" s="1929">
        <v>0.33</v>
      </c>
      <c r="N21" s="1923">
        <v>3.6669329929929113E-2</v>
      </c>
      <c r="O21" s="1922">
        <v>30</v>
      </c>
      <c r="P21" s="1925" t="s">
        <v>1069</v>
      </c>
      <c r="Q21" s="1928">
        <v>54688</v>
      </c>
      <c r="R21" s="1928">
        <v>54688</v>
      </c>
      <c r="S21" s="1931">
        <f t="shared" si="3"/>
        <v>109376</v>
      </c>
      <c r="T21" s="1931">
        <f t="shared" si="4"/>
        <v>118126.08</v>
      </c>
      <c r="U21" s="1931">
        <f t="shared" si="5"/>
        <v>118126.08</v>
      </c>
      <c r="V21" s="1931">
        <f t="shared" si="6"/>
        <v>236252.16</v>
      </c>
      <c r="W21" s="1921">
        <f t="shared" si="7"/>
        <v>18047.04</v>
      </c>
      <c r="X21" s="1921">
        <f t="shared" si="8"/>
        <v>18047.04</v>
      </c>
      <c r="Y21" s="1921">
        <f t="shared" si="9"/>
        <v>36094.080000000002</v>
      </c>
      <c r="Z21" s="2957">
        <v>0.03</v>
      </c>
    </row>
    <row r="22" spans="2:26">
      <c r="C22" s="1876" t="s">
        <v>1286</v>
      </c>
      <c r="D22" s="1907">
        <v>24012</v>
      </c>
      <c r="E22" s="1906">
        <v>24612.3</v>
      </c>
      <c r="F22" s="1879">
        <f t="shared" ref="F22:F25" si="10">SUM(D22:E22)</f>
        <v>48624.3</v>
      </c>
      <c r="H22" s="2541" t="s">
        <v>1153</v>
      </c>
      <c r="I22" s="2946">
        <v>0.62</v>
      </c>
      <c r="J22" s="1932" t="s">
        <v>120</v>
      </c>
      <c r="K22" s="1922" t="s">
        <v>1067</v>
      </c>
      <c r="L22" s="1929">
        <v>0.98</v>
      </c>
      <c r="M22" s="1929">
        <v>0.33</v>
      </c>
      <c r="N22" s="1923">
        <v>1.0024280291394291E-2</v>
      </c>
      <c r="O22" s="1922">
        <v>30</v>
      </c>
      <c r="P22" s="1925" t="s">
        <v>1069</v>
      </c>
      <c r="Q22" s="1928">
        <v>52084</v>
      </c>
      <c r="R22" s="1928">
        <v>52084</v>
      </c>
      <c r="S22" s="1931">
        <f>SUM(Q22:R22)</f>
        <v>104168</v>
      </c>
      <c r="T22" s="1931">
        <f>Q22*I22</f>
        <v>32292.079999999998</v>
      </c>
      <c r="U22" s="1931">
        <f>R22*I22</f>
        <v>32292.079999999998</v>
      </c>
      <c r="V22" s="1931">
        <f>SUM(T22:U22)</f>
        <v>64584.159999999996</v>
      </c>
      <c r="W22" s="1921">
        <f>Q22*M22</f>
        <v>17187.72</v>
      </c>
      <c r="X22" s="1921">
        <f>R22*M22</f>
        <v>17187.72</v>
      </c>
      <c r="Y22" s="1921">
        <f>SUM(W22:X22)</f>
        <v>34375.440000000002</v>
      </c>
      <c r="Z22" s="2957">
        <v>0.01</v>
      </c>
    </row>
    <row r="23" spans="2:26">
      <c r="C23" s="1876"/>
      <c r="D23" s="1900"/>
      <c r="E23" s="1899"/>
      <c r="F23" s="1879">
        <f t="shared" si="10"/>
        <v>0</v>
      </c>
      <c r="H23" s="2541" t="s">
        <v>1154</v>
      </c>
      <c r="I23" s="2946">
        <v>0.26</v>
      </c>
      <c r="J23" s="1932" t="s">
        <v>120</v>
      </c>
      <c r="K23" s="1922" t="s">
        <v>1067</v>
      </c>
      <c r="L23" s="1929">
        <v>0.98</v>
      </c>
      <c r="M23" s="1929">
        <v>0.33</v>
      </c>
      <c r="N23" s="1923">
        <v>1.8916948422685019E-3</v>
      </c>
      <c r="O23" s="1922">
        <v>30</v>
      </c>
      <c r="P23" s="1925" t="s">
        <v>1069</v>
      </c>
      <c r="Q23" s="1928">
        <v>23438</v>
      </c>
      <c r="R23" s="1928">
        <v>23438</v>
      </c>
      <c r="S23" s="1931">
        <f>SUM(Q23:R23)</f>
        <v>46876</v>
      </c>
      <c r="T23" s="1931">
        <f>Q23*I23</f>
        <v>6093.88</v>
      </c>
      <c r="U23" s="1931">
        <f>R23*I23</f>
        <v>6093.88</v>
      </c>
      <c r="V23" s="1931">
        <f>SUM(T23:U23)</f>
        <v>12187.76</v>
      </c>
      <c r="W23" s="1921">
        <f>Q23*M23</f>
        <v>7734.54</v>
      </c>
      <c r="X23" s="1921">
        <f>R23*M23</f>
        <v>7734.54</v>
      </c>
      <c r="Y23" s="1921">
        <f>SUM(W23:X23)</f>
        <v>15469.08</v>
      </c>
      <c r="Z23" s="2957">
        <v>0</v>
      </c>
    </row>
    <row r="24" spans="2:26" s="1866" customFormat="1">
      <c r="C24" s="1876"/>
      <c r="D24" s="1898"/>
      <c r="E24" s="1897"/>
      <c r="F24" s="1879">
        <f t="shared" si="10"/>
        <v>0</v>
      </c>
      <c r="H24" s="2541" t="s">
        <v>1155</v>
      </c>
      <c r="I24" s="2946">
        <v>0.44</v>
      </c>
      <c r="J24" s="1932" t="s">
        <v>120</v>
      </c>
      <c r="K24" s="1922" t="s">
        <v>1067</v>
      </c>
      <c r="L24" s="1929">
        <v>0.98</v>
      </c>
      <c r="M24" s="1929">
        <v>0.33</v>
      </c>
      <c r="N24" s="1923">
        <v>7.469678319059635E-3</v>
      </c>
      <c r="O24" s="1922">
        <v>30</v>
      </c>
      <c r="P24" s="1925" t="s">
        <v>1069</v>
      </c>
      <c r="Q24" s="1928">
        <v>54688</v>
      </c>
      <c r="R24" s="1928">
        <v>54688</v>
      </c>
      <c r="S24" s="1931">
        <f>SUM(Q24:R24)</f>
        <v>109376</v>
      </c>
      <c r="T24" s="1931">
        <f>Q24*I24</f>
        <v>24062.720000000001</v>
      </c>
      <c r="U24" s="1931">
        <f>R24*I24</f>
        <v>24062.720000000001</v>
      </c>
      <c r="V24" s="1931">
        <f>SUM(T24:U24)</f>
        <v>48125.440000000002</v>
      </c>
      <c r="W24" s="1921">
        <f>Q24*M24</f>
        <v>18047.04</v>
      </c>
      <c r="X24" s="1921">
        <f>R24*M24</f>
        <v>18047.04</v>
      </c>
      <c r="Y24" s="1921">
        <f>SUM(W24:X24)</f>
        <v>36094.080000000002</v>
      </c>
      <c r="Z24" s="2957">
        <v>0.03</v>
      </c>
    </row>
    <row r="25" spans="2:26">
      <c r="C25" s="1876"/>
      <c r="D25" s="1896"/>
      <c r="E25" s="1899"/>
      <c r="F25" s="1879">
        <f t="shared" si="10"/>
        <v>0</v>
      </c>
      <c r="H25" s="2541" t="s">
        <v>1156</v>
      </c>
      <c r="I25" s="2946">
        <v>81</v>
      </c>
      <c r="J25" s="1932" t="s">
        <v>120</v>
      </c>
      <c r="K25" s="1922" t="s">
        <v>909</v>
      </c>
      <c r="L25" s="1929">
        <v>50</v>
      </c>
      <c r="M25" s="1929">
        <v>50</v>
      </c>
      <c r="N25" s="1923">
        <v>6.2861133720941605E-4</v>
      </c>
      <c r="O25" s="1922">
        <v>10</v>
      </c>
      <c r="P25" s="1925" t="s">
        <v>952</v>
      </c>
      <c r="Q25" s="1928">
        <v>25</v>
      </c>
      <c r="R25" s="1928">
        <v>25</v>
      </c>
      <c r="S25" s="1931">
        <f t="shared" si="3"/>
        <v>50</v>
      </c>
      <c r="T25" s="1931">
        <f t="shared" si="4"/>
        <v>2025</v>
      </c>
      <c r="U25" s="1931">
        <f t="shared" si="5"/>
        <v>2025</v>
      </c>
      <c r="V25" s="1931">
        <f t="shared" si="6"/>
        <v>4050</v>
      </c>
      <c r="W25" s="1921">
        <f t="shared" si="7"/>
        <v>1250</v>
      </c>
      <c r="X25" s="1921">
        <f t="shared" si="8"/>
        <v>1250</v>
      </c>
      <c r="Y25" s="1921">
        <f t="shared" si="9"/>
        <v>2500</v>
      </c>
      <c r="Z25" s="2957">
        <v>0</v>
      </c>
    </row>
    <row r="26" spans="2:26">
      <c r="C26" s="1877"/>
      <c r="D26" s="1892"/>
      <c r="E26" s="1884"/>
      <c r="F26" s="1892"/>
      <c r="H26" s="2541" t="s">
        <v>1157</v>
      </c>
      <c r="I26" s="2946">
        <v>1</v>
      </c>
      <c r="J26" s="1932" t="s">
        <v>120</v>
      </c>
      <c r="K26" s="1922" t="s">
        <v>1067</v>
      </c>
      <c r="L26" s="1929">
        <v>1.32</v>
      </c>
      <c r="M26" s="1929">
        <v>0.11</v>
      </c>
      <c r="N26" s="1923">
        <v>3.9310093562883945E-2</v>
      </c>
      <c r="O26" s="1922">
        <v>30</v>
      </c>
      <c r="P26" s="1925" t="s">
        <v>1069</v>
      </c>
      <c r="Q26" s="1928">
        <v>126633</v>
      </c>
      <c r="R26" s="1928">
        <v>126633</v>
      </c>
      <c r="S26" s="1931">
        <f t="shared" si="3"/>
        <v>253266</v>
      </c>
      <c r="T26" s="1931">
        <f t="shared" si="4"/>
        <v>126633</v>
      </c>
      <c r="U26" s="1931">
        <f t="shared" si="5"/>
        <v>126633</v>
      </c>
      <c r="V26" s="1931">
        <f t="shared" si="6"/>
        <v>253266</v>
      </c>
      <c r="W26" s="1921">
        <f t="shared" si="7"/>
        <v>13929.63</v>
      </c>
      <c r="X26" s="1921">
        <f t="shared" si="8"/>
        <v>13929.63</v>
      </c>
      <c r="Y26" s="1921">
        <f t="shared" si="9"/>
        <v>27859.26</v>
      </c>
      <c r="Z26" s="2957">
        <v>0.01</v>
      </c>
    </row>
    <row r="27" spans="2:26">
      <c r="C27" s="1910" t="s">
        <v>48</v>
      </c>
      <c r="D27" s="1911">
        <f>SUM(D29:D32)</f>
        <v>52287.330600000008</v>
      </c>
      <c r="E27" s="1926">
        <f>SUM(E29:E32)</f>
        <v>54639.156000000003</v>
      </c>
      <c r="F27" s="2157">
        <f>D27+E27</f>
        <v>106926.4866</v>
      </c>
      <c r="H27" s="2541" t="s">
        <v>1158</v>
      </c>
      <c r="I27" s="2946">
        <v>0.18</v>
      </c>
      <c r="J27" s="1932" t="s">
        <v>120</v>
      </c>
      <c r="K27" s="1922" t="s">
        <v>1067</v>
      </c>
      <c r="L27" s="1929">
        <v>1.32</v>
      </c>
      <c r="M27" s="1929">
        <v>0.11</v>
      </c>
      <c r="N27" s="1923">
        <v>2.7214680158919652E-3</v>
      </c>
      <c r="O27" s="1922">
        <v>30</v>
      </c>
      <c r="P27" s="1925" t="s">
        <v>1069</v>
      </c>
      <c r="Q27" s="1928">
        <v>48705</v>
      </c>
      <c r="R27" s="1928">
        <v>48705</v>
      </c>
      <c r="S27" s="1931">
        <f t="shared" si="3"/>
        <v>97410</v>
      </c>
      <c r="T27" s="1931">
        <f t="shared" si="4"/>
        <v>8766.9</v>
      </c>
      <c r="U27" s="1931">
        <f t="shared" si="5"/>
        <v>8766.9</v>
      </c>
      <c r="V27" s="1931">
        <f t="shared" si="6"/>
        <v>17533.8</v>
      </c>
      <c r="W27" s="1921">
        <f t="shared" si="7"/>
        <v>5357.55</v>
      </c>
      <c r="X27" s="1921">
        <f t="shared" si="8"/>
        <v>5357.55</v>
      </c>
      <c r="Y27" s="1921">
        <f t="shared" si="9"/>
        <v>10715.1</v>
      </c>
      <c r="Z27" s="2957">
        <v>0</v>
      </c>
    </row>
    <row r="28" spans="2:26">
      <c r="C28" s="1909" t="s">
        <v>315</v>
      </c>
      <c r="D28" s="1912">
        <v>0.66700000000000004</v>
      </c>
      <c r="E28" s="1913">
        <v>0.68</v>
      </c>
      <c r="F28" s="1949"/>
      <c r="H28" s="2541" t="s">
        <v>1159</v>
      </c>
      <c r="I28" s="2946">
        <v>1.03</v>
      </c>
      <c r="J28" s="1932" t="s">
        <v>120</v>
      </c>
      <c r="K28" s="1922" t="s">
        <v>1067</v>
      </c>
      <c r="L28" s="1929">
        <v>1.32</v>
      </c>
      <c r="M28" s="1929">
        <v>0.11</v>
      </c>
      <c r="N28" s="1923">
        <v>4.6718534272812071E-2</v>
      </c>
      <c r="O28" s="1922">
        <v>30</v>
      </c>
      <c r="P28" s="1925" t="s">
        <v>1069</v>
      </c>
      <c r="Q28" s="1928">
        <v>146115</v>
      </c>
      <c r="R28" s="1928">
        <v>146115</v>
      </c>
      <c r="S28" s="1931">
        <f t="shared" si="3"/>
        <v>292230</v>
      </c>
      <c r="T28" s="1931">
        <f t="shared" si="4"/>
        <v>150498.45000000001</v>
      </c>
      <c r="U28" s="1931">
        <f t="shared" si="5"/>
        <v>150498.45000000001</v>
      </c>
      <c r="V28" s="1931">
        <f t="shared" si="6"/>
        <v>300996.90000000002</v>
      </c>
      <c r="W28" s="1921">
        <f t="shared" si="7"/>
        <v>16072.65</v>
      </c>
      <c r="X28" s="1921">
        <f t="shared" si="8"/>
        <v>16072.65</v>
      </c>
      <c r="Y28" s="1921">
        <f t="shared" si="9"/>
        <v>32145.3</v>
      </c>
      <c r="Z28" s="2957">
        <v>0.02</v>
      </c>
    </row>
    <row r="29" spans="2:26">
      <c r="C29" s="1876" t="s">
        <v>958</v>
      </c>
      <c r="D29" s="1971">
        <v>36271.326600000008</v>
      </c>
      <c r="E29" s="1972">
        <v>37902.792000000001</v>
      </c>
      <c r="F29" s="1879">
        <f t="shared" ref="F29:F32" si="11">SUM(D29:E29)</f>
        <v>74174.118600000016</v>
      </c>
      <c r="H29" s="2541" t="s">
        <v>1160</v>
      </c>
      <c r="I29" s="2946">
        <v>0</v>
      </c>
      <c r="J29" s="1932" t="s">
        <v>120</v>
      </c>
      <c r="K29" s="1922" t="s">
        <v>966</v>
      </c>
      <c r="L29" s="1929">
        <v>600</v>
      </c>
      <c r="M29" s="1929">
        <v>400</v>
      </c>
      <c r="N29" s="1923">
        <v>0</v>
      </c>
      <c r="O29" s="1922">
        <v>1</v>
      </c>
      <c r="P29" s="1925" t="s">
        <v>1069</v>
      </c>
      <c r="Q29" s="1928">
        <v>50</v>
      </c>
      <c r="R29" s="1928">
        <v>50</v>
      </c>
      <c r="S29" s="1931">
        <f t="shared" si="3"/>
        <v>100</v>
      </c>
      <c r="T29" s="1931">
        <f t="shared" si="4"/>
        <v>0</v>
      </c>
      <c r="U29" s="1931">
        <f t="shared" si="5"/>
        <v>0</v>
      </c>
      <c r="V29" s="1931">
        <f t="shared" si="6"/>
        <v>0</v>
      </c>
      <c r="W29" s="1921">
        <f t="shared" si="7"/>
        <v>20000</v>
      </c>
      <c r="X29" s="1921">
        <f t="shared" si="8"/>
        <v>20000</v>
      </c>
      <c r="Y29" s="1921">
        <f t="shared" si="9"/>
        <v>40000</v>
      </c>
      <c r="Z29" s="2957">
        <v>0</v>
      </c>
    </row>
    <row r="30" spans="2:26">
      <c r="C30" s="1876" t="s">
        <v>959</v>
      </c>
      <c r="D30" s="1973">
        <v>16016.004000000001</v>
      </c>
      <c r="E30" s="1972">
        <v>16736.364000000001</v>
      </c>
      <c r="F30" s="1879">
        <f t="shared" si="11"/>
        <v>32752.368000000002</v>
      </c>
      <c r="H30" s="2541" t="s">
        <v>1161</v>
      </c>
      <c r="I30" s="2946">
        <v>1859</v>
      </c>
      <c r="J30" s="1932" t="s">
        <v>120</v>
      </c>
      <c r="K30" s="1922" t="s">
        <v>966</v>
      </c>
      <c r="L30" s="1929">
        <v>1000</v>
      </c>
      <c r="M30" s="1929">
        <v>400</v>
      </c>
      <c r="N30" s="1923">
        <v>0.49051861950195497</v>
      </c>
      <c r="O30" s="1922">
        <v>20</v>
      </c>
      <c r="P30" s="1925" t="s">
        <v>1069</v>
      </c>
      <c r="Q30" s="1928">
        <v>850</v>
      </c>
      <c r="R30" s="1928">
        <v>850</v>
      </c>
      <c r="S30" s="1931">
        <f t="shared" si="3"/>
        <v>1700</v>
      </c>
      <c r="T30" s="1931">
        <f t="shared" si="4"/>
        <v>1580150</v>
      </c>
      <c r="U30" s="1931">
        <f t="shared" si="5"/>
        <v>1580150</v>
      </c>
      <c r="V30" s="1931">
        <f t="shared" si="6"/>
        <v>3160300</v>
      </c>
      <c r="W30" s="1921">
        <f t="shared" si="7"/>
        <v>340000</v>
      </c>
      <c r="X30" s="1921">
        <f t="shared" si="8"/>
        <v>340000</v>
      </c>
      <c r="Y30" s="1921">
        <f t="shared" si="9"/>
        <v>680000</v>
      </c>
      <c r="Z30" s="2957">
        <v>11</v>
      </c>
    </row>
    <row r="31" spans="2:26">
      <c r="C31" s="1901"/>
      <c r="D31" s="1898"/>
      <c r="E31" s="1897"/>
      <c r="F31" s="1879">
        <f t="shared" si="11"/>
        <v>0</v>
      </c>
      <c r="H31" s="2541" t="s">
        <v>1162</v>
      </c>
      <c r="I31" s="2946">
        <v>2.23</v>
      </c>
      <c r="J31" s="1932" t="s">
        <v>120</v>
      </c>
      <c r="K31" s="1922" t="s">
        <v>1067</v>
      </c>
      <c r="L31" s="1929">
        <v>1.39</v>
      </c>
      <c r="M31" s="1929">
        <v>0.22</v>
      </c>
      <c r="N31" s="1923">
        <v>7.3523716829025643E-3</v>
      </c>
      <c r="O31" s="1922">
        <v>30</v>
      </c>
      <c r="P31" s="1925" t="s">
        <v>1069</v>
      </c>
      <c r="Q31" s="1928">
        <v>10621</v>
      </c>
      <c r="R31" s="1928">
        <v>10621</v>
      </c>
      <c r="S31" s="1931">
        <f t="shared" si="3"/>
        <v>21242</v>
      </c>
      <c r="T31" s="1931">
        <f t="shared" si="4"/>
        <v>23684.829999999998</v>
      </c>
      <c r="U31" s="1931">
        <f t="shared" si="5"/>
        <v>23684.829999999998</v>
      </c>
      <c r="V31" s="1931">
        <f t="shared" si="6"/>
        <v>47369.659999999996</v>
      </c>
      <c r="W31" s="1921">
        <f t="shared" si="7"/>
        <v>2336.62</v>
      </c>
      <c r="X31" s="1921">
        <f t="shared" si="8"/>
        <v>2336.62</v>
      </c>
      <c r="Y31" s="1921">
        <f t="shared" si="9"/>
        <v>4673.24</v>
      </c>
      <c r="Z31" s="2957">
        <v>0.03</v>
      </c>
    </row>
    <row r="32" spans="2:26">
      <c r="C32" s="1901"/>
      <c r="D32" s="1896"/>
      <c r="E32" s="1899"/>
      <c r="F32" s="1879">
        <f t="shared" si="11"/>
        <v>0</v>
      </c>
      <c r="H32" s="2541" t="s">
        <v>1163</v>
      </c>
      <c r="I32" s="2946">
        <v>0.96</v>
      </c>
      <c r="J32" s="1932" t="s">
        <v>120</v>
      </c>
      <c r="K32" s="1922" t="s">
        <v>1067</v>
      </c>
      <c r="L32" s="1929">
        <v>1.39</v>
      </c>
      <c r="M32" s="1929">
        <v>0.22</v>
      </c>
      <c r="N32" s="1923">
        <v>2.7130679058747372E-3</v>
      </c>
      <c r="O32" s="1922">
        <v>30</v>
      </c>
      <c r="P32" s="1925" t="s">
        <v>1069</v>
      </c>
      <c r="Q32" s="1928">
        <v>9104</v>
      </c>
      <c r="R32" s="1928">
        <v>9104</v>
      </c>
      <c r="S32" s="1931">
        <f t="shared" si="3"/>
        <v>18208</v>
      </c>
      <c r="T32" s="1931">
        <f t="shared" si="4"/>
        <v>8739.84</v>
      </c>
      <c r="U32" s="1931">
        <f t="shared" si="5"/>
        <v>8739.84</v>
      </c>
      <c r="V32" s="1931">
        <f t="shared" si="6"/>
        <v>17479.68</v>
      </c>
      <c r="W32" s="1921">
        <f t="shared" si="7"/>
        <v>2002.88</v>
      </c>
      <c r="X32" s="1921">
        <f t="shared" si="8"/>
        <v>2002.88</v>
      </c>
      <c r="Y32" s="1921">
        <f t="shared" si="9"/>
        <v>4005.76</v>
      </c>
      <c r="Z32" s="2957">
        <v>0.01</v>
      </c>
    </row>
    <row r="33" spans="1:26">
      <c r="C33" s="1952"/>
      <c r="D33" s="1958"/>
      <c r="E33" s="1955"/>
      <c r="F33" s="1958"/>
      <c r="H33" s="2541" t="s">
        <v>1164</v>
      </c>
      <c r="I33" s="2946">
        <v>1.53</v>
      </c>
      <c r="J33" s="1932" t="s">
        <v>120</v>
      </c>
      <c r="K33" s="1922" t="s">
        <v>1067</v>
      </c>
      <c r="L33" s="1929">
        <v>1.39</v>
      </c>
      <c r="M33" s="1929">
        <v>0.22</v>
      </c>
      <c r="N33" s="1923">
        <v>1.4173006468103341E-2</v>
      </c>
      <c r="O33" s="1922">
        <v>30</v>
      </c>
      <c r="P33" s="1925" t="s">
        <v>1069</v>
      </c>
      <c r="Q33" s="1928">
        <v>29841</v>
      </c>
      <c r="R33" s="1928">
        <v>29841</v>
      </c>
      <c r="S33" s="1931">
        <f t="shared" si="3"/>
        <v>59682</v>
      </c>
      <c r="T33" s="1931">
        <f t="shared" si="4"/>
        <v>45656.73</v>
      </c>
      <c r="U33" s="1931">
        <f t="shared" si="5"/>
        <v>45656.73</v>
      </c>
      <c r="V33" s="1931">
        <f t="shared" si="6"/>
        <v>91313.46</v>
      </c>
      <c r="W33" s="1921">
        <f t="shared" si="7"/>
        <v>6565.02</v>
      </c>
      <c r="X33" s="1921">
        <f t="shared" si="8"/>
        <v>6565.02</v>
      </c>
      <c r="Y33" s="1921">
        <f t="shared" si="9"/>
        <v>13130.04</v>
      </c>
      <c r="Z33" s="2957">
        <v>0.01</v>
      </c>
    </row>
    <row r="34" spans="1:26" ht="25.5">
      <c r="A34" s="1852" t="s">
        <v>303</v>
      </c>
      <c r="C34" s="1910" t="s">
        <v>49</v>
      </c>
      <c r="D34" s="1911">
        <f>SUM(D35:D38)</f>
        <v>150545</v>
      </c>
      <c r="E34" s="1926">
        <f>SUM(E35:E38)</f>
        <v>150545</v>
      </c>
      <c r="F34" s="2157">
        <f>D34+E34</f>
        <v>301090</v>
      </c>
      <c r="H34" s="2541" t="s">
        <v>1165</v>
      </c>
      <c r="I34" s="2946">
        <v>5.6</v>
      </c>
      <c r="J34" s="1932" t="s">
        <v>120</v>
      </c>
      <c r="K34" s="1922" t="s">
        <v>1067</v>
      </c>
      <c r="L34" s="1929">
        <v>18.510000000000002</v>
      </c>
      <c r="M34" s="1929">
        <v>2.78</v>
      </c>
      <c r="N34" s="1923" t="s">
        <v>241</v>
      </c>
      <c r="O34" s="1922">
        <v>30</v>
      </c>
      <c r="P34" s="1925" t="s">
        <v>1069</v>
      </c>
      <c r="Q34" s="1928"/>
      <c r="R34" s="1928"/>
      <c r="S34" s="1931">
        <f t="shared" si="3"/>
        <v>0</v>
      </c>
      <c r="T34" s="1931">
        <f t="shared" si="4"/>
        <v>0</v>
      </c>
      <c r="U34" s="1931">
        <f t="shared" si="5"/>
        <v>0</v>
      </c>
      <c r="V34" s="1931">
        <f t="shared" si="6"/>
        <v>0</v>
      </c>
      <c r="W34" s="1921">
        <f t="shared" si="7"/>
        <v>0</v>
      </c>
      <c r="X34" s="1921">
        <f t="shared" si="8"/>
        <v>0</v>
      </c>
      <c r="Y34" s="1921">
        <f t="shared" si="9"/>
        <v>0</v>
      </c>
      <c r="Z34" s="2957">
        <v>0.08</v>
      </c>
    </row>
    <row r="35" spans="1:26">
      <c r="A35" s="1808" t="s">
        <v>291</v>
      </c>
      <c r="C35" s="2197" t="s">
        <v>1076</v>
      </c>
      <c r="D35" s="1971">
        <v>55370</v>
      </c>
      <c r="E35" s="1988">
        <v>55370</v>
      </c>
      <c r="F35" s="1879">
        <f t="shared" ref="F35:F38" si="12">SUM(D35:E35)</f>
        <v>110740</v>
      </c>
      <c r="H35" s="2541" t="s">
        <v>1166</v>
      </c>
      <c r="I35" s="2946">
        <v>3.77</v>
      </c>
      <c r="J35" s="1932" t="s">
        <v>120</v>
      </c>
      <c r="K35" s="1922" t="s">
        <v>1067</v>
      </c>
      <c r="L35" s="1929">
        <v>18.510000000000002</v>
      </c>
      <c r="M35" s="1929">
        <v>2.78</v>
      </c>
      <c r="N35" s="1923" t="s">
        <v>241</v>
      </c>
      <c r="O35" s="1922">
        <v>30</v>
      </c>
      <c r="P35" s="1925" t="s">
        <v>1069</v>
      </c>
      <c r="Q35" s="1928"/>
      <c r="R35" s="1928"/>
      <c r="S35" s="1931">
        <f t="shared" si="3"/>
        <v>0</v>
      </c>
      <c r="T35" s="1931">
        <f t="shared" si="4"/>
        <v>0</v>
      </c>
      <c r="U35" s="1931">
        <f t="shared" si="5"/>
        <v>0</v>
      </c>
      <c r="V35" s="1931">
        <f t="shared" si="6"/>
        <v>0</v>
      </c>
      <c r="W35" s="1921">
        <f t="shared" si="7"/>
        <v>0</v>
      </c>
      <c r="X35" s="1921">
        <f t="shared" si="8"/>
        <v>0</v>
      </c>
      <c r="Y35" s="1921">
        <f t="shared" si="9"/>
        <v>0</v>
      </c>
      <c r="Z35" s="2957">
        <v>0.04</v>
      </c>
    </row>
    <row r="36" spans="1:26">
      <c r="A36" s="1852" t="s">
        <v>6</v>
      </c>
      <c r="C36" s="1876" t="s">
        <v>1145</v>
      </c>
      <c r="D36" s="1971">
        <v>95175</v>
      </c>
      <c r="E36" s="1988">
        <v>95175</v>
      </c>
      <c r="F36" s="1879">
        <f t="shared" si="12"/>
        <v>190350</v>
      </c>
      <c r="H36" s="2541" t="s">
        <v>1167</v>
      </c>
      <c r="I36" s="2946">
        <v>5.0999999999999996</v>
      </c>
      <c r="J36" s="1932" t="s">
        <v>120</v>
      </c>
      <c r="K36" s="1922" t="s">
        <v>1067</v>
      </c>
      <c r="L36" s="1929">
        <v>18.510000000000002</v>
      </c>
      <c r="M36" s="1929">
        <v>2.78</v>
      </c>
      <c r="N36" s="1923" t="s">
        <v>241</v>
      </c>
      <c r="O36" s="1922">
        <v>30</v>
      </c>
      <c r="P36" s="1925" t="s">
        <v>1069</v>
      </c>
      <c r="Q36" s="1928"/>
      <c r="R36" s="1928"/>
      <c r="S36" s="1931">
        <f t="shared" si="3"/>
        <v>0</v>
      </c>
      <c r="T36" s="1931">
        <f t="shared" si="4"/>
        <v>0</v>
      </c>
      <c r="U36" s="1931">
        <f t="shared" si="5"/>
        <v>0</v>
      </c>
      <c r="V36" s="1931">
        <f t="shared" si="6"/>
        <v>0</v>
      </c>
      <c r="W36" s="1921">
        <f t="shared" si="7"/>
        <v>0</v>
      </c>
      <c r="X36" s="1921">
        <f t="shared" si="8"/>
        <v>0</v>
      </c>
      <c r="Y36" s="1921">
        <f t="shared" si="9"/>
        <v>0</v>
      </c>
      <c r="Z36" s="2957">
        <v>7.0000000000000007E-2</v>
      </c>
    </row>
    <row r="37" spans="1:26">
      <c r="A37" s="1852">
        <v>18230627</v>
      </c>
      <c r="C37" s="1876"/>
      <c r="D37" s="1971"/>
      <c r="E37" s="1988"/>
      <c r="F37" s="1879">
        <f t="shared" si="12"/>
        <v>0</v>
      </c>
      <c r="H37" s="2541" t="s">
        <v>1168</v>
      </c>
      <c r="I37" s="2946">
        <v>15.8</v>
      </c>
      <c r="J37" s="1932" t="s">
        <v>120</v>
      </c>
      <c r="K37" s="1922" t="s">
        <v>1067</v>
      </c>
      <c r="L37" s="1929">
        <v>18.510000000000002</v>
      </c>
      <c r="M37" s="1929">
        <v>2.78</v>
      </c>
      <c r="N37" s="1923">
        <v>7.9755660977246706E-2</v>
      </c>
      <c r="O37" s="1922">
        <v>30</v>
      </c>
      <c r="P37" s="1925" t="s">
        <v>1069</v>
      </c>
      <c r="Q37" s="1928">
        <v>16261</v>
      </c>
      <c r="R37" s="1928">
        <v>16261</v>
      </c>
      <c r="S37" s="1931">
        <f t="shared" si="3"/>
        <v>32522</v>
      </c>
      <c r="T37" s="1931">
        <f t="shared" si="4"/>
        <v>256923.80000000002</v>
      </c>
      <c r="U37" s="1931">
        <f t="shared" si="5"/>
        <v>256923.80000000002</v>
      </c>
      <c r="V37" s="1931">
        <f t="shared" si="6"/>
        <v>513847.60000000003</v>
      </c>
      <c r="W37" s="1921">
        <f t="shared" si="7"/>
        <v>45205.579999999994</v>
      </c>
      <c r="X37" s="1921">
        <f t="shared" si="8"/>
        <v>45205.579999999994</v>
      </c>
      <c r="Y37" s="1921">
        <f t="shared" si="9"/>
        <v>90411.159999999989</v>
      </c>
      <c r="Z37" s="2957">
        <v>0.23</v>
      </c>
    </row>
    <row r="38" spans="1:26">
      <c r="A38" s="1852" t="s">
        <v>5</v>
      </c>
      <c r="C38" s="1876"/>
      <c r="D38" s="1971"/>
      <c r="E38" s="1988"/>
      <c r="F38" s="1879">
        <f t="shared" si="12"/>
        <v>0</v>
      </c>
      <c r="H38" s="1922" t="s">
        <v>1169</v>
      </c>
      <c r="I38" s="2658">
        <v>6.99</v>
      </c>
      <c r="J38" s="1932" t="s">
        <v>120</v>
      </c>
      <c r="K38" s="1922" t="s">
        <v>1067</v>
      </c>
      <c r="L38" s="1929">
        <v>18.510000000000002</v>
      </c>
      <c r="M38" s="1929">
        <v>2.78</v>
      </c>
      <c r="N38" s="1923">
        <v>1.7988248897979137E-2</v>
      </c>
      <c r="O38" s="1922">
        <v>30</v>
      </c>
      <c r="P38" s="1925" t="s">
        <v>1069</v>
      </c>
      <c r="Q38" s="1928">
        <v>8290</v>
      </c>
      <c r="R38" s="1928">
        <v>8290</v>
      </c>
      <c r="S38" s="1931">
        <f t="shared" ref="S38:S46" si="13">SUM(Q38:R38)</f>
        <v>16580</v>
      </c>
      <c r="T38" s="1931">
        <f t="shared" ref="T38:T46" si="14">Q38*I38</f>
        <v>57947.1</v>
      </c>
      <c r="U38" s="1931">
        <f t="shared" ref="U38:U46" si="15">R38*I38</f>
        <v>57947.1</v>
      </c>
      <c r="V38" s="1931">
        <f t="shared" ref="V38:V46" si="16">SUM(T38:U38)</f>
        <v>115894.2</v>
      </c>
      <c r="W38" s="1921">
        <f t="shared" ref="W38:W46" si="17">Q38*M38</f>
        <v>23046.199999999997</v>
      </c>
      <c r="X38" s="1921">
        <f t="shared" ref="X38:X46" si="18">R38*M38</f>
        <v>23046.199999999997</v>
      </c>
      <c r="Y38" s="1921">
        <f t="shared" ref="Y38:Y46" si="19">SUM(W38:X38)</f>
        <v>46092.399999999994</v>
      </c>
      <c r="Z38" s="2957">
        <v>0.1</v>
      </c>
    </row>
    <row r="39" spans="1:26">
      <c r="C39" s="1952"/>
      <c r="D39" s="1958"/>
      <c r="E39" s="1955"/>
      <c r="F39" s="1958"/>
      <c r="H39" s="1922" t="s">
        <v>1170</v>
      </c>
      <c r="I39" s="2658">
        <v>8.92</v>
      </c>
      <c r="J39" s="1932" t="s">
        <v>120</v>
      </c>
      <c r="K39" s="1922" t="s">
        <v>1067</v>
      </c>
      <c r="L39" s="1929">
        <v>18.510000000000002</v>
      </c>
      <c r="M39" s="1929">
        <v>2.78</v>
      </c>
      <c r="N39" s="1923">
        <v>5.7149269998465695E-2</v>
      </c>
      <c r="O39" s="1922">
        <v>30</v>
      </c>
      <c r="P39" s="1925" t="s">
        <v>1069</v>
      </c>
      <c r="Q39" s="1928">
        <v>20639</v>
      </c>
      <c r="R39" s="1928">
        <v>20639</v>
      </c>
      <c r="S39" s="1931">
        <f t="shared" si="13"/>
        <v>41278</v>
      </c>
      <c r="T39" s="1931">
        <f t="shared" si="14"/>
        <v>184099.88</v>
      </c>
      <c r="U39" s="1931">
        <f t="shared" si="15"/>
        <v>184099.88</v>
      </c>
      <c r="V39" s="1931">
        <f t="shared" si="16"/>
        <v>368199.76</v>
      </c>
      <c r="W39" s="1921">
        <f t="shared" si="17"/>
        <v>57376.42</v>
      </c>
      <c r="X39" s="1921">
        <f t="shared" si="18"/>
        <v>57376.42</v>
      </c>
      <c r="Y39" s="1921">
        <f t="shared" si="19"/>
        <v>114752.84</v>
      </c>
      <c r="Z39" s="2957">
        <v>0.13</v>
      </c>
    </row>
    <row r="40" spans="1:26">
      <c r="C40" s="2106" t="s">
        <v>506</v>
      </c>
      <c r="D40" s="1911">
        <f>SUM(D41:D44)</f>
        <v>5302</v>
      </c>
      <c r="E40" s="1926">
        <f>SUM(E41:E44)</f>
        <v>5302</v>
      </c>
      <c r="F40" s="2157">
        <f>D40+E40</f>
        <v>10604</v>
      </c>
      <c r="H40" s="1922" t="s">
        <v>1171</v>
      </c>
      <c r="I40" s="2658">
        <v>78</v>
      </c>
      <c r="J40" s="1932" t="s">
        <v>120</v>
      </c>
      <c r="K40" s="1922" t="s">
        <v>909</v>
      </c>
      <c r="L40" s="1929">
        <v>332.27</v>
      </c>
      <c r="M40" s="1929">
        <v>100</v>
      </c>
      <c r="N40" s="1923" t="s">
        <v>241</v>
      </c>
      <c r="O40" s="1922">
        <v>20</v>
      </c>
      <c r="P40" s="1925" t="s">
        <v>1069</v>
      </c>
      <c r="Q40" s="1928"/>
      <c r="R40" s="1928"/>
      <c r="S40" s="1931">
        <f t="shared" si="13"/>
        <v>0</v>
      </c>
      <c r="T40" s="1931">
        <f t="shared" si="14"/>
        <v>0</v>
      </c>
      <c r="U40" s="1931">
        <f t="shared" si="15"/>
        <v>0</v>
      </c>
      <c r="V40" s="1931">
        <f t="shared" si="16"/>
        <v>0</v>
      </c>
      <c r="W40" s="1921">
        <f t="shared" si="17"/>
        <v>0</v>
      </c>
      <c r="X40" s="1921">
        <f t="shared" si="18"/>
        <v>0</v>
      </c>
      <c r="Y40" s="1921">
        <f t="shared" si="19"/>
        <v>0</v>
      </c>
      <c r="Z40" s="2957">
        <v>0</v>
      </c>
    </row>
    <row r="41" spans="1:26">
      <c r="C41" s="2197" t="s">
        <v>1087</v>
      </c>
      <c r="D41" s="1971">
        <v>2302</v>
      </c>
      <c r="E41" s="1988">
        <v>2302</v>
      </c>
      <c r="F41" s="1879">
        <f t="shared" ref="F41:F44" si="20">SUM(D41:E41)</f>
        <v>4604</v>
      </c>
      <c r="H41" s="1922" t="s">
        <v>1172</v>
      </c>
      <c r="I41" s="2658">
        <v>0.14000000000000001</v>
      </c>
      <c r="J41" s="1932" t="s">
        <v>120</v>
      </c>
      <c r="K41" s="1922" t="s">
        <v>1067</v>
      </c>
      <c r="L41" s="1929">
        <v>0.2</v>
      </c>
      <c r="M41" s="1929">
        <v>0.09</v>
      </c>
      <c r="N41" s="1923">
        <v>1.7701552460155371E-2</v>
      </c>
      <c r="O41" s="1922">
        <v>30</v>
      </c>
      <c r="P41" s="1925" t="s">
        <v>1069</v>
      </c>
      <c r="Q41" s="1928">
        <v>407311</v>
      </c>
      <c r="R41" s="1928">
        <v>407311</v>
      </c>
      <c r="S41" s="1931">
        <f t="shared" si="13"/>
        <v>814622</v>
      </c>
      <c r="T41" s="1931">
        <f t="shared" si="14"/>
        <v>57023.540000000008</v>
      </c>
      <c r="U41" s="1931">
        <f t="shared" si="15"/>
        <v>57023.540000000008</v>
      </c>
      <c r="V41" s="1931">
        <f t="shared" si="16"/>
        <v>114047.08000000002</v>
      </c>
      <c r="W41" s="1921">
        <f t="shared" si="17"/>
        <v>36657.99</v>
      </c>
      <c r="X41" s="1921">
        <f t="shared" si="18"/>
        <v>36657.99</v>
      </c>
      <c r="Y41" s="1921">
        <f t="shared" si="19"/>
        <v>73315.98</v>
      </c>
      <c r="Z41" s="2957">
        <v>0</v>
      </c>
    </row>
    <row r="42" spans="1:26">
      <c r="C42" s="2197" t="s">
        <v>1146</v>
      </c>
      <c r="D42" s="1971">
        <v>3000</v>
      </c>
      <c r="E42" s="1988">
        <v>3000</v>
      </c>
      <c r="F42" s="1879">
        <f t="shared" si="20"/>
        <v>6000</v>
      </c>
      <c r="H42" s="1922" t="s">
        <v>1173</v>
      </c>
      <c r="I42" s="2658">
        <v>81</v>
      </c>
      <c r="J42" s="1932" t="s">
        <v>120</v>
      </c>
      <c r="K42" s="1922" t="s">
        <v>909</v>
      </c>
      <c r="L42" s="1929">
        <v>250</v>
      </c>
      <c r="M42" s="1929">
        <v>150</v>
      </c>
      <c r="N42" s="1923">
        <v>6.2861133720941605E-3</v>
      </c>
      <c r="O42" s="1922">
        <v>10</v>
      </c>
      <c r="P42" s="1925" t="s">
        <v>952</v>
      </c>
      <c r="Q42" s="1928">
        <v>250</v>
      </c>
      <c r="R42" s="1928">
        <v>250</v>
      </c>
      <c r="S42" s="1931">
        <f t="shared" si="13"/>
        <v>500</v>
      </c>
      <c r="T42" s="1931">
        <f t="shared" si="14"/>
        <v>20250</v>
      </c>
      <c r="U42" s="1931">
        <f t="shared" si="15"/>
        <v>20250</v>
      </c>
      <c r="V42" s="1931">
        <f t="shared" si="16"/>
        <v>40500</v>
      </c>
      <c r="W42" s="1921">
        <f t="shared" si="17"/>
        <v>37500</v>
      </c>
      <c r="X42" s="1921">
        <f t="shared" si="18"/>
        <v>37500</v>
      </c>
      <c r="Y42" s="1921">
        <f t="shared" si="19"/>
        <v>75000</v>
      </c>
      <c r="Z42" s="2957">
        <v>0</v>
      </c>
    </row>
    <row r="43" spans="1:26">
      <c r="C43" s="1876"/>
      <c r="D43" s="1971"/>
      <c r="E43" s="1988"/>
      <c r="F43" s="1879">
        <f t="shared" si="20"/>
        <v>0</v>
      </c>
      <c r="H43" s="1922" t="s">
        <v>1686</v>
      </c>
      <c r="I43" s="2658">
        <v>1859</v>
      </c>
      <c r="J43" s="1932" t="s">
        <v>120</v>
      </c>
      <c r="K43" s="1922" t="s">
        <v>966</v>
      </c>
      <c r="L43" s="1929">
        <v>1000</v>
      </c>
      <c r="M43" s="1929">
        <v>750</v>
      </c>
      <c r="N43" s="1923">
        <v>8.6562109323874398E-2</v>
      </c>
      <c r="O43" s="1922">
        <v>20</v>
      </c>
      <c r="P43" s="1925" t="s">
        <v>1069</v>
      </c>
      <c r="Q43" s="1928">
        <v>150</v>
      </c>
      <c r="R43" s="1928">
        <v>150</v>
      </c>
      <c r="S43" s="1931">
        <f t="shared" si="13"/>
        <v>300</v>
      </c>
      <c r="T43" s="1931">
        <f t="shared" si="14"/>
        <v>278850</v>
      </c>
      <c r="U43" s="1931">
        <f t="shared" si="15"/>
        <v>278850</v>
      </c>
      <c r="V43" s="1931">
        <f t="shared" si="16"/>
        <v>557700</v>
      </c>
      <c r="W43" s="1921">
        <f t="shared" si="17"/>
        <v>112500</v>
      </c>
      <c r="X43" s="1921">
        <f t="shared" si="18"/>
        <v>112500</v>
      </c>
      <c r="Y43" s="1921">
        <f t="shared" si="19"/>
        <v>225000</v>
      </c>
      <c r="Z43" s="2957">
        <v>11</v>
      </c>
    </row>
    <row r="44" spans="1:26">
      <c r="C44" s="1876"/>
      <c r="D44" s="1971"/>
      <c r="E44" s="1988"/>
      <c r="F44" s="1879">
        <f t="shared" si="20"/>
        <v>0</v>
      </c>
      <c r="H44" s="1922" t="s">
        <v>1174</v>
      </c>
      <c r="I44" s="2658">
        <v>4.57</v>
      </c>
      <c r="J44" s="1932" t="s">
        <v>120</v>
      </c>
      <c r="K44" s="1922" t="s">
        <v>1067</v>
      </c>
      <c r="L44" s="1929">
        <v>8.94</v>
      </c>
      <c r="M44" s="1929">
        <v>2.78</v>
      </c>
      <c r="N44" s="1923">
        <v>4.9042518147109082E-3</v>
      </c>
      <c r="O44" s="1922">
        <v>20</v>
      </c>
      <c r="P44" s="1925" t="s">
        <v>1069</v>
      </c>
      <c r="Q44" s="1928">
        <v>3457</v>
      </c>
      <c r="R44" s="1928">
        <v>3457</v>
      </c>
      <c r="S44" s="1931">
        <f t="shared" si="13"/>
        <v>6914</v>
      </c>
      <c r="T44" s="1931">
        <f t="shared" si="14"/>
        <v>15798.490000000002</v>
      </c>
      <c r="U44" s="1931">
        <f t="shared" si="15"/>
        <v>15798.490000000002</v>
      </c>
      <c r="V44" s="1931">
        <f t="shared" si="16"/>
        <v>31596.980000000003</v>
      </c>
      <c r="W44" s="1921">
        <f t="shared" si="17"/>
        <v>9610.4599999999991</v>
      </c>
      <c r="X44" s="1921">
        <f t="shared" si="18"/>
        <v>9610.4599999999991</v>
      </c>
      <c r="Y44" s="1921">
        <f t="shared" si="19"/>
        <v>19220.919999999998</v>
      </c>
      <c r="Z44" s="2957">
        <v>7.0000000000000007E-2</v>
      </c>
    </row>
    <row r="45" spans="1:26">
      <c r="C45" s="1952"/>
      <c r="D45" s="1958"/>
      <c r="E45" s="1955"/>
      <c r="F45" s="1958"/>
      <c r="H45" s="1922" t="s">
        <v>1175</v>
      </c>
      <c r="I45" s="2658">
        <v>2.4300000000000002</v>
      </c>
      <c r="J45" s="1932" t="s">
        <v>120</v>
      </c>
      <c r="K45" s="1922" t="s">
        <v>1067</v>
      </c>
      <c r="L45" s="1929">
        <v>8.94</v>
      </c>
      <c r="M45" s="1929">
        <v>2.78</v>
      </c>
      <c r="N45" s="1923">
        <v>2.1770067830236498E-3</v>
      </c>
      <c r="O45" s="1922">
        <v>20</v>
      </c>
      <c r="P45" s="1925" t="s">
        <v>1069</v>
      </c>
      <c r="Q45" s="1928">
        <v>2886</v>
      </c>
      <c r="R45" s="1928">
        <v>2886</v>
      </c>
      <c r="S45" s="1931">
        <f t="shared" si="13"/>
        <v>5772</v>
      </c>
      <c r="T45" s="1931">
        <f t="shared" si="14"/>
        <v>7012.9800000000005</v>
      </c>
      <c r="U45" s="1931">
        <f t="shared" si="15"/>
        <v>7012.9800000000005</v>
      </c>
      <c r="V45" s="1931">
        <f t="shared" si="16"/>
        <v>14025.960000000001</v>
      </c>
      <c r="W45" s="1921">
        <f t="shared" si="17"/>
        <v>8023.079999999999</v>
      </c>
      <c r="X45" s="1921">
        <f t="shared" si="18"/>
        <v>8023.079999999999</v>
      </c>
      <c r="Y45" s="1921">
        <f t="shared" si="19"/>
        <v>16046.159999999998</v>
      </c>
      <c r="Z45" s="2957">
        <v>0.04</v>
      </c>
    </row>
    <row r="46" spans="1:26">
      <c r="C46" s="1910" t="s">
        <v>50</v>
      </c>
      <c r="D46" s="1911">
        <f>SUM(D47:D50)</f>
        <v>85000</v>
      </c>
      <c r="E46" s="1926">
        <f>SUM(E47:E50)</f>
        <v>85000</v>
      </c>
      <c r="F46" s="2157">
        <f>D46+E46</f>
        <v>170000</v>
      </c>
      <c r="H46" s="1922" t="s">
        <v>1176</v>
      </c>
      <c r="I46" s="2658">
        <v>4.4000000000000004</v>
      </c>
      <c r="J46" s="1932" t="s">
        <v>120</v>
      </c>
      <c r="K46" s="1922" t="s">
        <v>1067</v>
      </c>
      <c r="L46" s="1929">
        <v>8.94</v>
      </c>
      <c r="M46" s="1929">
        <v>2.78</v>
      </c>
      <c r="N46" s="1923">
        <v>6.8047720497284789E-3</v>
      </c>
      <c r="O46" s="1922">
        <v>20</v>
      </c>
      <c r="P46" s="1925" t="s">
        <v>1069</v>
      </c>
      <c r="Q46" s="1928">
        <v>4982</v>
      </c>
      <c r="R46" s="1928">
        <v>4982</v>
      </c>
      <c r="S46" s="1931">
        <f t="shared" si="13"/>
        <v>9964</v>
      </c>
      <c r="T46" s="1931">
        <f t="shared" si="14"/>
        <v>21920.800000000003</v>
      </c>
      <c r="U46" s="1931">
        <f t="shared" si="15"/>
        <v>21920.800000000003</v>
      </c>
      <c r="V46" s="1931">
        <f t="shared" si="16"/>
        <v>43841.600000000006</v>
      </c>
      <c r="W46" s="1921">
        <f t="shared" si="17"/>
        <v>13849.96</v>
      </c>
      <c r="X46" s="1921">
        <f t="shared" si="18"/>
        <v>13849.96</v>
      </c>
      <c r="Y46" s="1921">
        <f t="shared" si="19"/>
        <v>27699.919999999998</v>
      </c>
      <c r="Z46" s="2957">
        <v>7.0000000000000007E-2</v>
      </c>
    </row>
    <row r="47" spans="1:26">
      <c r="C47" s="2197" t="s">
        <v>569</v>
      </c>
      <c r="D47" s="1971">
        <v>85000</v>
      </c>
      <c r="E47" s="1988">
        <v>85000</v>
      </c>
      <c r="F47" s="1879">
        <f t="shared" ref="F47:F50" si="21">SUM(D47:E47)</f>
        <v>170000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1685</v>
      </c>
      <c r="D48" s="1971"/>
      <c r="E48" s="1988"/>
      <c r="F48" s="1879">
        <f t="shared" si="2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22">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23">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303</v>
      </c>
      <c r="C64" s="1910" t="s">
        <v>53</v>
      </c>
      <c r="D64" s="1911">
        <f>W15</f>
        <v>907047.99999999988</v>
      </c>
      <c r="E64" s="1926">
        <f>X15</f>
        <v>907047.99999999988</v>
      </c>
      <c r="F64" s="1924">
        <f>D64+E64</f>
        <v>1814095.9999999998</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0.70942151752620486</v>
      </c>
      <c r="E65" s="2616">
        <f>E64/E12</f>
        <v>0.70703718164619</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18230627</v>
      </c>
      <c r="C67" s="1959" t="s">
        <v>54</v>
      </c>
      <c r="D67" s="1971">
        <v>0</v>
      </c>
      <c r="E67" s="1971">
        <v>0</v>
      </c>
      <c r="F67" s="1956">
        <v>0</v>
      </c>
    </row>
    <row r="68" spans="1:26">
      <c r="A68" s="1852" t="s">
        <v>5</v>
      </c>
    </row>
  </sheetData>
  <customSheetViews>
    <customSheetView guid="{074EB09C-6289-46D7-9513-012B68BCA7BF}" showGridLines="0">
      <pane xSplit="1" ySplit="1" topLeftCell="B14" activePane="bottomRight" state="frozen"/>
      <selection pane="bottomRight"/>
      <pageMargins left="0.18" right="0.28999999999999998" top="0.4" bottom="0.37" header="0.3" footer="0.3"/>
      <pageSetup paperSize="17" scale="48" orientation="landscape" r:id="rId1"/>
    </customSheetView>
    <customSheetView guid="{D9EFFE19-D14B-4C6F-BDF4-FF696F73968D}" showGridLines="0">
      <pane xSplit="1" ySplit="1" topLeftCell="B5" activePane="bottomRight" state="frozen"/>
      <selection pane="bottomRight" activeCell="B7" sqref="B7"/>
      <pageMargins left="0.18" right="0.28999999999999998" top="0.4" bottom="0.37" header="0.3" footer="0.3"/>
      <pageSetup paperSize="17" scale="48" orientation="landscape" r:id="rId2"/>
    </customSheetView>
  </customSheetViews>
  <mergeCells count="8">
    <mergeCell ref="H12:P12"/>
    <mergeCell ref="Q12:S12"/>
    <mergeCell ref="T12:V12"/>
    <mergeCell ref="W12:Y12"/>
    <mergeCell ref="R2:S2"/>
    <mergeCell ref="T2:V2"/>
    <mergeCell ref="W2:W3"/>
    <mergeCell ref="H10:P10"/>
  </mergeCells>
  <pageMargins left="0.18" right="0.28999999999999998" top="0.4" bottom="0.37" header="0.3" footer="0.3"/>
  <pageSetup paperSize="17" scale="48" orientation="landscape" r:id="rId3"/>
  <ignoredErrors>
    <ignoredError sqref="R7"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14"/>
  <sheetViews>
    <sheetView showGridLines="0" workbookViewId="0">
      <pane xSplit="2" ySplit="2" topLeftCell="C3" activePane="bottomRight" state="frozen"/>
      <selection pane="topRight" activeCell="C1" sqref="C1"/>
      <selection pane="bottomLeft" activeCell="A3" sqref="A3"/>
      <selection pane="bottomRight" activeCell="E5" sqref="E5"/>
    </sheetView>
  </sheetViews>
  <sheetFormatPr defaultRowHeight="12.75"/>
  <cols>
    <col min="1" max="1" width="2.7109375" customWidth="1"/>
    <col min="2" max="2" width="20.7109375" customWidth="1"/>
    <col min="3" max="3" width="99.5703125" style="704" customWidth="1"/>
  </cols>
  <sheetData>
    <row r="1" spans="2:4" ht="18">
      <c r="B1" s="709" t="s">
        <v>503</v>
      </c>
      <c r="C1" s="707"/>
      <c r="D1" s="708"/>
    </row>
    <row r="2" spans="2:4" ht="18">
      <c r="B2" s="709"/>
      <c r="C2" s="707"/>
      <c r="D2" s="708"/>
    </row>
    <row r="3" spans="2:4" s="2308" customFormat="1" ht="114.75" customHeight="1">
      <c r="B3" s="2305" t="s">
        <v>219</v>
      </c>
      <c r="C3" s="2306" t="s">
        <v>518</v>
      </c>
      <c r="D3" s="2307"/>
    </row>
    <row r="4" spans="2:4" ht="64.5" customHeight="1">
      <c r="B4" s="711" t="s">
        <v>220</v>
      </c>
      <c r="C4" s="706" t="s">
        <v>221</v>
      </c>
      <c r="D4" s="710"/>
    </row>
    <row r="5" spans="2:4" ht="54" customHeight="1">
      <c r="B5" s="711" t="s">
        <v>222</v>
      </c>
      <c r="C5" s="2303" t="s">
        <v>496</v>
      </c>
      <c r="D5" s="710"/>
    </row>
    <row r="6" spans="2:4" ht="36" customHeight="1">
      <c r="B6" s="711" t="s">
        <v>9</v>
      </c>
      <c r="C6" s="2303" t="s">
        <v>494</v>
      </c>
      <c r="D6" s="710"/>
    </row>
    <row r="7" spans="2:4" ht="43.5" customHeight="1">
      <c r="B7" s="711" t="s">
        <v>87</v>
      </c>
      <c r="C7" s="2302" t="s">
        <v>497</v>
      </c>
      <c r="D7" s="1500"/>
    </row>
    <row r="8" spans="2:4" ht="42.75" customHeight="1">
      <c r="B8" s="711" t="s">
        <v>11</v>
      </c>
      <c r="C8" s="2303" t="s">
        <v>495</v>
      </c>
      <c r="D8" s="710"/>
    </row>
    <row r="9" spans="2:4" ht="52.5" customHeight="1">
      <c r="B9" s="712" t="s">
        <v>504</v>
      </c>
      <c r="C9" s="2304" t="s">
        <v>498</v>
      </c>
      <c r="D9" s="1500"/>
    </row>
    <row r="10" spans="2:4" ht="54.75" customHeight="1">
      <c r="B10" s="711" t="s">
        <v>12</v>
      </c>
      <c r="C10" s="2303" t="s">
        <v>499</v>
      </c>
      <c r="D10" s="710"/>
    </row>
    <row r="11" spans="2:4" ht="36.75" customHeight="1">
      <c r="B11" s="711" t="s">
        <v>13</v>
      </c>
      <c r="C11" s="2303" t="s">
        <v>500</v>
      </c>
      <c r="D11" s="710"/>
    </row>
    <row r="12" spans="2:4" ht="69" customHeight="1">
      <c r="B12" s="711" t="s">
        <v>14</v>
      </c>
      <c r="C12" s="2303" t="s">
        <v>501</v>
      </c>
      <c r="D12" s="710"/>
    </row>
    <row r="13" spans="2:4" ht="51.75" customHeight="1">
      <c r="B13" s="711" t="s">
        <v>15</v>
      </c>
      <c r="C13" s="2303" t="s">
        <v>619</v>
      </c>
      <c r="D13" s="710"/>
    </row>
    <row r="14" spans="2:4" ht="36.75" customHeight="1">
      <c r="B14" s="711" t="s">
        <v>223</v>
      </c>
      <c r="C14" s="705" t="s">
        <v>218</v>
      </c>
    </row>
  </sheetData>
  <customSheetViews>
    <customSheetView guid="{074EB09C-6289-46D7-9513-012B68BCA7BF}" showGridLines="0">
      <pane xSplit="2" ySplit="2" topLeftCell="C3" activePane="bottomRight" state="frozen"/>
      <selection pane="bottomRight" activeCell="E5" sqref="E5"/>
      <pageMargins left="0.26" right="0.17" top="0.75" bottom="0.75" header="0.3" footer="0.3"/>
      <pageSetup scale="80" orientation="portrait" r:id="rId1"/>
    </customSheetView>
    <customSheetView guid="{D9EFFE19-D14B-4C6F-BDF4-FF696F73968D}" showGridLines="0">
      <pane xSplit="2" ySplit="2" topLeftCell="C3" activePane="bottomRight" state="frozen"/>
      <selection pane="bottomRight"/>
      <pageMargins left="0.26" right="0.17" top="0.75" bottom="0.75" header="0.3" footer="0.3"/>
      <pageSetup scale="80" orientation="portrait" r:id="rId2"/>
    </customSheetView>
  </customSheetViews>
  <pageMargins left="0.26" right="0.17" top="0.75" bottom="0.75" header="0.3" footer="0.3"/>
  <pageSetup scale="80"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Z68"/>
  <sheetViews>
    <sheetView showGridLines="0" workbookViewId="0">
      <pane xSplit="1" ySplit="1" topLeftCell="G2" activePane="bottomRight" state="frozen"/>
      <selection pane="topRight" activeCell="B1" sqref="B1"/>
      <selection pane="bottomLeft" activeCell="A2" sqref="A2"/>
      <selection pane="bottomRight" activeCell="A9" sqref="A9"/>
    </sheetView>
  </sheetViews>
  <sheetFormatPr defaultRowHeight="12.75"/>
  <cols>
    <col min="1" max="1" width="18.28515625" style="1164" customWidth="1"/>
    <col min="2" max="2" width="16" style="1866" customWidth="1"/>
    <col min="3" max="3" width="28" customWidth="1"/>
    <col min="4" max="4" width="20.85546875" customWidth="1"/>
    <col min="5" max="5" width="18.5703125" style="9" customWidth="1"/>
    <col min="6" max="6" width="17.28515625" customWidth="1"/>
    <col min="7" max="7" width="16.7109375" customWidth="1"/>
    <col min="8" max="8" width="55.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20.5703125" bestFit="1" customWidth="1"/>
    <col min="22" max="22" width="16.42578125" bestFit="1" customWidth="1"/>
    <col min="23" max="23" width="16.28515625" customWidth="1"/>
    <col min="24" max="24" width="14.5703125" customWidth="1"/>
    <col min="25" max="25" width="16.5703125" customWidth="1"/>
    <col min="26" max="26" width="12.5703125" bestFit="1" customWidth="1"/>
    <col min="249" max="249" width="24" bestFit="1" customWidth="1"/>
    <col min="250" max="250" width="45.7109375" bestFit="1" customWidth="1"/>
    <col min="251" max="251" width="19.7109375" bestFit="1" customWidth="1"/>
    <col min="252" max="252" width="17.140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7.140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7.140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7.140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7.140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7.140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7.140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7.140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7.140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7.140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7.140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7.140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7.140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7.140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7.140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7.140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7.140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7.140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7.140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7.140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7.140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7.140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7.140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7.140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7.140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7.140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7.140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7.140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7.140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7.140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7.140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7.140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7.140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7.140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7.140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7.140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7.140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7.140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7.140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7.140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7.140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7.140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7.140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7.140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7.140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7.140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7.140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7.140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7.140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7.140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7.140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7.140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7.140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7.140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7.140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7.140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7.140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7.140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7.140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7.140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7.140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7.140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7.140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53" t="s">
        <v>302</v>
      </c>
      <c r="D1" s="1812" t="s">
        <v>291</v>
      </c>
      <c r="E1" s="1853" t="s">
        <v>6</v>
      </c>
      <c r="F1" s="1853">
        <v>18230628</v>
      </c>
      <c r="G1" s="1853" t="s">
        <v>5</v>
      </c>
      <c r="J1" s="1812"/>
      <c r="K1" s="1812"/>
      <c r="L1" s="1812"/>
      <c r="M1" s="1853" t="s">
        <v>302</v>
      </c>
      <c r="N1" s="1812" t="s">
        <v>291</v>
      </c>
      <c r="O1" s="1853" t="s">
        <v>6</v>
      </c>
      <c r="P1" s="1853">
        <v>18230628</v>
      </c>
      <c r="Q1" s="1853" t="s">
        <v>5</v>
      </c>
      <c r="U1" s="1853" t="s">
        <v>302</v>
      </c>
      <c r="V1" s="1812" t="s">
        <v>291</v>
      </c>
      <c r="W1" s="1853" t="s">
        <v>6</v>
      </c>
      <c r="X1" s="1853">
        <v>18230628</v>
      </c>
      <c r="Y1" s="1853" t="s">
        <v>5</v>
      </c>
    </row>
    <row r="2" spans="1:26" ht="16.5" thickBot="1">
      <c r="C2" s="45"/>
      <c r="D2" s="46"/>
      <c r="H2" s="1576" t="s">
        <v>674</v>
      </c>
      <c r="R2" s="3596"/>
      <c r="S2" s="3596"/>
      <c r="T2" s="3597" t="s">
        <v>36</v>
      </c>
      <c r="U2" s="3598"/>
      <c r="V2" s="3599"/>
      <c r="W2" s="3594" t="s">
        <v>37</v>
      </c>
    </row>
    <row r="3" spans="1:26" ht="26.25" thickBot="1">
      <c r="A3" s="1852" t="s">
        <v>302</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53461</v>
      </c>
      <c r="I4" s="2002">
        <v>22134</v>
      </c>
      <c r="J4" s="2002">
        <v>53446</v>
      </c>
      <c r="K4" s="2002">
        <v>222000</v>
      </c>
      <c r="L4" s="2002">
        <v>7200</v>
      </c>
      <c r="M4" s="2002">
        <v>28000</v>
      </c>
      <c r="N4" s="2002">
        <v>17200</v>
      </c>
      <c r="O4" s="2002">
        <v>28200</v>
      </c>
      <c r="P4" s="2002">
        <v>3630000</v>
      </c>
      <c r="Q4" s="2002">
        <v>0</v>
      </c>
      <c r="R4" s="2000">
        <v>4061640</v>
      </c>
      <c r="S4" s="1998" t="s">
        <v>672</v>
      </c>
      <c r="T4" s="65">
        <f>P4/R4</f>
        <v>0.8937276568085798</v>
      </c>
      <c r="U4" s="65">
        <f>(K4+(I4*1.63))/R4</f>
        <v>6.3540446716104815E-2</v>
      </c>
      <c r="V4" s="65">
        <f>M4/R4</f>
        <v>6.8937670497631496E-3</v>
      </c>
      <c r="W4" s="52" t="e">
        <f>R4/S4</f>
        <v>#VALUE!</v>
      </c>
    </row>
    <row r="5" spans="1:26" ht="16.5" thickBot="1">
      <c r="A5" s="1852" t="s">
        <v>6</v>
      </c>
      <c r="B5" s="1852"/>
      <c r="C5" s="45"/>
      <c r="G5" s="1499">
        <v>2016</v>
      </c>
      <c r="H5" s="1582">
        <f>D15</f>
        <v>55386.680000000008</v>
      </c>
      <c r="I5" s="1549">
        <f>D21</f>
        <v>22011</v>
      </c>
      <c r="J5" s="1549">
        <f>D27</f>
        <v>51624.252560000008</v>
      </c>
      <c r="K5" s="1549">
        <f>D34</f>
        <v>228000</v>
      </c>
      <c r="L5" s="1549">
        <f>D40</f>
        <v>7200</v>
      </c>
      <c r="M5" s="1549">
        <f>D46</f>
        <v>0</v>
      </c>
      <c r="N5" s="1549">
        <f>D52</f>
        <v>17200</v>
      </c>
      <c r="O5" s="1549">
        <f>D58</f>
        <v>4000</v>
      </c>
      <c r="P5" s="1549">
        <f>D64</f>
        <v>3722000</v>
      </c>
      <c r="Q5" s="1549">
        <f>D67</f>
        <v>0</v>
      </c>
      <c r="R5" s="2001">
        <f>SUM(H5:Q5)</f>
        <v>4107421.9325600001</v>
      </c>
      <c r="S5" s="1999">
        <f>T15</f>
        <v>7283690</v>
      </c>
      <c r="T5" s="66">
        <f>P5/R5</f>
        <v>0.90616451416770294</v>
      </c>
      <c r="U5" s="66">
        <f>(K5+(I5*1.63))/R5</f>
        <v>6.4244174163898202E-2</v>
      </c>
      <c r="V5" s="66">
        <f>M5/R5</f>
        <v>0</v>
      </c>
      <c r="W5" s="56">
        <f>R5/S5</f>
        <v>0.56392047609933982</v>
      </c>
    </row>
    <row r="6" spans="1:26" ht="16.5" thickBot="1">
      <c r="A6" s="1852">
        <v>18230628</v>
      </c>
      <c r="B6" s="1852"/>
      <c r="D6" s="45"/>
      <c r="G6" s="1499">
        <v>2017</v>
      </c>
      <c r="H6" s="57">
        <f>E15</f>
        <v>56771.56</v>
      </c>
      <c r="I6" s="1990">
        <f>E21</f>
        <v>22561.274999999998</v>
      </c>
      <c r="J6" s="1989">
        <f>E27</f>
        <v>53946.327799999999</v>
      </c>
      <c r="K6" s="58">
        <f>E34</f>
        <v>228000</v>
      </c>
      <c r="L6" s="58">
        <f>E40</f>
        <v>7200</v>
      </c>
      <c r="M6" s="58">
        <f>E46</f>
        <v>0</v>
      </c>
      <c r="N6" s="58">
        <f>E52</f>
        <v>17200</v>
      </c>
      <c r="O6" s="58">
        <f>E58</f>
        <v>4000</v>
      </c>
      <c r="P6" s="58">
        <f>E64</f>
        <v>3722000</v>
      </c>
      <c r="Q6" s="58">
        <f>E67</f>
        <v>0</v>
      </c>
      <c r="R6" s="1997">
        <f>SUM(H6:Q6)</f>
        <v>4111679.1628</v>
      </c>
      <c r="S6" s="1996">
        <f>U15</f>
        <v>7283690</v>
      </c>
      <c r="T6" s="66">
        <f>P6/R6</f>
        <v>0.90522627195098715</v>
      </c>
      <c r="U6" s="66">
        <f>(K6+(I6*1.63))/R6</f>
        <v>6.4395802241946271E-2</v>
      </c>
      <c r="V6" s="66">
        <f>M6/R6</f>
        <v>0</v>
      </c>
      <c r="W6" s="56">
        <f>R6/S6</f>
        <v>0.56450496421456708</v>
      </c>
    </row>
    <row r="7" spans="1:26" ht="16.5" thickBot="1">
      <c r="A7" s="1852" t="s">
        <v>5</v>
      </c>
      <c r="B7" s="1808"/>
      <c r="C7" s="1866"/>
      <c r="D7" s="1592"/>
      <c r="E7" s="1867"/>
      <c r="F7" s="1866"/>
      <c r="G7" s="1608" t="s">
        <v>23</v>
      </c>
      <c r="H7" s="1564">
        <f>SUM(H5:H6)</f>
        <v>112158.24</v>
      </c>
      <c r="I7" s="1991">
        <f t="shared" ref="I7:Q7" si="0">SUM(I5:I6)</f>
        <v>44572.274999999994</v>
      </c>
      <c r="J7" s="1992">
        <f t="shared" si="0"/>
        <v>105570.58036000001</v>
      </c>
      <c r="K7" s="1993">
        <f t="shared" si="0"/>
        <v>456000</v>
      </c>
      <c r="L7" s="1991">
        <f t="shared" si="0"/>
        <v>14400</v>
      </c>
      <c r="M7" s="1992">
        <f t="shared" si="0"/>
        <v>0</v>
      </c>
      <c r="N7" s="1991">
        <f t="shared" si="0"/>
        <v>34400</v>
      </c>
      <c r="O7" s="1992">
        <f t="shared" si="0"/>
        <v>8000</v>
      </c>
      <c r="P7" s="1993">
        <f t="shared" si="0"/>
        <v>7444000</v>
      </c>
      <c r="Q7" s="1991">
        <f t="shared" si="0"/>
        <v>0</v>
      </c>
      <c r="R7" s="1993">
        <f>SUM(H7:Q7)</f>
        <v>8219101.0953599997</v>
      </c>
      <c r="S7" s="1994">
        <f>SUM(S5:S6)</f>
        <v>14567380</v>
      </c>
      <c r="T7" s="66">
        <f>P7/R7</f>
        <v>0.90569515006968659</v>
      </c>
      <c r="U7" s="66">
        <f>(K7+(I7*1.63))/R7</f>
        <v>6.4320027472158106E-2</v>
      </c>
      <c r="V7" s="66">
        <f>M7/R7</f>
        <v>0</v>
      </c>
      <c r="W7" s="56">
        <f>R7/S7</f>
        <v>0.56421272015695334</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4107421.9325600001</v>
      </c>
      <c r="E12" s="1948">
        <f>E15+E21+E27+E34+E40+E46+E52+E58+E64</f>
        <v>4111679.1628</v>
      </c>
      <c r="F12" s="1924">
        <f>D12+E12</f>
        <v>8219101.0953599997</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2618" t="s">
        <v>326</v>
      </c>
      <c r="I14" s="2618" t="s">
        <v>326</v>
      </c>
      <c r="J14" s="1933"/>
      <c r="K14" s="1919" t="s">
        <v>326</v>
      </c>
      <c r="L14" s="2618" t="s">
        <v>326</v>
      </c>
      <c r="M14" s="2618" t="s">
        <v>326</v>
      </c>
      <c r="N14" s="2618" t="s">
        <v>326</v>
      </c>
      <c r="O14" s="1919" t="s">
        <v>326</v>
      </c>
      <c r="P14" s="1919" t="s">
        <v>326</v>
      </c>
      <c r="Q14" s="2618" t="s">
        <v>326</v>
      </c>
      <c r="R14" s="2618" t="s">
        <v>326</v>
      </c>
      <c r="S14" s="2623"/>
      <c r="T14" s="2625"/>
      <c r="U14" s="2625"/>
      <c r="V14" s="2625"/>
      <c r="W14" s="2626"/>
      <c r="X14" s="2626"/>
      <c r="Y14" s="2626"/>
      <c r="Z14" s="2618" t="s">
        <v>326</v>
      </c>
    </row>
    <row r="15" spans="1:26">
      <c r="B15" s="1886" t="s">
        <v>312</v>
      </c>
      <c r="C15" s="1910" t="s">
        <v>46</v>
      </c>
      <c r="D15" s="1911">
        <f>SUM(D16:D19)</f>
        <v>55386.680000000008</v>
      </c>
      <c r="E15" s="1926">
        <f>SUM(E16:E19)</f>
        <v>56771.56</v>
      </c>
      <c r="F15" s="1924">
        <f>D15+E15</f>
        <v>112158.24</v>
      </c>
      <c r="H15" s="2617" t="s">
        <v>327</v>
      </c>
      <c r="I15" s="2619"/>
      <c r="J15" s="1939"/>
      <c r="K15" s="1940"/>
      <c r="L15" s="2620">
        <f>SUMPRODUCT(L16:L23,S16:S23)</f>
        <v>17109420</v>
      </c>
      <c r="M15" s="2620">
        <f>SUM(M16:M23)</f>
        <v>6850</v>
      </c>
      <c r="N15" s="2621">
        <f>SUM(N16:N65)</f>
        <v>0.92262404549428711</v>
      </c>
      <c r="O15" s="1940" t="s">
        <v>328</v>
      </c>
      <c r="P15" s="1940"/>
      <c r="Q15" s="2622"/>
      <c r="R15" s="2622"/>
      <c r="S15" s="2622"/>
      <c r="T15" s="2624">
        <f t="shared" ref="T15:Y15" si="1">SUM(T16:T65)</f>
        <v>7283690</v>
      </c>
      <c r="U15" s="2624">
        <f t="shared" si="1"/>
        <v>7283690</v>
      </c>
      <c r="V15" s="2624">
        <f t="shared" si="1"/>
        <v>14567380</v>
      </c>
      <c r="W15" s="2620">
        <f t="shared" si="1"/>
        <v>3722000</v>
      </c>
      <c r="X15" s="2620">
        <f t="shared" si="1"/>
        <v>3722000</v>
      </c>
      <c r="Y15" s="2620">
        <f t="shared" si="1"/>
        <v>7444000</v>
      </c>
      <c r="Z15" s="2627">
        <v>0</v>
      </c>
    </row>
    <row r="16" spans="1:26">
      <c r="B16" s="1885">
        <v>0.1</v>
      </c>
      <c r="C16" s="2197" t="s">
        <v>791</v>
      </c>
      <c r="D16" s="1907">
        <v>9063.3000000000011</v>
      </c>
      <c r="E16" s="1906">
        <v>9289.9</v>
      </c>
      <c r="F16" s="1879">
        <f>SUM(D16:E16)</f>
        <v>18353.2</v>
      </c>
      <c r="H16" s="2543" t="s">
        <v>1133</v>
      </c>
      <c r="I16" s="2604">
        <v>2645</v>
      </c>
      <c r="J16" s="1932" t="s">
        <v>120</v>
      </c>
      <c r="K16" s="1922" t="s">
        <v>909</v>
      </c>
      <c r="L16" s="1929">
        <v>3536</v>
      </c>
      <c r="M16" s="1929">
        <v>1200</v>
      </c>
      <c r="N16" s="1923">
        <v>0.40944982327866986</v>
      </c>
      <c r="O16" s="1922">
        <v>15</v>
      </c>
      <c r="P16" s="1925" t="s">
        <v>1140</v>
      </c>
      <c r="Q16" s="1928">
        <v>1180</v>
      </c>
      <c r="R16" s="1928">
        <v>1180</v>
      </c>
      <c r="S16" s="1931">
        <f t="shared" ref="S16:S22" si="2">SUM(Q16:R16)</f>
        <v>2360</v>
      </c>
      <c r="T16" s="1931">
        <f t="shared" ref="T16:T22" si="3">Q16*I16</f>
        <v>3121100</v>
      </c>
      <c r="U16" s="1931">
        <f t="shared" ref="U16:U22" si="4">R16*I16</f>
        <v>3121100</v>
      </c>
      <c r="V16" s="1931">
        <f t="shared" ref="V16:V22" si="5">SUM(T16:U16)</f>
        <v>6242200</v>
      </c>
      <c r="W16" s="1921">
        <f t="shared" ref="W16:W22" si="6">Q16*M16</f>
        <v>1416000</v>
      </c>
      <c r="X16" s="1921">
        <f t="shared" ref="X16:X22" si="7">R16*M16</f>
        <v>1416000</v>
      </c>
      <c r="Y16" s="1921">
        <f t="shared" ref="Y16:Y22" si="8">SUM(W16:X16)</f>
        <v>2832000</v>
      </c>
      <c r="Z16" s="2972">
        <v>37.130000000000003</v>
      </c>
    </row>
    <row r="17" spans="2:26">
      <c r="B17" s="1885">
        <v>0.3125</v>
      </c>
      <c r="C17" s="1876" t="s">
        <v>792</v>
      </c>
      <c r="D17" s="1905">
        <v>31217.93</v>
      </c>
      <c r="E17" s="1904">
        <v>31998.51</v>
      </c>
      <c r="F17" s="1879">
        <f t="shared" ref="F17:F19" si="9">SUM(D17:E17)</f>
        <v>63216.44</v>
      </c>
      <c r="H17" s="2543" t="s">
        <v>1134</v>
      </c>
      <c r="I17" s="2604">
        <v>3447</v>
      </c>
      <c r="J17" s="1932" t="s">
        <v>120</v>
      </c>
      <c r="K17" s="1922" t="s">
        <v>909</v>
      </c>
      <c r="L17" s="1929">
        <v>3536</v>
      </c>
      <c r="M17" s="1929">
        <v>1200</v>
      </c>
      <c r="N17" s="1923">
        <v>0.12806413981171191</v>
      </c>
      <c r="O17" s="1922">
        <v>15</v>
      </c>
      <c r="P17" s="1925" t="s">
        <v>1140</v>
      </c>
      <c r="Q17" s="1928">
        <v>300</v>
      </c>
      <c r="R17" s="1928">
        <v>300</v>
      </c>
      <c r="S17" s="1931">
        <f t="shared" si="2"/>
        <v>600</v>
      </c>
      <c r="T17" s="1931">
        <f t="shared" si="3"/>
        <v>1034100</v>
      </c>
      <c r="U17" s="1931">
        <f t="shared" si="4"/>
        <v>1034100</v>
      </c>
      <c r="V17" s="1931">
        <f t="shared" si="5"/>
        <v>2068200</v>
      </c>
      <c r="W17" s="1921">
        <f t="shared" si="6"/>
        <v>360000</v>
      </c>
      <c r="X17" s="1921">
        <f t="shared" si="7"/>
        <v>360000</v>
      </c>
      <c r="Y17" s="1921">
        <f t="shared" si="8"/>
        <v>720000</v>
      </c>
      <c r="Z17" s="2972">
        <v>67.11</v>
      </c>
    </row>
    <row r="18" spans="2:26">
      <c r="B18" s="1885">
        <v>0.15</v>
      </c>
      <c r="C18" s="1876" t="s">
        <v>794</v>
      </c>
      <c r="D18" s="1905">
        <v>15105.45</v>
      </c>
      <c r="E18" s="1904">
        <v>15483.15</v>
      </c>
      <c r="F18" s="1879">
        <f t="shared" si="9"/>
        <v>30588.6</v>
      </c>
      <c r="H18" s="2543" t="s">
        <v>1135</v>
      </c>
      <c r="I18" s="2604">
        <v>4037</v>
      </c>
      <c r="J18" s="1932" t="s">
        <v>120</v>
      </c>
      <c r="K18" s="1922" t="s">
        <v>966</v>
      </c>
      <c r="L18" s="1929">
        <v>3889</v>
      </c>
      <c r="M18" s="1929">
        <v>1500</v>
      </c>
      <c r="N18" s="1923">
        <v>1.4998402449082708E-2</v>
      </c>
      <c r="O18" s="1922">
        <v>30</v>
      </c>
      <c r="P18" s="1925" t="s">
        <v>1140</v>
      </c>
      <c r="Q18" s="1928">
        <v>30</v>
      </c>
      <c r="R18" s="1928">
        <v>30</v>
      </c>
      <c r="S18" s="1931">
        <f t="shared" si="2"/>
        <v>60</v>
      </c>
      <c r="T18" s="1931">
        <f t="shared" si="3"/>
        <v>121110</v>
      </c>
      <c r="U18" s="1931">
        <f t="shared" si="4"/>
        <v>121110</v>
      </c>
      <c r="V18" s="1931">
        <f t="shared" si="5"/>
        <v>242220</v>
      </c>
      <c r="W18" s="1921">
        <f t="shared" si="6"/>
        <v>45000</v>
      </c>
      <c r="X18" s="1921">
        <f t="shared" si="7"/>
        <v>45000</v>
      </c>
      <c r="Y18" s="1921">
        <f t="shared" si="8"/>
        <v>90000</v>
      </c>
      <c r="Z18" s="2972">
        <v>0</v>
      </c>
    </row>
    <row r="19" spans="2:26">
      <c r="B19" s="1885"/>
      <c r="C19" s="1876"/>
      <c r="D19" s="1903"/>
      <c r="E19" s="1902"/>
      <c r="F19" s="1879">
        <f t="shared" si="9"/>
        <v>0</v>
      </c>
      <c r="H19" s="2543" t="s">
        <v>1136</v>
      </c>
      <c r="I19" s="2604">
        <v>106</v>
      </c>
      <c r="J19" s="1932" t="s">
        <v>120</v>
      </c>
      <c r="K19" s="1922" t="s">
        <v>909</v>
      </c>
      <c r="L19" s="1929">
        <v>81</v>
      </c>
      <c r="M19" s="1929">
        <v>350</v>
      </c>
      <c r="N19" s="1923">
        <v>1.1814446318573944E-2</v>
      </c>
      <c r="O19" s="1922">
        <v>15</v>
      </c>
      <c r="P19" s="1925" t="s">
        <v>1140</v>
      </c>
      <c r="Q19" s="1928">
        <v>900</v>
      </c>
      <c r="R19" s="1928">
        <v>900</v>
      </c>
      <c r="S19" s="1931">
        <f t="shared" si="2"/>
        <v>1800</v>
      </c>
      <c r="T19" s="1931">
        <f t="shared" si="3"/>
        <v>95400</v>
      </c>
      <c r="U19" s="1931">
        <f t="shared" si="4"/>
        <v>95400</v>
      </c>
      <c r="V19" s="1931">
        <f t="shared" si="5"/>
        <v>190800</v>
      </c>
      <c r="W19" s="1921">
        <f t="shared" si="6"/>
        <v>315000</v>
      </c>
      <c r="X19" s="1921">
        <f t="shared" si="7"/>
        <v>315000</v>
      </c>
      <c r="Y19" s="1921">
        <f t="shared" si="8"/>
        <v>630000</v>
      </c>
      <c r="Z19" s="2972">
        <v>0</v>
      </c>
    </row>
    <row r="20" spans="2:26">
      <c r="B20" s="1908">
        <f>SUM(B16:B19)</f>
        <v>0.5625</v>
      </c>
      <c r="C20" s="1952"/>
      <c r="D20" s="1954"/>
      <c r="E20" s="1955"/>
      <c r="F20" s="1957"/>
      <c r="H20" s="2543" t="s">
        <v>1137</v>
      </c>
      <c r="I20" s="2604">
        <v>3528</v>
      </c>
      <c r="J20" s="1932" t="s">
        <v>120</v>
      </c>
      <c r="K20" s="1922" t="s">
        <v>966</v>
      </c>
      <c r="L20" s="1929">
        <v>2881</v>
      </c>
      <c r="M20" s="1929">
        <v>1500</v>
      </c>
      <c r="N20" s="1923">
        <v>0.21845579985287672</v>
      </c>
      <c r="O20" s="1922">
        <v>15</v>
      </c>
      <c r="P20" s="1925" t="s">
        <v>1140</v>
      </c>
      <c r="Q20" s="1928">
        <v>500</v>
      </c>
      <c r="R20" s="1928">
        <v>500</v>
      </c>
      <c r="S20" s="1931">
        <f t="shared" si="2"/>
        <v>1000</v>
      </c>
      <c r="T20" s="1931">
        <f t="shared" si="3"/>
        <v>1764000</v>
      </c>
      <c r="U20" s="1931">
        <f t="shared" si="4"/>
        <v>1764000</v>
      </c>
      <c r="V20" s="1931">
        <f t="shared" si="5"/>
        <v>3528000</v>
      </c>
      <c r="W20" s="1921">
        <f t="shared" si="6"/>
        <v>750000</v>
      </c>
      <c r="X20" s="1921">
        <f t="shared" si="7"/>
        <v>750000</v>
      </c>
      <c r="Y20" s="1921">
        <f t="shared" si="8"/>
        <v>1500000</v>
      </c>
      <c r="Z20" s="2972">
        <v>72.92</v>
      </c>
    </row>
    <row r="21" spans="2:26">
      <c r="C21" s="1910" t="s">
        <v>47</v>
      </c>
      <c r="D21" s="1911">
        <f>SUM(D22:D25)</f>
        <v>22011</v>
      </c>
      <c r="E21" s="1926">
        <f>SUM(E22:E25)</f>
        <v>22561.274999999998</v>
      </c>
      <c r="F21" s="2157">
        <f>D21+E21</f>
        <v>44572.274999999994</v>
      </c>
      <c r="H21" s="2543" t="s">
        <v>1138</v>
      </c>
      <c r="I21" s="2604">
        <v>630</v>
      </c>
      <c r="J21" s="1932" t="s">
        <v>120</v>
      </c>
      <c r="K21" s="1922" t="s">
        <v>966</v>
      </c>
      <c r="L21" s="1929">
        <v>512</v>
      </c>
      <c r="M21" s="1929">
        <v>300</v>
      </c>
      <c r="N21" s="1923">
        <v>4.6811957111330724E-2</v>
      </c>
      <c r="O21" s="1922">
        <v>15</v>
      </c>
      <c r="P21" s="1925" t="s">
        <v>1140</v>
      </c>
      <c r="Q21" s="1928">
        <v>600</v>
      </c>
      <c r="R21" s="1928">
        <v>600</v>
      </c>
      <c r="S21" s="1931">
        <f t="shared" si="2"/>
        <v>1200</v>
      </c>
      <c r="T21" s="1931">
        <f t="shared" si="3"/>
        <v>378000</v>
      </c>
      <c r="U21" s="1931">
        <f t="shared" si="4"/>
        <v>378000</v>
      </c>
      <c r="V21" s="1931">
        <f t="shared" si="5"/>
        <v>756000</v>
      </c>
      <c r="W21" s="1921">
        <f t="shared" si="6"/>
        <v>180000</v>
      </c>
      <c r="X21" s="1921">
        <f t="shared" si="7"/>
        <v>180000</v>
      </c>
      <c r="Y21" s="1921">
        <f t="shared" si="8"/>
        <v>360000</v>
      </c>
      <c r="Z21" s="2972">
        <v>10</v>
      </c>
    </row>
    <row r="22" spans="2:26">
      <c r="C22" s="1876" t="s">
        <v>1286</v>
      </c>
      <c r="D22" s="1907">
        <v>22011</v>
      </c>
      <c r="E22" s="1906">
        <v>22561.274999999998</v>
      </c>
      <c r="F22" s="1879">
        <f t="shared" ref="F22:F25" si="10">SUM(D22:E22)</f>
        <v>44572.274999999994</v>
      </c>
      <c r="H22" s="2543" t="s">
        <v>1139</v>
      </c>
      <c r="I22" s="2604">
        <v>939</v>
      </c>
      <c r="J22" s="1932" t="s">
        <v>120</v>
      </c>
      <c r="K22" s="1922" t="s">
        <v>909</v>
      </c>
      <c r="L22" s="1929">
        <v>1688</v>
      </c>
      <c r="M22" s="1929">
        <v>800</v>
      </c>
      <c r="N22" s="1923">
        <v>9.3029476672041367E-2</v>
      </c>
      <c r="O22" s="1922">
        <v>20</v>
      </c>
      <c r="P22" s="1925" t="s">
        <v>1140</v>
      </c>
      <c r="Q22" s="1928">
        <v>820</v>
      </c>
      <c r="R22" s="1928">
        <v>820</v>
      </c>
      <c r="S22" s="1931">
        <f t="shared" si="2"/>
        <v>1640</v>
      </c>
      <c r="T22" s="1931">
        <f t="shared" si="3"/>
        <v>769980</v>
      </c>
      <c r="U22" s="1931">
        <f t="shared" si="4"/>
        <v>769980</v>
      </c>
      <c r="V22" s="1931">
        <f t="shared" si="5"/>
        <v>1539960</v>
      </c>
      <c r="W22" s="1921">
        <f t="shared" si="6"/>
        <v>656000</v>
      </c>
      <c r="X22" s="1921">
        <f t="shared" si="7"/>
        <v>656000</v>
      </c>
      <c r="Y22" s="1921">
        <f t="shared" si="8"/>
        <v>1312000</v>
      </c>
      <c r="Z22" s="2972">
        <v>0</v>
      </c>
    </row>
    <row r="23" spans="2:26">
      <c r="C23" s="1876"/>
      <c r="D23" s="2201"/>
      <c r="E23" s="2200"/>
      <c r="F23" s="1879">
        <f t="shared" si="10"/>
        <v>0</v>
      </c>
      <c r="H23" s="2543"/>
      <c r="I23" s="2604"/>
      <c r="J23" s="1932"/>
      <c r="K23" s="1922"/>
      <c r="L23" s="1929"/>
      <c r="M23" s="1929"/>
      <c r="N23" s="1923"/>
      <c r="O23" s="1922"/>
      <c r="P23" s="1925"/>
      <c r="Q23" s="1928"/>
      <c r="R23" s="1928"/>
      <c r="S23" s="1931"/>
      <c r="T23" s="1931"/>
      <c r="U23" s="1931"/>
      <c r="V23" s="1931"/>
      <c r="W23" s="1921"/>
      <c r="X23" s="1921"/>
      <c r="Y23" s="1921"/>
      <c r="Z23" s="2972"/>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51624.252560000008</v>
      </c>
      <c r="E27" s="1926">
        <f>SUM(E29:E32)</f>
        <v>53946.327799999999</v>
      </c>
      <c r="F27" s="2157">
        <f>D27+E27</f>
        <v>105570.58036000001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36942.915560000009</v>
      </c>
      <c r="E29" s="1972">
        <f>E15*E28</f>
        <v>38604.660799999998</v>
      </c>
      <c r="F29" s="1879">
        <f t="shared" ref="F29:F32" si="11">SUM(D29:E29)</f>
        <v>75547.576360000006</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14681.337000000001</v>
      </c>
      <c r="E30" s="1972">
        <f>E21*E28</f>
        <v>15341.666999999999</v>
      </c>
      <c r="F30" s="1879">
        <f t="shared" si="11"/>
        <v>30023.004000000001</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302</v>
      </c>
      <c r="C34" s="2106" t="s">
        <v>49</v>
      </c>
      <c r="D34" s="1911">
        <f>SUM(D35:D38)</f>
        <v>228000</v>
      </c>
      <c r="E34" s="1926">
        <f>SUM(E35:E38)</f>
        <v>228000</v>
      </c>
      <c r="F34" s="2157">
        <f>D34+E34</f>
        <v>456000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228000</v>
      </c>
      <c r="E35" s="1988">
        <v>228000</v>
      </c>
      <c r="F35" s="1879">
        <f t="shared" ref="F35:F38" si="12">SUM(D35:E35)</f>
        <v>456000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18230628</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7200</v>
      </c>
      <c r="E40" s="1926">
        <f>SUM(E41:E44)</f>
        <v>7200</v>
      </c>
      <c r="F40" s="2157">
        <f>D40+E40</f>
        <v>14400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1132</v>
      </c>
      <c r="D41" s="1971">
        <v>7200</v>
      </c>
      <c r="E41" s="1988">
        <v>7200</v>
      </c>
      <c r="F41" s="1879">
        <f t="shared" ref="F41:F44" si="13">SUM(D41:E41)</f>
        <v>14400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17200</v>
      </c>
      <c r="E52" s="1926">
        <f>SUM(E53:E56)</f>
        <v>17200</v>
      </c>
      <c r="F52" s="2157">
        <f>D52+E52</f>
        <v>34400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17200</v>
      </c>
      <c r="E53" s="1972">
        <v>17200</v>
      </c>
      <c r="F53" s="1879">
        <f t="shared" ref="F53:F56" si="15">SUM(D53:E53)</f>
        <v>34400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4000</v>
      </c>
      <c r="E58" s="1926">
        <f>SUM(E59:E62)</f>
        <v>4000</v>
      </c>
      <c r="F58" s="2157">
        <f>D58+E58</f>
        <v>8000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4000</v>
      </c>
      <c r="E59" s="1988">
        <v>4000</v>
      </c>
      <c r="F59" s="1879">
        <f t="shared" ref="F59:F62" si="16">SUM(D59:E59)</f>
        <v>8000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302</v>
      </c>
      <c r="C64" s="1910" t="s">
        <v>53</v>
      </c>
      <c r="D64" s="1911">
        <f>W15</f>
        <v>3722000</v>
      </c>
      <c r="E64" s="1926">
        <f>X15</f>
        <v>3722000</v>
      </c>
      <c r="F64" s="1924">
        <f>D64+E64</f>
        <v>7444000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0.90616451416770294</v>
      </c>
      <c r="E65" s="2616">
        <f>E64/E12</f>
        <v>0.90522627195098715</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18230628</v>
      </c>
      <c r="C67" s="1959" t="s">
        <v>54</v>
      </c>
      <c r="D67" s="1971">
        <v>0</v>
      </c>
      <c r="E67" s="1971">
        <v>0</v>
      </c>
      <c r="F67" s="1956">
        <v>0</v>
      </c>
    </row>
    <row r="68" spans="1:26">
      <c r="A68" s="1852" t="s">
        <v>5</v>
      </c>
    </row>
  </sheetData>
  <customSheetViews>
    <customSheetView guid="{074EB09C-6289-46D7-9513-012B68BCA7BF}" showGridLines="0">
      <pane xSplit="1" ySplit="1" topLeftCell="G2" activePane="bottomRight" state="frozen"/>
      <selection pane="bottomRight" activeCell="V17" sqref="V17"/>
      <pageMargins left="0.18" right="0.2" top="0.35" bottom="0.33" header="0.3" footer="0.3"/>
      <pageSetup paperSize="17" scale="45" orientation="landscape" r:id="rId1"/>
    </customSheetView>
    <customSheetView guid="{D9EFFE19-D14B-4C6F-BDF4-FF696F73968D}" showGridLines="0">
      <pane xSplit="1" ySplit="1" topLeftCell="J2" activePane="bottomRight" state="frozen"/>
      <selection pane="bottomRight" activeCell="Q16" sqref="Q16:R22"/>
      <pageMargins left="0.18" right="0.2" top="0.35" bottom="0.33" header="0.3" footer="0.3"/>
      <pageSetup paperSize="17" scale="45" orientation="landscape" r:id="rId2"/>
    </customSheetView>
  </customSheetViews>
  <mergeCells count="8">
    <mergeCell ref="H12:P12"/>
    <mergeCell ref="Q12:S12"/>
    <mergeCell ref="T12:V12"/>
    <mergeCell ref="W12:Y12"/>
    <mergeCell ref="R2:S2"/>
    <mergeCell ref="T2:V2"/>
    <mergeCell ref="W2:W3"/>
    <mergeCell ref="H10:P10"/>
  </mergeCells>
  <pageMargins left="0.18" right="0.2" top="0.35" bottom="0.33" header="0.3" footer="0.3"/>
  <pageSetup paperSize="17" scale="45" orientation="landscape" r:id="rId3"/>
  <ignoredErrors>
    <ignoredError sqref="R7"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Z68"/>
  <sheetViews>
    <sheetView showGridLines="0" zoomScaleNormal="100" workbookViewId="0">
      <pane xSplit="1" ySplit="1" topLeftCell="P2" activePane="bottomRight" state="frozen"/>
      <selection pane="topRight" activeCell="B1" sqref="B1"/>
      <selection pane="bottomLeft" activeCell="A2" sqref="A2"/>
      <selection pane="bottomRight" activeCell="A12" sqref="A12"/>
    </sheetView>
  </sheetViews>
  <sheetFormatPr defaultRowHeight="12.75"/>
  <cols>
    <col min="1" max="1" width="18.7109375" style="1164" customWidth="1"/>
    <col min="2" max="2" width="16.28515625" style="1866" customWidth="1"/>
    <col min="3" max="3" width="27.85546875" customWidth="1"/>
    <col min="4" max="4" width="17.85546875" customWidth="1"/>
    <col min="5" max="5" width="16.140625" style="9" customWidth="1"/>
    <col min="6" max="6" width="16.140625" customWidth="1"/>
    <col min="7" max="7" width="17.425781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42578125" bestFit="1" customWidth="1"/>
    <col min="18" max="18" width="20.140625" bestFit="1" customWidth="1"/>
    <col min="19" max="19" width="16.7109375" bestFit="1" customWidth="1"/>
    <col min="20" max="21" width="15.5703125" bestFit="1" customWidth="1"/>
    <col min="22" max="22" width="16.42578125" bestFit="1" customWidth="1"/>
    <col min="23" max="24" width="16.7109375" customWidth="1"/>
    <col min="25" max="25" width="16" customWidth="1"/>
    <col min="26" max="26" width="15.7109375" customWidth="1"/>
    <col min="249" max="249" width="24" bestFit="1" customWidth="1"/>
    <col min="250" max="250" width="45.7109375" bestFit="1" customWidth="1"/>
    <col min="251" max="251" width="19.7109375" bestFit="1" customWidth="1"/>
    <col min="252" max="252" width="14.8554687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42578125" bestFit="1" customWidth="1"/>
    <col min="264" max="264" width="20.140625" bestFit="1"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4.8554687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42578125" bestFit="1" customWidth="1"/>
    <col min="520" max="520" width="20.140625" bestFit="1"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4.8554687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42578125" bestFit="1" customWidth="1"/>
    <col min="776" max="776" width="20.140625" bestFit="1"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4.8554687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42578125" bestFit="1" customWidth="1"/>
    <col min="1032" max="1032" width="20.140625" bestFit="1"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4.8554687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42578125" bestFit="1" customWidth="1"/>
    <col min="1288" max="1288" width="20.140625" bestFit="1"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4.8554687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42578125" bestFit="1" customWidth="1"/>
    <col min="1544" max="1544" width="20.140625" bestFit="1"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4.8554687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42578125" bestFit="1" customWidth="1"/>
    <col min="1800" max="1800" width="20.140625" bestFit="1"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4.8554687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42578125" bestFit="1" customWidth="1"/>
    <col min="2056" max="2056" width="20.140625" bestFit="1"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4.8554687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42578125" bestFit="1" customWidth="1"/>
    <col min="2312" max="2312" width="20.140625" bestFit="1"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4.8554687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42578125" bestFit="1" customWidth="1"/>
    <col min="2568" max="2568" width="20.140625" bestFit="1"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4.8554687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42578125" bestFit="1" customWidth="1"/>
    <col min="2824" max="2824" width="20.140625" bestFit="1"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4.8554687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42578125" bestFit="1" customWidth="1"/>
    <col min="3080" max="3080" width="20.140625" bestFit="1"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4.8554687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42578125" bestFit="1" customWidth="1"/>
    <col min="3336" max="3336" width="20.140625" bestFit="1"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4.8554687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42578125" bestFit="1" customWidth="1"/>
    <col min="3592" max="3592" width="20.140625" bestFit="1"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4.8554687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42578125" bestFit="1" customWidth="1"/>
    <col min="3848" max="3848" width="20.140625" bestFit="1"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4.8554687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42578125" bestFit="1" customWidth="1"/>
    <col min="4104" max="4104" width="20.140625" bestFit="1"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4.8554687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42578125" bestFit="1" customWidth="1"/>
    <col min="4360" max="4360" width="20.140625" bestFit="1"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4.8554687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42578125" bestFit="1" customWidth="1"/>
    <col min="4616" max="4616" width="20.140625" bestFit="1"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4.8554687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42578125" bestFit="1" customWidth="1"/>
    <col min="4872" max="4872" width="20.140625" bestFit="1"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4.8554687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42578125" bestFit="1" customWidth="1"/>
    <col min="5128" max="5128" width="20.140625" bestFit="1"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4.8554687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42578125" bestFit="1" customWidth="1"/>
    <col min="5384" max="5384" width="20.140625" bestFit="1"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4.8554687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42578125" bestFit="1" customWidth="1"/>
    <col min="5640" max="5640" width="20.140625" bestFit="1"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4.8554687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42578125" bestFit="1" customWidth="1"/>
    <col min="5896" max="5896" width="20.140625" bestFit="1"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4.8554687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42578125" bestFit="1" customWidth="1"/>
    <col min="6152" max="6152" width="20.140625" bestFit="1"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4.8554687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42578125" bestFit="1" customWidth="1"/>
    <col min="6408" max="6408" width="20.140625" bestFit="1"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4.8554687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42578125" bestFit="1" customWidth="1"/>
    <col min="6664" max="6664" width="20.140625" bestFit="1"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4.8554687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42578125" bestFit="1" customWidth="1"/>
    <col min="6920" max="6920" width="20.140625" bestFit="1"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4.8554687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42578125" bestFit="1" customWidth="1"/>
    <col min="7176" max="7176" width="20.140625" bestFit="1"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4.8554687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42578125" bestFit="1" customWidth="1"/>
    <col min="7432" max="7432" width="20.140625" bestFit="1"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4.8554687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42578125" bestFit="1" customWidth="1"/>
    <col min="7688" max="7688" width="20.140625" bestFit="1"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4.8554687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42578125" bestFit="1" customWidth="1"/>
    <col min="7944" max="7944" width="20.140625" bestFit="1"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4.8554687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42578125" bestFit="1" customWidth="1"/>
    <col min="8200" max="8200" width="20.140625" bestFit="1"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4.8554687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42578125" bestFit="1" customWidth="1"/>
    <col min="8456" max="8456" width="20.140625" bestFit="1"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4.8554687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42578125" bestFit="1" customWidth="1"/>
    <col min="8712" max="8712" width="20.140625" bestFit="1"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4.8554687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42578125" bestFit="1" customWidth="1"/>
    <col min="8968" max="8968" width="20.140625" bestFit="1"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4.8554687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42578125" bestFit="1" customWidth="1"/>
    <col min="9224" max="9224" width="20.140625" bestFit="1"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4.8554687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42578125" bestFit="1" customWidth="1"/>
    <col min="9480" max="9480" width="20.140625" bestFit="1"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4.8554687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42578125" bestFit="1" customWidth="1"/>
    <col min="9736" max="9736" width="20.140625" bestFit="1"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4.8554687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42578125" bestFit="1" customWidth="1"/>
    <col min="9992" max="9992" width="20.140625" bestFit="1"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4.8554687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42578125" bestFit="1" customWidth="1"/>
    <col min="10248" max="10248" width="20.140625" bestFit="1"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4.8554687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42578125" bestFit="1" customWidth="1"/>
    <col min="10504" max="10504" width="20.140625" bestFit="1"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4.8554687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42578125" bestFit="1" customWidth="1"/>
    <col min="10760" max="10760" width="20.140625" bestFit="1"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4.8554687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42578125" bestFit="1" customWidth="1"/>
    <col min="11016" max="11016" width="20.140625" bestFit="1"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4.8554687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42578125" bestFit="1" customWidth="1"/>
    <col min="11272" max="11272" width="20.140625" bestFit="1"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4.8554687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42578125" bestFit="1" customWidth="1"/>
    <col min="11528" max="11528" width="20.140625" bestFit="1"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4.8554687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42578125" bestFit="1" customWidth="1"/>
    <col min="11784" max="11784" width="20.140625" bestFit="1"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4.8554687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42578125" bestFit="1" customWidth="1"/>
    <col min="12040" max="12040" width="20.140625" bestFit="1"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4.8554687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42578125" bestFit="1" customWidth="1"/>
    <col min="12296" max="12296" width="20.140625" bestFit="1"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4.8554687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42578125" bestFit="1" customWidth="1"/>
    <col min="12552" max="12552" width="20.140625" bestFit="1"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4.8554687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42578125" bestFit="1" customWidth="1"/>
    <col min="12808" max="12808" width="20.140625" bestFit="1"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4.8554687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42578125" bestFit="1" customWidth="1"/>
    <col min="13064" max="13064" width="20.140625" bestFit="1"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4.8554687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42578125" bestFit="1" customWidth="1"/>
    <col min="13320" max="13320" width="20.140625" bestFit="1"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4.8554687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42578125" bestFit="1" customWidth="1"/>
    <col min="13576" max="13576" width="20.140625" bestFit="1"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4.8554687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42578125" bestFit="1" customWidth="1"/>
    <col min="13832" max="13832" width="20.140625" bestFit="1"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4.8554687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42578125" bestFit="1" customWidth="1"/>
    <col min="14088" max="14088" width="20.140625" bestFit="1"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4.8554687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42578125" bestFit="1" customWidth="1"/>
    <col min="14344" max="14344" width="20.140625" bestFit="1"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4.8554687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42578125" bestFit="1" customWidth="1"/>
    <col min="14600" max="14600" width="20.140625" bestFit="1"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4.8554687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42578125" bestFit="1" customWidth="1"/>
    <col min="14856" max="14856" width="20.140625" bestFit="1"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4.8554687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42578125" bestFit="1" customWidth="1"/>
    <col min="15112" max="15112" width="20.140625" bestFit="1"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4.8554687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42578125" bestFit="1" customWidth="1"/>
    <col min="15368" max="15368" width="20.140625" bestFit="1"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4.8554687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42578125" bestFit="1" customWidth="1"/>
    <col min="15624" max="15624" width="20.140625" bestFit="1"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4.8554687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42578125" bestFit="1" customWidth="1"/>
    <col min="15880" max="15880" width="20.140625" bestFit="1"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4.8554687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42578125" bestFit="1" customWidth="1"/>
    <col min="16136" max="16136" width="20.140625" bestFit="1"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53" t="s">
        <v>68</v>
      </c>
      <c r="D1" s="1812" t="s">
        <v>291</v>
      </c>
      <c r="E1" s="1853" t="s">
        <v>6</v>
      </c>
      <c r="F1" s="1853">
        <v>18230434</v>
      </c>
      <c r="G1" s="1812" t="s">
        <v>5</v>
      </c>
      <c r="J1" s="1812"/>
      <c r="K1" s="1812"/>
      <c r="L1" s="1812"/>
      <c r="M1" s="1853" t="s">
        <v>68</v>
      </c>
      <c r="N1" s="1812" t="s">
        <v>291</v>
      </c>
      <c r="O1" s="1853" t="s">
        <v>6</v>
      </c>
      <c r="P1" s="1853">
        <v>18230434</v>
      </c>
      <c r="Q1" s="1812" t="s">
        <v>5</v>
      </c>
      <c r="V1" s="1853" t="s">
        <v>68</v>
      </c>
      <c r="W1" s="1812" t="s">
        <v>291</v>
      </c>
      <c r="X1" s="1853" t="s">
        <v>6</v>
      </c>
      <c r="Y1" s="1853">
        <v>18230434</v>
      </c>
      <c r="Z1" s="1812" t="s">
        <v>5</v>
      </c>
    </row>
    <row r="2" spans="1:26" ht="16.5" thickBot="1">
      <c r="C2" s="45"/>
      <c r="D2" s="46"/>
      <c r="H2" s="1576" t="s">
        <v>674</v>
      </c>
      <c r="R2" s="3596"/>
      <c r="S2" s="3596"/>
      <c r="T2" s="3597" t="s">
        <v>36</v>
      </c>
      <c r="U2" s="3598"/>
      <c r="V2" s="3599"/>
      <c r="W2" s="3594" t="s">
        <v>37</v>
      </c>
    </row>
    <row r="3" spans="1:26" ht="26.25" thickBot="1">
      <c r="A3" s="1852" t="s">
        <v>68</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112500</v>
      </c>
      <c r="I4" s="2002">
        <v>90000</v>
      </c>
      <c r="J4" s="2002">
        <v>143168</v>
      </c>
      <c r="K4" s="2002">
        <v>340000</v>
      </c>
      <c r="L4" s="2002">
        <v>5000</v>
      </c>
      <c r="M4" s="2002">
        <v>340635</v>
      </c>
      <c r="N4" s="2002">
        <v>8000</v>
      </c>
      <c r="O4" s="2002">
        <v>7500</v>
      </c>
      <c r="P4" s="2002">
        <v>5250250</v>
      </c>
      <c r="Q4" s="2002">
        <v>0</v>
      </c>
      <c r="R4" s="2000">
        <v>6297053</v>
      </c>
      <c r="S4" s="1998" t="s">
        <v>673</v>
      </c>
      <c r="T4" s="65">
        <f>P4/R4</f>
        <v>0.83376303169117361</v>
      </c>
      <c r="U4" s="65">
        <f>(K4+(I4*1.63))/R4</f>
        <v>7.7290122855881951E-2</v>
      </c>
      <c r="V4" s="65">
        <f>M4/R4</f>
        <v>5.4094351754701765E-2</v>
      </c>
      <c r="W4" s="52"/>
    </row>
    <row r="5" spans="1:26" ht="16.5" thickBot="1">
      <c r="A5" s="1852" t="s">
        <v>6</v>
      </c>
      <c r="B5" s="1852"/>
      <c r="C5" s="45"/>
      <c r="G5" s="45">
        <v>2016</v>
      </c>
      <c r="H5" s="1582">
        <f>D15</f>
        <v>103776.95999999999</v>
      </c>
      <c r="I5" s="1549">
        <f>D21</f>
        <v>40000</v>
      </c>
      <c r="J5" s="1549">
        <f>D27</f>
        <v>95899.232319999996</v>
      </c>
      <c r="K5" s="1549">
        <f>D34</f>
        <v>388869.36</v>
      </c>
      <c r="L5" s="1549">
        <f>D40</f>
        <v>6000</v>
      </c>
      <c r="M5" s="1549">
        <f>D46</f>
        <v>550000</v>
      </c>
      <c r="N5" s="1549">
        <f>D52</f>
        <v>28000</v>
      </c>
      <c r="O5" s="1549">
        <f>D58</f>
        <v>7500</v>
      </c>
      <c r="P5" s="1549">
        <f>D64</f>
        <v>4572765</v>
      </c>
      <c r="Q5" s="1549">
        <f>D67</f>
        <v>0</v>
      </c>
      <c r="R5" s="2001">
        <f>SUM(H5:Q5)</f>
        <v>5792810.5523199998</v>
      </c>
      <c r="S5" s="1999">
        <f>T15</f>
        <v>10290500</v>
      </c>
      <c r="T5" s="66">
        <f>P5/R5</f>
        <v>0.78938625019743203</v>
      </c>
      <c r="U5" s="66">
        <f>(K5+(I5*1.63))/R5</f>
        <v>7.8384983575571415E-2</v>
      </c>
      <c r="V5" s="66">
        <f>M5/R5</f>
        <v>9.4945276568681666E-2</v>
      </c>
      <c r="W5" s="56">
        <f>R5/S5</f>
        <v>0.56292799692143236</v>
      </c>
    </row>
    <row r="6" spans="1:26" ht="16.5" thickBot="1">
      <c r="A6" s="1852">
        <v>18230434</v>
      </c>
      <c r="B6" s="1852"/>
      <c r="D6" s="45"/>
      <c r="G6" s="45">
        <v>2017</v>
      </c>
      <c r="H6" s="57">
        <f>E15</f>
        <v>106370.88</v>
      </c>
      <c r="I6" s="1990">
        <f>E21</f>
        <v>41000</v>
      </c>
      <c r="J6" s="1989">
        <f>E27</f>
        <v>100212.19840000001</v>
      </c>
      <c r="K6" s="58">
        <f>E34</f>
        <v>388869.37</v>
      </c>
      <c r="L6" s="58">
        <f>E40</f>
        <v>6000</v>
      </c>
      <c r="M6" s="58">
        <f>E46</f>
        <v>550000</v>
      </c>
      <c r="N6" s="58">
        <f>E52</f>
        <v>28000</v>
      </c>
      <c r="O6" s="58">
        <f>E58</f>
        <v>7500</v>
      </c>
      <c r="P6" s="58">
        <f>E64</f>
        <v>4572765</v>
      </c>
      <c r="Q6" s="58">
        <f>E67</f>
        <v>0</v>
      </c>
      <c r="R6" s="1997">
        <f>SUM(H6:Q6)</f>
        <v>5800717.4484000001</v>
      </c>
      <c r="S6" s="1996">
        <f>U15</f>
        <v>10290500</v>
      </c>
      <c r="T6" s="66">
        <f>P6/R6</f>
        <v>0.78831024621985268</v>
      </c>
      <c r="U6" s="66">
        <f>(K6+(I6*1.63))/R6</f>
        <v>7.8559139288140054E-2</v>
      </c>
      <c r="V6" s="66">
        <f>M6/R6</f>
        <v>9.4815857674933876E-2</v>
      </c>
      <c r="W6" s="56">
        <f>R6/S6</f>
        <v>0.56369636542442059</v>
      </c>
    </row>
    <row r="7" spans="1:26" ht="16.5" thickBot="1">
      <c r="A7" s="1808" t="s">
        <v>5</v>
      </c>
      <c r="B7" s="1808"/>
      <c r="C7" s="1866"/>
      <c r="D7" s="1592"/>
      <c r="E7" s="1867"/>
      <c r="F7" s="1866"/>
      <c r="G7" s="1608" t="s">
        <v>23</v>
      </c>
      <c r="H7" s="1564">
        <f>SUM(H5:H6)</f>
        <v>210147.84</v>
      </c>
      <c r="I7" s="1991">
        <f t="shared" ref="I7:Q7" si="0">SUM(I5:I6)</f>
        <v>81000</v>
      </c>
      <c r="J7" s="1992">
        <f t="shared" si="0"/>
        <v>196111.43072</v>
      </c>
      <c r="K7" s="1993">
        <f t="shared" si="0"/>
        <v>777738.73</v>
      </c>
      <c r="L7" s="1991">
        <f t="shared" si="0"/>
        <v>12000</v>
      </c>
      <c r="M7" s="1992">
        <f t="shared" si="0"/>
        <v>1100000</v>
      </c>
      <c r="N7" s="1991">
        <f t="shared" si="0"/>
        <v>56000</v>
      </c>
      <c r="O7" s="1992">
        <f t="shared" si="0"/>
        <v>15000</v>
      </c>
      <c r="P7" s="1993">
        <f t="shared" si="0"/>
        <v>9145530</v>
      </c>
      <c r="Q7" s="1991">
        <f t="shared" si="0"/>
        <v>0</v>
      </c>
      <c r="R7" s="1993">
        <f>SUM(H7:Q7)</f>
        <v>11593528.00072</v>
      </c>
      <c r="S7" s="1994">
        <f>SUM(S5:S6)</f>
        <v>20581000</v>
      </c>
      <c r="T7" s="66">
        <f>P7/R7</f>
        <v>0.78884788128618222</v>
      </c>
      <c r="U7" s="66">
        <f>(K7+(I7*1.63))/R7</f>
        <v>7.8472120819779806E-2</v>
      </c>
      <c r="V7" s="66">
        <f>M7/R7</f>
        <v>9.4880522989351124E-2</v>
      </c>
      <c r="W7" s="56">
        <f>R7/S7</f>
        <v>0.56331218117292647</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5792810.5523199998</v>
      </c>
      <c r="E12" s="1948">
        <f>E15+E21+E27+E34+E40+E46+E52+E58+E64</f>
        <v>5800717.4484000001</v>
      </c>
      <c r="F12" s="1924">
        <f>D12+E12</f>
        <v>11593528.00072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103776.95999999999</v>
      </c>
      <c r="E15" s="1926">
        <f>SUM(E16:E19)</f>
        <v>106370.88</v>
      </c>
      <c r="F15" s="1924">
        <f>D15+E15</f>
        <v>210147.84</v>
      </c>
      <c r="H15" s="1938" t="s">
        <v>327</v>
      </c>
      <c r="I15" s="1939"/>
      <c r="J15" s="1939"/>
      <c r="K15" s="1940"/>
      <c r="L15" s="1941">
        <f>SUMPRODUCT(L16:L35,S16:S35)</f>
        <v>11176846</v>
      </c>
      <c r="M15" s="1941">
        <f>SUM(M16:M35)</f>
        <v>3004.67</v>
      </c>
      <c r="N15" s="1942">
        <f>SUM(N16:N65)</f>
        <v>0.99999999999999978</v>
      </c>
      <c r="O15" s="1940" t="s">
        <v>328</v>
      </c>
      <c r="P15" s="1940"/>
      <c r="Q15" s="1940"/>
      <c r="R15" s="1940"/>
      <c r="S15" s="1940"/>
      <c r="T15" s="1943">
        <f t="shared" ref="T15:Z15" si="1">SUM(T16:T65)</f>
        <v>10290500</v>
      </c>
      <c r="U15" s="1943">
        <f t="shared" si="1"/>
        <v>10290500</v>
      </c>
      <c r="V15" s="1943">
        <f t="shared" si="1"/>
        <v>20581000</v>
      </c>
      <c r="W15" s="1941">
        <f t="shared" si="1"/>
        <v>4572765</v>
      </c>
      <c r="X15" s="1941">
        <f t="shared" si="1"/>
        <v>4572765</v>
      </c>
      <c r="Y15" s="1941">
        <f t="shared" si="1"/>
        <v>9145530</v>
      </c>
      <c r="Z15" s="1941">
        <f t="shared" si="1"/>
        <v>112.72</v>
      </c>
    </row>
    <row r="16" spans="1:26">
      <c r="B16" s="1885">
        <v>0.72</v>
      </c>
      <c r="C16" s="1876" t="s">
        <v>793</v>
      </c>
      <c r="D16" s="1907">
        <v>66713.759999999995</v>
      </c>
      <c r="E16" s="1906">
        <v>68381.279999999999</v>
      </c>
      <c r="F16" s="1879">
        <f>SUM(D16:E16)</f>
        <v>135095.03999999998</v>
      </c>
      <c r="H16" s="3244" t="s">
        <v>936</v>
      </c>
      <c r="I16" s="3232">
        <v>300</v>
      </c>
      <c r="J16" s="1932" t="s">
        <v>120</v>
      </c>
      <c r="K16" s="1922" t="s">
        <v>909</v>
      </c>
      <c r="L16" s="1929">
        <v>55</v>
      </c>
      <c r="M16" s="1929">
        <v>55</v>
      </c>
      <c r="N16" s="1923">
        <v>0.28967091452969995</v>
      </c>
      <c r="O16" s="1922">
        <v>5</v>
      </c>
      <c r="P16" s="1925" t="s">
        <v>952</v>
      </c>
      <c r="Q16" s="1928">
        <v>10000</v>
      </c>
      <c r="R16" s="1928">
        <v>10000</v>
      </c>
      <c r="S16" s="1931">
        <f>SUM(Q16:R16)</f>
        <v>20000</v>
      </c>
      <c r="T16" s="1931">
        <f>Q16*I16</f>
        <v>3000000</v>
      </c>
      <c r="U16" s="1931">
        <f>R16*I16</f>
        <v>3000000</v>
      </c>
      <c r="V16" s="1931">
        <f>SUM(T16:U16)</f>
        <v>6000000</v>
      </c>
      <c r="W16" s="1921">
        <f>Q16*M16</f>
        <v>550000</v>
      </c>
      <c r="X16" s="1921">
        <f>R16*M16</f>
        <v>550000</v>
      </c>
      <c r="Y16" s="1921">
        <f>SUM(W16:X16)</f>
        <v>1100000</v>
      </c>
      <c r="Z16" s="2533">
        <v>0</v>
      </c>
    </row>
    <row r="17" spans="2:26">
      <c r="B17" s="1885">
        <v>0.2</v>
      </c>
      <c r="C17" s="1876" t="s">
        <v>791</v>
      </c>
      <c r="D17" s="1905">
        <v>18531.599999999999</v>
      </c>
      <c r="E17" s="1904">
        <v>18994.8</v>
      </c>
      <c r="F17" s="1879">
        <f t="shared" ref="F17:F19" si="2">SUM(D17:E17)</f>
        <v>37526.399999999994</v>
      </c>
      <c r="H17" s="3244" t="s">
        <v>937</v>
      </c>
      <c r="I17" s="3232">
        <v>848</v>
      </c>
      <c r="J17" s="1932" t="s">
        <v>120</v>
      </c>
      <c r="K17" s="1922" t="s">
        <v>909</v>
      </c>
      <c r="L17" s="1929">
        <v>700</v>
      </c>
      <c r="M17" s="1929">
        <v>700</v>
      </c>
      <c r="N17" s="1923">
        <v>5.7316218288276634E-2</v>
      </c>
      <c r="O17" s="1922">
        <v>11</v>
      </c>
      <c r="P17" s="1925" t="s">
        <v>910</v>
      </c>
      <c r="Q17" s="1928">
        <v>700</v>
      </c>
      <c r="R17" s="1928">
        <v>700</v>
      </c>
      <c r="S17" s="1931">
        <f>SUM(Q17:R17)</f>
        <v>1400</v>
      </c>
      <c r="T17" s="1931">
        <f>Q17*I17</f>
        <v>593600</v>
      </c>
      <c r="U17" s="1931">
        <f>R17*I17</f>
        <v>593600</v>
      </c>
      <c r="V17" s="1931">
        <f>SUM(T17:U17)</f>
        <v>1187200</v>
      </c>
      <c r="W17" s="1921">
        <f t="shared" ref="W17:W40" si="3">Q17*M17</f>
        <v>490000</v>
      </c>
      <c r="X17" s="1921">
        <f t="shared" ref="X17:X40" si="4">R17*M17</f>
        <v>490000</v>
      </c>
      <c r="Y17" s="1921">
        <f t="shared" ref="Y17:Y40" si="5">SUM(W17:X17)</f>
        <v>980000</v>
      </c>
      <c r="Z17" s="2533">
        <v>20.309999999999999</v>
      </c>
    </row>
    <row r="18" spans="2:26">
      <c r="B18" s="1885">
        <v>0.2</v>
      </c>
      <c r="C18" s="1876" t="s">
        <v>794</v>
      </c>
      <c r="D18" s="1905">
        <v>18531.599999999999</v>
      </c>
      <c r="E18" s="1904">
        <v>18994.8</v>
      </c>
      <c r="F18" s="1879">
        <f t="shared" si="2"/>
        <v>37526.399999999994</v>
      </c>
      <c r="H18" s="3244" t="s">
        <v>938</v>
      </c>
      <c r="I18" s="3232">
        <v>570</v>
      </c>
      <c r="J18" s="1932" t="s">
        <v>120</v>
      </c>
      <c r="K18" s="1922" t="s">
        <v>909</v>
      </c>
      <c r="L18" s="1929">
        <v>113</v>
      </c>
      <c r="M18" s="1929">
        <v>113</v>
      </c>
      <c r="N18" s="1923">
        <v>8.2556210640964495E-2</v>
      </c>
      <c r="O18" s="1922">
        <v>5</v>
      </c>
      <c r="P18" s="1925" t="s">
        <v>953</v>
      </c>
      <c r="Q18" s="1928">
        <v>1500</v>
      </c>
      <c r="R18" s="1928">
        <v>1500</v>
      </c>
      <c r="S18" s="1931">
        <f t="shared" ref="S18:S40" si="6">SUM(Q18:R18)</f>
        <v>3000</v>
      </c>
      <c r="T18" s="1931">
        <f t="shared" ref="T18:T40" si="7">Q18*I18</f>
        <v>855000</v>
      </c>
      <c r="U18" s="1931">
        <f t="shared" ref="U18:U40" si="8">R18*I18</f>
        <v>855000</v>
      </c>
      <c r="V18" s="1931">
        <f t="shared" ref="V18:V40" si="9">SUM(T18:U18)</f>
        <v>1710000</v>
      </c>
      <c r="W18" s="1921">
        <f t="shared" si="3"/>
        <v>169500</v>
      </c>
      <c r="X18" s="1921">
        <f t="shared" si="4"/>
        <v>169500</v>
      </c>
      <c r="Y18" s="1921">
        <f t="shared" si="5"/>
        <v>339000</v>
      </c>
      <c r="Z18" s="2533">
        <v>8.74</v>
      </c>
    </row>
    <row r="19" spans="2:26">
      <c r="B19" s="1885"/>
      <c r="C19" s="2197"/>
      <c r="D19" s="2242"/>
      <c r="E19" s="2079"/>
      <c r="F19" s="1879">
        <f t="shared" si="2"/>
        <v>0</v>
      </c>
      <c r="H19" s="3244" t="s">
        <v>939</v>
      </c>
      <c r="I19" s="3232">
        <v>16.100000000000001</v>
      </c>
      <c r="J19" s="1932" t="s">
        <v>120</v>
      </c>
      <c r="K19" s="1922" t="s">
        <v>909</v>
      </c>
      <c r="L19" s="1929">
        <v>7</v>
      </c>
      <c r="M19" s="1929">
        <v>7</v>
      </c>
      <c r="N19" s="1923">
        <v>1.3991105171784509E-2</v>
      </c>
      <c r="O19" s="1922">
        <v>12</v>
      </c>
      <c r="P19" s="1925" t="s">
        <v>954</v>
      </c>
      <c r="Q19" s="1928">
        <v>8500</v>
      </c>
      <c r="R19" s="1928">
        <v>8500</v>
      </c>
      <c r="S19" s="1931">
        <f t="shared" si="6"/>
        <v>17000</v>
      </c>
      <c r="T19" s="1931">
        <f t="shared" si="7"/>
        <v>136850</v>
      </c>
      <c r="U19" s="1931">
        <f t="shared" si="8"/>
        <v>136850</v>
      </c>
      <c r="V19" s="1931">
        <f t="shared" si="9"/>
        <v>273700</v>
      </c>
      <c r="W19" s="1921">
        <f t="shared" si="3"/>
        <v>59500</v>
      </c>
      <c r="X19" s="1921">
        <f t="shared" si="4"/>
        <v>59500</v>
      </c>
      <c r="Y19" s="1921">
        <f t="shared" si="5"/>
        <v>119000</v>
      </c>
      <c r="Z19" s="2533">
        <v>0</v>
      </c>
    </row>
    <row r="20" spans="2:26">
      <c r="B20" s="2926">
        <f>SUM(B16:B19)</f>
        <v>1.1199999999999999</v>
      </c>
      <c r="C20" s="1952"/>
      <c r="D20" s="1954"/>
      <c r="E20" s="1955"/>
      <c r="F20" s="1957"/>
      <c r="H20" s="3244" t="s">
        <v>940</v>
      </c>
      <c r="I20" s="3232">
        <v>9</v>
      </c>
      <c r="J20" s="1932" t="s">
        <v>120</v>
      </c>
      <c r="K20" s="1922" t="s">
        <v>909</v>
      </c>
      <c r="L20" s="1929">
        <v>27</v>
      </c>
      <c r="M20" s="1929">
        <v>25</v>
      </c>
      <c r="N20" s="1923">
        <v>1.0428152923069199E-3</v>
      </c>
      <c r="O20" s="1922">
        <v>15</v>
      </c>
      <c r="P20" s="1925" t="s">
        <v>953</v>
      </c>
      <c r="Q20" s="1928">
        <v>1000</v>
      </c>
      <c r="R20" s="1928">
        <v>1000</v>
      </c>
      <c r="S20" s="1931">
        <f t="shared" si="6"/>
        <v>2000</v>
      </c>
      <c r="T20" s="1931">
        <f t="shared" si="7"/>
        <v>9000</v>
      </c>
      <c r="U20" s="1931">
        <f t="shared" si="8"/>
        <v>9000</v>
      </c>
      <c r="V20" s="1931">
        <f t="shared" si="9"/>
        <v>18000</v>
      </c>
      <c r="W20" s="1921">
        <f t="shared" si="3"/>
        <v>25000</v>
      </c>
      <c r="X20" s="1921">
        <f t="shared" si="4"/>
        <v>25000</v>
      </c>
      <c r="Y20" s="1921">
        <f t="shared" si="5"/>
        <v>50000</v>
      </c>
      <c r="Z20" s="2533">
        <v>0</v>
      </c>
    </row>
    <row r="21" spans="2:26">
      <c r="C21" s="1910" t="s">
        <v>47</v>
      </c>
      <c r="D21" s="1911">
        <f>SUM(D22:D25)</f>
        <v>40000</v>
      </c>
      <c r="E21" s="1926">
        <f>SUM(E22:E25)</f>
        <v>41000</v>
      </c>
      <c r="F21" s="2157">
        <f>D21+E21</f>
        <v>81000</v>
      </c>
      <c r="H21" s="3244" t="s">
        <v>941</v>
      </c>
      <c r="I21" s="3232">
        <v>42</v>
      </c>
      <c r="J21" s="1932" t="s">
        <v>120</v>
      </c>
      <c r="K21" s="1922" t="s">
        <v>909</v>
      </c>
      <c r="L21" s="1929">
        <v>122</v>
      </c>
      <c r="M21" s="1929">
        <v>50</v>
      </c>
      <c r="N21" s="1923">
        <v>2.4332356820494796E-3</v>
      </c>
      <c r="O21" s="1922">
        <v>15</v>
      </c>
      <c r="P21" s="1925" t="s">
        <v>953</v>
      </c>
      <c r="Q21" s="1928">
        <v>600</v>
      </c>
      <c r="R21" s="1928">
        <v>600</v>
      </c>
      <c r="S21" s="1931">
        <f t="shared" si="6"/>
        <v>1200</v>
      </c>
      <c r="T21" s="1931">
        <f t="shared" si="7"/>
        <v>25200</v>
      </c>
      <c r="U21" s="1931">
        <f t="shared" si="8"/>
        <v>25200</v>
      </c>
      <c r="V21" s="1931">
        <f t="shared" si="9"/>
        <v>50400</v>
      </c>
      <c r="W21" s="1921">
        <f t="shared" si="3"/>
        <v>30000</v>
      </c>
      <c r="X21" s="1921">
        <f t="shared" si="4"/>
        <v>30000</v>
      </c>
      <c r="Y21" s="1921">
        <f t="shared" si="5"/>
        <v>60000</v>
      </c>
      <c r="Z21" s="2533">
        <v>0</v>
      </c>
    </row>
    <row r="22" spans="2:26">
      <c r="C22" s="1876" t="s">
        <v>933</v>
      </c>
      <c r="D22" s="1907">
        <v>20000</v>
      </c>
      <c r="E22" s="1906">
        <v>20500</v>
      </c>
      <c r="F22" s="1879">
        <f t="shared" ref="F22:F25" si="10">SUM(D22:E22)</f>
        <v>40500</v>
      </c>
      <c r="H22" s="3244" t="s">
        <v>942</v>
      </c>
      <c r="I22" s="3232">
        <v>98</v>
      </c>
      <c r="J22" s="1932" t="s">
        <v>120</v>
      </c>
      <c r="K22" s="1922" t="s">
        <v>909</v>
      </c>
      <c r="L22" s="1929">
        <v>211</v>
      </c>
      <c r="M22" s="1929">
        <v>75</v>
      </c>
      <c r="N22" s="1923">
        <v>2.8387749623910597E-3</v>
      </c>
      <c r="O22" s="1922">
        <v>15</v>
      </c>
      <c r="P22" s="1925" t="s">
        <v>953</v>
      </c>
      <c r="Q22" s="1928">
        <v>300</v>
      </c>
      <c r="R22" s="1928">
        <v>300</v>
      </c>
      <c r="S22" s="1931">
        <f t="shared" si="6"/>
        <v>600</v>
      </c>
      <c r="T22" s="1931">
        <f t="shared" si="7"/>
        <v>29400</v>
      </c>
      <c r="U22" s="1931">
        <f t="shared" ref="U22:U35" si="11">R22*I22</f>
        <v>29400</v>
      </c>
      <c r="V22" s="1931">
        <f t="shared" ref="V22:V35" si="12">SUM(T22:U22)</f>
        <v>58800</v>
      </c>
      <c r="W22" s="1921">
        <f t="shared" ref="W22:W35" si="13">Q22*M22</f>
        <v>22500</v>
      </c>
      <c r="X22" s="1921">
        <f t="shared" ref="X22:X35" si="14">R22*M22</f>
        <v>22500</v>
      </c>
      <c r="Y22" s="1921">
        <f t="shared" ref="Y22:Y35" si="15">SUM(W22:X22)</f>
        <v>45000</v>
      </c>
      <c r="Z22" s="2533">
        <v>0</v>
      </c>
    </row>
    <row r="23" spans="2:26">
      <c r="C23" s="1876" t="s">
        <v>934</v>
      </c>
      <c r="D23" s="2053">
        <v>20000</v>
      </c>
      <c r="E23" s="2054">
        <v>20500</v>
      </c>
      <c r="F23" s="1879">
        <f t="shared" si="10"/>
        <v>40500</v>
      </c>
      <c r="H23" s="3244" t="s">
        <v>943</v>
      </c>
      <c r="I23" s="3232">
        <v>356</v>
      </c>
      <c r="J23" s="1932" t="s">
        <v>120</v>
      </c>
      <c r="K23" s="1922" t="s">
        <v>909</v>
      </c>
      <c r="L23" s="1929">
        <v>113</v>
      </c>
      <c r="M23" s="1929">
        <v>113</v>
      </c>
      <c r="N23" s="1923">
        <v>0.12030998650133538</v>
      </c>
      <c r="O23" s="1922">
        <v>6</v>
      </c>
      <c r="P23" s="1925" t="s">
        <v>953</v>
      </c>
      <c r="Q23" s="1928">
        <v>3500</v>
      </c>
      <c r="R23" s="1928">
        <v>3500</v>
      </c>
      <c r="S23" s="1931">
        <f t="shared" si="6"/>
        <v>7000</v>
      </c>
      <c r="T23" s="1931">
        <f t="shared" si="7"/>
        <v>1246000</v>
      </c>
      <c r="U23" s="1931">
        <f t="shared" si="11"/>
        <v>1246000</v>
      </c>
      <c r="V23" s="1931">
        <f t="shared" si="12"/>
        <v>2492000</v>
      </c>
      <c r="W23" s="1921">
        <f t="shared" si="13"/>
        <v>395500</v>
      </c>
      <c r="X23" s="1921">
        <f t="shared" si="14"/>
        <v>395500</v>
      </c>
      <c r="Y23" s="1921">
        <f t="shared" si="15"/>
        <v>791000</v>
      </c>
      <c r="Z23" s="2533">
        <v>7.12</v>
      </c>
    </row>
    <row r="24" spans="2:26">
      <c r="C24" s="1876"/>
      <c r="D24" s="1898"/>
      <c r="E24" s="1897"/>
      <c r="F24" s="1879">
        <f t="shared" si="10"/>
        <v>0</v>
      </c>
      <c r="H24" s="3245" t="s">
        <v>1678</v>
      </c>
      <c r="I24" s="3232">
        <v>494</v>
      </c>
      <c r="J24" s="1932" t="s">
        <v>120</v>
      </c>
      <c r="K24" s="1922" t="s">
        <v>909</v>
      </c>
      <c r="L24" s="1929">
        <v>600</v>
      </c>
      <c r="M24" s="1929">
        <v>600</v>
      </c>
      <c r="N24" s="1923">
        <v>9.5398287851781186E-2</v>
      </c>
      <c r="O24" s="1922">
        <v>14</v>
      </c>
      <c r="P24" s="1925" t="s">
        <v>953</v>
      </c>
      <c r="Q24" s="1928">
        <v>2000</v>
      </c>
      <c r="R24" s="1928">
        <v>2000</v>
      </c>
      <c r="S24" s="1931">
        <f t="shared" si="6"/>
        <v>4000</v>
      </c>
      <c r="T24" s="1931">
        <f t="shared" si="7"/>
        <v>988000</v>
      </c>
      <c r="U24" s="1931">
        <f t="shared" si="11"/>
        <v>988000</v>
      </c>
      <c r="V24" s="1931">
        <f t="shared" si="12"/>
        <v>1976000</v>
      </c>
      <c r="W24" s="1921">
        <f t="shared" si="13"/>
        <v>1200000</v>
      </c>
      <c r="X24" s="1921">
        <f t="shared" si="14"/>
        <v>1200000</v>
      </c>
      <c r="Y24" s="1921">
        <f t="shared" si="15"/>
        <v>2400000</v>
      </c>
      <c r="Z24" s="2533">
        <v>0</v>
      </c>
    </row>
    <row r="25" spans="2:26">
      <c r="C25" s="1876"/>
      <c r="D25" s="1896"/>
      <c r="E25" s="1899"/>
      <c r="F25" s="1879">
        <f t="shared" si="10"/>
        <v>0</v>
      </c>
      <c r="H25" s="3245" t="s">
        <v>1679</v>
      </c>
      <c r="I25" s="3232">
        <v>9</v>
      </c>
      <c r="J25" s="1932" t="s">
        <v>120</v>
      </c>
      <c r="K25" s="1922" t="s">
        <v>909</v>
      </c>
      <c r="L25" s="1929">
        <v>100</v>
      </c>
      <c r="M25" s="1929">
        <v>100</v>
      </c>
      <c r="N25" s="1923">
        <v>1.7380254871781997E-3</v>
      </c>
      <c r="O25" s="1922">
        <v>20</v>
      </c>
      <c r="P25" s="1925" t="s">
        <v>953</v>
      </c>
      <c r="Q25" s="1928">
        <v>2000</v>
      </c>
      <c r="R25" s="1928">
        <v>2000</v>
      </c>
      <c r="S25" s="1931">
        <f t="shared" si="6"/>
        <v>4000</v>
      </c>
      <c r="T25" s="1931">
        <f t="shared" si="7"/>
        <v>18000</v>
      </c>
      <c r="U25" s="1931">
        <f t="shared" si="11"/>
        <v>18000</v>
      </c>
      <c r="V25" s="1931">
        <f t="shared" si="12"/>
        <v>36000</v>
      </c>
      <c r="W25" s="1921">
        <f t="shared" si="13"/>
        <v>200000</v>
      </c>
      <c r="X25" s="1921">
        <f t="shared" si="14"/>
        <v>200000</v>
      </c>
      <c r="Y25" s="1921">
        <f t="shared" si="15"/>
        <v>400000</v>
      </c>
      <c r="Z25" s="2533">
        <v>0</v>
      </c>
    </row>
    <row r="26" spans="2:26">
      <c r="C26" s="1877"/>
      <c r="D26" s="1892"/>
      <c r="E26" s="1884"/>
      <c r="F26" s="1892"/>
      <c r="H26" s="3244" t="s">
        <v>944</v>
      </c>
      <c r="I26" s="3232">
        <v>103</v>
      </c>
      <c r="J26" s="1932" t="s">
        <v>120</v>
      </c>
      <c r="K26" s="1922" t="s">
        <v>909</v>
      </c>
      <c r="L26" s="1929">
        <v>6.67</v>
      </c>
      <c r="M26" s="1929">
        <v>6.67</v>
      </c>
      <c r="N26" s="1923">
        <v>4.9726840327598491E-2</v>
      </c>
      <c r="O26" s="1922">
        <v>10</v>
      </c>
      <c r="P26" s="1925" t="s">
        <v>910</v>
      </c>
      <c r="Q26" s="1928">
        <v>4500</v>
      </c>
      <c r="R26" s="1928">
        <v>4500</v>
      </c>
      <c r="S26" s="1931">
        <f t="shared" si="6"/>
        <v>9000</v>
      </c>
      <c r="T26" s="1931">
        <f t="shared" si="7"/>
        <v>463500</v>
      </c>
      <c r="U26" s="1931">
        <f t="shared" si="11"/>
        <v>463500</v>
      </c>
      <c r="V26" s="1931">
        <f t="shared" si="12"/>
        <v>927000</v>
      </c>
      <c r="W26" s="1921">
        <f t="shared" si="13"/>
        <v>30015</v>
      </c>
      <c r="X26" s="1921">
        <f t="shared" si="14"/>
        <v>30015</v>
      </c>
      <c r="Y26" s="1921">
        <f t="shared" si="15"/>
        <v>60030</v>
      </c>
      <c r="Z26" s="2533">
        <v>0</v>
      </c>
    </row>
    <row r="27" spans="2:26">
      <c r="C27" s="1910" t="s">
        <v>48</v>
      </c>
      <c r="D27" s="1911">
        <f>SUM(D29:D32)</f>
        <v>95899.232319999996</v>
      </c>
      <c r="E27" s="1926">
        <f>SUM(E29:E32)</f>
        <v>100212.19840000001</v>
      </c>
      <c r="F27" s="2157">
        <f>D27+E27</f>
        <v>196111.43072</v>
      </c>
      <c r="H27" s="3244" t="s">
        <v>945</v>
      </c>
      <c r="I27" s="3232">
        <v>125</v>
      </c>
      <c r="J27" s="1932" t="s">
        <v>120</v>
      </c>
      <c r="K27" s="1922" t="s">
        <v>909</v>
      </c>
      <c r="L27" s="1929">
        <v>10</v>
      </c>
      <c r="M27" s="1929">
        <v>10</v>
      </c>
      <c r="N27" s="1923">
        <v>4.8278485754949994E-2</v>
      </c>
      <c r="O27" s="1922">
        <v>10</v>
      </c>
      <c r="P27" s="1925" t="s">
        <v>910</v>
      </c>
      <c r="Q27" s="1928">
        <v>4000</v>
      </c>
      <c r="R27" s="1928">
        <v>4000</v>
      </c>
      <c r="S27" s="1931">
        <f t="shared" si="6"/>
        <v>8000</v>
      </c>
      <c r="T27" s="1931">
        <f t="shared" si="7"/>
        <v>500000</v>
      </c>
      <c r="U27" s="1931">
        <f t="shared" si="11"/>
        <v>500000</v>
      </c>
      <c r="V27" s="1931">
        <f t="shared" si="12"/>
        <v>1000000</v>
      </c>
      <c r="W27" s="1921">
        <f t="shared" si="13"/>
        <v>40000</v>
      </c>
      <c r="X27" s="1921">
        <f t="shared" si="14"/>
        <v>40000</v>
      </c>
      <c r="Y27" s="1921">
        <f t="shared" si="15"/>
        <v>80000</v>
      </c>
      <c r="Z27" s="2533">
        <v>0</v>
      </c>
    </row>
    <row r="28" spans="2:26" s="1866" customFormat="1">
      <c r="C28" s="1909" t="s">
        <v>315</v>
      </c>
      <c r="D28" s="1912">
        <v>0.66700000000000004</v>
      </c>
      <c r="E28" s="1913">
        <v>0.68</v>
      </c>
      <c r="F28" s="1949"/>
      <c r="H28" s="3244" t="s">
        <v>946</v>
      </c>
      <c r="I28" s="3232">
        <v>82</v>
      </c>
      <c r="J28" s="1932" t="s">
        <v>120</v>
      </c>
      <c r="K28" s="1922" t="s">
        <v>909</v>
      </c>
      <c r="L28" s="1929">
        <v>80</v>
      </c>
      <c r="M28" s="1929">
        <v>25</v>
      </c>
      <c r="N28" s="1923">
        <v>4.750602998287079E-2</v>
      </c>
      <c r="O28" s="1922">
        <v>14</v>
      </c>
      <c r="P28" s="1925" t="s">
        <v>910</v>
      </c>
      <c r="Q28" s="1928">
        <v>6000</v>
      </c>
      <c r="R28" s="1928">
        <v>6000</v>
      </c>
      <c r="S28" s="1931">
        <f t="shared" si="6"/>
        <v>12000</v>
      </c>
      <c r="T28" s="1931">
        <f t="shared" si="7"/>
        <v>492000</v>
      </c>
      <c r="U28" s="1931">
        <f t="shared" si="11"/>
        <v>492000</v>
      </c>
      <c r="V28" s="1931">
        <f t="shared" si="12"/>
        <v>984000</v>
      </c>
      <c r="W28" s="1921">
        <f t="shared" si="13"/>
        <v>150000</v>
      </c>
      <c r="X28" s="1921">
        <f t="shared" si="14"/>
        <v>150000</v>
      </c>
      <c r="Y28" s="1921">
        <f t="shared" si="15"/>
        <v>300000</v>
      </c>
      <c r="Z28" s="2533">
        <v>16.18</v>
      </c>
    </row>
    <row r="29" spans="2:26">
      <c r="C29" s="1876" t="s">
        <v>778</v>
      </c>
      <c r="D29" s="1971">
        <f>D15*D28</f>
        <v>69219.232319999996</v>
      </c>
      <c r="E29" s="1972">
        <f>E15*E28</f>
        <v>72332.198400000008</v>
      </c>
      <c r="F29" s="1879">
        <f t="shared" ref="F29:F32" si="16">SUM(D29:E29)</f>
        <v>141551.43072</v>
      </c>
      <c r="H29" s="3244" t="s">
        <v>947</v>
      </c>
      <c r="I29" s="3232">
        <v>114</v>
      </c>
      <c r="J29" s="1932" t="s">
        <v>120</v>
      </c>
      <c r="K29" s="1922" t="s">
        <v>909</v>
      </c>
      <c r="L29" s="1929">
        <v>125</v>
      </c>
      <c r="M29" s="1929">
        <v>50</v>
      </c>
      <c r="N29" s="1923">
        <v>4.9533726384578695E-2</v>
      </c>
      <c r="O29" s="1922">
        <v>14</v>
      </c>
      <c r="P29" s="1925" t="s">
        <v>910</v>
      </c>
      <c r="Q29" s="1928">
        <v>4500</v>
      </c>
      <c r="R29" s="1928">
        <v>4500</v>
      </c>
      <c r="S29" s="1931">
        <f t="shared" si="6"/>
        <v>9000</v>
      </c>
      <c r="T29" s="1931">
        <f t="shared" si="7"/>
        <v>513000</v>
      </c>
      <c r="U29" s="1931">
        <f t="shared" si="11"/>
        <v>513000</v>
      </c>
      <c r="V29" s="1931">
        <f t="shared" si="12"/>
        <v>1026000</v>
      </c>
      <c r="W29" s="1921">
        <f t="shared" si="13"/>
        <v>225000</v>
      </c>
      <c r="X29" s="1921">
        <f t="shared" si="14"/>
        <v>225000</v>
      </c>
      <c r="Y29" s="1921">
        <f t="shared" si="15"/>
        <v>450000</v>
      </c>
      <c r="Z29" s="2533">
        <v>20.309999999999999</v>
      </c>
    </row>
    <row r="30" spans="2:26">
      <c r="C30" s="1876" t="s">
        <v>779</v>
      </c>
      <c r="D30" s="1973">
        <f>D21*D28</f>
        <v>26680</v>
      </c>
      <c r="E30" s="1972">
        <f>E21*E28</f>
        <v>27880.000000000004</v>
      </c>
      <c r="F30" s="1879">
        <f t="shared" si="16"/>
        <v>54560</v>
      </c>
      <c r="H30" s="3244" t="s">
        <v>948</v>
      </c>
      <c r="I30" s="3232">
        <v>134</v>
      </c>
      <c r="J30" s="1932" t="s">
        <v>120</v>
      </c>
      <c r="K30" s="1922" t="s">
        <v>909</v>
      </c>
      <c r="L30" s="1929">
        <v>124</v>
      </c>
      <c r="M30" s="1929">
        <v>75</v>
      </c>
      <c r="N30" s="1923">
        <v>3.8815902546979794E-2</v>
      </c>
      <c r="O30" s="1922">
        <v>14</v>
      </c>
      <c r="P30" s="1925" t="s">
        <v>910</v>
      </c>
      <c r="Q30" s="1928">
        <v>3000</v>
      </c>
      <c r="R30" s="1928">
        <v>3000</v>
      </c>
      <c r="S30" s="1931">
        <f t="shared" si="6"/>
        <v>6000</v>
      </c>
      <c r="T30" s="1931">
        <f t="shared" si="7"/>
        <v>402000</v>
      </c>
      <c r="U30" s="1931">
        <f t="shared" si="11"/>
        <v>402000</v>
      </c>
      <c r="V30" s="1931">
        <f t="shared" si="12"/>
        <v>804000</v>
      </c>
      <c r="W30" s="1921">
        <f t="shared" si="13"/>
        <v>225000</v>
      </c>
      <c r="X30" s="1921">
        <f t="shared" si="14"/>
        <v>225000</v>
      </c>
      <c r="Y30" s="1921">
        <f t="shared" si="15"/>
        <v>450000</v>
      </c>
      <c r="Z30" s="2533">
        <v>22.49</v>
      </c>
    </row>
    <row r="31" spans="2:26">
      <c r="C31" s="1901"/>
      <c r="D31" s="1898"/>
      <c r="E31" s="1897"/>
      <c r="F31" s="1879">
        <f t="shared" si="16"/>
        <v>0</v>
      </c>
      <c r="H31" s="3244" t="s">
        <v>949</v>
      </c>
      <c r="I31" s="3232">
        <v>183</v>
      </c>
      <c r="J31" s="1932" t="s">
        <v>120</v>
      </c>
      <c r="K31" s="1922" t="s">
        <v>909</v>
      </c>
      <c r="L31" s="1929">
        <v>554.52</v>
      </c>
      <c r="M31" s="1929">
        <v>150</v>
      </c>
      <c r="N31" s="1923">
        <v>3.5339851572623393E-3</v>
      </c>
      <c r="O31" s="1922">
        <v>12</v>
      </c>
      <c r="P31" s="1925" t="s">
        <v>952</v>
      </c>
      <c r="Q31" s="1928">
        <v>200</v>
      </c>
      <c r="R31" s="1928">
        <v>200</v>
      </c>
      <c r="S31" s="1931">
        <f t="shared" si="6"/>
        <v>400</v>
      </c>
      <c r="T31" s="1931">
        <f t="shared" si="7"/>
        <v>36600</v>
      </c>
      <c r="U31" s="1931">
        <f t="shared" si="11"/>
        <v>36600</v>
      </c>
      <c r="V31" s="1931">
        <f t="shared" si="12"/>
        <v>73200</v>
      </c>
      <c r="W31" s="1921">
        <f t="shared" si="13"/>
        <v>30000</v>
      </c>
      <c r="X31" s="1921">
        <f t="shared" si="14"/>
        <v>30000</v>
      </c>
      <c r="Y31" s="1921">
        <f t="shared" si="15"/>
        <v>60000</v>
      </c>
      <c r="Z31" s="2533">
        <v>-0.38</v>
      </c>
    </row>
    <row r="32" spans="2:26">
      <c r="C32" s="1901"/>
      <c r="D32" s="1896"/>
      <c r="E32" s="1899"/>
      <c r="F32" s="1879">
        <f t="shared" si="16"/>
        <v>0</v>
      </c>
      <c r="H32" s="3244" t="s">
        <v>950</v>
      </c>
      <c r="I32" s="3232">
        <v>228</v>
      </c>
      <c r="J32" s="1932" t="s">
        <v>120</v>
      </c>
      <c r="K32" s="1922" t="s">
        <v>909</v>
      </c>
      <c r="L32" s="1929">
        <v>554.52</v>
      </c>
      <c r="M32" s="1929">
        <v>150</v>
      </c>
      <c r="N32" s="1923">
        <v>4.4029979008514391E-3</v>
      </c>
      <c r="O32" s="1922">
        <v>12</v>
      </c>
      <c r="P32" s="1925" t="s">
        <v>952</v>
      </c>
      <c r="Q32" s="1928">
        <v>200</v>
      </c>
      <c r="R32" s="1928">
        <v>200</v>
      </c>
      <c r="S32" s="1931">
        <f t="shared" si="6"/>
        <v>400</v>
      </c>
      <c r="T32" s="1931">
        <f t="shared" si="7"/>
        <v>45600</v>
      </c>
      <c r="U32" s="1931">
        <f t="shared" si="11"/>
        <v>45600</v>
      </c>
      <c r="V32" s="1931">
        <f t="shared" si="12"/>
        <v>91200</v>
      </c>
      <c r="W32" s="1921">
        <f t="shared" si="13"/>
        <v>30000</v>
      </c>
      <c r="X32" s="1921">
        <f t="shared" si="14"/>
        <v>30000</v>
      </c>
      <c r="Y32" s="1921">
        <f t="shared" si="15"/>
        <v>60000</v>
      </c>
      <c r="Z32" s="2533">
        <v>5.21</v>
      </c>
    </row>
    <row r="33" spans="1:26">
      <c r="C33" s="1952"/>
      <c r="D33" s="1958"/>
      <c r="E33" s="1955"/>
      <c r="F33" s="1958"/>
      <c r="H33" s="3245" t="s">
        <v>1680</v>
      </c>
      <c r="I33" s="3232">
        <v>809</v>
      </c>
      <c r="J33" s="1932" t="s">
        <v>120</v>
      </c>
      <c r="K33" s="1922" t="s">
        <v>909</v>
      </c>
      <c r="L33" s="1929">
        <v>650</v>
      </c>
      <c r="M33" s="1929">
        <v>650</v>
      </c>
      <c r="N33" s="1923">
        <v>7.8114589951509092E-2</v>
      </c>
      <c r="O33" s="1922">
        <v>11</v>
      </c>
      <c r="P33" s="1925" t="s">
        <v>910</v>
      </c>
      <c r="Q33" s="1928">
        <v>1000</v>
      </c>
      <c r="R33" s="1928">
        <v>1000</v>
      </c>
      <c r="S33" s="1931">
        <f t="shared" si="6"/>
        <v>2000</v>
      </c>
      <c r="T33" s="1931">
        <f t="shared" si="7"/>
        <v>809000</v>
      </c>
      <c r="U33" s="1931">
        <f t="shared" si="11"/>
        <v>809000</v>
      </c>
      <c r="V33" s="1931">
        <f t="shared" si="12"/>
        <v>1618000</v>
      </c>
      <c r="W33" s="1921">
        <f t="shared" si="13"/>
        <v>650000</v>
      </c>
      <c r="X33" s="1921">
        <f t="shared" si="14"/>
        <v>650000</v>
      </c>
      <c r="Y33" s="1921">
        <f t="shared" si="15"/>
        <v>1300000</v>
      </c>
      <c r="Z33" s="2533">
        <v>6.37</v>
      </c>
    </row>
    <row r="34" spans="1:26">
      <c r="A34" s="1852" t="s">
        <v>68</v>
      </c>
      <c r="C34" s="1910" t="s">
        <v>49</v>
      </c>
      <c r="D34" s="1911">
        <f>SUM(D35:D38)</f>
        <v>388869.36</v>
      </c>
      <c r="E34" s="1926">
        <f>SUM(E35:E38)</f>
        <v>388869.37</v>
      </c>
      <c r="F34" s="2157">
        <f>D34+E34</f>
        <v>777738.73</v>
      </c>
      <c r="H34" s="3246" t="s">
        <v>1681</v>
      </c>
      <c r="I34" s="3232">
        <v>65</v>
      </c>
      <c r="J34" s="1932" t="s">
        <v>120</v>
      </c>
      <c r="K34" s="1922" t="s">
        <v>909</v>
      </c>
      <c r="L34" s="1929">
        <v>0</v>
      </c>
      <c r="M34" s="1929">
        <v>25</v>
      </c>
      <c r="N34" s="1923">
        <v>1.2552406296286999E-2</v>
      </c>
      <c r="O34" s="1922">
        <v>14</v>
      </c>
      <c r="P34" s="1925" t="s">
        <v>910</v>
      </c>
      <c r="Q34" s="1928">
        <v>1930</v>
      </c>
      <c r="R34" s="1928">
        <v>1930</v>
      </c>
      <c r="S34" s="1931">
        <f t="shared" si="6"/>
        <v>3860</v>
      </c>
      <c r="T34" s="1931">
        <f t="shared" si="7"/>
        <v>125450</v>
      </c>
      <c r="U34" s="1931">
        <f t="shared" si="11"/>
        <v>125450</v>
      </c>
      <c r="V34" s="1931">
        <f t="shared" si="12"/>
        <v>250900</v>
      </c>
      <c r="W34" s="1921">
        <f t="shared" si="13"/>
        <v>48250</v>
      </c>
      <c r="X34" s="1921">
        <f t="shared" si="14"/>
        <v>48250</v>
      </c>
      <c r="Y34" s="1921">
        <f t="shared" si="15"/>
        <v>96500</v>
      </c>
      <c r="Z34" s="2533">
        <v>6.37</v>
      </c>
    </row>
    <row r="35" spans="1:26">
      <c r="A35" s="1808" t="s">
        <v>291</v>
      </c>
      <c r="C35" s="1876" t="s">
        <v>887</v>
      </c>
      <c r="D35" s="1971">
        <v>166119.35999999999</v>
      </c>
      <c r="E35" s="1988">
        <v>166119.37</v>
      </c>
      <c r="F35" s="1879">
        <f t="shared" ref="F35:F38" si="17">SUM(D35:E35)</f>
        <v>332238.73</v>
      </c>
      <c r="H35" s="3244" t="s">
        <v>951</v>
      </c>
      <c r="I35" s="3232">
        <v>23</v>
      </c>
      <c r="J35" s="1932" t="s">
        <v>120</v>
      </c>
      <c r="K35" s="1922" t="s">
        <v>909</v>
      </c>
      <c r="L35" s="1929">
        <v>41</v>
      </c>
      <c r="M35" s="1929">
        <v>25</v>
      </c>
      <c r="N35" s="1923">
        <v>2.3946128934455196E-4</v>
      </c>
      <c r="O35" s="1922">
        <v>22</v>
      </c>
      <c r="P35" s="1925" t="s">
        <v>953</v>
      </c>
      <c r="Q35" s="1928">
        <v>100</v>
      </c>
      <c r="R35" s="1928">
        <v>100</v>
      </c>
      <c r="S35" s="1931">
        <f t="shared" si="6"/>
        <v>200</v>
      </c>
      <c r="T35" s="1931">
        <f t="shared" si="7"/>
        <v>2300</v>
      </c>
      <c r="U35" s="1931">
        <f t="shared" si="11"/>
        <v>2300</v>
      </c>
      <c r="V35" s="1931">
        <f t="shared" si="12"/>
        <v>4600</v>
      </c>
      <c r="W35" s="1921">
        <f t="shared" si="13"/>
        <v>2500</v>
      </c>
      <c r="X35" s="1921">
        <f t="shared" si="14"/>
        <v>2500</v>
      </c>
      <c r="Y35" s="1921">
        <f t="shared" si="15"/>
        <v>5000</v>
      </c>
      <c r="Z35" s="2533">
        <v>0</v>
      </c>
    </row>
    <row r="36" spans="1:26">
      <c r="A36" s="1852" t="s">
        <v>6</v>
      </c>
      <c r="C36" s="1876" t="s">
        <v>955</v>
      </c>
      <c r="D36" s="1971">
        <v>222750</v>
      </c>
      <c r="E36" s="1988">
        <v>222750</v>
      </c>
      <c r="F36" s="1879">
        <f t="shared" si="17"/>
        <v>445500</v>
      </c>
      <c r="H36" s="2544"/>
      <c r="I36" s="2545"/>
      <c r="J36" s="1932"/>
      <c r="K36" s="1922"/>
      <c r="L36" s="1929"/>
      <c r="M36" s="1929"/>
      <c r="N36" s="1923"/>
      <c r="O36" s="1922"/>
      <c r="P36" s="1925"/>
      <c r="Q36" s="1928"/>
      <c r="R36" s="1928"/>
      <c r="S36" s="1931">
        <f t="shared" si="6"/>
        <v>0</v>
      </c>
      <c r="T36" s="1931">
        <f t="shared" si="7"/>
        <v>0</v>
      </c>
      <c r="U36" s="1931">
        <f t="shared" si="8"/>
        <v>0</v>
      </c>
      <c r="V36" s="1931">
        <f t="shared" si="9"/>
        <v>0</v>
      </c>
      <c r="W36" s="1921">
        <f t="shared" si="3"/>
        <v>0</v>
      </c>
      <c r="X36" s="1921">
        <f t="shared" si="4"/>
        <v>0</v>
      </c>
      <c r="Y36" s="1921">
        <f t="shared" si="5"/>
        <v>0</v>
      </c>
      <c r="Z36" s="2533"/>
    </row>
    <row r="37" spans="1:26">
      <c r="A37" s="1852">
        <v>18230434</v>
      </c>
      <c r="C37" s="1876"/>
      <c r="D37" s="1971"/>
      <c r="E37" s="1988"/>
      <c r="F37" s="1879">
        <f t="shared" si="17"/>
        <v>0</v>
      </c>
      <c r="H37" s="2544"/>
      <c r="I37" s="2545"/>
      <c r="J37" s="1932"/>
      <c r="K37" s="1922"/>
      <c r="L37" s="1929"/>
      <c r="M37" s="1929"/>
      <c r="N37" s="1923"/>
      <c r="O37" s="1922"/>
      <c r="P37" s="1925"/>
      <c r="Q37" s="1928"/>
      <c r="R37" s="1928"/>
      <c r="S37" s="1931"/>
      <c r="T37" s="1931"/>
      <c r="U37" s="1931"/>
      <c r="V37" s="1931"/>
      <c r="W37" s="1921"/>
      <c r="X37" s="1921"/>
      <c r="Y37" s="1921"/>
      <c r="Z37" s="2533"/>
    </row>
    <row r="38" spans="1:26">
      <c r="A38" s="1808" t="s">
        <v>5</v>
      </c>
      <c r="C38" s="1876"/>
      <c r="D38" s="1971"/>
      <c r="E38" s="1988"/>
      <c r="F38" s="1879">
        <f t="shared" si="17"/>
        <v>0</v>
      </c>
      <c r="H38" s="2544"/>
      <c r="I38" s="2545"/>
      <c r="J38" s="1932"/>
      <c r="K38" s="1922"/>
      <c r="L38" s="1929"/>
      <c r="M38" s="1929"/>
      <c r="N38" s="1923"/>
      <c r="O38" s="1922"/>
      <c r="P38" s="1925"/>
      <c r="Q38" s="1928"/>
      <c r="R38" s="1928"/>
      <c r="S38" s="1931">
        <f t="shared" si="6"/>
        <v>0</v>
      </c>
      <c r="T38" s="1931">
        <f t="shared" si="7"/>
        <v>0</v>
      </c>
      <c r="U38" s="1931">
        <f t="shared" si="8"/>
        <v>0</v>
      </c>
      <c r="V38" s="1931">
        <f t="shared" si="9"/>
        <v>0</v>
      </c>
      <c r="W38" s="1921">
        <f t="shared" si="3"/>
        <v>0</v>
      </c>
      <c r="X38" s="1921">
        <f t="shared" si="4"/>
        <v>0</v>
      </c>
      <c r="Y38" s="1921">
        <f t="shared" si="5"/>
        <v>0</v>
      </c>
      <c r="Z38" s="2533"/>
    </row>
    <row r="39" spans="1:26">
      <c r="C39" s="1952"/>
      <c r="D39" s="1958"/>
      <c r="E39" s="1955"/>
      <c r="F39" s="1958"/>
      <c r="H39" s="2544"/>
      <c r="I39" s="2545"/>
      <c r="J39" s="1932"/>
      <c r="K39" s="1922"/>
      <c r="L39" s="1929"/>
      <c r="M39" s="1929"/>
      <c r="N39" s="1923"/>
      <c r="O39" s="1922"/>
      <c r="P39" s="1925"/>
      <c r="Q39" s="1928"/>
      <c r="R39" s="1928"/>
      <c r="S39" s="1931">
        <f t="shared" si="6"/>
        <v>0</v>
      </c>
      <c r="T39" s="1931">
        <f t="shared" si="7"/>
        <v>0</v>
      </c>
      <c r="U39" s="1931">
        <f t="shared" si="8"/>
        <v>0</v>
      </c>
      <c r="V39" s="1931">
        <f t="shared" si="9"/>
        <v>0</v>
      </c>
      <c r="W39" s="1921">
        <f t="shared" si="3"/>
        <v>0</v>
      </c>
      <c r="X39" s="1921">
        <f t="shared" si="4"/>
        <v>0</v>
      </c>
      <c r="Y39" s="1921">
        <f t="shared" si="5"/>
        <v>0</v>
      </c>
      <c r="Z39" s="2533"/>
    </row>
    <row r="40" spans="1:26">
      <c r="C40" s="2106" t="s">
        <v>506</v>
      </c>
      <c r="D40" s="1911">
        <f>SUM(D41:D44)</f>
        <v>6000</v>
      </c>
      <c r="E40" s="1926">
        <f>SUM(E41:E44)</f>
        <v>6000</v>
      </c>
      <c r="F40" s="2157">
        <f>D40+E40</f>
        <v>12000</v>
      </c>
      <c r="H40" s="2544"/>
      <c r="I40" s="2545"/>
      <c r="J40" s="1932"/>
      <c r="K40" s="1922"/>
      <c r="L40" s="1929"/>
      <c r="M40" s="1929"/>
      <c r="N40" s="1923"/>
      <c r="O40" s="1922"/>
      <c r="P40" s="1925"/>
      <c r="Q40" s="1928"/>
      <c r="R40" s="1928"/>
      <c r="S40" s="1931">
        <f t="shared" si="6"/>
        <v>0</v>
      </c>
      <c r="T40" s="1931">
        <f t="shared" si="7"/>
        <v>0</v>
      </c>
      <c r="U40" s="1931">
        <f t="shared" si="8"/>
        <v>0</v>
      </c>
      <c r="V40" s="1931">
        <f t="shared" si="9"/>
        <v>0</v>
      </c>
      <c r="W40" s="1921">
        <f t="shared" si="3"/>
        <v>0</v>
      </c>
      <c r="X40" s="1921">
        <f t="shared" si="4"/>
        <v>0</v>
      </c>
      <c r="Y40" s="1921">
        <f t="shared" si="5"/>
        <v>0</v>
      </c>
      <c r="Z40" s="2533"/>
    </row>
    <row r="41" spans="1:26">
      <c r="C41" s="1876" t="s">
        <v>935</v>
      </c>
      <c r="D41" s="1971">
        <v>6000</v>
      </c>
      <c r="E41" s="1988">
        <v>6000</v>
      </c>
      <c r="F41" s="1879">
        <f t="shared" ref="F41:F44" si="18">SUM(D41:E41)</f>
        <v>12000</v>
      </c>
      <c r="H41" s="1922"/>
      <c r="I41" s="1928"/>
      <c r="J41" s="1932"/>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8"/>
        <v>0</v>
      </c>
      <c r="H42" s="1922"/>
      <c r="I42" s="1928"/>
      <c r="J42" s="1932"/>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8"/>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8"/>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550000</v>
      </c>
      <c r="E46" s="1926">
        <f>SUM(E47:E50)</f>
        <v>550000</v>
      </c>
      <c r="F46" s="2157">
        <f>D46+E46</f>
        <v>1100000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891</v>
      </c>
      <c r="D47" s="1971">
        <v>250000</v>
      </c>
      <c r="E47" s="1988">
        <v>250000</v>
      </c>
      <c r="F47" s="1879">
        <f t="shared" ref="F47:F50" si="19">SUM(D47:E47)</f>
        <v>500000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890</v>
      </c>
      <c r="D48" s="1971">
        <v>300000</v>
      </c>
      <c r="E48" s="1988">
        <v>300000</v>
      </c>
      <c r="F48" s="1879">
        <f t="shared" si="19"/>
        <v>600000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9"/>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9"/>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28000</v>
      </c>
      <c r="E52" s="1926">
        <f>SUM(E53:E56)</f>
        <v>28000</v>
      </c>
      <c r="F52" s="2157">
        <f>D52+E52</f>
        <v>56000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28000</v>
      </c>
      <c r="E53" s="1972">
        <v>28000</v>
      </c>
      <c r="F53" s="1879">
        <f t="shared" ref="F53:F56" si="20">SUM(D53:E53)</f>
        <v>56000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0"/>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0"/>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0"/>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7500</v>
      </c>
      <c r="E58" s="1926">
        <f>SUM(E59:E62)</f>
        <v>7500</v>
      </c>
      <c r="F58" s="2157">
        <f>D58+E58</f>
        <v>15000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7500</v>
      </c>
      <c r="E59" s="1988">
        <v>7500</v>
      </c>
      <c r="F59" s="1879">
        <f t="shared" ref="F59:F62" si="21">SUM(D59:E59)</f>
        <v>15000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68</v>
      </c>
      <c r="C64" s="1910" t="s">
        <v>53</v>
      </c>
      <c r="D64" s="1911">
        <f>W15</f>
        <v>4572765</v>
      </c>
      <c r="E64" s="1926">
        <f>X15</f>
        <v>4572765</v>
      </c>
      <c r="F64" s="1924">
        <f>D64+E64</f>
        <v>9145530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0.78938625019743203</v>
      </c>
      <c r="E65" s="2616">
        <f>E64/E12</f>
        <v>0.78831024621985268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18230434</v>
      </c>
      <c r="C67" s="1959" t="s">
        <v>54</v>
      </c>
      <c r="D67" s="1971">
        <v>0</v>
      </c>
      <c r="E67" s="1971">
        <v>0</v>
      </c>
      <c r="F67" s="1956">
        <v>0</v>
      </c>
    </row>
    <row r="68" spans="1:26">
      <c r="A68" s="1808" t="s">
        <v>5</v>
      </c>
    </row>
  </sheetData>
  <customSheetViews>
    <customSheetView guid="{074EB09C-6289-46D7-9513-012B68BCA7BF}" showGridLines="0">
      <pane xSplit="1" ySplit="1" topLeftCell="P2" activePane="bottomRight" state="frozen"/>
      <selection pane="bottomRight" activeCell="T16" sqref="T16"/>
      <pageMargins left="0.2" right="0.18" top="0.32" bottom="0.37" header="0.3" footer="0.3"/>
      <pageSetup paperSize="17" scale="46" orientation="landscape" r:id="rId1"/>
    </customSheetView>
    <customSheetView guid="{D9EFFE19-D14B-4C6F-BDF4-FF696F73968D}" scale="85" showGridLines="0">
      <pane xSplit="1" ySplit="1" topLeftCell="B2" activePane="bottomRight" state="frozen"/>
      <selection pane="bottomRight" activeCell="E6" sqref="E6"/>
      <pageMargins left="0.2" right="0.18" top="0.32" bottom="0.37"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 right="0.18" top="0.32" bottom="0.37" header="0.3" footer="0.3"/>
  <pageSetup paperSize="17" scale="46" orientation="landscape" r:id="rId3"/>
  <ignoredErrors>
    <ignoredError sqref="R7" formula="1"/>
  </ignoredError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8DB4E2"/>
  </sheetPr>
  <dimension ref="A1:Z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5703125" style="1164" customWidth="1"/>
    <col min="2" max="2" width="16.85546875" style="1866" customWidth="1"/>
    <col min="3" max="3" width="28.85546875" customWidth="1"/>
    <col min="4" max="4" width="24.42578125" customWidth="1"/>
    <col min="5" max="5" width="17.28515625" style="9" customWidth="1"/>
    <col min="6" max="7" width="17.285156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4.42578125" customWidth="1"/>
    <col min="25" max="25" width="14.570312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7.75" customHeight="1" thickBot="1">
      <c r="C1" s="1853" t="s">
        <v>187</v>
      </c>
      <c r="D1" s="1812" t="s">
        <v>291</v>
      </c>
      <c r="E1" s="1853" t="s">
        <v>6</v>
      </c>
      <c r="F1" s="1853">
        <v>18230435</v>
      </c>
      <c r="G1" s="1812" t="s">
        <v>5</v>
      </c>
      <c r="J1" s="1812"/>
      <c r="K1" s="1812"/>
      <c r="L1" s="1812"/>
      <c r="M1" s="1853" t="s">
        <v>187</v>
      </c>
      <c r="N1" s="1812" t="s">
        <v>291</v>
      </c>
      <c r="O1" s="1853" t="s">
        <v>6</v>
      </c>
      <c r="P1" s="1853">
        <v>18230435</v>
      </c>
      <c r="Q1" s="1812" t="s">
        <v>5</v>
      </c>
      <c r="V1" s="1853" t="s">
        <v>187</v>
      </c>
      <c r="W1" s="1812" t="s">
        <v>291</v>
      </c>
      <c r="X1" s="1853" t="s">
        <v>6</v>
      </c>
      <c r="Y1" s="1853">
        <v>18230435</v>
      </c>
      <c r="Z1" s="1812" t="s">
        <v>5</v>
      </c>
    </row>
    <row r="2" spans="1:26" ht="16.5" thickBot="1">
      <c r="C2" s="45"/>
      <c r="D2" s="46"/>
      <c r="H2" s="1576" t="s">
        <v>674</v>
      </c>
      <c r="R2" s="3596"/>
      <c r="S2" s="3596"/>
      <c r="T2" s="3597" t="s">
        <v>36</v>
      </c>
      <c r="U2" s="3598"/>
      <c r="V2" s="3599"/>
      <c r="W2" s="3594" t="s">
        <v>37</v>
      </c>
    </row>
    <row r="3" spans="1:26" ht="26.25" thickBot="1">
      <c r="A3" s="1852" t="s">
        <v>187</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45000</v>
      </c>
      <c r="I4" s="2002">
        <v>13500</v>
      </c>
      <c r="J4" s="2002">
        <v>41360</v>
      </c>
      <c r="K4" s="2002">
        <v>65000</v>
      </c>
      <c r="L4" s="2002">
        <v>1000</v>
      </c>
      <c r="M4" s="2002">
        <v>40000</v>
      </c>
      <c r="N4" s="2002">
        <v>1000</v>
      </c>
      <c r="O4" s="2002">
        <v>500</v>
      </c>
      <c r="P4" s="2002">
        <v>367350</v>
      </c>
      <c r="Q4" s="2002">
        <v>0</v>
      </c>
      <c r="R4" s="2000">
        <v>574710</v>
      </c>
      <c r="S4" s="1998" t="s">
        <v>675</v>
      </c>
      <c r="T4" s="65">
        <f>P4/R4</f>
        <v>0.63919194028292525</v>
      </c>
      <c r="U4" s="65">
        <f>(K4+(I4*1.63))/R4</f>
        <v>0.1513893963912234</v>
      </c>
      <c r="V4" s="65">
        <f>M4/R4</f>
        <v>6.9600320161472745E-2</v>
      </c>
      <c r="W4" s="52" t="e">
        <f>R4/S4</f>
        <v>#VALUE!</v>
      </c>
    </row>
    <row r="5" spans="1:26" ht="16.5" thickBot="1">
      <c r="A5" s="1852" t="s">
        <v>6</v>
      </c>
      <c r="B5" s="1852"/>
      <c r="C5" s="45"/>
      <c r="G5" s="45">
        <v>2016</v>
      </c>
      <c r="H5" s="1582">
        <f>D15</f>
        <v>32430.300000000003</v>
      </c>
      <c r="I5" s="1549">
        <f>D21</f>
        <v>4800</v>
      </c>
      <c r="J5" s="1549">
        <f>D27</f>
        <v>24832.610100000005</v>
      </c>
      <c r="K5" s="1549">
        <f>D34</f>
        <v>83990.93</v>
      </c>
      <c r="L5" s="1549">
        <f>D40</f>
        <v>1000</v>
      </c>
      <c r="M5" s="1549">
        <f>D46</f>
        <v>40000</v>
      </c>
      <c r="N5" s="1549">
        <f>D52</f>
        <v>1000</v>
      </c>
      <c r="O5" s="1549">
        <f>D58</f>
        <v>500</v>
      </c>
      <c r="P5" s="1549">
        <f>D64</f>
        <v>463575</v>
      </c>
      <c r="Q5" s="1549">
        <f>D67</f>
        <v>0</v>
      </c>
      <c r="R5" s="2001">
        <f>SUM(H5:Q5)</f>
        <v>652128.84010000003</v>
      </c>
      <c r="S5" s="1999">
        <f>T15</f>
        <v>4775738</v>
      </c>
      <c r="T5" s="66">
        <f>P5/R5</f>
        <v>0.71086412913269337</v>
      </c>
      <c r="U5" s="66">
        <f>(K5+(I5*1.63))/R5</f>
        <v>0.14079262310484647</v>
      </c>
      <c r="V5" s="66">
        <f>M5/R5</f>
        <v>6.1337572486237904E-2</v>
      </c>
      <c r="W5" s="56">
        <f>R5/S5</f>
        <v>0.13655038029724412</v>
      </c>
    </row>
    <row r="6" spans="1:26" ht="16.5" thickBot="1">
      <c r="A6" s="1852">
        <v>18230435</v>
      </c>
      <c r="B6" s="1852"/>
      <c r="D6" s="45"/>
      <c r="G6" s="45">
        <v>2017</v>
      </c>
      <c r="H6" s="57">
        <f>E15</f>
        <v>33234.9</v>
      </c>
      <c r="I6" s="1990">
        <f>E21</f>
        <v>4920</v>
      </c>
      <c r="J6" s="1989">
        <f>E27</f>
        <v>25945.332000000002</v>
      </c>
      <c r="K6" s="58">
        <f>E34</f>
        <v>83990.93</v>
      </c>
      <c r="L6" s="58">
        <f>E40</f>
        <v>1000</v>
      </c>
      <c r="M6" s="58">
        <f>E46</f>
        <v>40000</v>
      </c>
      <c r="N6" s="58">
        <f>E52</f>
        <v>1000</v>
      </c>
      <c r="O6" s="58">
        <f>E58</f>
        <v>500</v>
      </c>
      <c r="P6" s="58">
        <f>E64</f>
        <v>465575</v>
      </c>
      <c r="Q6" s="58">
        <f>E67</f>
        <v>0</v>
      </c>
      <c r="R6" s="1997">
        <f>SUM(H6:Q6)</f>
        <v>656166.16200000001</v>
      </c>
      <c r="S6" s="1996">
        <f>U15</f>
        <v>4804738</v>
      </c>
      <c r="T6" s="66">
        <f>P6/R6</f>
        <v>0.70953826479092352</v>
      </c>
      <c r="U6" s="66">
        <f>(K6+(I6*1.63))/R6</f>
        <v>0.14022443601716847</v>
      </c>
      <c r="V6" s="66">
        <f>M6/R6</f>
        <v>6.096016880553496E-2</v>
      </c>
      <c r="W6" s="56">
        <f>R6/S6</f>
        <v>0.13656648125246371</v>
      </c>
    </row>
    <row r="7" spans="1:26" ht="16.5" thickBot="1">
      <c r="A7" s="1808" t="s">
        <v>5</v>
      </c>
      <c r="B7" s="1808"/>
      <c r="C7" s="1866"/>
      <c r="D7" s="1592"/>
      <c r="E7" s="1867"/>
      <c r="F7" s="1866"/>
      <c r="G7" s="1608" t="s">
        <v>23</v>
      </c>
      <c r="H7" s="1564">
        <f>SUM(H5:H6)</f>
        <v>65665.200000000012</v>
      </c>
      <c r="I7" s="1991">
        <f t="shared" ref="I7:Q7" si="0">SUM(I5:I6)</f>
        <v>9720</v>
      </c>
      <c r="J7" s="1992">
        <f t="shared" si="0"/>
        <v>50777.942100000007</v>
      </c>
      <c r="K7" s="1993">
        <f t="shared" si="0"/>
        <v>167981.86</v>
      </c>
      <c r="L7" s="1991">
        <f t="shared" si="0"/>
        <v>2000</v>
      </c>
      <c r="M7" s="1992">
        <f t="shared" si="0"/>
        <v>80000</v>
      </c>
      <c r="N7" s="1991">
        <f t="shared" si="0"/>
        <v>2000</v>
      </c>
      <c r="O7" s="1992">
        <f t="shared" si="0"/>
        <v>1000</v>
      </c>
      <c r="P7" s="1993">
        <f t="shared" si="0"/>
        <v>929150</v>
      </c>
      <c r="Q7" s="1991">
        <f t="shared" si="0"/>
        <v>0</v>
      </c>
      <c r="R7" s="1993">
        <f>SUM(H7:Q7)</f>
        <v>1308295.0021000002</v>
      </c>
      <c r="S7" s="1994">
        <f>SUM(S5:S6)</f>
        <v>9580476</v>
      </c>
      <c r="T7" s="66">
        <f>P7/R7</f>
        <v>0.71019915119188082</v>
      </c>
      <c r="U7" s="66">
        <f>(K7+(I7*1.63))/R7</f>
        <v>0.14050765286493788</v>
      </c>
      <c r="V7" s="66">
        <f>M7/R7</f>
        <v>6.1148288323037682E-2</v>
      </c>
      <c r="W7" s="56">
        <f>R7/S7</f>
        <v>0.13655845514356491</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652128.84010000003</v>
      </c>
      <c r="E12" s="1948">
        <f>E15+E21+E27+E34+E40+E46+E52+E58+E64</f>
        <v>656166.16200000001</v>
      </c>
      <c r="F12" s="1924">
        <f>D12+E12</f>
        <v>1308295.0021000002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32430.300000000003</v>
      </c>
      <c r="E15" s="1926">
        <f>SUM(E16:E19)</f>
        <v>33234.9</v>
      </c>
      <c r="F15" s="1924">
        <f>D15+E15</f>
        <v>65665.200000000012</v>
      </c>
      <c r="H15" s="1938" t="s">
        <v>327</v>
      </c>
      <c r="I15" s="1939"/>
      <c r="J15" s="1939"/>
      <c r="K15" s="1940"/>
      <c r="L15" s="1941">
        <f>SUMPRODUCT(L16:L128,S16:S128)</f>
        <v>1945300</v>
      </c>
      <c r="M15" s="1941">
        <f>SUM(M16:M128)</f>
        <v>145.39999999999998</v>
      </c>
      <c r="N15" s="1942">
        <f>SUM(N16:N24)</f>
        <v>0.80345474056042443</v>
      </c>
      <c r="O15" s="1940" t="s">
        <v>328</v>
      </c>
      <c r="P15" s="1940"/>
      <c r="Q15" s="1940"/>
      <c r="R15" s="1940"/>
      <c r="S15" s="1940"/>
      <c r="T15" s="1943">
        <f t="shared" ref="T15:Y15" si="1">SUM(T16:T65)</f>
        <v>4775738</v>
      </c>
      <c r="U15" s="1943">
        <f t="shared" si="1"/>
        <v>4804738</v>
      </c>
      <c r="V15" s="1943">
        <f t="shared" si="1"/>
        <v>9580476</v>
      </c>
      <c r="W15" s="1941">
        <f t="shared" si="1"/>
        <v>463575</v>
      </c>
      <c r="X15" s="1941">
        <f t="shared" si="1"/>
        <v>465575</v>
      </c>
      <c r="Y15" s="1941">
        <f t="shared" si="1"/>
        <v>929150</v>
      </c>
      <c r="Z15" s="1945">
        <v>0</v>
      </c>
    </row>
    <row r="16" spans="1:26">
      <c r="B16" s="1885">
        <v>0.25</v>
      </c>
      <c r="C16" s="1876" t="s">
        <v>793</v>
      </c>
      <c r="D16" s="1907">
        <v>23164.5</v>
      </c>
      <c r="E16" s="1906">
        <v>23743.5</v>
      </c>
      <c r="F16" s="1879">
        <f>SUM(D16:E16)</f>
        <v>46908</v>
      </c>
      <c r="H16" s="3247" t="s">
        <v>1682</v>
      </c>
      <c r="I16" s="3232">
        <v>131</v>
      </c>
      <c r="J16" s="1932" t="s">
        <v>120</v>
      </c>
      <c r="K16" s="1922" t="s">
        <v>909</v>
      </c>
      <c r="L16" s="1929">
        <v>30</v>
      </c>
      <c r="M16" s="1929">
        <v>10</v>
      </c>
      <c r="N16" s="1923">
        <v>0</v>
      </c>
      <c r="O16" s="1922">
        <v>10</v>
      </c>
      <c r="P16" s="1925" t="s">
        <v>910</v>
      </c>
      <c r="Q16" s="1928">
        <v>0</v>
      </c>
      <c r="R16" s="1928">
        <v>0</v>
      </c>
      <c r="S16" s="1931">
        <f>SUM(Q16:R16)</f>
        <v>0</v>
      </c>
      <c r="T16" s="1931">
        <f>Q16*I16</f>
        <v>0</v>
      </c>
      <c r="U16" s="1931">
        <f>R16*I16</f>
        <v>0</v>
      </c>
      <c r="V16" s="1931">
        <f>SUM(T16:U16)</f>
        <v>0</v>
      </c>
      <c r="W16" s="1921">
        <f>Q16*M16</f>
        <v>0</v>
      </c>
      <c r="X16" s="1921">
        <f>R16*M16</f>
        <v>0</v>
      </c>
      <c r="Y16" s="1921">
        <f>SUM(W16:X16)</f>
        <v>0</v>
      </c>
      <c r="Z16" s="1946">
        <v>18.010000000000002</v>
      </c>
    </row>
    <row r="17" spans="2:26">
      <c r="B17" s="1885">
        <v>0.05</v>
      </c>
      <c r="C17" s="1876" t="s">
        <v>794</v>
      </c>
      <c r="D17" s="1905">
        <v>4632.8999999999996</v>
      </c>
      <c r="E17" s="1904">
        <v>4745.7</v>
      </c>
      <c r="F17" s="1879">
        <f t="shared" ref="F17:F19" si="2">SUM(D17:E17)</f>
        <v>9378.5999999999985</v>
      </c>
      <c r="H17" s="3244" t="s">
        <v>894</v>
      </c>
      <c r="I17" s="3232">
        <v>103</v>
      </c>
      <c r="J17" s="1932" t="s">
        <v>120</v>
      </c>
      <c r="K17" s="1922" t="s">
        <v>909</v>
      </c>
      <c r="L17" s="1929">
        <v>11.5</v>
      </c>
      <c r="M17" s="1929">
        <v>11.5</v>
      </c>
      <c r="N17" s="1923">
        <v>1.0751700438836394E-2</v>
      </c>
      <c r="O17" s="1922">
        <v>10</v>
      </c>
      <c r="P17" s="1925" t="s">
        <v>910</v>
      </c>
      <c r="Q17" s="1928">
        <v>500</v>
      </c>
      <c r="R17" s="1928">
        <v>500</v>
      </c>
      <c r="S17" s="1931">
        <f>SUM(Q17:R17)</f>
        <v>1000</v>
      </c>
      <c r="T17" s="1931">
        <f>Q17*I17</f>
        <v>51500</v>
      </c>
      <c r="U17" s="1931">
        <f t="shared" ref="U17:U24" si="3">R17*I17</f>
        <v>51500</v>
      </c>
      <c r="V17" s="1931">
        <f t="shared" ref="V17:V24" si="4">SUM(T17:U17)</f>
        <v>103000</v>
      </c>
      <c r="W17" s="1921">
        <f t="shared" ref="W17:W24" si="5">Q17*M17</f>
        <v>5750</v>
      </c>
      <c r="X17" s="1921">
        <f t="shared" ref="X17:X24" si="6">R17*M17</f>
        <v>5750</v>
      </c>
      <c r="Y17" s="1921">
        <f t="shared" ref="Y17:Y24" si="7">SUM(W17:X17)</f>
        <v>11500</v>
      </c>
      <c r="Z17" s="1946">
        <v>10.26</v>
      </c>
    </row>
    <row r="18" spans="2:26">
      <c r="B18" s="1885">
        <v>0.05</v>
      </c>
      <c r="C18" s="2197" t="s">
        <v>791</v>
      </c>
      <c r="D18" s="1905">
        <v>4632.8999999999996</v>
      </c>
      <c r="E18" s="1904">
        <v>4745.7</v>
      </c>
      <c r="F18" s="1879">
        <f t="shared" si="2"/>
        <v>9378.5999999999985</v>
      </c>
      <c r="H18" s="3244" t="s">
        <v>895</v>
      </c>
      <c r="I18" s="3232">
        <v>125</v>
      </c>
      <c r="J18" s="1932" t="s">
        <v>120</v>
      </c>
      <c r="K18" s="1922" t="s">
        <v>909</v>
      </c>
      <c r="L18" s="1929">
        <v>10</v>
      </c>
      <c r="M18" s="1929">
        <v>10</v>
      </c>
      <c r="N18" s="1923">
        <v>1.3048180144218926E-2</v>
      </c>
      <c r="O18" s="1922">
        <v>10</v>
      </c>
      <c r="P18" s="1925" t="s">
        <v>910</v>
      </c>
      <c r="Q18" s="1928">
        <v>500</v>
      </c>
      <c r="R18" s="1928">
        <v>500</v>
      </c>
      <c r="S18" s="1931">
        <f t="shared" ref="S18:S24" si="8">SUM(Q18:R18)</f>
        <v>1000</v>
      </c>
      <c r="T18" s="1931">
        <f t="shared" ref="T18:T24" si="9">Q18*I18</f>
        <v>62500</v>
      </c>
      <c r="U18" s="1931">
        <f t="shared" si="3"/>
        <v>62500</v>
      </c>
      <c r="V18" s="1931">
        <f t="shared" si="4"/>
        <v>125000</v>
      </c>
      <c r="W18" s="1921">
        <f t="shared" si="5"/>
        <v>5000</v>
      </c>
      <c r="X18" s="1921">
        <f t="shared" si="6"/>
        <v>5000</v>
      </c>
      <c r="Y18" s="1921">
        <f t="shared" si="7"/>
        <v>10000</v>
      </c>
      <c r="Z18" s="1946">
        <v>20.53</v>
      </c>
    </row>
    <row r="19" spans="2:26">
      <c r="B19" s="1885"/>
      <c r="C19" s="1876"/>
      <c r="D19" s="1903"/>
      <c r="E19" s="1902"/>
      <c r="F19" s="1879">
        <f t="shared" si="2"/>
        <v>0</v>
      </c>
      <c r="H19" s="3244" t="s">
        <v>896</v>
      </c>
      <c r="I19" s="3232">
        <v>122</v>
      </c>
      <c r="J19" s="1932" t="s">
        <v>120</v>
      </c>
      <c r="K19" s="1922" t="s">
        <v>909</v>
      </c>
      <c r="L19" s="1929">
        <v>24</v>
      </c>
      <c r="M19" s="1929">
        <v>11</v>
      </c>
      <c r="N19" s="1923">
        <v>0.42025578608500314</v>
      </c>
      <c r="O19" s="1922">
        <v>10</v>
      </c>
      <c r="P19" s="1925" t="s">
        <v>910</v>
      </c>
      <c r="Q19" s="1928">
        <v>16750</v>
      </c>
      <c r="R19" s="1928">
        <v>16750</v>
      </c>
      <c r="S19" s="1931">
        <f t="shared" si="8"/>
        <v>33500</v>
      </c>
      <c r="T19" s="1931">
        <f t="shared" si="9"/>
        <v>2043500</v>
      </c>
      <c r="U19" s="1931">
        <f t="shared" si="3"/>
        <v>2043500</v>
      </c>
      <c r="V19" s="1931">
        <f t="shared" si="4"/>
        <v>4087000</v>
      </c>
      <c r="W19" s="1921">
        <f t="shared" si="5"/>
        <v>184250</v>
      </c>
      <c r="X19" s="1921">
        <f t="shared" si="6"/>
        <v>184250</v>
      </c>
      <c r="Y19" s="1921">
        <f t="shared" si="7"/>
        <v>368500</v>
      </c>
      <c r="Z19" s="1946">
        <v>9.4499999999999993</v>
      </c>
    </row>
    <row r="20" spans="2:26">
      <c r="B20" s="2926">
        <f>SUM(B16:B18)</f>
        <v>0.35</v>
      </c>
      <c r="C20" s="1952"/>
      <c r="D20" s="1954"/>
      <c r="E20" s="1955"/>
      <c r="F20" s="1957"/>
      <c r="H20" s="3244" t="s">
        <v>897</v>
      </c>
      <c r="I20" s="3232">
        <v>94</v>
      </c>
      <c r="J20" s="1932" t="s">
        <v>120</v>
      </c>
      <c r="K20" s="1922" t="s">
        <v>909</v>
      </c>
      <c r="L20" s="1929">
        <v>24</v>
      </c>
      <c r="M20" s="1929">
        <v>11</v>
      </c>
      <c r="N20" s="1923">
        <v>3.9248925873810528E-2</v>
      </c>
      <c r="O20" s="1922">
        <v>10</v>
      </c>
      <c r="P20" s="1925" t="s">
        <v>910</v>
      </c>
      <c r="Q20" s="1928">
        <v>4000</v>
      </c>
      <c r="R20" s="1928">
        <v>4000</v>
      </c>
      <c r="S20" s="1931">
        <f t="shared" si="8"/>
        <v>8000</v>
      </c>
      <c r="T20" s="1931">
        <f t="shared" si="9"/>
        <v>376000</v>
      </c>
      <c r="U20" s="1931">
        <f t="shared" si="3"/>
        <v>376000</v>
      </c>
      <c r="V20" s="1931">
        <f t="shared" si="4"/>
        <v>752000</v>
      </c>
      <c r="W20" s="1921">
        <f t="shared" si="5"/>
        <v>44000</v>
      </c>
      <c r="X20" s="1921">
        <f t="shared" si="6"/>
        <v>44000</v>
      </c>
      <c r="Y20" s="1921">
        <f t="shared" si="7"/>
        <v>88000</v>
      </c>
      <c r="Z20" s="1946">
        <v>7.44</v>
      </c>
    </row>
    <row r="21" spans="2:26">
      <c r="C21" s="1910" t="s">
        <v>47</v>
      </c>
      <c r="D21" s="1911">
        <f>SUM(D22:D25)</f>
        <v>4800</v>
      </c>
      <c r="E21" s="1926">
        <f>SUM(E22:E25)</f>
        <v>4920</v>
      </c>
      <c r="F21" s="2157">
        <f>D21+E21</f>
        <v>9720</v>
      </c>
      <c r="H21" s="3244" t="s">
        <v>898</v>
      </c>
      <c r="I21" s="3232">
        <v>63</v>
      </c>
      <c r="J21" s="1932" t="s">
        <v>120</v>
      </c>
      <c r="K21" s="1922" t="s">
        <v>909</v>
      </c>
      <c r="L21" s="1929">
        <v>24</v>
      </c>
      <c r="M21" s="1929">
        <v>10</v>
      </c>
      <c r="N21" s="1923">
        <v>9.2067959097608731E-2</v>
      </c>
      <c r="O21" s="1922">
        <v>10</v>
      </c>
      <c r="P21" s="1925" t="s">
        <v>910</v>
      </c>
      <c r="Q21" s="1928">
        <v>8000</v>
      </c>
      <c r="R21" s="1928">
        <v>8000</v>
      </c>
      <c r="S21" s="1931">
        <f t="shared" si="8"/>
        <v>16000</v>
      </c>
      <c r="T21" s="1931">
        <f t="shared" si="9"/>
        <v>504000</v>
      </c>
      <c r="U21" s="1931">
        <f t="shared" si="3"/>
        <v>504000</v>
      </c>
      <c r="V21" s="1931">
        <f t="shared" si="4"/>
        <v>1008000</v>
      </c>
      <c r="W21" s="1921">
        <f t="shared" si="5"/>
        <v>80000</v>
      </c>
      <c r="X21" s="1921">
        <f t="shared" si="6"/>
        <v>80000</v>
      </c>
      <c r="Y21" s="1921">
        <f t="shared" si="7"/>
        <v>160000</v>
      </c>
      <c r="Z21" s="1946">
        <v>5.08</v>
      </c>
    </row>
    <row r="22" spans="2:26">
      <c r="C22" s="1876" t="s">
        <v>885</v>
      </c>
      <c r="D22" s="1907">
        <v>2400</v>
      </c>
      <c r="E22" s="1906">
        <v>2460</v>
      </c>
      <c r="F22" s="1879">
        <f t="shared" ref="F22:F25" si="10">SUM(D22:E22)</f>
        <v>4860</v>
      </c>
      <c r="H22" s="3244" t="s">
        <v>899</v>
      </c>
      <c r="I22" s="3232">
        <v>145</v>
      </c>
      <c r="J22" s="1932" t="s">
        <v>120</v>
      </c>
      <c r="K22" s="1922" t="s">
        <v>909</v>
      </c>
      <c r="L22" s="1929">
        <v>24</v>
      </c>
      <c r="M22" s="1929">
        <v>10</v>
      </c>
      <c r="N22" s="1923">
        <v>0.18163066760752744</v>
      </c>
      <c r="O22" s="1922">
        <v>10</v>
      </c>
      <c r="P22" s="1925" t="s">
        <v>910</v>
      </c>
      <c r="Q22" s="1928">
        <v>4750</v>
      </c>
      <c r="R22" s="1928">
        <v>4950</v>
      </c>
      <c r="S22" s="1931">
        <f t="shared" si="8"/>
        <v>9700</v>
      </c>
      <c r="T22" s="1931">
        <f t="shared" si="9"/>
        <v>688750</v>
      </c>
      <c r="U22" s="1931">
        <f t="shared" si="3"/>
        <v>717750</v>
      </c>
      <c r="V22" s="1931">
        <f t="shared" si="4"/>
        <v>1406500</v>
      </c>
      <c r="W22" s="1921">
        <f t="shared" si="5"/>
        <v>47500</v>
      </c>
      <c r="X22" s="1921">
        <f t="shared" si="6"/>
        <v>49500</v>
      </c>
      <c r="Y22" s="1921">
        <f t="shared" si="7"/>
        <v>97000</v>
      </c>
      <c r="Z22" s="1946">
        <v>18.91</v>
      </c>
    </row>
    <row r="23" spans="2:26">
      <c r="C23" s="1876" t="s">
        <v>886</v>
      </c>
      <c r="D23" s="2053">
        <v>2400</v>
      </c>
      <c r="E23" s="2054">
        <v>2460</v>
      </c>
      <c r="F23" s="1879">
        <f t="shared" si="10"/>
        <v>4860</v>
      </c>
      <c r="H23" s="3244" t="s">
        <v>900</v>
      </c>
      <c r="I23" s="3232">
        <v>112</v>
      </c>
      <c r="J23" s="1932" t="s">
        <v>120</v>
      </c>
      <c r="K23" s="1922" t="s">
        <v>909</v>
      </c>
      <c r="L23" s="1929">
        <v>24</v>
      </c>
      <c r="M23" s="1929">
        <v>10</v>
      </c>
      <c r="N23" s="1923">
        <v>1.1691169409220157E-2</v>
      </c>
      <c r="O23" s="1922">
        <v>10</v>
      </c>
      <c r="P23" s="1925" t="s">
        <v>910</v>
      </c>
      <c r="Q23" s="1928">
        <v>500</v>
      </c>
      <c r="R23" s="1928">
        <v>500</v>
      </c>
      <c r="S23" s="1931">
        <f t="shared" si="8"/>
        <v>1000</v>
      </c>
      <c r="T23" s="1931">
        <f t="shared" si="9"/>
        <v>56000</v>
      </c>
      <c r="U23" s="1931">
        <f t="shared" si="3"/>
        <v>56000</v>
      </c>
      <c r="V23" s="1931">
        <f t="shared" si="4"/>
        <v>112000</v>
      </c>
      <c r="W23" s="1921">
        <f t="shared" si="5"/>
        <v>5000</v>
      </c>
      <c r="X23" s="1921">
        <f t="shared" si="6"/>
        <v>5000</v>
      </c>
      <c r="Y23" s="1921">
        <f t="shared" si="7"/>
        <v>10000</v>
      </c>
      <c r="Z23" s="1946">
        <v>14.9</v>
      </c>
    </row>
    <row r="24" spans="2:26">
      <c r="C24" s="1876"/>
      <c r="D24" s="1898"/>
      <c r="E24" s="1897"/>
      <c r="F24" s="1879">
        <f t="shared" si="10"/>
        <v>0</v>
      </c>
      <c r="H24" s="3244" t="s">
        <v>901</v>
      </c>
      <c r="I24" s="3232">
        <v>75</v>
      </c>
      <c r="J24" s="1932" t="s">
        <v>120</v>
      </c>
      <c r="K24" s="1922" t="s">
        <v>909</v>
      </c>
      <c r="L24" s="1929">
        <v>24</v>
      </c>
      <c r="M24" s="1929">
        <v>10</v>
      </c>
      <c r="N24" s="1923">
        <v>3.4760351904199217E-2</v>
      </c>
      <c r="O24" s="1922">
        <v>10</v>
      </c>
      <c r="P24" s="1925" t="s">
        <v>910</v>
      </c>
      <c r="Q24" s="1928">
        <v>2000</v>
      </c>
      <c r="R24" s="1928">
        <v>2000</v>
      </c>
      <c r="S24" s="1931">
        <f t="shared" si="8"/>
        <v>4000</v>
      </c>
      <c r="T24" s="1931">
        <f t="shared" si="9"/>
        <v>150000</v>
      </c>
      <c r="U24" s="1931">
        <f t="shared" si="3"/>
        <v>150000</v>
      </c>
      <c r="V24" s="1931">
        <f t="shared" si="4"/>
        <v>300000</v>
      </c>
      <c r="W24" s="1921">
        <f t="shared" si="5"/>
        <v>20000</v>
      </c>
      <c r="X24" s="1921">
        <f t="shared" si="6"/>
        <v>20000</v>
      </c>
      <c r="Y24" s="1921">
        <f t="shared" si="7"/>
        <v>40000</v>
      </c>
      <c r="Z24" s="1946">
        <v>10.17</v>
      </c>
    </row>
    <row r="25" spans="2:26">
      <c r="C25" s="1876"/>
      <c r="D25" s="1896"/>
      <c r="E25" s="1899"/>
      <c r="F25" s="1879">
        <f t="shared" si="10"/>
        <v>0</v>
      </c>
      <c r="H25" s="3244" t="s">
        <v>902</v>
      </c>
      <c r="I25" s="3248">
        <v>230</v>
      </c>
      <c r="J25" s="1932" t="s">
        <v>120</v>
      </c>
      <c r="K25" s="1922" t="s">
        <v>909</v>
      </c>
      <c r="L25" s="1929">
        <v>40</v>
      </c>
      <c r="M25" s="1929">
        <v>10</v>
      </c>
      <c r="N25" s="1923">
        <v>0</v>
      </c>
      <c r="O25" s="1922">
        <v>10</v>
      </c>
      <c r="P25" s="1925" t="s">
        <v>910</v>
      </c>
      <c r="Q25" s="1928">
        <v>0</v>
      </c>
      <c r="R25" s="1928">
        <v>0</v>
      </c>
      <c r="S25" s="1931">
        <f t="shared" ref="S25:S35" si="11">SUM(Q25:R25)</f>
        <v>0</v>
      </c>
      <c r="T25" s="1931">
        <f t="shared" ref="T25:T35" si="12">Q25*I25</f>
        <v>0</v>
      </c>
      <c r="U25" s="1931">
        <f t="shared" ref="U25:U35" si="13">R25*I25</f>
        <v>0</v>
      </c>
      <c r="V25" s="1931">
        <f t="shared" ref="V25:V35" si="14">SUM(T25:U25)</f>
        <v>0</v>
      </c>
      <c r="W25" s="1921">
        <f t="shared" ref="W25:W35" si="15">Q25*M25</f>
        <v>0</v>
      </c>
      <c r="X25" s="1921">
        <f t="shared" ref="X25:X35" si="16">R25*M25</f>
        <v>0</v>
      </c>
      <c r="Y25" s="1921">
        <f t="shared" ref="Y25:Y35" si="17">SUM(W25:X25)</f>
        <v>0</v>
      </c>
      <c r="Z25" s="1946">
        <v>18.91</v>
      </c>
    </row>
    <row r="26" spans="2:26">
      <c r="C26" s="1877"/>
      <c r="D26" s="1892"/>
      <c r="E26" s="1884"/>
      <c r="F26" s="1892"/>
      <c r="H26" s="3249" t="s">
        <v>1683</v>
      </c>
      <c r="I26" s="3248">
        <v>108</v>
      </c>
      <c r="J26" s="1932" t="s">
        <v>241</v>
      </c>
      <c r="K26" s="1922"/>
      <c r="L26" s="1929">
        <v>15</v>
      </c>
      <c r="M26" s="1929">
        <v>6.5</v>
      </c>
      <c r="N26" s="1923" t="s">
        <v>241</v>
      </c>
      <c r="O26" s="1922"/>
      <c r="P26" s="1925"/>
      <c r="Q26" s="1928">
        <v>400</v>
      </c>
      <c r="R26" s="1928">
        <v>400</v>
      </c>
      <c r="S26" s="1931">
        <f t="shared" si="11"/>
        <v>800</v>
      </c>
      <c r="T26" s="1931">
        <f t="shared" si="12"/>
        <v>43200</v>
      </c>
      <c r="U26" s="1931">
        <f t="shared" si="13"/>
        <v>43200</v>
      </c>
      <c r="V26" s="1931">
        <f t="shared" si="14"/>
        <v>86400</v>
      </c>
      <c r="W26" s="1921">
        <f t="shared" si="15"/>
        <v>2600</v>
      </c>
      <c r="X26" s="1921">
        <f t="shared" si="16"/>
        <v>2600</v>
      </c>
      <c r="Y26" s="1921">
        <f t="shared" si="17"/>
        <v>5200</v>
      </c>
      <c r="Z26" s="1946"/>
    </row>
    <row r="27" spans="2:26">
      <c r="C27" s="1910" t="s">
        <v>48</v>
      </c>
      <c r="D27" s="1911">
        <f>SUM(D29:D32)</f>
        <v>24832.610100000005</v>
      </c>
      <c r="E27" s="1926">
        <f>SUM(E29:E32)</f>
        <v>25945.332000000002</v>
      </c>
      <c r="F27" s="2157">
        <f>D27+E27</f>
        <v>50777.942100000007</v>
      </c>
      <c r="H27" s="3249" t="s">
        <v>1684</v>
      </c>
      <c r="I27" s="3248">
        <v>190</v>
      </c>
      <c r="J27" s="1932" t="s">
        <v>241</v>
      </c>
      <c r="K27" s="1922"/>
      <c r="L27" s="1929">
        <v>20</v>
      </c>
      <c r="M27" s="1929">
        <v>6.5</v>
      </c>
      <c r="N27" s="1923" t="s">
        <v>241</v>
      </c>
      <c r="O27" s="1922"/>
      <c r="P27" s="1925"/>
      <c r="Q27" s="1928">
        <v>350</v>
      </c>
      <c r="R27" s="1928">
        <v>350</v>
      </c>
      <c r="S27" s="1931">
        <f t="shared" si="11"/>
        <v>700</v>
      </c>
      <c r="T27" s="1931">
        <f t="shared" si="12"/>
        <v>66500</v>
      </c>
      <c r="U27" s="1931">
        <f t="shared" si="13"/>
        <v>66500</v>
      </c>
      <c r="V27" s="1931">
        <f t="shared" si="14"/>
        <v>133000</v>
      </c>
      <c r="W27" s="1921">
        <f t="shared" si="15"/>
        <v>2275</v>
      </c>
      <c r="X27" s="1921">
        <f t="shared" si="16"/>
        <v>2275</v>
      </c>
      <c r="Y27" s="1921">
        <f t="shared" si="17"/>
        <v>4550</v>
      </c>
      <c r="Z27" s="1946"/>
    </row>
    <row r="28" spans="2:26">
      <c r="C28" s="1909" t="s">
        <v>315</v>
      </c>
      <c r="D28" s="1912">
        <v>0.66700000000000004</v>
      </c>
      <c r="E28" s="1913">
        <v>0.68</v>
      </c>
      <c r="F28" s="1949"/>
      <c r="H28" s="3244" t="s">
        <v>903</v>
      </c>
      <c r="I28" s="3248">
        <v>18.27</v>
      </c>
      <c r="J28" s="1932" t="s">
        <v>120</v>
      </c>
      <c r="K28" s="1922" t="s">
        <v>909</v>
      </c>
      <c r="L28" s="1929">
        <v>20</v>
      </c>
      <c r="M28" s="1929">
        <v>10</v>
      </c>
      <c r="N28" s="1923">
        <v>1.9071220098790382E-3</v>
      </c>
      <c r="O28" s="1922">
        <v>10</v>
      </c>
      <c r="P28" s="1925" t="s">
        <v>910</v>
      </c>
      <c r="Q28" s="1928">
        <v>500</v>
      </c>
      <c r="R28" s="1928">
        <v>500</v>
      </c>
      <c r="S28" s="1931">
        <f t="shared" si="11"/>
        <v>1000</v>
      </c>
      <c r="T28" s="1931">
        <f t="shared" si="12"/>
        <v>9135</v>
      </c>
      <c r="U28" s="1931">
        <f t="shared" si="13"/>
        <v>9135</v>
      </c>
      <c r="V28" s="1931">
        <f t="shared" si="14"/>
        <v>18270</v>
      </c>
      <c r="W28" s="1921">
        <f t="shared" si="15"/>
        <v>5000</v>
      </c>
      <c r="X28" s="1921">
        <f t="shared" si="16"/>
        <v>5000</v>
      </c>
      <c r="Y28" s="1921">
        <f t="shared" si="17"/>
        <v>10000</v>
      </c>
      <c r="Z28" s="1946">
        <v>3.97</v>
      </c>
    </row>
    <row r="29" spans="2:26">
      <c r="C29" s="1876" t="s">
        <v>778</v>
      </c>
      <c r="D29" s="1971">
        <f>D15*D28</f>
        <v>21631.010100000003</v>
      </c>
      <c r="E29" s="1972">
        <f>E15*E28</f>
        <v>22599.732000000004</v>
      </c>
      <c r="F29" s="1879">
        <f t="shared" ref="F29:F32" si="18">SUM(D29:E29)</f>
        <v>44230.742100000003</v>
      </c>
      <c r="H29" s="3244" t="s">
        <v>904</v>
      </c>
      <c r="I29" s="3248">
        <v>15.11</v>
      </c>
      <c r="J29" s="1932" t="s">
        <v>120</v>
      </c>
      <c r="K29" s="1922" t="s">
        <v>909</v>
      </c>
      <c r="L29" s="1929">
        <v>20</v>
      </c>
      <c r="M29" s="1929">
        <v>11.5</v>
      </c>
      <c r="N29" s="1923">
        <v>1.5772640158331838E-3</v>
      </c>
      <c r="O29" s="1922">
        <v>10</v>
      </c>
      <c r="P29" s="1925" t="s">
        <v>910</v>
      </c>
      <c r="Q29" s="1928">
        <v>550</v>
      </c>
      <c r="R29" s="1928">
        <v>550</v>
      </c>
      <c r="S29" s="1931">
        <f t="shared" si="11"/>
        <v>1100</v>
      </c>
      <c r="T29" s="1931">
        <f t="shared" si="12"/>
        <v>8310.5</v>
      </c>
      <c r="U29" s="1931">
        <f t="shared" si="13"/>
        <v>8310.5</v>
      </c>
      <c r="V29" s="1931">
        <f t="shared" si="14"/>
        <v>16621</v>
      </c>
      <c r="W29" s="1921">
        <f t="shared" si="15"/>
        <v>6325</v>
      </c>
      <c r="X29" s="1921">
        <f t="shared" si="16"/>
        <v>6325</v>
      </c>
      <c r="Y29" s="1921">
        <f t="shared" si="17"/>
        <v>12650</v>
      </c>
      <c r="Z29" s="1946">
        <v>1.99</v>
      </c>
    </row>
    <row r="30" spans="2:26">
      <c r="C30" s="1876" t="s">
        <v>779</v>
      </c>
      <c r="D30" s="1973">
        <f>D21*D28</f>
        <v>3201.6000000000004</v>
      </c>
      <c r="E30" s="1972">
        <f>E21*E28</f>
        <v>3345.6000000000004</v>
      </c>
      <c r="F30" s="1879">
        <f t="shared" si="18"/>
        <v>6547.2000000000007</v>
      </c>
      <c r="H30" s="3244" t="s">
        <v>905</v>
      </c>
      <c r="I30" s="3248">
        <v>18.27</v>
      </c>
      <c r="J30" s="1932" t="s">
        <v>120</v>
      </c>
      <c r="K30" s="1922" t="s">
        <v>909</v>
      </c>
      <c r="L30" s="1929">
        <v>2</v>
      </c>
      <c r="M30" s="1929">
        <v>2</v>
      </c>
      <c r="N30" s="1923">
        <v>2.3839025123487977E-2</v>
      </c>
      <c r="O30" s="1922">
        <v>10</v>
      </c>
      <c r="P30" s="1925" t="s">
        <v>910</v>
      </c>
      <c r="Q30" s="1928">
        <v>6000</v>
      </c>
      <c r="R30" s="1928">
        <v>6000</v>
      </c>
      <c r="S30" s="1931">
        <f t="shared" si="11"/>
        <v>12000</v>
      </c>
      <c r="T30" s="1931">
        <f t="shared" si="12"/>
        <v>109620</v>
      </c>
      <c r="U30" s="1931">
        <f t="shared" si="13"/>
        <v>109620</v>
      </c>
      <c r="V30" s="1931">
        <f t="shared" si="14"/>
        <v>219240</v>
      </c>
      <c r="W30" s="1921">
        <f t="shared" si="15"/>
        <v>12000</v>
      </c>
      <c r="X30" s="1921">
        <f t="shared" si="16"/>
        <v>12000</v>
      </c>
      <c r="Y30" s="1921">
        <f t="shared" si="17"/>
        <v>24000</v>
      </c>
      <c r="Z30" s="1946">
        <v>3.97</v>
      </c>
    </row>
    <row r="31" spans="2:26">
      <c r="C31" s="1901"/>
      <c r="D31" s="1898"/>
      <c r="E31" s="1897"/>
      <c r="F31" s="1879">
        <f t="shared" si="18"/>
        <v>0</v>
      </c>
      <c r="H31" s="3244" t="s">
        <v>906</v>
      </c>
      <c r="I31" s="3248">
        <v>31.36</v>
      </c>
      <c r="J31" s="1932" t="s">
        <v>120</v>
      </c>
      <c r="K31" s="1922" t="s">
        <v>909</v>
      </c>
      <c r="L31" s="1929">
        <v>2</v>
      </c>
      <c r="M31" s="1929">
        <v>2</v>
      </c>
      <c r="N31" s="1923">
        <v>8.1838185864541099E-2</v>
      </c>
      <c r="O31" s="1922">
        <v>10</v>
      </c>
      <c r="P31" s="1925" t="s">
        <v>910</v>
      </c>
      <c r="Q31" s="1928">
        <v>6000</v>
      </c>
      <c r="R31" s="1928">
        <v>6000</v>
      </c>
      <c r="S31" s="1931">
        <f t="shared" si="11"/>
        <v>12000</v>
      </c>
      <c r="T31" s="1931">
        <f t="shared" si="12"/>
        <v>188160</v>
      </c>
      <c r="U31" s="1931">
        <f t="shared" si="13"/>
        <v>188160</v>
      </c>
      <c r="V31" s="1931">
        <f t="shared" si="14"/>
        <v>376320</v>
      </c>
      <c r="W31" s="1921">
        <f t="shared" si="15"/>
        <v>12000</v>
      </c>
      <c r="X31" s="1921">
        <f t="shared" si="16"/>
        <v>12000</v>
      </c>
      <c r="Y31" s="1921">
        <f t="shared" si="17"/>
        <v>24000</v>
      </c>
      <c r="Z31" s="1946">
        <v>6.82</v>
      </c>
    </row>
    <row r="32" spans="2:26">
      <c r="C32" s="1901"/>
      <c r="D32" s="1896"/>
      <c r="E32" s="1899"/>
      <c r="F32" s="1879">
        <f t="shared" si="18"/>
        <v>0</v>
      </c>
      <c r="H32" s="3244"/>
      <c r="I32" s="3248"/>
      <c r="J32" s="1932" t="s">
        <v>241</v>
      </c>
      <c r="K32" s="1922"/>
      <c r="L32" s="1929"/>
      <c r="M32" s="1929"/>
      <c r="N32" s="1923" t="s">
        <v>241</v>
      </c>
      <c r="O32" s="1922"/>
      <c r="P32" s="1925"/>
      <c r="Q32" s="1928"/>
      <c r="R32" s="1928"/>
      <c r="S32" s="1931">
        <f t="shared" si="11"/>
        <v>0</v>
      </c>
      <c r="T32" s="1931">
        <f t="shared" si="12"/>
        <v>0</v>
      </c>
      <c r="U32" s="1931">
        <f t="shared" si="13"/>
        <v>0</v>
      </c>
      <c r="V32" s="1931">
        <f t="shared" si="14"/>
        <v>0</v>
      </c>
      <c r="W32" s="1921">
        <f t="shared" si="15"/>
        <v>0</v>
      </c>
      <c r="X32" s="1921">
        <f t="shared" si="16"/>
        <v>0</v>
      </c>
      <c r="Y32" s="1921">
        <f t="shared" si="17"/>
        <v>0</v>
      </c>
      <c r="Z32" s="1946"/>
    </row>
    <row r="33" spans="1:26">
      <c r="C33" s="1952"/>
      <c r="D33" s="1958"/>
      <c r="E33" s="1955"/>
      <c r="F33" s="1958"/>
      <c r="H33" s="3244"/>
      <c r="I33" s="3248"/>
      <c r="J33" s="1932" t="s">
        <v>241</v>
      </c>
      <c r="K33" s="1922"/>
      <c r="L33" s="1929"/>
      <c r="M33" s="1929"/>
      <c r="N33" s="1923" t="s">
        <v>241</v>
      </c>
      <c r="O33" s="1922"/>
      <c r="P33" s="1925"/>
      <c r="Q33" s="1928"/>
      <c r="R33" s="1928"/>
      <c r="S33" s="1931">
        <f t="shared" si="11"/>
        <v>0</v>
      </c>
      <c r="T33" s="1931">
        <f t="shared" si="12"/>
        <v>0</v>
      </c>
      <c r="U33" s="1931">
        <f t="shared" si="13"/>
        <v>0</v>
      </c>
      <c r="V33" s="1931">
        <f t="shared" si="14"/>
        <v>0</v>
      </c>
      <c r="W33" s="1921">
        <f t="shared" si="15"/>
        <v>0</v>
      </c>
      <c r="X33" s="1921">
        <f t="shared" si="16"/>
        <v>0</v>
      </c>
      <c r="Y33" s="1921">
        <f t="shared" si="17"/>
        <v>0</v>
      </c>
      <c r="Z33" s="1946"/>
    </row>
    <row r="34" spans="1:26" ht="24">
      <c r="A34" s="1852" t="s">
        <v>187</v>
      </c>
      <c r="C34" s="1910" t="s">
        <v>49</v>
      </c>
      <c r="D34" s="1911">
        <f>SUM(D35:D38)</f>
        <v>83990.93</v>
      </c>
      <c r="E34" s="1926">
        <f>SUM(E35:E38)</f>
        <v>83990.93</v>
      </c>
      <c r="F34" s="2157">
        <f>D34+E34</f>
        <v>167981.86</v>
      </c>
      <c r="H34" s="3250" t="s">
        <v>907</v>
      </c>
      <c r="I34" s="3248">
        <v>15.11</v>
      </c>
      <c r="J34" s="1932" t="s">
        <v>120</v>
      </c>
      <c r="K34" s="1922" t="s">
        <v>909</v>
      </c>
      <c r="L34" s="1929">
        <v>2</v>
      </c>
      <c r="M34" s="1929">
        <v>1.7</v>
      </c>
      <c r="N34" s="1923">
        <v>1.9715800197914798E-2</v>
      </c>
      <c r="O34" s="1922">
        <v>10</v>
      </c>
      <c r="P34" s="1925" t="s">
        <v>910</v>
      </c>
      <c r="Q34" s="1928">
        <v>6250</v>
      </c>
      <c r="R34" s="1928">
        <v>6250</v>
      </c>
      <c r="S34" s="1931">
        <f t="shared" si="11"/>
        <v>12500</v>
      </c>
      <c r="T34" s="1931">
        <f t="shared" si="12"/>
        <v>94437.5</v>
      </c>
      <c r="U34" s="1931">
        <f t="shared" si="13"/>
        <v>94437.5</v>
      </c>
      <c r="V34" s="1931">
        <f t="shared" si="14"/>
        <v>188875</v>
      </c>
      <c r="W34" s="1921">
        <f t="shared" si="15"/>
        <v>10625</v>
      </c>
      <c r="X34" s="1921">
        <f t="shared" si="16"/>
        <v>10625</v>
      </c>
      <c r="Y34" s="1921">
        <f t="shared" si="17"/>
        <v>21250</v>
      </c>
      <c r="Z34" s="1946">
        <v>3.97</v>
      </c>
    </row>
    <row r="35" spans="1:26">
      <c r="A35" s="1808" t="s">
        <v>291</v>
      </c>
      <c r="C35" s="1876" t="s">
        <v>887</v>
      </c>
      <c r="D35" s="1971">
        <v>43490.93</v>
      </c>
      <c r="E35" s="1988">
        <v>43490.93</v>
      </c>
      <c r="F35" s="1879">
        <f t="shared" ref="F35:F38" si="19">SUM(D35:E35)</f>
        <v>86981.86</v>
      </c>
      <c r="H35" s="3244" t="s">
        <v>908</v>
      </c>
      <c r="I35" s="3248">
        <v>25.93</v>
      </c>
      <c r="J35" s="1932" t="s">
        <v>120</v>
      </c>
      <c r="K35" s="1922" t="s">
        <v>909</v>
      </c>
      <c r="L35" s="1929">
        <v>2</v>
      </c>
      <c r="M35" s="1929">
        <v>1.7</v>
      </c>
      <c r="N35" s="1923">
        <v>6.7667862227919345E-2</v>
      </c>
      <c r="O35" s="1922">
        <v>10</v>
      </c>
      <c r="P35" s="1925" t="s">
        <v>910</v>
      </c>
      <c r="Q35" s="1928">
        <v>12500</v>
      </c>
      <c r="R35" s="1928">
        <v>12500</v>
      </c>
      <c r="S35" s="1931">
        <f t="shared" si="11"/>
        <v>25000</v>
      </c>
      <c r="T35" s="1931">
        <f t="shared" si="12"/>
        <v>324125</v>
      </c>
      <c r="U35" s="1931">
        <f t="shared" si="13"/>
        <v>324125</v>
      </c>
      <c r="V35" s="1931">
        <f t="shared" si="14"/>
        <v>648250</v>
      </c>
      <c r="W35" s="1921">
        <f t="shared" si="15"/>
        <v>21250</v>
      </c>
      <c r="X35" s="1921">
        <f t="shared" si="16"/>
        <v>21250</v>
      </c>
      <c r="Y35" s="1921">
        <f t="shared" si="17"/>
        <v>42500</v>
      </c>
      <c r="Z35" s="1946">
        <v>6.82</v>
      </c>
    </row>
    <row r="36" spans="1:26">
      <c r="A36" s="1852" t="s">
        <v>6</v>
      </c>
      <c r="C36" s="1876" t="s">
        <v>888</v>
      </c>
      <c r="D36" s="1971">
        <v>40500</v>
      </c>
      <c r="E36" s="1988">
        <v>40500</v>
      </c>
      <c r="F36" s="1879">
        <f t="shared" si="19"/>
        <v>81000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18230435</v>
      </c>
      <c r="C37" s="1876"/>
      <c r="D37" s="1971"/>
      <c r="E37" s="1988"/>
      <c r="F37" s="1879">
        <f t="shared" si="19"/>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19"/>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1000</v>
      </c>
      <c r="E40" s="1926">
        <f>SUM(E41:E44)</f>
        <v>1000</v>
      </c>
      <c r="F40" s="2157">
        <f>D40+E40</f>
        <v>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t="s">
        <v>889</v>
      </c>
      <c r="D41" s="1971">
        <v>1000</v>
      </c>
      <c r="E41" s="1988">
        <v>1000</v>
      </c>
      <c r="F41" s="1879">
        <f t="shared" ref="F41:F44" si="20">SUM(D41:E41)</f>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2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2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2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40000</v>
      </c>
      <c r="E46" s="1926">
        <f>SUM(E47:E50)</f>
        <v>40000</v>
      </c>
      <c r="F46" s="2157">
        <f>D46+E46</f>
        <v>80000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890</v>
      </c>
      <c r="D47" s="1971">
        <v>10000</v>
      </c>
      <c r="E47" s="1988">
        <v>10000</v>
      </c>
      <c r="F47" s="1879">
        <f t="shared" ref="F47:F50" si="21">SUM(D47:E47)</f>
        <v>20000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30000</v>
      </c>
      <c r="E48" s="1988">
        <v>30000</v>
      </c>
      <c r="F48" s="1879">
        <f t="shared" si="21"/>
        <v>60000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1000</v>
      </c>
      <c r="E53" s="1972">
        <v>1000</v>
      </c>
      <c r="F53" s="1879">
        <f t="shared" ref="F53:F56" si="22">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500</v>
      </c>
      <c r="E59" s="1988">
        <v>500</v>
      </c>
      <c r="F59" s="1879">
        <f t="shared" ref="F59:F62" si="23">SUM(D59:E59)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187</v>
      </c>
      <c r="C64" s="1910" t="s">
        <v>53</v>
      </c>
      <c r="D64" s="1911">
        <f>W15</f>
        <v>463575</v>
      </c>
      <c r="E64" s="1926">
        <f>X15</f>
        <v>465575</v>
      </c>
      <c r="F64" s="1924">
        <f>D64+E64</f>
        <v>929150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0.71086412913269337</v>
      </c>
      <c r="E65" s="2616">
        <f>E64/E12</f>
        <v>0.70953826479092352</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18230435</v>
      </c>
      <c r="C67" s="1959" t="s">
        <v>54</v>
      </c>
      <c r="D67" s="1971">
        <v>0</v>
      </c>
      <c r="E67" s="1971">
        <v>0</v>
      </c>
      <c r="F67" s="1956">
        <v>0</v>
      </c>
    </row>
    <row r="68" spans="1:26">
      <c r="A68" s="1808" t="s">
        <v>5</v>
      </c>
    </row>
  </sheetData>
  <customSheetViews>
    <customSheetView guid="{074EB09C-6289-46D7-9513-012B68BCA7BF}" showGridLines="0">
      <pane xSplit="1" ySplit="1" topLeftCell="I2" activePane="bottomRight" state="frozen"/>
      <selection pane="bottomRight" activeCell="M23" sqref="M23"/>
      <pageMargins left="0.18" right="0.26" top="0.4" bottom="0.33" header="0.3" footer="0.3"/>
      <pageSetup paperSize="17" scale="46" orientation="landscape" r:id="rId1"/>
    </customSheetView>
    <customSheetView guid="{D9EFFE19-D14B-4C6F-BDF4-FF696F73968D}" showGridLines="0">
      <pane xSplit="1" ySplit="1" topLeftCell="H2" activePane="bottomRight" state="frozen"/>
      <selection pane="bottomRight" activeCell="L15" sqref="L15:M15"/>
      <pageMargins left="0.18" right="0.26" top="0.4" bottom="0.33"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18" right="0.26" top="0.4" bottom="0.33" header="0.3" footer="0.3"/>
  <pageSetup paperSize="17" scale="46" orientation="landscape" r:id="rId3"/>
  <ignoredErrors>
    <ignoredError sqref="R7" formula="1"/>
  </ignoredError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sheetPr>
  <dimension ref="A1:Z163"/>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28515625" customWidth="1"/>
    <col min="2" max="2" width="16.140625" customWidth="1"/>
    <col min="3" max="3" width="22.28515625" customWidth="1"/>
    <col min="4" max="4" width="16.140625" customWidth="1"/>
    <col min="5" max="5" width="16.140625" style="2994" customWidth="1"/>
    <col min="6" max="7" width="16.140625" customWidth="1"/>
    <col min="8" max="8" width="28" customWidth="1"/>
    <col min="9" max="26" width="16.140625" customWidth="1"/>
  </cols>
  <sheetData>
    <row r="1" spans="1:26" ht="47.25" customHeight="1" thickBot="1">
      <c r="C1" s="1853" t="s">
        <v>1448</v>
      </c>
      <c r="D1" s="1831" t="s">
        <v>291</v>
      </c>
      <c r="E1" s="2998" t="s">
        <v>6</v>
      </c>
      <c r="F1" s="1853" t="s">
        <v>1449</v>
      </c>
      <c r="G1" s="1831" t="s">
        <v>5</v>
      </c>
      <c r="J1" s="1831"/>
      <c r="K1" s="1831"/>
      <c r="L1" s="1831"/>
      <c r="M1" s="1853" t="s">
        <v>1448</v>
      </c>
      <c r="N1" s="1831" t="s">
        <v>291</v>
      </c>
      <c r="O1" s="1853" t="s">
        <v>6</v>
      </c>
      <c r="P1" s="1853" t="s">
        <v>1449</v>
      </c>
      <c r="Q1" s="1831" t="s">
        <v>5</v>
      </c>
      <c r="V1" s="1853" t="s">
        <v>1448</v>
      </c>
      <c r="W1" s="1831" t="s">
        <v>291</v>
      </c>
      <c r="X1" s="1853" t="s">
        <v>6</v>
      </c>
      <c r="Y1" s="1853" t="s">
        <v>1449</v>
      </c>
      <c r="Z1" s="1831" t="s">
        <v>5</v>
      </c>
    </row>
    <row r="2" spans="1:26" ht="16.5" thickBot="1">
      <c r="C2" s="1592"/>
      <c r="D2" s="2993"/>
      <c r="H2" s="1576" t="s">
        <v>674</v>
      </c>
      <c r="R2" s="2995"/>
      <c r="T2" s="2996" t="s">
        <v>36</v>
      </c>
      <c r="W2" s="2997" t="s">
        <v>37</v>
      </c>
    </row>
    <row r="3" spans="1:26" ht="26.25" thickBot="1">
      <c r="A3" s="2998" t="s">
        <v>1448</v>
      </c>
      <c r="B3" s="2998"/>
      <c r="H3" s="2999"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6" ht="16.5" thickBot="1">
      <c r="A4" s="3004" t="s">
        <v>291</v>
      </c>
      <c r="B4" s="3004"/>
      <c r="C4" s="2993"/>
      <c r="G4" s="3005" t="s">
        <v>668</v>
      </c>
      <c r="H4" s="2003"/>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6" ht="16.5" thickBot="1">
      <c r="A5" s="2998" t="s">
        <v>6</v>
      </c>
      <c r="B5" s="2998"/>
      <c r="C5" s="1592"/>
      <c r="G5" s="1592">
        <v>2016</v>
      </c>
      <c r="H5" s="1582">
        <f>D15</f>
        <v>23164.5</v>
      </c>
      <c r="I5" s="1549">
        <f>D21</f>
        <v>2500</v>
      </c>
      <c r="J5" s="1549">
        <f>D27</f>
        <v>17118.2215</v>
      </c>
      <c r="K5" s="1549">
        <f>D34</f>
        <v>41371</v>
      </c>
      <c r="L5" s="1549">
        <f>D40</f>
        <v>500</v>
      </c>
      <c r="M5" s="1549">
        <f>D46</f>
        <v>120000</v>
      </c>
      <c r="N5" s="1549">
        <f>D52</f>
        <v>500</v>
      </c>
      <c r="O5" s="1549">
        <f>D58</f>
        <v>500</v>
      </c>
      <c r="P5" s="1549">
        <f>D64</f>
        <v>150000</v>
      </c>
      <c r="Q5" s="1549">
        <f>D65</f>
        <v>0</v>
      </c>
      <c r="R5" s="2001">
        <f>SUM(H5:Q5)</f>
        <v>355653.72149999999</v>
      </c>
      <c r="S5" s="1999">
        <f>T15</f>
        <v>848000</v>
      </c>
      <c r="T5" s="3009">
        <f>P5/R5</f>
        <v>0.4217585559553888</v>
      </c>
      <c r="U5" s="3009">
        <f>(K5+(I5*1.63))/R5</f>
        <v>0.12778159555965732</v>
      </c>
      <c r="V5" s="3009">
        <f>M5/R5</f>
        <v>0.33740684476431104</v>
      </c>
      <c r="W5" s="3010">
        <f>R5/S5</f>
        <v>0.41940297346698113</v>
      </c>
    </row>
    <row r="6" spans="1:26" ht="16.5" thickBot="1">
      <c r="A6" s="2998" t="s">
        <v>1449</v>
      </c>
      <c r="B6" s="2998"/>
      <c r="D6" s="1592"/>
      <c r="G6" s="1592">
        <v>2017</v>
      </c>
      <c r="H6" s="3011">
        <f>E15</f>
        <v>23743.61</v>
      </c>
      <c r="I6" s="1990">
        <f>E21</f>
        <v>2563</v>
      </c>
      <c r="J6" s="3012">
        <f>E27</f>
        <v>17888.4948</v>
      </c>
      <c r="K6" s="1990">
        <f>E34</f>
        <v>41371.17</v>
      </c>
      <c r="L6" s="1990">
        <f>E40</f>
        <v>500</v>
      </c>
      <c r="M6" s="1990">
        <f>E46</f>
        <v>20000</v>
      </c>
      <c r="N6" s="1990">
        <f>E52</f>
        <v>500</v>
      </c>
      <c r="O6" s="1990">
        <f>E58</f>
        <v>500</v>
      </c>
      <c r="P6" s="1990">
        <f>E64</f>
        <v>150000</v>
      </c>
      <c r="Q6" s="1990">
        <f>E65</f>
        <v>0</v>
      </c>
      <c r="R6" s="3013">
        <f>SUM(H6:Q6)</f>
        <v>257066.27480000001</v>
      </c>
      <c r="S6" s="1996">
        <f>U15</f>
        <v>848000</v>
      </c>
      <c r="T6" s="3009">
        <f>P6/R6</f>
        <v>0.58350711355155949</v>
      </c>
      <c r="U6" s="3009">
        <f>(K6+(I6*1.63))/R6</f>
        <v>0.17718722549442723</v>
      </c>
      <c r="V6" s="3009">
        <f>M6/R6</f>
        <v>7.7800948473541257E-2</v>
      </c>
      <c r="W6" s="3010">
        <f>R6/S6</f>
        <v>0.30314419198113207</v>
      </c>
    </row>
    <row r="7" spans="1:26" ht="16.5" thickBot="1">
      <c r="A7" s="3004" t="s">
        <v>5</v>
      </c>
      <c r="B7" s="3004"/>
      <c r="D7" s="1592"/>
      <c r="G7" s="3014" t="s">
        <v>23</v>
      </c>
      <c r="H7" s="1564">
        <f t="shared" ref="H7:Q7" si="0">SUM(H5:H6)</f>
        <v>46908.11</v>
      </c>
      <c r="I7" s="3015">
        <f t="shared" si="0"/>
        <v>5063</v>
      </c>
      <c r="J7" s="3016">
        <f t="shared" si="0"/>
        <v>35006.7163</v>
      </c>
      <c r="K7" s="1993">
        <f t="shared" si="0"/>
        <v>82742.17</v>
      </c>
      <c r="L7" s="3015">
        <f t="shared" si="0"/>
        <v>1000</v>
      </c>
      <c r="M7" s="3016">
        <f t="shared" si="0"/>
        <v>140000</v>
      </c>
      <c r="N7" s="3015">
        <f t="shared" si="0"/>
        <v>1000</v>
      </c>
      <c r="O7" s="3016">
        <f t="shared" si="0"/>
        <v>1000</v>
      </c>
      <c r="P7" s="1993">
        <f t="shared" si="0"/>
        <v>300000</v>
      </c>
      <c r="Q7" s="3015">
        <f t="shared" si="0"/>
        <v>0</v>
      </c>
      <c r="R7" s="1993">
        <f>SUM(H7:Q7)</f>
        <v>612719.9963</v>
      </c>
      <c r="S7" s="1994">
        <f>SUM(S5:S6)</f>
        <v>1696000</v>
      </c>
      <c r="T7" s="3009">
        <f>P7/R7</f>
        <v>0.48962005779408901</v>
      </c>
      <c r="U7" s="3009">
        <f>(K7+(I7*1.63))/R7</f>
        <v>0.14850969537388345</v>
      </c>
      <c r="V7" s="3009">
        <f>M7/R7</f>
        <v>0.22848936030390821</v>
      </c>
      <c r="W7" s="3010">
        <f>R7/S7</f>
        <v>0.36127358272405663</v>
      </c>
    </row>
    <row r="8" spans="1:26" ht="15.75">
      <c r="B8" s="3004"/>
      <c r="D8" s="1592"/>
    </row>
    <row r="9" spans="1:26" ht="15.75">
      <c r="A9" s="3004"/>
      <c r="B9" s="3004"/>
      <c r="D9" s="1592"/>
    </row>
    <row r="10" spans="1:26">
      <c r="A10" s="3004"/>
      <c r="B10" s="3004"/>
      <c r="C10" s="3017" t="s">
        <v>329</v>
      </c>
      <c r="D10" s="3017"/>
      <c r="E10" s="3072"/>
      <c r="F10" s="3017"/>
      <c r="H10" s="3018" t="s">
        <v>317</v>
      </c>
      <c r="Q10" s="3017"/>
      <c r="R10" s="3017"/>
      <c r="S10" s="3017"/>
      <c r="T10" s="3017"/>
      <c r="U10" s="3017"/>
      <c r="V10" s="3017"/>
      <c r="W10" s="3018" t="s">
        <v>317</v>
      </c>
      <c r="X10" s="3017"/>
      <c r="Y10" s="3017"/>
      <c r="Z10" s="3089" t="s">
        <v>1118</v>
      </c>
    </row>
    <row r="11" spans="1:26">
      <c r="A11" s="3004"/>
      <c r="B11" s="3004"/>
      <c r="H11" s="3019"/>
      <c r="I11" s="3020"/>
      <c r="J11" s="3020"/>
      <c r="K11" s="3019"/>
      <c r="L11" s="3019"/>
      <c r="M11" s="3019"/>
      <c r="N11" s="3019"/>
      <c r="O11" s="3019"/>
      <c r="P11" s="3019"/>
      <c r="Q11" s="3019"/>
      <c r="R11" s="3019"/>
      <c r="S11" s="3019"/>
      <c r="T11" s="3019"/>
      <c r="U11" s="3019"/>
      <c r="V11" s="3019"/>
      <c r="W11" s="3019"/>
      <c r="X11" s="3019"/>
      <c r="Y11" s="3019"/>
      <c r="Z11" s="3089" t="s">
        <v>1131</v>
      </c>
    </row>
    <row r="12" spans="1:26">
      <c r="C12" s="3021" t="s">
        <v>314</v>
      </c>
      <c r="D12" s="3022">
        <f>D15+D21+D27+D34+D40+D46+D52+D58+D64</f>
        <v>355653.72149999999</v>
      </c>
      <c r="E12" s="3073">
        <f>E15+E21+E27+E34+E40+E46+E52+E58+E64</f>
        <v>257066.27480000001</v>
      </c>
      <c r="F12" s="3022">
        <f>D12+E12</f>
        <v>612719.9963</v>
      </c>
      <c r="H12" s="3023" t="s">
        <v>318</v>
      </c>
      <c r="Q12" s="3024" t="s">
        <v>43</v>
      </c>
      <c r="T12" s="3025" t="s">
        <v>44</v>
      </c>
      <c r="W12" s="3026" t="s">
        <v>56</v>
      </c>
      <c r="Z12" s="3090" t="s">
        <v>326</v>
      </c>
    </row>
    <row r="13" spans="1:26">
      <c r="C13" s="3027"/>
      <c r="E13" s="3074"/>
      <c r="H13" s="3028"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91"/>
    </row>
    <row r="14" spans="1:26" ht="15.75">
      <c r="C14" s="1888" t="s">
        <v>45</v>
      </c>
      <c r="D14" s="3032">
        <v>2016</v>
      </c>
      <c r="E14" s="3033">
        <v>2017</v>
      </c>
      <c r="F14" s="3034" t="s">
        <v>23</v>
      </c>
      <c r="H14" s="3035"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2984">
        <v>0</v>
      </c>
    </row>
    <row r="15" spans="1:26">
      <c r="B15" s="3036" t="s">
        <v>312</v>
      </c>
      <c r="C15" s="3037" t="s">
        <v>46</v>
      </c>
      <c r="D15" s="3038">
        <f>SUM(D16:D19)</f>
        <v>23164.5</v>
      </c>
      <c r="E15" s="3075">
        <f>SUM(E16:E19)</f>
        <v>23743.61</v>
      </c>
      <c r="F15" s="3022">
        <f>D15+E15</f>
        <v>46908.11</v>
      </c>
      <c r="H15" s="3039" t="s">
        <v>327</v>
      </c>
      <c r="I15" s="3040"/>
      <c r="J15" s="3040"/>
      <c r="K15" s="3041"/>
      <c r="L15" s="1941">
        <f>SUMPRODUCT(L16:L179,S16:S179)</f>
        <v>959060</v>
      </c>
      <c r="M15" s="1941">
        <f>SUM(M16:M179)</f>
        <v>150</v>
      </c>
      <c r="N15" s="3043" t="s">
        <v>241</v>
      </c>
      <c r="O15" s="3041">
        <v>20</v>
      </c>
      <c r="P15" s="3041"/>
      <c r="Q15" s="3041"/>
      <c r="R15" s="3041"/>
      <c r="S15" s="3041"/>
      <c r="T15" s="3044">
        <f t="shared" ref="T15:Y15" si="1">SUM(T16:T65)</f>
        <v>848000</v>
      </c>
      <c r="U15" s="3044">
        <f t="shared" si="1"/>
        <v>848000</v>
      </c>
      <c r="V15" s="3044">
        <f t="shared" si="1"/>
        <v>1696000</v>
      </c>
      <c r="W15" s="3251">
        <f t="shared" si="1"/>
        <v>150000</v>
      </c>
      <c r="X15" s="3251">
        <f t="shared" si="1"/>
        <v>150000</v>
      </c>
      <c r="Y15" s="3251">
        <f t="shared" si="1"/>
        <v>300000</v>
      </c>
      <c r="Z15" s="2984">
        <v>0</v>
      </c>
    </row>
    <row r="16" spans="1:26">
      <c r="B16" s="3045">
        <v>0.25</v>
      </c>
      <c r="C16" s="3046" t="s">
        <v>792</v>
      </c>
      <c r="D16" s="2242">
        <v>23164.5</v>
      </c>
      <c r="E16" s="3076">
        <v>23743.61</v>
      </c>
      <c r="F16" s="3047">
        <f>SUM(D16:E16)</f>
        <v>46908.11</v>
      </c>
      <c r="H16" s="2948" t="s">
        <v>1451</v>
      </c>
      <c r="I16" s="2953">
        <v>424</v>
      </c>
      <c r="J16" s="2950" t="s">
        <v>241</v>
      </c>
      <c r="K16" s="2948" t="s">
        <v>909</v>
      </c>
      <c r="L16" s="2951">
        <v>187.35</v>
      </c>
      <c r="M16" s="2951">
        <v>75</v>
      </c>
      <c r="N16" s="2977">
        <v>0.5</v>
      </c>
      <c r="O16" s="2948">
        <v>20</v>
      </c>
      <c r="P16" s="2949" t="s">
        <v>1140</v>
      </c>
      <c r="Q16" s="2953">
        <v>1000</v>
      </c>
      <c r="R16" s="2953">
        <v>1000</v>
      </c>
      <c r="S16" s="2952">
        <f>Q16+R16</f>
        <v>2000</v>
      </c>
      <c r="T16" s="2952">
        <f>I16*Q16</f>
        <v>424000</v>
      </c>
      <c r="U16" s="2952">
        <f>I16*R16</f>
        <v>424000</v>
      </c>
      <c r="V16" s="2952">
        <f>T16+U16</f>
        <v>848000</v>
      </c>
      <c r="W16" s="2954">
        <f>M16*Q16</f>
        <v>75000</v>
      </c>
      <c r="X16" s="2954">
        <f>M16*R16</f>
        <v>75000</v>
      </c>
      <c r="Y16" s="2954">
        <f>W16+X16</f>
        <v>150000</v>
      </c>
      <c r="Z16" s="2984">
        <v>0</v>
      </c>
    </row>
    <row r="17" spans="2:26">
      <c r="B17" s="3045"/>
      <c r="C17" s="3046"/>
      <c r="D17" s="2053"/>
      <c r="E17" s="3077"/>
      <c r="F17" s="3047">
        <f>SUM(D17:E17)</f>
        <v>0</v>
      </c>
      <c r="H17" s="2948" t="s">
        <v>1452</v>
      </c>
      <c r="I17" s="2953">
        <v>424</v>
      </c>
      <c r="J17" s="2950" t="s">
        <v>241</v>
      </c>
      <c r="K17" s="2948" t="s">
        <v>909</v>
      </c>
      <c r="L17" s="2951">
        <v>292.18</v>
      </c>
      <c r="M17" s="2951">
        <v>75</v>
      </c>
      <c r="N17" s="2977">
        <v>0.5</v>
      </c>
      <c r="O17" s="2948">
        <v>20</v>
      </c>
      <c r="P17" s="2949" t="s">
        <v>1140</v>
      </c>
      <c r="Q17" s="2953">
        <v>1000</v>
      </c>
      <c r="R17" s="2953">
        <v>1000</v>
      </c>
      <c r="S17" s="2952">
        <f>Q17+R17</f>
        <v>2000</v>
      </c>
      <c r="T17" s="2952">
        <f>I17*Q17</f>
        <v>424000</v>
      </c>
      <c r="U17" s="2952">
        <f>I17*R17</f>
        <v>424000</v>
      </c>
      <c r="V17" s="2952">
        <f>T17+U17</f>
        <v>848000</v>
      </c>
      <c r="W17" s="2954">
        <f>M17*Q17</f>
        <v>75000</v>
      </c>
      <c r="X17" s="2954">
        <f>M17*R17</f>
        <v>75000</v>
      </c>
      <c r="Y17" s="2954">
        <f>W17+X17</f>
        <v>150000</v>
      </c>
      <c r="Z17" s="2984">
        <v>0</v>
      </c>
    </row>
    <row r="18" spans="2:26">
      <c r="B18" s="3045"/>
      <c r="C18" s="3046"/>
      <c r="D18" s="2053"/>
      <c r="E18" s="3077"/>
      <c r="F18" s="3047">
        <f>SUM(D18:E18)</f>
        <v>0</v>
      </c>
      <c r="H18" s="2948"/>
      <c r="I18" s="2953"/>
      <c r="J18" s="2950" t="s">
        <v>241</v>
      </c>
      <c r="K18" s="2948"/>
      <c r="L18" s="2951"/>
      <c r="M18" s="2951"/>
      <c r="N18" s="2977"/>
      <c r="O18" s="2948"/>
      <c r="P18" s="2949"/>
      <c r="Q18" s="2953"/>
      <c r="R18" s="2953"/>
      <c r="S18" s="2952" t="s">
        <v>241</v>
      </c>
      <c r="T18" s="2952" t="s">
        <v>241</v>
      </c>
      <c r="U18" s="2952" t="s">
        <v>241</v>
      </c>
      <c r="V18" s="2952" t="s">
        <v>241</v>
      </c>
      <c r="W18" s="2954" t="s">
        <v>241</v>
      </c>
      <c r="X18" s="2954" t="s">
        <v>241</v>
      </c>
      <c r="Y18" s="2954" t="s">
        <v>241</v>
      </c>
      <c r="Z18" s="2984">
        <v>0</v>
      </c>
    </row>
    <row r="19" spans="2:26">
      <c r="B19" s="3045"/>
      <c r="C19" s="3046"/>
      <c r="D19" s="3048"/>
      <c r="E19" s="3078"/>
      <c r="F19" s="3047">
        <f>SUM(D19:E19)</f>
        <v>0</v>
      </c>
      <c r="H19" s="2948"/>
      <c r="I19" s="2953"/>
      <c r="J19" s="2950" t="s">
        <v>241</v>
      </c>
      <c r="K19" s="2948"/>
      <c r="L19" s="2951"/>
      <c r="M19" s="2951"/>
      <c r="N19" s="2977"/>
      <c r="O19" s="2948"/>
      <c r="P19" s="2949"/>
      <c r="Q19" s="2953"/>
      <c r="R19" s="2953"/>
      <c r="S19" s="2952" t="s">
        <v>241</v>
      </c>
      <c r="T19" s="2952" t="s">
        <v>241</v>
      </c>
      <c r="U19" s="2952" t="s">
        <v>241</v>
      </c>
      <c r="V19" s="2952" t="s">
        <v>241</v>
      </c>
      <c r="W19" s="2954" t="s">
        <v>241</v>
      </c>
      <c r="X19" s="2954" t="s">
        <v>241</v>
      </c>
      <c r="Y19" s="2954" t="s">
        <v>241</v>
      </c>
      <c r="Z19" s="2984">
        <v>0</v>
      </c>
    </row>
    <row r="20" spans="2:26">
      <c r="B20" s="1908">
        <f>SUM(B16:B19)</f>
        <v>0.25</v>
      </c>
      <c r="C20" s="3049"/>
      <c r="D20" s="3050"/>
      <c r="E20" s="3079"/>
      <c r="F20" s="3051"/>
      <c r="H20" s="2948"/>
      <c r="I20" s="2953"/>
      <c r="J20" s="2950" t="s">
        <v>241</v>
      </c>
      <c r="K20" s="2948"/>
      <c r="L20" s="2951"/>
      <c r="M20" s="2951"/>
      <c r="N20" s="2977"/>
      <c r="O20" s="2948"/>
      <c r="P20" s="2949"/>
      <c r="Q20" s="2953"/>
      <c r="R20" s="2953"/>
      <c r="S20" s="2952" t="s">
        <v>241</v>
      </c>
      <c r="T20" s="2952" t="s">
        <v>241</v>
      </c>
      <c r="U20" s="2952" t="s">
        <v>241</v>
      </c>
      <c r="V20" s="2952" t="s">
        <v>241</v>
      </c>
      <c r="W20" s="2954" t="s">
        <v>241</v>
      </c>
      <c r="X20" s="2954" t="s">
        <v>241</v>
      </c>
      <c r="Y20" s="2954" t="s">
        <v>241</v>
      </c>
      <c r="Z20" s="2984">
        <v>0</v>
      </c>
    </row>
    <row r="21" spans="2:26">
      <c r="C21" s="3037" t="s">
        <v>47</v>
      </c>
      <c r="D21" s="3038">
        <f>SUM(D22:D25)</f>
        <v>2500</v>
      </c>
      <c r="E21" s="3075">
        <f>SUM(E22:E25)</f>
        <v>2563</v>
      </c>
      <c r="F21" s="3022">
        <f>D21+E21</f>
        <v>5063</v>
      </c>
      <c r="H21" s="2948"/>
      <c r="I21" s="2953"/>
      <c r="J21" s="2950" t="s">
        <v>241</v>
      </c>
      <c r="K21" s="2948"/>
      <c r="L21" s="2951"/>
      <c r="M21" s="2951"/>
      <c r="N21" s="2977"/>
      <c r="O21" s="2948"/>
      <c r="P21" s="2949"/>
      <c r="Q21" s="2953"/>
      <c r="R21" s="2953"/>
      <c r="S21" s="2952" t="s">
        <v>241</v>
      </c>
      <c r="T21" s="2952" t="s">
        <v>241</v>
      </c>
      <c r="U21" s="2952" t="s">
        <v>241</v>
      </c>
      <c r="V21" s="2952" t="s">
        <v>241</v>
      </c>
      <c r="W21" s="2954" t="s">
        <v>241</v>
      </c>
      <c r="X21" s="2954" t="s">
        <v>241</v>
      </c>
      <c r="Y21" s="2954" t="s">
        <v>241</v>
      </c>
      <c r="Z21" s="2984">
        <v>0</v>
      </c>
    </row>
    <row r="22" spans="2:26">
      <c r="C22" s="3052"/>
      <c r="D22" s="3053">
        <v>2500</v>
      </c>
      <c r="E22" s="3080">
        <v>2563</v>
      </c>
      <c r="F22" s="3047">
        <f>SUM(D22:E22)</f>
        <v>5063</v>
      </c>
      <c r="H22" s="2948"/>
      <c r="I22" s="2953"/>
      <c r="J22" s="2950" t="s">
        <v>241</v>
      </c>
      <c r="K22" s="2948"/>
      <c r="L22" s="2951"/>
      <c r="M22" s="2951"/>
      <c r="N22" s="2977"/>
      <c r="O22" s="2948"/>
      <c r="P22" s="2949"/>
      <c r="Q22" s="2953"/>
      <c r="R22" s="2953"/>
      <c r="S22" s="2952" t="s">
        <v>241</v>
      </c>
      <c r="T22" s="2952" t="s">
        <v>241</v>
      </c>
      <c r="U22" s="2952" t="s">
        <v>241</v>
      </c>
      <c r="V22" s="2952" t="s">
        <v>241</v>
      </c>
      <c r="W22" s="2954" t="s">
        <v>241</v>
      </c>
      <c r="X22" s="2954" t="s">
        <v>241</v>
      </c>
      <c r="Y22" s="2954" t="s">
        <v>241</v>
      </c>
      <c r="Z22" s="2984">
        <v>0</v>
      </c>
    </row>
    <row r="23" spans="2:26">
      <c r="C23" s="3046"/>
      <c r="D23" s="3054"/>
      <c r="E23" s="3081"/>
      <c r="F23" s="3047">
        <f>SUM(D23:E23)</f>
        <v>0</v>
      </c>
      <c r="H23" s="2948"/>
      <c r="I23" s="2953"/>
      <c r="J23" s="2950" t="s">
        <v>241</v>
      </c>
      <c r="K23" s="2948"/>
      <c r="L23" s="2951"/>
      <c r="M23" s="2951"/>
      <c r="N23" s="2977"/>
      <c r="O23" s="2948"/>
      <c r="P23" s="2949"/>
      <c r="Q23" s="2953"/>
      <c r="R23" s="2953"/>
      <c r="S23" s="2952" t="s">
        <v>241</v>
      </c>
      <c r="T23" s="2952" t="s">
        <v>241</v>
      </c>
      <c r="U23" s="2952" t="s">
        <v>241</v>
      </c>
      <c r="V23" s="2952" t="s">
        <v>241</v>
      </c>
      <c r="W23" s="2954" t="s">
        <v>241</v>
      </c>
      <c r="X23" s="2954" t="s">
        <v>241</v>
      </c>
      <c r="Y23" s="2954" t="s">
        <v>241</v>
      </c>
      <c r="Z23" s="2984">
        <v>0</v>
      </c>
    </row>
    <row r="24" spans="2:26">
      <c r="C24" s="3046"/>
      <c r="D24" s="3055"/>
      <c r="E24" s="3082"/>
      <c r="F24" s="3047">
        <f>SUM(D24:E24)</f>
        <v>0</v>
      </c>
      <c r="H24" s="2948"/>
      <c r="I24" s="2953"/>
      <c r="J24" s="2950" t="s">
        <v>241</v>
      </c>
      <c r="K24" s="2948"/>
      <c r="L24" s="2951"/>
      <c r="M24" s="2951"/>
      <c r="N24" s="2977"/>
      <c r="O24" s="2948"/>
      <c r="P24" s="2949"/>
      <c r="Q24" s="2953"/>
      <c r="R24" s="2953"/>
      <c r="S24" s="2952" t="s">
        <v>241</v>
      </c>
      <c r="T24" s="2952" t="s">
        <v>241</v>
      </c>
      <c r="U24" s="2952" t="s">
        <v>241</v>
      </c>
      <c r="V24" s="2952" t="s">
        <v>241</v>
      </c>
      <c r="W24" s="2954" t="s">
        <v>241</v>
      </c>
      <c r="X24" s="2954" t="s">
        <v>241</v>
      </c>
      <c r="Y24" s="2954" t="s">
        <v>241</v>
      </c>
      <c r="Z24" s="2984">
        <v>0</v>
      </c>
    </row>
    <row r="25" spans="2:26">
      <c r="C25" s="3046"/>
      <c r="D25" s="3056"/>
      <c r="E25" s="3081"/>
      <c r="F25" s="3047">
        <f>SUM(D25:E25)</f>
        <v>0</v>
      </c>
      <c r="H25" s="2948"/>
      <c r="I25" s="2953"/>
      <c r="J25" s="2950" t="s">
        <v>241</v>
      </c>
      <c r="K25" s="2948"/>
      <c r="L25" s="2951"/>
      <c r="M25" s="2951"/>
      <c r="N25" s="2977"/>
      <c r="O25" s="2948"/>
      <c r="P25" s="2949"/>
      <c r="Q25" s="2953"/>
      <c r="R25" s="2953"/>
      <c r="S25" s="2952" t="s">
        <v>241</v>
      </c>
      <c r="T25" s="2952" t="s">
        <v>241</v>
      </c>
      <c r="U25" s="2952" t="s">
        <v>241</v>
      </c>
      <c r="V25" s="2952" t="s">
        <v>241</v>
      </c>
      <c r="W25" s="2954" t="s">
        <v>241</v>
      </c>
      <c r="X25" s="2954" t="s">
        <v>241</v>
      </c>
      <c r="Y25" s="2954" t="s">
        <v>241</v>
      </c>
      <c r="Z25" s="2984">
        <v>0</v>
      </c>
    </row>
    <row r="26" spans="2:26">
      <c r="C26" s="3057"/>
      <c r="D26" s="3058"/>
      <c r="E26" s="3083"/>
      <c r="F26" s="3058"/>
      <c r="H26" s="2948"/>
      <c r="I26" s="2953"/>
      <c r="J26" s="2950" t="s">
        <v>241</v>
      </c>
      <c r="K26" s="2948"/>
      <c r="L26" s="2951"/>
      <c r="M26" s="2951"/>
      <c r="N26" s="2977"/>
      <c r="O26" s="2948"/>
      <c r="P26" s="2949"/>
      <c r="Q26" s="2953"/>
      <c r="R26" s="2953"/>
      <c r="S26" s="2952" t="s">
        <v>241</v>
      </c>
      <c r="T26" s="2952" t="s">
        <v>241</v>
      </c>
      <c r="U26" s="2952" t="s">
        <v>241</v>
      </c>
      <c r="V26" s="2952" t="s">
        <v>241</v>
      </c>
      <c r="W26" s="2954" t="s">
        <v>241</v>
      </c>
      <c r="X26" s="2954" t="s">
        <v>241</v>
      </c>
      <c r="Y26" s="2954" t="s">
        <v>241</v>
      </c>
      <c r="Z26" s="2984">
        <v>0</v>
      </c>
    </row>
    <row r="27" spans="2:26">
      <c r="C27" s="3037" t="s">
        <v>70</v>
      </c>
      <c r="D27" s="3038">
        <f>SUM(D29:D32)</f>
        <v>17118.2215</v>
      </c>
      <c r="E27" s="3075">
        <f>SUM(E29:E32)</f>
        <v>17888.4948</v>
      </c>
      <c r="F27" s="3022">
        <f>D27+E27</f>
        <v>35006.7163</v>
      </c>
      <c r="H27" s="2948"/>
      <c r="I27" s="2953"/>
      <c r="J27" s="2950" t="s">
        <v>241</v>
      </c>
      <c r="K27" s="2948"/>
      <c r="L27" s="2951"/>
      <c r="M27" s="2951"/>
      <c r="N27" s="2977"/>
      <c r="O27" s="2948"/>
      <c r="P27" s="2949"/>
      <c r="Q27" s="2953"/>
      <c r="R27" s="2953"/>
      <c r="S27" s="2952" t="s">
        <v>241</v>
      </c>
      <c r="T27" s="2952" t="s">
        <v>241</v>
      </c>
      <c r="U27" s="2952" t="s">
        <v>241</v>
      </c>
      <c r="V27" s="2952" t="s">
        <v>241</v>
      </c>
      <c r="W27" s="2954" t="s">
        <v>241</v>
      </c>
      <c r="X27" s="2954" t="s">
        <v>241</v>
      </c>
      <c r="Y27" s="2954" t="s">
        <v>241</v>
      </c>
      <c r="Z27" s="2984">
        <v>0</v>
      </c>
    </row>
    <row r="28" spans="2:26">
      <c r="C28" s="3059" t="s">
        <v>315</v>
      </c>
      <c r="D28" s="3060">
        <v>0.66700000000000004</v>
      </c>
      <c r="E28" s="3084">
        <v>0.68</v>
      </c>
      <c r="F28" s="3061"/>
      <c r="H28" s="2948"/>
      <c r="I28" s="2953"/>
      <c r="J28" s="2950" t="s">
        <v>241</v>
      </c>
      <c r="K28" s="2948"/>
      <c r="L28" s="2951"/>
      <c r="M28" s="2951"/>
      <c r="N28" s="2977"/>
      <c r="O28" s="2948"/>
      <c r="P28" s="2949"/>
      <c r="Q28" s="2953"/>
      <c r="R28" s="2953"/>
      <c r="S28" s="2952" t="s">
        <v>241</v>
      </c>
      <c r="T28" s="2952" t="s">
        <v>241</v>
      </c>
      <c r="U28" s="2952" t="s">
        <v>241</v>
      </c>
      <c r="V28" s="2952" t="s">
        <v>241</v>
      </c>
      <c r="W28" s="2954" t="s">
        <v>241</v>
      </c>
      <c r="X28" s="2954" t="s">
        <v>241</v>
      </c>
      <c r="Y28" s="2954" t="s">
        <v>241</v>
      </c>
      <c r="Z28" s="2984">
        <v>0</v>
      </c>
    </row>
    <row r="29" spans="2:26">
      <c r="C29" s="3046" t="s">
        <v>778</v>
      </c>
      <c r="D29" s="3062">
        <f>D15*D28</f>
        <v>15450.721500000001</v>
      </c>
      <c r="E29" s="3085">
        <f>E15*E28</f>
        <v>16145.654800000002</v>
      </c>
      <c r="F29" s="3047">
        <f>SUM(D29:E29)</f>
        <v>31596.376300000004</v>
      </c>
      <c r="H29" s="2948"/>
      <c r="I29" s="2953"/>
      <c r="J29" s="2950" t="s">
        <v>241</v>
      </c>
      <c r="K29" s="2948"/>
      <c r="L29" s="2951"/>
      <c r="M29" s="2951"/>
      <c r="N29" s="2977"/>
      <c r="O29" s="2948"/>
      <c r="P29" s="2949"/>
      <c r="Q29" s="2953"/>
      <c r="R29" s="2953"/>
      <c r="S29" s="2952" t="s">
        <v>241</v>
      </c>
      <c r="T29" s="2952" t="s">
        <v>241</v>
      </c>
      <c r="U29" s="2952" t="s">
        <v>241</v>
      </c>
      <c r="V29" s="2952" t="s">
        <v>241</v>
      </c>
      <c r="W29" s="2954" t="s">
        <v>241</v>
      </c>
      <c r="X29" s="2954" t="s">
        <v>241</v>
      </c>
      <c r="Y29" s="2954" t="s">
        <v>241</v>
      </c>
      <c r="Z29" s="2984">
        <v>0</v>
      </c>
    </row>
    <row r="30" spans="2:26">
      <c r="C30" s="3046" t="s">
        <v>779</v>
      </c>
      <c r="D30" s="3063">
        <f>D21*D28</f>
        <v>1667.5</v>
      </c>
      <c r="E30" s="3085">
        <f>E21*E28</f>
        <v>1742.8400000000001</v>
      </c>
      <c r="F30" s="3047">
        <f>SUM(D30:E30)</f>
        <v>3410.34</v>
      </c>
      <c r="H30" s="2948"/>
      <c r="I30" s="2953"/>
      <c r="J30" s="2950" t="s">
        <v>241</v>
      </c>
      <c r="K30" s="2948"/>
      <c r="L30" s="2951"/>
      <c r="M30" s="2951"/>
      <c r="N30" s="2977"/>
      <c r="O30" s="2948"/>
      <c r="P30" s="2949"/>
      <c r="Q30" s="2953"/>
      <c r="R30" s="2953"/>
      <c r="S30" s="2952" t="s">
        <v>241</v>
      </c>
      <c r="T30" s="2952" t="s">
        <v>241</v>
      </c>
      <c r="U30" s="2952" t="s">
        <v>241</v>
      </c>
      <c r="V30" s="2952" t="s">
        <v>241</v>
      </c>
      <c r="W30" s="2954" t="s">
        <v>241</v>
      </c>
      <c r="X30" s="2954" t="s">
        <v>241</v>
      </c>
      <c r="Y30" s="2954" t="s">
        <v>241</v>
      </c>
      <c r="Z30" s="2984">
        <v>0</v>
      </c>
    </row>
    <row r="31" spans="2:26">
      <c r="C31" s="3064"/>
      <c r="D31" s="3055"/>
      <c r="E31" s="3082"/>
      <c r="F31" s="3047">
        <f>SUM(D31:E31)</f>
        <v>0</v>
      </c>
      <c r="H31" s="2948"/>
      <c r="I31" s="2953"/>
      <c r="J31" s="2950" t="s">
        <v>241</v>
      </c>
      <c r="K31" s="2948"/>
      <c r="L31" s="2951"/>
      <c r="M31" s="2951"/>
      <c r="N31" s="2977"/>
      <c r="O31" s="2948"/>
      <c r="P31" s="2949"/>
      <c r="Q31" s="2953"/>
      <c r="R31" s="2953"/>
      <c r="S31" s="2952" t="s">
        <v>241</v>
      </c>
      <c r="T31" s="2952" t="s">
        <v>241</v>
      </c>
      <c r="U31" s="2952" t="s">
        <v>241</v>
      </c>
      <c r="V31" s="2952" t="s">
        <v>241</v>
      </c>
      <c r="W31" s="2954" t="s">
        <v>241</v>
      </c>
      <c r="X31" s="2954" t="s">
        <v>241</v>
      </c>
      <c r="Y31" s="2954" t="s">
        <v>241</v>
      </c>
      <c r="Z31" s="2984">
        <v>0</v>
      </c>
    </row>
    <row r="32" spans="2:26">
      <c r="C32" s="3064"/>
      <c r="D32" s="3056"/>
      <c r="E32" s="3081"/>
      <c r="F32" s="3047">
        <f>SUM(D32:E32)</f>
        <v>0</v>
      </c>
      <c r="H32" s="2948"/>
      <c r="I32" s="2953"/>
      <c r="J32" s="2950" t="s">
        <v>241</v>
      </c>
      <c r="K32" s="2948"/>
      <c r="L32" s="2951"/>
      <c r="M32" s="2951"/>
      <c r="N32" s="2977"/>
      <c r="O32" s="2948"/>
      <c r="P32" s="2949"/>
      <c r="Q32" s="2953"/>
      <c r="R32" s="2953"/>
      <c r="S32" s="2952" t="s">
        <v>241</v>
      </c>
      <c r="T32" s="2952" t="s">
        <v>241</v>
      </c>
      <c r="U32" s="2952" t="s">
        <v>241</v>
      </c>
      <c r="V32" s="2952" t="s">
        <v>241</v>
      </c>
      <c r="W32" s="2954" t="s">
        <v>241</v>
      </c>
      <c r="X32" s="2954" t="s">
        <v>241</v>
      </c>
      <c r="Y32" s="2954" t="s">
        <v>241</v>
      </c>
      <c r="Z32" s="2984">
        <v>0</v>
      </c>
    </row>
    <row r="33" spans="1:26">
      <c r="C33" s="3049"/>
      <c r="D33" s="3065"/>
      <c r="E33" s="3079"/>
      <c r="F33" s="3065"/>
      <c r="H33" s="2948"/>
      <c r="I33" s="2953"/>
      <c r="J33" s="2950" t="s">
        <v>241</v>
      </c>
      <c r="K33" s="2948"/>
      <c r="L33" s="2951"/>
      <c r="M33" s="2951"/>
      <c r="N33" s="2977"/>
      <c r="O33" s="2948"/>
      <c r="P33" s="2949"/>
      <c r="Q33" s="2953"/>
      <c r="R33" s="2953"/>
      <c r="S33" s="2952" t="s">
        <v>241</v>
      </c>
      <c r="T33" s="2952" t="s">
        <v>241</v>
      </c>
      <c r="U33" s="2952" t="s">
        <v>241</v>
      </c>
      <c r="V33" s="2952" t="s">
        <v>241</v>
      </c>
      <c r="W33" s="2954" t="s">
        <v>241</v>
      </c>
      <c r="X33" s="2954" t="s">
        <v>241</v>
      </c>
      <c r="Y33" s="2954" t="s">
        <v>241</v>
      </c>
      <c r="Z33" s="2984">
        <v>0</v>
      </c>
    </row>
    <row r="34" spans="1:26">
      <c r="A34" s="2998" t="s">
        <v>1448</v>
      </c>
      <c r="C34" s="3037" t="s">
        <v>49</v>
      </c>
      <c r="D34" s="3038">
        <f>SUM(D35:D38)</f>
        <v>41371</v>
      </c>
      <c r="E34" s="3075">
        <f>SUM(E35:E38)</f>
        <v>41371.17</v>
      </c>
      <c r="F34" s="3022">
        <f>D34+E34</f>
        <v>82742.17</v>
      </c>
      <c r="H34" s="2948"/>
      <c r="I34" s="2953"/>
      <c r="J34" s="2950" t="s">
        <v>241</v>
      </c>
      <c r="K34" s="2948"/>
      <c r="L34" s="2951"/>
      <c r="M34" s="2951"/>
      <c r="N34" s="2977"/>
      <c r="O34" s="2948"/>
      <c r="P34" s="2949"/>
      <c r="Q34" s="2953"/>
      <c r="R34" s="2953"/>
      <c r="S34" s="2952" t="s">
        <v>241</v>
      </c>
      <c r="T34" s="2952" t="s">
        <v>241</v>
      </c>
      <c r="U34" s="2952" t="s">
        <v>241</v>
      </c>
      <c r="V34" s="2952" t="s">
        <v>241</v>
      </c>
      <c r="W34" s="2954" t="s">
        <v>241</v>
      </c>
      <c r="X34" s="2954" t="s">
        <v>241</v>
      </c>
      <c r="Y34" s="2954" t="s">
        <v>241</v>
      </c>
      <c r="Z34" s="2984">
        <v>0</v>
      </c>
    </row>
    <row r="35" spans="1:26">
      <c r="A35" s="3004" t="s">
        <v>291</v>
      </c>
      <c r="C35" s="3046" t="s">
        <v>887</v>
      </c>
      <c r="D35" s="3062">
        <v>41371</v>
      </c>
      <c r="E35" s="3086">
        <v>41371.17</v>
      </c>
      <c r="F35" s="3047">
        <f>SUM(D35:E35)</f>
        <v>82742.17</v>
      </c>
      <c r="H35" s="2948"/>
      <c r="I35" s="2953"/>
      <c r="J35" s="2950" t="s">
        <v>241</v>
      </c>
      <c r="K35" s="2948"/>
      <c r="L35" s="2951"/>
      <c r="M35" s="2951"/>
      <c r="N35" s="2977"/>
      <c r="O35" s="2948"/>
      <c r="P35" s="2949"/>
      <c r="Q35" s="2953"/>
      <c r="R35" s="2953"/>
      <c r="S35" s="2952" t="s">
        <v>241</v>
      </c>
      <c r="T35" s="2952" t="s">
        <v>241</v>
      </c>
      <c r="U35" s="2952" t="s">
        <v>241</v>
      </c>
      <c r="V35" s="2952" t="s">
        <v>241</v>
      </c>
      <c r="W35" s="2954" t="s">
        <v>241</v>
      </c>
      <c r="X35" s="2954" t="s">
        <v>241</v>
      </c>
      <c r="Y35" s="2954" t="s">
        <v>241</v>
      </c>
      <c r="Z35" s="2984">
        <v>0</v>
      </c>
    </row>
    <row r="36" spans="1:26">
      <c r="A36" s="2998" t="s">
        <v>6</v>
      </c>
      <c r="C36" s="3046"/>
      <c r="D36" s="3062"/>
      <c r="E36" s="3086"/>
      <c r="F36" s="3047">
        <f>SUM(D36:E36)</f>
        <v>0</v>
      </c>
      <c r="H36" s="2948"/>
      <c r="I36" s="2953"/>
      <c r="J36" s="2950" t="s">
        <v>241</v>
      </c>
      <c r="K36" s="2948"/>
      <c r="L36" s="2951"/>
      <c r="M36" s="2951"/>
      <c r="N36" s="2977"/>
      <c r="O36" s="2948"/>
      <c r="P36" s="2949"/>
      <c r="Q36" s="2953"/>
      <c r="R36" s="2953"/>
      <c r="S36" s="2952" t="s">
        <v>241</v>
      </c>
      <c r="T36" s="2952" t="s">
        <v>241</v>
      </c>
      <c r="U36" s="2952" t="s">
        <v>241</v>
      </c>
      <c r="V36" s="2952" t="s">
        <v>241</v>
      </c>
      <c r="W36" s="2954" t="s">
        <v>241</v>
      </c>
      <c r="X36" s="2954" t="s">
        <v>241</v>
      </c>
      <c r="Y36" s="2954" t="s">
        <v>241</v>
      </c>
      <c r="Z36" s="2984">
        <v>0</v>
      </c>
    </row>
    <row r="37" spans="1:26">
      <c r="A37" s="2998" t="s">
        <v>1449</v>
      </c>
      <c r="C37" s="3046"/>
      <c r="D37" s="3062"/>
      <c r="E37" s="3086"/>
      <c r="F37" s="3047">
        <f>SUM(D37:E37)</f>
        <v>0</v>
      </c>
      <c r="H37" s="2948"/>
      <c r="I37" s="2953"/>
      <c r="J37" s="2950" t="s">
        <v>241</v>
      </c>
      <c r="K37" s="2948"/>
      <c r="L37" s="2951"/>
      <c r="M37" s="2951"/>
      <c r="N37" s="2977"/>
      <c r="O37" s="2948"/>
      <c r="P37" s="2949"/>
      <c r="Q37" s="2953"/>
      <c r="R37" s="2953"/>
      <c r="S37" s="2952" t="s">
        <v>241</v>
      </c>
      <c r="T37" s="2952" t="s">
        <v>241</v>
      </c>
      <c r="U37" s="2952" t="s">
        <v>241</v>
      </c>
      <c r="V37" s="2952" t="s">
        <v>241</v>
      </c>
      <c r="W37" s="2954" t="s">
        <v>241</v>
      </c>
      <c r="X37" s="2954" t="s">
        <v>241</v>
      </c>
      <c r="Y37" s="2954" t="s">
        <v>241</v>
      </c>
      <c r="Z37" s="2984">
        <v>0</v>
      </c>
    </row>
    <row r="38" spans="1:26">
      <c r="A38" s="3004" t="s">
        <v>5</v>
      </c>
      <c r="C38" s="3046"/>
      <c r="D38" s="3062"/>
      <c r="E38" s="3086"/>
      <c r="F38" s="3047">
        <f>SUM(D38:E38)</f>
        <v>0</v>
      </c>
      <c r="H38" s="2948"/>
      <c r="I38" s="2953"/>
      <c r="J38" s="2950" t="s">
        <v>241</v>
      </c>
      <c r="K38" s="2948"/>
      <c r="L38" s="2951"/>
      <c r="M38" s="2951"/>
      <c r="N38" s="2977"/>
      <c r="O38" s="2948"/>
      <c r="P38" s="2949"/>
      <c r="Q38" s="2953"/>
      <c r="R38" s="2953"/>
      <c r="S38" s="2952" t="s">
        <v>241</v>
      </c>
      <c r="T38" s="2952" t="s">
        <v>241</v>
      </c>
      <c r="U38" s="2952" t="s">
        <v>241</v>
      </c>
      <c r="V38" s="2952" t="s">
        <v>241</v>
      </c>
      <c r="W38" s="2954" t="s">
        <v>241</v>
      </c>
      <c r="X38" s="2954" t="s">
        <v>241</v>
      </c>
      <c r="Y38" s="2954" t="s">
        <v>241</v>
      </c>
      <c r="Z38" s="2984">
        <v>0</v>
      </c>
    </row>
    <row r="39" spans="1:26">
      <c r="C39" s="3049"/>
      <c r="D39" s="3065"/>
      <c r="E39" s="3079"/>
      <c r="F39" s="3065"/>
      <c r="H39" s="2948"/>
      <c r="I39" s="2953"/>
      <c r="J39" s="2950" t="s">
        <v>241</v>
      </c>
      <c r="K39" s="2948"/>
      <c r="L39" s="2951"/>
      <c r="M39" s="2951"/>
      <c r="N39" s="2977"/>
      <c r="O39" s="2948"/>
      <c r="P39" s="2949"/>
      <c r="Q39" s="2953"/>
      <c r="R39" s="2953"/>
      <c r="S39" s="2952" t="s">
        <v>241</v>
      </c>
      <c r="T39" s="2952" t="s">
        <v>241</v>
      </c>
      <c r="U39" s="2952" t="s">
        <v>241</v>
      </c>
      <c r="V39" s="2952" t="s">
        <v>241</v>
      </c>
      <c r="W39" s="2954" t="s">
        <v>241</v>
      </c>
      <c r="X39" s="2954" t="s">
        <v>241</v>
      </c>
      <c r="Y39" s="2954" t="s">
        <v>241</v>
      </c>
      <c r="Z39" s="2984">
        <v>0</v>
      </c>
    </row>
    <row r="40" spans="1:26">
      <c r="C40" s="3037" t="s">
        <v>506</v>
      </c>
      <c r="D40" s="3038">
        <f>SUM(D41:D44)</f>
        <v>500</v>
      </c>
      <c r="E40" s="3075">
        <f>SUM(E41:E44)</f>
        <v>500</v>
      </c>
      <c r="F40" s="3022">
        <f>D40+E40</f>
        <v>1000</v>
      </c>
      <c r="H40" s="2948"/>
      <c r="I40" s="2953"/>
      <c r="J40" s="2950" t="s">
        <v>241</v>
      </c>
      <c r="K40" s="2948"/>
      <c r="L40" s="2951"/>
      <c r="M40" s="2951"/>
      <c r="N40" s="2977"/>
      <c r="O40" s="2948"/>
      <c r="P40" s="2949"/>
      <c r="Q40" s="2953"/>
      <c r="R40" s="2953"/>
      <c r="S40" s="2952" t="s">
        <v>241</v>
      </c>
      <c r="T40" s="2952" t="s">
        <v>241</v>
      </c>
      <c r="U40" s="2952" t="s">
        <v>241</v>
      </c>
      <c r="V40" s="2952" t="s">
        <v>241</v>
      </c>
      <c r="W40" s="2954" t="s">
        <v>241</v>
      </c>
      <c r="X40" s="2954" t="s">
        <v>241</v>
      </c>
      <c r="Y40" s="2954" t="s">
        <v>241</v>
      </c>
      <c r="Z40" s="2984">
        <v>0</v>
      </c>
    </row>
    <row r="41" spans="1:26">
      <c r="C41" s="3046"/>
      <c r="D41" s="3062">
        <v>500</v>
      </c>
      <c r="E41" s="3086">
        <v>500</v>
      </c>
      <c r="F41" s="3047">
        <f>SUM(D41:E41)</f>
        <v>1000</v>
      </c>
      <c r="H41" s="2948"/>
      <c r="I41" s="2953"/>
      <c r="J41" s="2950" t="s">
        <v>241</v>
      </c>
      <c r="K41" s="2948"/>
      <c r="L41" s="2951"/>
      <c r="M41" s="2951"/>
      <c r="N41" s="2977"/>
      <c r="O41" s="2948"/>
      <c r="P41" s="2949"/>
      <c r="Q41" s="2953"/>
      <c r="R41" s="2953"/>
      <c r="S41" s="2952" t="s">
        <v>241</v>
      </c>
      <c r="T41" s="2952" t="s">
        <v>241</v>
      </c>
      <c r="U41" s="2952" t="s">
        <v>241</v>
      </c>
      <c r="V41" s="2952" t="s">
        <v>241</v>
      </c>
      <c r="W41" s="2954" t="s">
        <v>241</v>
      </c>
      <c r="X41" s="2954" t="s">
        <v>241</v>
      </c>
      <c r="Y41" s="2954" t="s">
        <v>241</v>
      </c>
      <c r="Z41" s="2984">
        <v>0</v>
      </c>
    </row>
    <row r="42" spans="1:26">
      <c r="C42" s="3046"/>
      <c r="D42" s="3062"/>
      <c r="E42" s="3086"/>
      <c r="F42" s="3047">
        <f>SUM(D42:E42)</f>
        <v>0</v>
      </c>
      <c r="H42" s="2948"/>
      <c r="I42" s="2953"/>
      <c r="J42" s="2950" t="s">
        <v>241</v>
      </c>
      <c r="K42" s="2948"/>
      <c r="L42" s="2951"/>
      <c r="M42" s="2951"/>
      <c r="N42" s="2977"/>
      <c r="O42" s="2948"/>
      <c r="P42" s="2949"/>
      <c r="Q42" s="2953"/>
      <c r="R42" s="2953"/>
      <c r="S42" s="2952" t="s">
        <v>241</v>
      </c>
      <c r="T42" s="2952" t="s">
        <v>241</v>
      </c>
      <c r="U42" s="2952" t="s">
        <v>241</v>
      </c>
      <c r="V42" s="2952" t="s">
        <v>241</v>
      </c>
      <c r="W42" s="2954" t="s">
        <v>241</v>
      </c>
      <c r="X42" s="2954" t="s">
        <v>241</v>
      </c>
      <c r="Y42" s="2954" t="s">
        <v>241</v>
      </c>
      <c r="Z42" s="2984">
        <v>0</v>
      </c>
    </row>
    <row r="43" spans="1:26">
      <c r="C43" s="3046"/>
      <c r="D43" s="3062"/>
      <c r="E43" s="3086"/>
      <c r="F43" s="3047">
        <f>SUM(D43:E43)</f>
        <v>0</v>
      </c>
      <c r="H43" s="2948"/>
      <c r="I43" s="2953"/>
      <c r="J43" s="2950" t="s">
        <v>241</v>
      </c>
      <c r="K43" s="2948"/>
      <c r="L43" s="2951"/>
      <c r="M43" s="2951"/>
      <c r="N43" s="2977"/>
      <c r="O43" s="2948"/>
      <c r="P43" s="2949"/>
      <c r="Q43" s="2953"/>
      <c r="R43" s="2953"/>
      <c r="S43" s="2952" t="s">
        <v>241</v>
      </c>
      <c r="T43" s="2952" t="s">
        <v>241</v>
      </c>
      <c r="U43" s="2952" t="s">
        <v>241</v>
      </c>
      <c r="V43" s="2952" t="s">
        <v>241</v>
      </c>
      <c r="W43" s="2954" t="s">
        <v>241</v>
      </c>
      <c r="X43" s="2954" t="s">
        <v>241</v>
      </c>
      <c r="Y43" s="2954" t="s">
        <v>241</v>
      </c>
      <c r="Z43" s="2984">
        <v>0</v>
      </c>
    </row>
    <row r="44" spans="1:26">
      <c r="C44" s="3046"/>
      <c r="D44" s="3062"/>
      <c r="E44" s="3086"/>
      <c r="F44" s="3047">
        <f>SUM(D44:E44)</f>
        <v>0</v>
      </c>
      <c r="H44" s="2948"/>
      <c r="I44" s="2953"/>
      <c r="J44" s="2950" t="s">
        <v>241</v>
      </c>
      <c r="K44" s="2948"/>
      <c r="L44" s="2951"/>
      <c r="M44" s="2951"/>
      <c r="N44" s="2977"/>
      <c r="O44" s="2948"/>
      <c r="P44" s="2949"/>
      <c r="Q44" s="2953"/>
      <c r="R44" s="2953"/>
      <c r="S44" s="2952" t="s">
        <v>241</v>
      </c>
      <c r="T44" s="2952" t="s">
        <v>241</v>
      </c>
      <c r="U44" s="2952" t="s">
        <v>241</v>
      </c>
      <c r="V44" s="2952" t="s">
        <v>241</v>
      </c>
      <c r="W44" s="2954" t="s">
        <v>241</v>
      </c>
      <c r="X44" s="2954" t="s">
        <v>241</v>
      </c>
      <c r="Y44" s="2954" t="s">
        <v>241</v>
      </c>
      <c r="Z44" s="2984">
        <v>0</v>
      </c>
    </row>
    <row r="45" spans="1:26">
      <c r="C45" s="3049"/>
      <c r="D45" s="3065"/>
      <c r="E45" s="3079"/>
      <c r="F45" s="3065"/>
      <c r="H45" s="2948"/>
      <c r="I45" s="2953"/>
      <c r="J45" s="2950" t="s">
        <v>241</v>
      </c>
      <c r="K45" s="2948"/>
      <c r="L45" s="2951"/>
      <c r="M45" s="2951"/>
      <c r="N45" s="2977"/>
      <c r="O45" s="2948"/>
      <c r="P45" s="2949"/>
      <c r="Q45" s="2953"/>
      <c r="R45" s="2953"/>
      <c r="S45" s="2952" t="s">
        <v>241</v>
      </c>
      <c r="T45" s="2952" t="s">
        <v>241</v>
      </c>
      <c r="U45" s="2952" t="s">
        <v>241</v>
      </c>
      <c r="V45" s="2952" t="s">
        <v>241</v>
      </c>
      <c r="W45" s="2954" t="s">
        <v>241</v>
      </c>
      <c r="X45" s="2954" t="s">
        <v>241</v>
      </c>
      <c r="Y45" s="2954" t="s">
        <v>241</v>
      </c>
      <c r="Z45" s="2984">
        <v>0</v>
      </c>
    </row>
    <row r="46" spans="1:26">
      <c r="C46" s="3037" t="s">
        <v>50</v>
      </c>
      <c r="D46" s="3038">
        <f>SUM(D47:D50)</f>
        <v>120000</v>
      </c>
      <c r="E46" s="3075">
        <f>SUM(E47:E50)</f>
        <v>20000</v>
      </c>
      <c r="F46" s="3022">
        <f>D46+E46</f>
        <v>140000</v>
      </c>
      <c r="H46" s="2948"/>
      <c r="I46" s="2953"/>
      <c r="J46" s="2950" t="s">
        <v>241</v>
      </c>
      <c r="K46" s="2948"/>
      <c r="L46" s="2951"/>
      <c r="M46" s="2951"/>
      <c r="N46" s="2977"/>
      <c r="O46" s="2948"/>
      <c r="P46" s="2949"/>
      <c r="Q46" s="2953"/>
      <c r="R46" s="2953"/>
      <c r="S46" s="2952" t="s">
        <v>241</v>
      </c>
      <c r="T46" s="2952" t="s">
        <v>241</v>
      </c>
      <c r="U46" s="2952" t="s">
        <v>241</v>
      </c>
      <c r="V46" s="2952" t="s">
        <v>241</v>
      </c>
      <c r="W46" s="2954" t="s">
        <v>241</v>
      </c>
      <c r="X46" s="2954" t="s">
        <v>241</v>
      </c>
      <c r="Y46" s="2954" t="s">
        <v>241</v>
      </c>
      <c r="Z46" s="2984">
        <v>0</v>
      </c>
    </row>
    <row r="47" spans="1:26">
      <c r="C47" s="3046" t="s">
        <v>890</v>
      </c>
      <c r="D47" s="3062">
        <v>10000</v>
      </c>
      <c r="E47" s="3086">
        <v>10000</v>
      </c>
      <c r="F47" s="3047">
        <f>SUM(D47:E47)</f>
        <v>20000</v>
      </c>
      <c r="H47" s="2948"/>
      <c r="I47" s="2953"/>
      <c r="J47" s="2950" t="s">
        <v>241</v>
      </c>
      <c r="K47" s="2948"/>
      <c r="L47" s="2951"/>
      <c r="M47" s="2951"/>
      <c r="N47" s="2977"/>
      <c r="O47" s="2948"/>
      <c r="P47" s="2949"/>
      <c r="Q47" s="2953"/>
      <c r="R47" s="2953"/>
      <c r="S47" s="2952" t="s">
        <v>241</v>
      </c>
      <c r="T47" s="2952" t="s">
        <v>241</v>
      </c>
      <c r="U47" s="2952" t="s">
        <v>241</v>
      </c>
      <c r="V47" s="2952" t="s">
        <v>241</v>
      </c>
      <c r="W47" s="2954" t="s">
        <v>241</v>
      </c>
      <c r="X47" s="2954" t="s">
        <v>241</v>
      </c>
      <c r="Y47" s="2954" t="s">
        <v>241</v>
      </c>
      <c r="Z47" s="2984">
        <v>0</v>
      </c>
    </row>
    <row r="48" spans="1:26">
      <c r="C48" s="3046" t="s">
        <v>891</v>
      </c>
      <c r="D48" s="3062">
        <v>10000</v>
      </c>
      <c r="E48" s="3086">
        <v>10000</v>
      </c>
      <c r="F48" s="3047">
        <f>SUM(D48:E48)</f>
        <v>20000</v>
      </c>
      <c r="H48" s="2948"/>
      <c r="I48" s="2953"/>
      <c r="J48" s="2950" t="s">
        <v>241</v>
      </c>
      <c r="K48" s="2948"/>
      <c r="L48" s="2951"/>
      <c r="M48" s="2951"/>
      <c r="N48" s="2977"/>
      <c r="O48" s="2948"/>
      <c r="P48" s="2949"/>
      <c r="Q48" s="2953"/>
      <c r="R48" s="2953"/>
      <c r="S48" s="2952" t="s">
        <v>241</v>
      </c>
      <c r="T48" s="2952" t="s">
        <v>241</v>
      </c>
      <c r="U48" s="2952" t="s">
        <v>241</v>
      </c>
      <c r="V48" s="2952" t="s">
        <v>241</v>
      </c>
      <c r="W48" s="2954" t="s">
        <v>241</v>
      </c>
      <c r="X48" s="2954" t="s">
        <v>241</v>
      </c>
      <c r="Y48" s="2954" t="s">
        <v>241</v>
      </c>
      <c r="Z48" s="2984">
        <v>0</v>
      </c>
    </row>
    <row r="49" spans="1:26">
      <c r="C49" s="3046" t="s">
        <v>1450</v>
      </c>
      <c r="D49" s="3062">
        <v>100000</v>
      </c>
      <c r="E49" s="3086"/>
      <c r="F49" s="3047">
        <f>SUM(D49:E49)</f>
        <v>100000</v>
      </c>
      <c r="H49" s="2948"/>
      <c r="I49" s="2953"/>
      <c r="J49" s="2950" t="s">
        <v>241</v>
      </c>
      <c r="K49" s="2948"/>
      <c r="L49" s="2951"/>
      <c r="M49" s="2951"/>
      <c r="N49" s="2977"/>
      <c r="O49" s="2948"/>
      <c r="P49" s="2949"/>
      <c r="Q49" s="2953"/>
      <c r="R49" s="2953"/>
      <c r="S49" s="2952" t="s">
        <v>241</v>
      </c>
      <c r="T49" s="2952" t="s">
        <v>241</v>
      </c>
      <c r="U49" s="2952" t="s">
        <v>241</v>
      </c>
      <c r="V49" s="2952" t="s">
        <v>241</v>
      </c>
      <c r="W49" s="2954" t="s">
        <v>241</v>
      </c>
      <c r="X49" s="2954" t="s">
        <v>241</v>
      </c>
      <c r="Y49" s="2954" t="s">
        <v>241</v>
      </c>
      <c r="Z49" s="2984">
        <v>0</v>
      </c>
    </row>
    <row r="50" spans="1:26">
      <c r="C50" s="3046"/>
      <c r="D50" s="3062"/>
      <c r="E50" s="3086"/>
      <c r="F50" s="3047">
        <f>SUM(D50:E50)</f>
        <v>0</v>
      </c>
      <c r="H50" s="2948"/>
      <c r="I50" s="2953"/>
      <c r="J50" s="2950" t="s">
        <v>241</v>
      </c>
      <c r="K50" s="2948"/>
      <c r="L50" s="2951"/>
      <c r="M50" s="2951"/>
      <c r="N50" s="2977"/>
      <c r="O50" s="2948"/>
      <c r="P50" s="2949"/>
      <c r="Q50" s="2953"/>
      <c r="R50" s="2953"/>
      <c r="S50" s="2952" t="s">
        <v>241</v>
      </c>
      <c r="T50" s="2952" t="s">
        <v>241</v>
      </c>
      <c r="U50" s="2952" t="s">
        <v>241</v>
      </c>
      <c r="V50" s="2952" t="s">
        <v>241</v>
      </c>
      <c r="W50" s="2954" t="s">
        <v>241</v>
      </c>
      <c r="X50" s="2954" t="s">
        <v>241</v>
      </c>
      <c r="Y50" s="2954" t="s">
        <v>241</v>
      </c>
      <c r="Z50" s="2984">
        <v>0</v>
      </c>
    </row>
    <row r="51" spans="1:26">
      <c r="C51" s="3049"/>
      <c r="D51" s="3065"/>
      <c r="E51" s="3079"/>
      <c r="F51" s="3065"/>
      <c r="H51" s="2948"/>
      <c r="I51" s="2953"/>
      <c r="J51" s="2950" t="s">
        <v>241</v>
      </c>
      <c r="K51" s="2948"/>
      <c r="L51" s="2951"/>
      <c r="M51" s="2951"/>
      <c r="N51" s="2977"/>
      <c r="O51" s="2948"/>
      <c r="P51" s="2949"/>
      <c r="Q51" s="2953"/>
      <c r="R51" s="2953"/>
      <c r="S51" s="2952" t="s">
        <v>241</v>
      </c>
      <c r="T51" s="2952" t="s">
        <v>241</v>
      </c>
      <c r="U51" s="2952" t="s">
        <v>241</v>
      </c>
      <c r="V51" s="2952" t="s">
        <v>241</v>
      </c>
      <c r="W51" s="2954" t="s">
        <v>241</v>
      </c>
      <c r="X51" s="2954" t="s">
        <v>241</v>
      </c>
      <c r="Y51" s="2954" t="s">
        <v>241</v>
      </c>
      <c r="Z51" s="2984">
        <v>0</v>
      </c>
    </row>
    <row r="52" spans="1:26">
      <c r="C52" s="3037" t="s">
        <v>51</v>
      </c>
      <c r="D52" s="3038">
        <f>SUM(D53:D56)</f>
        <v>500</v>
      </c>
      <c r="E52" s="3075">
        <f>SUM(E53:E56)</f>
        <v>500</v>
      </c>
      <c r="F52" s="3022">
        <f>D52+E52</f>
        <v>1000</v>
      </c>
      <c r="H52" s="2948"/>
      <c r="I52" s="2953"/>
      <c r="J52" s="2950" t="s">
        <v>241</v>
      </c>
      <c r="K52" s="2948"/>
      <c r="L52" s="2951"/>
      <c r="M52" s="2951"/>
      <c r="N52" s="2977"/>
      <c r="O52" s="2948"/>
      <c r="P52" s="2949"/>
      <c r="Q52" s="2953"/>
      <c r="R52" s="2953"/>
      <c r="S52" s="2952" t="s">
        <v>241</v>
      </c>
      <c r="T52" s="2952" t="s">
        <v>241</v>
      </c>
      <c r="U52" s="2952" t="s">
        <v>241</v>
      </c>
      <c r="V52" s="2952" t="s">
        <v>241</v>
      </c>
      <c r="W52" s="2954" t="s">
        <v>241</v>
      </c>
      <c r="X52" s="2954" t="s">
        <v>241</v>
      </c>
      <c r="Y52" s="2954" t="s">
        <v>241</v>
      </c>
      <c r="Z52" s="2984">
        <v>0</v>
      </c>
    </row>
    <row r="53" spans="1:26">
      <c r="C53" s="3046"/>
      <c r="D53" s="3062">
        <v>500</v>
      </c>
      <c r="E53" s="3085">
        <v>500</v>
      </c>
      <c r="F53" s="3047">
        <f>SUM(D53:E53)</f>
        <v>1000</v>
      </c>
      <c r="H53" s="2948"/>
      <c r="I53" s="2953"/>
      <c r="J53" s="2950" t="s">
        <v>241</v>
      </c>
      <c r="K53" s="2948"/>
      <c r="L53" s="2951"/>
      <c r="M53" s="2951"/>
      <c r="N53" s="2977"/>
      <c r="O53" s="2948"/>
      <c r="P53" s="2949"/>
      <c r="Q53" s="2953"/>
      <c r="R53" s="2953"/>
      <c r="S53" s="2952" t="s">
        <v>241</v>
      </c>
      <c r="T53" s="2952" t="s">
        <v>241</v>
      </c>
      <c r="U53" s="2952" t="s">
        <v>241</v>
      </c>
      <c r="V53" s="2952" t="s">
        <v>241</v>
      </c>
      <c r="W53" s="2954" t="s">
        <v>241</v>
      </c>
      <c r="X53" s="2954" t="s">
        <v>241</v>
      </c>
      <c r="Y53" s="2954" t="s">
        <v>241</v>
      </c>
      <c r="Z53" s="2984">
        <v>0</v>
      </c>
    </row>
    <row r="54" spans="1:26">
      <c r="C54" s="3046"/>
      <c r="D54" s="3062"/>
      <c r="E54" s="3085"/>
      <c r="F54" s="3047">
        <f>SUM(D54:E54)</f>
        <v>0</v>
      </c>
      <c r="H54" s="2948"/>
      <c r="I54" s="2953"/>
      <c r="J54" s="2950" t="s">
        <v>241</v>
      </c>
      <c r="K54" s="2948"/>
      <c r="L54" s="2951"/>
      <c r="M54" s="2951"/>
      <c r="N54" s="2977"/>
      <c r="O54" s="2948"/>
      <c r="P54" s="2949"/>
      <c r="Q54" s="2953"/>
      <c r="R54" s="2953"/>
      <c r="S54" s="2952" t="s">
        <v>241</v>
      </c>
      <c r="T54" s="2952" t="s">
        <v>241</v>
      </c>
      <c r="U54" s="2952" t="s">
        <v>241</v>
      </c>
      <c r="V54" s="2952" t="s">
        <v>241</v>
      </c>
      <c r="W54" s="2954" t="s">
        <v>241</v>
      </c>
      <c r="X54" s="2954" t="s">
        <v>241</v>
      </c>
      <c r="Y54" s="2954" t="s">
        <v>241</v>
      </c>
      <c r="Z54" s="2984">
        <v>0</v>
      </c>
    </row>
    <row r="55" spans="1:26">
      <c r="C55" s="3046"/>
      <c r="D55" s="3062"/>
      <c r="E55" s="3085"/>
      <c r="F55" s="3047">
        <f>SUM(D55:E55)</f>
        <v>0</v>
      </c>
      <c r="H55" s="2948"/>
      <c r="I55" s="2953"/>
      <c r="J55" s="2950" t="s">
        <v>241</v>
      </c>
      <c r="K55" s="2948"/>
      <c r="L55" s="2951"/>
      <c r="M55" s="2951"/>
      <c r="N55" s="2977"/>
      <c r="O55" s="2948"/>
      <c r="P55" s="2949"/>
      <c r="Q55" s="2953"/>
      <c r="R55" s="2953"/>
      <c r="S55" s="2952" t="s">
        <v>241</v>
      </c>
      <c r="T55" s="2952" t="s">
        <v>241</v>
      </c>
      <c r="U55" s="2952" t="s">
        <v>241</v>
      </c>
      <c r="V55" s="2952" t="s">
        <v>241</v>
      </c>
      <c r="W55" s="2954" t="s">
        <v>241</v>
      </c>
      <c r="X55" s="2954" t="s">
        <v>241</v>
      </c>
      <c r="Y55" s="2954" t="s">
        <v>241</v>
      </c>
      <c r="Z55" s="2984">
        <v>0</v>
      </c>
    </row>
    <row r="56" spans="1:26">
      <c r="C56" s="3046"/>
      <c r="D56" s="3062"/>
      <c r="E56" s="3085"/>
      <c r="F56" s="3047">
        <f>SUM(D56:E56)</f>
        <v>0</v>
      </c>
      <c r="H56" s="2948"/>
      <c r="I56" s="2953"/>
      <c r="J56" s="2950" t="s">
        <v>241</v>
      </c>
      <c r="K56" s="2948"/>
      <c r="L56" s="2951"/>
      <c r="M56" s="2951"/>
      <c r="N56" s="2977"/>
      <c r="O56" s="2948"/>
      <c r="P56" s="2949"/>
      <c r="Q56" s="2953"/>
      <c r="R56" s="2953"/>
      <c r="S56" s="2952" t="s">
        <v>241</v>
      </c>
      <c r="T56" s="2952" t="s">
        <v>241</v>
      </c>
      <c r="U56" s="2952" t="s">
        <v>241</v>
      </c>
      <c r="V56" s="2952" t="s">
        <v>241</v>
      </c>
      <c r="W56" s="2954" t="s">
        <v>241</v>
      </c>
      <c r="X56" s="2954" t="s">
        <v>241</v>
      </c>
      <c r="Y56" s="2954" t="s">
        <v>241</v>
      </c>
      <c r="Z56" s="2984">
        <v>0</v>
      </c>
    </row>
    <row r="57" spans="1:26">
      <c r="C57" s="3049"/>
      <c r="D57" s="3065"/>
      <c r="E57" s="3079"/>
      <c r="F57" s="3065"/>
      <c r="H57" s="2948"/>
      <c r="I57" s="2953"/>
      <c r="J57" s="2950" t="s">
        <v>241</v>
      </c>
      <c r="K57" s="2948"/>
      <c r="L57" s="2951"/>
      <c r="M57" s="2951"/>
      <c r="N57" s="2977"/>
      <c r="O57" s="2948"/>
      <c r="P57" s="2949"/>
      <c r="Q57" s="2953"/>
      <c r="R57" s="2953"/>
      <c r="S57" s="2952" t="s">
        <v>241</v>
      </c>
      <c r="T57" s="2952" t="s">
        <v>241</v>
      </c>
      <c r="U57" s="2952" t="s">
        <v>241</v>
      </c>
      <c r="V57" s="2952" t="s">
        <v>241</v>
      </c>
      <c r="W57" s="2954" t="s">
        <v>241</v>
      </c>
      <c r="X57" s="2954" t="s">
        <v>241</v>
      </c>
      <c r="Y57" s="2954" t="s">
        <v>241</v>
      </c>
      <c r="Z57" s="2984">
        <v>0</v>
      </c>
    </row>
    <row r="58" spans="1:26">
      <c r="C58" s="3037" t="s">
        <v>52</v>
      </c>
      <c r="D58" s="3038">
        <f>SUM(D59:D62)</f>
        <v>500</v>
      </c>
      <c r="E58" s="3075">
        <f>SUM(E59:E62)</f>
        <v>500</v>
      </c>
      <c r="F58" s="3022">
        <f>D58+E58</f>
        <v>1000</v>
      </c>
      <c r="H58" s="2948"/>
      <c r="I58" s="2953"/>
      <c r="J58" s="2950" t="s">
        <v>241</v>
      </c>
      <c r="K58" s="2948"/>
      <c r="L58" s="2951"/>
      <c r="M58" s="2951"/>
      <c r="N58" s="2977"/>
      <c r="O58" s="2948"/>
      <c r="P58" s="2949"/>
      <c r="Q58" s="2953"/>
      <c r="R58" s="2953"/>
      <c r="S58" s="2952" t="s">
        <v>241</v>
      </c>
      <c r="T58" s="2952" t="s">
        <v>241</v>
      </c>
      <c r="U58" s="2952" t="s">
        <v>241</v>
      </c>
      <c r="V58" s="2952" t="s">
        <v>241</v>
      </c>
      <c r="W58" s="2954" t="s">
        <v>241</v>
      </c>
      <c r="X58" s="2954" t="s">
        <v>241</v>
      </c>
      <c r="Y58" s="2954" t="s">
        <v>241</v>
      </c>
      <c r="Z58" s="2984">
        <v>0</v>
      </c>
    </row>
    <row r="59" spans="1:26">
      <c r="C59" s="3046"/>
      <c r="D59" s="3062">
        <v>500</v>
      </c>
      <c r="E59" s="3086">
        <v>500</v>
      </c>
      <c r="F59" s="3047">
        <f>SUM(D59:E59)</f>
        <v>1000</v>
      </c>
      <c r="H59" s="2948"/>
      <c r="I59" s="2953"/>
      <c r="J59" s="2950" t="s">
        <v>241</v>
      </c>
      <c r="K59" s="2948"/>
      <c r="L59" s="2951"/>
      <c r="M59" s="2951"/>
      <c r="N59" s="2977"/>
      <c r="O59" s="2948"/>
      <c r="P59" s="2949"/>
      <c r="Q59" s="2953"/>
      <c r="R59" s="2953"/>
      <c r="S59" s="2952" t="s">
        <v>241</v>
      </c>
      <c r="T59" s="2952" t="s">
        <v>241</v>
      </c>
      <c r="U59" s="2952" t="s">
        <v>241</v>
      </c>
      <c r="V59" s="2952" t="s">
        <v>241</v>
      </c>
      <c r="W59" s="2954" t="s">
        <v>241</v>
      </c>
      <c r="X59" s="2954" t="s">
        <v>241</v>
      </c>
      <c r="Y59" s="2954" t="s">
        <v>241</v>
      </c>
      <c r="Z59" s="2984">
        <v>0</v>
      </c>
    </row>
    <row r="60" spans="1:26">
      <c r="C60" s="3046"/>
      <c r="D60" s="3062"/>
      <c r="E60" s="3086"/>
      <c r="F60" s="3047">
        <f>SUM(D60:E60)</f>
        <v>0</v>
      </c>
      <c r="H60" s="2948"/>
      <c r="I60" s="2953"/>
      <c r="J60" s="2950" t="s">
        <v>241</v>
      </c>
      <c r="K60" s="2948"/>
      <c r="L60" s="2951"/>
      <c r="M60" s="2951"/>
      <c r="N60" s="2977"/>
      <c r="O60" s="2948"/>
      <c r="P60" s="2949"/>
      <c r="Q60" s="2953"/>
      <c r="R60" s="2953"/>
      <c r="S60" s="2952" t="s">
        <v>241</v>
      </c>
      <c r="T60" s="2952" t="s">
        <v>241</v>
      </c>
      <c r="U60" s="2952" t="s">
        <v>241</v>
      </c>
      <c r="V60" s="2952" t="s">
        <v>241</v>
      </c>
      <c r="W60" s="2954" t="s">
        <v>241</v>
      </c>
      <c r="X60" s="2954" t="s">
        <v>241</v>
      </c>
      <c r="Y60" s="2954" t="s">
        <v>241</v>
      </c>
      <c r="Z60" s="2984">
        <v>0</v>
      </c>
    </row>
    <row r="61" spans="1:26">
      <c r="C61" s="3046"/>
      <c r="D61" s="3062"/>
      <c r="E61" s="3086"/>
      <c r="F61" s="3047">
        <f>SUM(D61:E61)</f>
        <v>0</v>
      </c>
      <c r="H61" s="2948"/>
      <c r="I61" s="2953"/>
      <c r="J61" s="2950" t="s">
        <v>241</v>
      </c>
      <c r="K61" s="2948"/>
      <c r="L61" s="2951"/>
      <c r="M61" s="2951"/>
      <c r="N61" s="2977"/>
      <c r="O61" s="2948"/>
      <c r="P61" s="2949"/>
      <c r="Q61" s="2953"/>
      <c r="R61" s="2953"/>
      <c r="S61" s="2952" t="s">
        <v>241</v>
      </c>
      <c r="T61" s="2952" t="s">
        <v>241</v>
      </c>
      <c r="U61" s="2952" t="s">
        <v>241</v>
      </c>
      <c r="V61" s="2952" t="s">
        <v>241</v>
      </c>
      <c r="W61" s="2954" t="s">
        <v>241</v>
      </c>
      <c r="X61" s="2954" t="s">
        <v>241</v>
      </c>
      <c r="Y61" s="2954" t="s">
        <v>241</v>
      </c>
      <c r="Z61" s="2984">
        <v>0</v>
      </c>
    </row>
    <row r="62" spans="1:26">
      <c r="C62" s="3046"/>
      <c r="D62" s="3062"/>
      <c r="E62" s="3086"/>
      <c r="F62" s="3047">
        <f>SUM(D62:E62)</f>
        <v>0</v>
      </c>
      <c r="H62" s="2948"/>
      <c r="I62" s="2953"/>
      <c r="J62" s="2950" t="s">
        <v>241</v>
      </c>
      <c r="K62" s="2948"/>
      <c r="L62" s="2951"/>
      <c r="M62" s="2951"/>
      <c r="N62" s="2977"/>
      <c r="O62" s="2948"/>
      <c r="P62" s="2949"/>
      <c r="Q62" s="2953"/>
      <c r="R62" s="2953"/>
      <c r="S62" s="2952" t="s">
        <v>241</v>
      </c>
      <c r="T62" s="2952" t="s">
        <v>241</v>
      </c>
      <c r="U62" s="2952" t="s">
        <v>241</v>
      </c>
      <c r="V62" s="2952" t="s">
        <v>241</v>
      </c>
      <c r="W62" s="2954" t="s">
        <v>241</v>
      </c>
      <c r="X62" s="2954" t="s">
        <v>241</v>
      </c>
      <c r="Y62" s="2954" t="s">
        <v>241</v>
      </c>
      <c r="Z62" s="2984">
        <v>0</v>
      </c>
    </row>
    <row r="63" spans="1:26">
      <c r="C63" s="3049"/>
      <c r="D63" s="3065"/>
      <c r="E63" s="3079"/>
      <c r="F63" s="3065"/>
      <c r="H63" s="2948"/>
      <c r="I63" s="2953"/>
      <c r="J63" s="2950" t="s">
        <v>241</v>
      </c>
      <c r="K63" s="2948"/>
      <c r="L63" s="2951"/>
      <c r="M63" s="2951"/>
      <c r="N63" s="2977"/>
      <c r="O63" s="2948"/>
      <c r="P63" s="2949"/>
      <c r="Q63" s="2953"/>
      <c r="R63" s="2953"/>
      <c r="S63" s="2952" t="s">
        <v>241</v>
      </c>
      <c r="T63" s="2952" t="s">
        <v>241</v>
      </c>
      <c r="U63" s="2952" t="s">
        <v>241</v>
      </c>
      <c r="V63" s="2952" t="s">
        <v>241</v>
      </c>
      <c r="W63" s="2954" t="s">
        <v>241</v>
      </c>
      <c r="X63" s="2954" t="s">
        <v>241</v>
      </c>
      <c r="Y63" s="2954" t="s">
        <v>241</v>
      </c>
      <c r="Z63" s="2984">
        <v>0</v>
      </c>
    </row>
    <row r="64" spans="1:26">
      <c r="A64" s="2998" t="s">
        <v>1448</v>
      </c>
      <c r="C64" s="3037" t="s">
        <v>53</v>
      </c>
      <c r="D64" s="3038">
        <f>W15</f>
        <v>150000</v>
      </c>
      <c r="E64" s="3207">
        <f>X15</f>
        <v>150000</v>
      </c>
      <c r="F64" s="3022">
        <f>D64+E64</f>
        <v>300000</v>
      </c>
      <c r="H64" s="2948"/>
      <c r="I64" s="2953"/>
      <c r="J64" s="2950" t="s">
        <v>241</v>
      </c>
      <c r="K64" s="2948"/>
      <c r="L64" s="2951"/>
      <c r="M64" s="2951"/>
      <c r="N64" s="2977"/>
      <c r="O64" s="2948"/>
      <c r="P64" s="2949"/>
      <c r="Q64" s="2953"/>
      <c r="R64" s="2953"/>
      <c r="S64" s="2952" t="s">
        <v>241</v>
      </c>
      <c r="T64" s="2952" t="s">
        <v>241</v>
      </c>
      <c r="U64" s="2952" t="s">
        <v>241</v>
      </c>
      <c r="V64" s="2952" t="s">
        <v>241</v>
      </c>
      <c r="W64" s="2954" t="s">
        <v>241</v>
      </c>
      <c r="X64" s="2954" t="s">
        <v>241</v>
      </c>
      <c r="Y64" s="2954" t="s">
        <v>241</v>
      </c>
      <c r="Z64" s="2984">
        <v>0</v>
      </c>
    </row>
    <row r="65" spans="1:26">
      <c r="A65" s="3004" t="s">
        <v>291</v>
      </c>
      <c r="C65" s="3066" t="s">
        <v>313</v>
      </c>
      <c r="D65" s="3067"/>
      <c r="E65" s="3087"/>
      <c r="F65" s="3068"/>
      <c r="H65" s="2948"/>
      <c r="I65" s="2953"/>
      <c r="J65" s="2950" t="s">
        <v>241</v>
      </c>
      <c r="K65" s="2948"/>
      <c r="L65" s="2951"/>
      <c r="M65" s="2951"/>
      <c r="N65" s="2977"/>
      <c r="O65" s="2948"/>
      <c r="P65" s="2949"/>
      <c r="Q65" s="2953"/>
      <c r="R65" s="2953"/>
      <c r="S65" s="2952" t="s">
        <v>241</v>
      </c>
      <c r="T65" s="2952" t="s">
        <v>241</v>
      </c>
      <c r="U65" s="2952" t="s">
        <v>241</v>
      </c>
      <c r="V65" s="2952" t="s">
        <v>241</v>
      </c>
      <c r="W65" s="2954" t="s">
        <v>241</v>
      </c>
      <c r="X65" s="2954" t="s">
        <v>241</v>
      </c>
      <c r="Y65" s="2954" t="s">
        <v>241</v>
      </c>
      <c r="Z65" s="2984">
        <v>0</v>
      </c>
    </row>
    <row r="66" spans="1:26">
      <c r="A66" s="2998" t="s">
        <v>6</v>
      </c>
      <c r="C66" s="3069"/>
      <c r="D66" s="3050"/>
      <c r="E66" s="3079"/>
      <c r="F66" s="3065"/>
      <c r="Z66" s="2984">
        <v>0</v>
      </c>
    </row>
    <row r="67" spans="1:26">
      <c r="A67" s="2998" t="s">
        <v>1449</v>
      </c>
      <c r="C67" s="3070" t="s">
        <v>54</v>
      </c>
      <c r="D67" s="3062">
        <v>0</v>
      </c>
      <c r="E67" s="3088">
        <v>0</v>
      </c>
      <c r="F67" s="3071">
        <v>0</v>
      </c>
      <c r="Z67" s="2984">
        <v>0</v>
      </c>
    </row>
    <row r="68" spans="1:26">
      <c r="A68" s="3004" t="s">
        <v>5</v>
      </c>
      <c r="Z68" s="2984">
        <v>0</v>
      </c>
    </row>
    <row r="69" spans="1:26">
      <c r="Z69" s="2984">
        <v>0</v>
      </c>
    </row>
    <row r="70" spans="1:26">
      <c r="Z70" s="2984">
        <v>0</v>
      </c>
    </row>
    <row r="71" spans="1:26">
      <c r="Z71" s="2984">
        <v>0</v>
      </c>
    </row>
    <row r="72" spans="1:26">
      <c r="Z72" s="2984">
        <v>0</v>
      </c>
    </row>
    <row r="73" spans="1:26">
      <c r="Z73" s="2984">
        <v>0</v>
      </c>
    </row>
    <row r="74" spans="1:26">
      <c r="Z74" s="2984">
        <v>0</v>
      </c>
    </row>
    <row r="75" spans="1:26">
      <c r="Z75" s="2984">
        <v>0</v>
      </c>
    </row>
    <row r="76" spans="1:26">
      <c r="Z76" s="2984">
        <v>0</v>
      </c>
    </row>
    <row r="77" spans="1:26">
      <c r="Z77" s="2984">
        <v>0</v>
      </c>
    </row>
    <row r="78" spans="1:26">
      <c r="Z78" s="2984">
        <v>0</v>
      </c>
    </row>
    <row r="79" spans="1:26">
      <c r="Z79" s="2984">
        <v>0</v>
      </c>
    </row>
    <row r="80" spans="1:26">
      <c r="Z80" s="2984">
        <v>0</v>
      </c>
    </row>
    <row r="81" spans="26:26">
      <c r="Z81" s="2984">
        <v>0</v>
      </c>
    </row>
    <row r="82" spans="26:26">
      <c r="Z82" s="2984">
        <v>0</v>
      </c>
    </row>
    <row r="83" spans="26:26">
      <c r="Z83" s="2984">
        <v>0</v>
      </c>
    </row>
    <row r="84" spans="26:26">
      <c r="Z84" s="2984">
        <v>0</v>
      </c>
    </row>
    <row r="85" spans="26:26">
      <c r="Z85" s="2984">
        <v>0</v>
      </c>
    </row>
    <row r="86" spans="26:26">
      <c r="Z86" s="2984">
        <v>0</v>
      </c>
    </row>
    <row r="87" spans="26:26">
      <c r="Z87" s="2984">
        <v>0</v>
      </c>
    </row>
    <row r="88" spans="26:26">
      <c r="Z88" s="2984">
        <v>0</v>
      </c>
    </row>
    <row r="89" spans="26:26">
      <c r="Z89" s="2984">
        <v>0</v>
      </c>
    </row>
    <row r="90" spans="26:26">
      <c r="Z90" s="2984">
        <v>0</v>
      </c>
    </row>
    <row r="91" spans="26:26">
      <c r="Z91" s="2984">
        <v>0</v>
      </c>
    </row>
    <row r="92" spans="26:26">
      <c r="Z92" s="2984">
        <v>0</v>
      </c>
    </row>
    <row r="93" spans="26:26">
      <c r="Z93" s="2984">
        <v>0</v>
      </c>
    </row>
    <row r="94" spans="26:26">
      <c r="Z94" s="2984">
        <v>0</v>
      </c>
    </row>
    <row r="95" spans="26:26">
      <c r="Z95" s="2984">
        <v>0</v>
      </c>
    </row>
    <row r="96" spans="26:26">
      <c r="Z96" s="2984">
        <v>0</v>
      </c>
    </row>
    <row r="97" spans="26:26">
      <c r="Z97" s="2984">
        <v>0</v>
      </c>
    </row>
    <row r="98" spans="26:26">
      <c r="Z98" s="2984">
        <v>0</v>
      </c>
    </row>
    <row r="99" spans="26:26">
      <c r="Z99" s="2984">
        <v>0</v>
      </c>
    </row>
    <row r="100" spans="26:26">
      <c r="Z100" s="2984">
        <v>0</v>
      </c>
    </row>
    <row r="101" spans="26:26">
      <c r="Z101" s="2984">
        <v>0</v>
      </c>
    </row>
    <row r="102" spans="26:26">
      <c r="Z102" s="2984">
        <v>0</v>
      </c>
    </row>
    <row r="103" spans="26:26">
      <c r="Z103" s="2984">
        <v>0</v>
      </c>
    </row>
    <row r="104" spans="26:26">
      <c r="Z104" s="2984">
        <v>0</v>
      </c>
    </row>
    <row r="105" spans="26:26">
      <c r="Z105" s="2984">
        <v>0</v>
      </c>
    </row>
    <row r="106" spans="26:26">
      <c r="Z106" s="2984">
        <v>0</v>
      </c>
    </row>
    <row r="107" spans="26:26">
      <c r="Z107" s="2984">
        <v>0</v>
      </c>
    </row>
    <row r="108" spans="26:26">
      <c r="Z108" s="2984">
        <v>0</v>
      </c>
    </row>
    <row r="109" spans="26:26">
      <c r="Z109" s="2984">
        <v>0</v>
      </c>
    </row>
    <row r="110" spans="26:26">
      <c r="Z110" s="2984">
        <v>0</v>
      </c>
    </row>
    <row r="111" spans="26:26">
      <c r="Z111" s="2984">
        <v>0</v>
      </c>
    </row>
    <row r="112" spans="26:26">
      <c r="Z112" s="2984">
        <v>0</v>
      </c>
    </row>
    <row r="113" spans="26:26">
      <c r="Z113" s="2984">
        <v>0</v>
      </c>
    </row>
    <row r="114" spans="26:26">
      <c r="Z114" s="2984">
        <v>0</v>
      </c>
    </row>
    <row r="115" spans="26:26">
      <c r="Z115" s="2984">
        <v>0</v>
      </c>
    </row>
    <row r="116" spans="26:26">
      <c r="Z116" s="2984">
        <v>0</v>
      </c>
    </row>
    <row r="117" spans="26:26">
      <c r="Z117" s="2984">
        <v>0</v>
      </c>
    </row>
    <row r="118" spans="26:26">
      <c r="Z118" s="2984">
        <v>0</v>
      </c>
    </row>
    <row r="119" spans="26:26">
      <c r="Z119" s="2984">
        <v>0</v>
      </c>
    </row>
    <row r="120" spans="26:26">
      <c r="Z120" s="2984">
        <v>0</v>
      </c>
    </row>
    <row r="121" spans="26:26">
      <c r="Z121" s="2984">
        <v>0</v>
      </c>
    </row>
    <row r="122" spans="26:26">
      <c r="Z122" s="2984">
        <v>0</v>
      </c>
    </row>
    <row r="123" spans="26:26">
      <c r="Z123" s="2984">
        <v>0</v>
      </c>
    </row>
    <row r="124" spans="26:26">
      <c r="Z124" s="2984">
        <v>0</v>
      </c>
    </row>
    <row r="125" spans="26:26">
      <c r="Z125" s="2984">
        <v>0</v>
      </c>
    </row>
    <row r="126" spans="26:26">
      <c r="Z126" s="2984">
        <v>0</v>
      </c>
    </row>
    <row r="127" spans="26:26">
      <c r="Z127" s="2984">
        <v>0</v>
      </c>
    </row>
    <row r="128" spans="26:26">
      <c r="Z128" s="2984">
        <v>0</v>
      </c>
    </row>
    <row r="129" spans="26:26">
      <c r="Z129" s="2984">
        <v>0</v>
      </c>
    </row>
    <row r="130" spans="26:26">
      <c r="Z130" s="2984">
        <v>0</v>
      </c>
    </row>
    <row r="131" spans="26:26">
      <c r="Z131" s="2984">
        <v>0</v>
      </c>
    </row>
    <row r="132" spans="26:26">
      <c r="Z132" s="2984">
        <v>0</v>
      </c>
    </row>
    <row r="133" spans="26:26">
      <c r="Z133" s="2984">
        <v>0</v>
      </c>
    </row>
    <row r="134" spans="26:26">
      <c r="Z134" s="2984">
        <v>0</v>
      </c>
    </row>
    <row r="135" spans="26:26">
      <c r="Z135" s="2984">
        <v>0</v>
      </c>
    </row>
    <row r="136" spans="26:26">
      <c r="Z136" s="2984">
        <v>0</v>
      </c>
    </row>
    <row r="137" spans="26:26">
      <c r="Z137" s="2984">
        <v>0</v>
      </c>
    </row>
    <row r="138" spans="26:26">
      <c r="Z138" s="2984">
        <v>0</v>
      </c>
    </row>
    <row r="139" spans="26:26">
      <c r="Z139" s="2984">
        <v>0</v>
      </c>
    </row>
    <row r="140" spans="26:26">
      <c r="Z140" s="2984">
        <v>0</v>
      </c>
    </row>
    <row r="141" spans="26:26">
      <c r="Z141" s="2984">
        <v>0</v>
      </c>
    </row>
    <row r="142" spans="26:26">
      <c r="Z142" s="2984">
        <v>0</v>
      </c>
    </row>
    <row r="143" spans="26:26">
      <c r="Z143" s="2984">
        <v>0</v>
      </c>
    </row>
    <row r="144" spans="26:26">
      <c r="Z144" s="2984">
        <v>0</v>
      </c>
    </row>
    <row r="145" spans="26:26">
      <c r="Z145" s="2984">
        <v>0</v>
      </c>
    </row>
    <row r="146" spans="26:26">
      <c r="Z146" s="2984">
        <v>0</v>
      </c>
    </row>
    <row r="147" spans="26:26">
      <c r="Z147" s="2984">
        <v>0</v>
      </c>
    </row>
    <row r="148" spans="26:26">
      <c r="Z148" s="2984">
        <v>0</v>
      </c>
    </row>
    <row r="149" spans="26:26">
      <c r="Z149" s="2984">
        <v>0</v>
      </c>
    </row>
    <row r="150" spans="26:26">
      <c r="Z150" s="2984">
        <v>0</v>
      </c>
    </row>
    <row r="151" spans="26:26">
      <c r="Z151" s="2984">
        <v>0</v>
      </c>
    </row>
    <row r="152" spans="26:26">
      <c r="Z152" s="2984">
        <v>0</v>
      </c>
    </row>
    <row r="153" spans="26:26">
      <c r="Z153" s="2984">
        <v>0</v>
      </c>
    </row>
    <row r="154" spans="26:26">
      <c r="Z154" s="2984">
        <v>0</v>
      </c>
    </row>
    <row r="155" spans="26:26">
      <c r="Z155" s="2984">
        <v>0</v>
      </c>
    </row>
    <row r="156" spans="26:26">
      <c r="Z156" s="2984">
        <v>0</v>
      </c>
    </row>
    <row r="157" spans="26:26">
      <c r="Z157" s="2984">
        <v>0</v>
      </c>
    </row>
    <row r="158" spans="26:26">
      <c r="Z158" s="2984">
        <v>0</v>
      </c>
    </row>
    <row r="159" spans="26:26">
      <c r="Z159" s="2984">
        <v>0</v>
      </c>
    </row>
    <row r="160" spans="26:26">
      <c r="Z160" s="2984">
        <v>0</v>
      </c>
    </row>
    <row r="161" spans="26:26">
      <c r="Z161" s="2984">
        <v>0</v>
      </c>
    </row>
    <row r="162" spans="26:26">
      <c r="Z162" s="2984">
        <v>0</v>
      </c>
    </row>
    <row r="163" spans="26:26">
      <c r="Z163" s="2984">
        <v>0</v>
      </c>
    </row>
  </sheetData>
  <customSheetViews>
    <customSheetView guid="{074EB09C-6289-46D7-9513-012B68BCA7BF}" showGridLines="0">
      <pane xSplit="1" ySplit="1" topLeftCell="B2" activePane="bottomRight" state="frozen"/>
      <selection pane="bottomRight" activeCell="B3" sqref="B3"/>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Z68"/>
  <sheetViews>
    <sheetView showGridLines="0" workbookViewId="0">
      <pane xSplit="1" ySplit="1" topLeftCell="R8" activePane="bottomRight" state="frozen"/>
      <selection pane="topRight" activeCell="B1" sqref="B1"/>
      <selection pane="bottomLeft" activeCell="A2" sqref="A2"/>
      <selection pane="bottomRight" activeCell="I22" sqref="I22"/>
    </sheetView>
  </sheetViews>
  <sheetFormatPr defaultRowHeight="12.75"/>
  <cols>
    <col min="1" max="1" width="15.28515625" style="1164" customWidth="1"/>
    <col min="2" max="2" width="15.28515625" style="1866" customWidth="1"/>
    <col min="3" max="3" width="31.28515625" customWidth="1"/>
    <col min="4" max="4" width="20.85546875" customWidth="1"/>
    <col min="5" max="5" width="15.85546875" style="9" customWidth="1"/>
    <col min="6" max="6" width="15.85546875" customWidth="1"/>
    <col min="7" max="7" width="15.85546875" bestFit="1" customWidth="1"/>
    <col min="8" max="8" width="25.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1.5703125" bestFit="1" customWidth="1"/>
    <col min="19" max="19" width="23.28515625" bestFit="1" customWidth="1"/>
    <col min="20" max="20" width="15.5703125" bestFit="1" customWidth="1"/>
    <col min="21" max="21" width="20.5703125" bestFit="1" customWidth="1"/>
    <col min="22" max="22" width="20.5703125" customWidth="1"/>
    <col min="23" max="24" width="15.85546875" customWidth="1"/>
    <col min="25" max="25" width="16.28515625" customWidth="1"/>
    <col min="26" max="26" width="12.5703125" bestFit="1" customWidth="1"/>
    <col min="249" max="249" width="24" bestFit="1" customWidth="1"/>
    <col min="250" max="250" width="45.7109375" bestFit="1" customWidth="1"/>
    <col min="251" max="251" width="19.28515625"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1.5703125" bestFit="1" customWidth="1"/>
    <col min="265" max="265" width="23.28515625" bestFit="1" customWidth="1"/>
    <col min="266" max="266" width="15.5703125" bestFit="1" customWidth="1"/>
    <col min="267"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28515625"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1.5703125" bestFit="1" customWidth="1"/>
    <col min="521" max="521" width="23.28515625" bestFit="1" customWidth="1"/>
    <col min="522" max="522" width="15.5703125" bestFit="1" customWidth="1"/>
    <col min="523"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28515625"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1.5703125" bestFit="1" customWidth="1"/>
    <col min="777" max="777" width="23.28515625" bestFit="1" customWidth="1"/>
    <col min="778" max="778" width="15.5703125" bestFit="1" customWidth="1"/>
    <col min="779"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28515625"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1.5703125" bestFit="1" customWidth="1"/>
    <col min="1033" max="1033" width="23.28515625" bestFit="1" customWidth="1"/>
    <col min="1034" max="1034" width="15.5703125" bestFit="1" customWidth="1"/>
    <col min="1035"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28515625"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1.5703125" bestFit="1" customWidth="1"/>
    <col min="1289" max="1289" width="23.28515625" bestFit="1" customWidth="1"/>
    <col min="1290" max="1290" width="15.5703125" bestFit="1" customWidth="1"/>
    <col min="1291"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28515625"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1.5703125" bestFit="1" customWidth="1"/>
    <col min="1545" max="1545" width="23.28515625" bestFit="1" customWidth="1"/>
    <col min="1546" max="1546" width="15.5703125" bestFit="1" customWidth="1"/>
    <col min="1547"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28515625"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1.5703125" bestFit="1" customWidth="1"/>
    <col min="1801" max="1801" width="23.28515625" bestFit="1" customWidth="1"/>
    <col min="1802" max="1802" width="15.5703125" bestFit="1" customWidth="1"/>
    <col min="1803"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28515625"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1.5703125" bestFit="1" customWidth="1"/>
    <col min="2057" max="2057" width="23.28515625" bestFit="1" customWidth="1"/>
    <col min="2058" max="2058" width="15.5703125" bestFit="1" customWidth="1"/>
    <col min="2059"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28515625"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1.5703125" bestFit="1" customWidth="1"/>
    <col min="2313" max="2313" width="23.28515625" bestFit="1" customWidth="1"/>
    <col min="2314" max="2314" width="15.5703125" bestFit="1" customWidth="1"/>
    <col min="2315"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28515625"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1.5703125" bestFit="1" customWidth="1"/>
    <col min="2569" max="2569" width="23.28515625" bestFit="1" customWidth="1"/>
    <col min="2570" max="2570" width="15.5703125" bestFit="1" customWidth="1"/>
    <col min="2571"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28515625"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1.5703125" bestFit="1" customWidth="1"/>
    <col min="2825" max="2825" width="23.28515625" bestFit="1" customWidth="1"/>
    <col min="2826" max="2826" width="15.5703125" bestFit="1" customWidth="1"/>
    <col min="2827"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28515625"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1.5703125" bestFit="1" customWidth="1"/>
    <col min="3081" max="3081" width="23.28515625" bestFit="1" customWidth="1"/>
    <col min="3082" max="3082" width="15.5703125" bestFit="1" customWidth="1"/>
    <col min="3083"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28515625"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1.5703125" bestFit="1" customWidth="1"/>
    <col min="3337" max="3337" width="23.28515625" bestFit="1" customWidth="1"/>
    <col min="3338" max="3338" width="15.5703125" bestFit="1" customWidth="1"/>
    <col min="3339"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28515625"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1.5703125" bestFit="1" customWidth="1"/>
    <col min="3593" max="3593" width="23.28515625" bestFit="1" customWidth="1"/>
    <col min="3594" max="3594" width="15.5703125" bestFit="1" customWidth="1"/>
    <col min="3595"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28515625"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1.5703125" bestFit="1" customWidth="1"/>
    <col min="3849" max="3849" width="23.28515625" bestFit="1" customWidth="1"/>
    <col min="3850" max="3850" width="15.5703125" bestFit="1" customWidth="1"/>
    <col min="3851"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28515625"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1.5703125" bestFit="1" customWidth="1"/>
    <col min="4105" max="4105" width="23.28515625" bestFit="1" customWidth="1"/>
    <col min="4106" max="4106" width="15.5703125" bestFit="1" customWidth="1"/>
    <col min="4107"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28515625"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1.5703125" bestFit="1" customWidth="1"/>
    <col min="4361" max="4361" width="23.28515625" bestFit="1" customWidth="1"/>
    <col min="4362" max="4362" width="15.5703125" bestFit="1" customWidth="1"/>
    <col min="4363"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28515625"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1.5703125" bestFit="1" customWidth="1"/>
    <col min="4617" max="4617" width="23.28515625" bestFit="1" customWidth="1"/>
    <col min="4618" max="4618" width="15.5703125" bestFit="1" customWidth="1"/>
    <col min="4619"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28515625"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1.5703125" bestFit="1" customWidth="1"/>
    <col min="4873" max="4873" width="23.28515625" bestFit="1" customWidth="1"/>
    <col min="4874" max="4874" width="15.5703125" bestFit="1" customWidth="1"/>
    <col min="4875"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28515625"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1.5703125" bestFit="1" customWidth="1"/>
    <col min="5129" max="5129" width="23.28515625" bestFit="1" customWidth="1"/>
    <col min="5130" max="5130" width="15.5703125" bestFit="1" customWidth="1"/>
    <col min="5131"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28515625"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1.5703125" bestFit="1" customWidth="1"/>
    <col min="5385" max="5385" width="23.28515625" bestFit="1" customWidth="1"/>
    <col min="5386" max="5386" width="15.5703125" bestFit="1" customWidth="1"/>
    <col min="5387"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28515625"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1.5703125" bestFit="1" customWidth="1"/>
    <col min="5641" max="5641" width="23.28515625" bestFit="1" customWidth="1"/>
    <col min="5642" max="5642" width="15.5703125" bestFit="1" customWidth="1"/>
    <col min="5643"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28515625"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1.5703125" bestFit="1" customWidth="1"/>
    <col min="5897" max="5897" width="23.28515625" bestFit="1" customWidth="1"/>
    <col min="5898" max="5898" width="15.5703125" bestFit="1" customWidth="1"/>
    <col min="5899"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28515625"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1.5703125" bestFit="1" customWidth="1"/>
    <col min="6153" max="6153" width="23.28515625" bestFit="1" customWidth="1"/>
    <col min="6154" max="6154" width="15.5703125" bestFit="1" customWidth="1"/>
    <col min="6155"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28515625"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1.5703125" bestFit="1" customWidth="1"/>
    <col min="6409" max="6409" width="23.28515625" bestFit="1" customWidth="1"/>
    <col min="6410" max="6410" width="15.5703125" bestFit="1" customWidth="1"/>
    <col min="6411"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28515625"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1.5703125" bestFit="1" customWidth="1"/>
    <col min="6665" max="6665" width="23.28515625" bestFit="1" customWidth="1"/>
    <col min="6666" max="6666" width="15.5703125" bestFit="1" customWidth="1"/>
    <col min="6667"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28515625"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1.5703125" bestFit="1" customWidth="1"/>
    <col min="6921" max="6921" width="23.28515625" bestFit="1" customWidth="1"/>
    <col min="6922" max="6922" width="15.5703125" bestFit="1" customWidth="1"/>
    <col min="6923"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28515625"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1.5703125" bestFit="1" customWidth="1"/>
    <col min="7177" max="7177" width="23.28515625" bestFit="1" customWidth="1"/>
    <col min="7178" max="7178" width="15.5703125" bestFit="1" customWidth="1"/>
    <col min="7179"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28515625"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1.5703125" bestFit="1" customWidth="1"/>
    <col min="7433" max="7433" width="23.28515625" bestFit="1" customWidth="1"/>
    <col min="7434" max="7434" width="15.5703125" bestFit="1" customWidth="1"/>
    <col min="7435"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28515625"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1.5703125" bestFit="1" customWidth="1"/>
    <col min="7689" max="7689" width="23.28515625" bestFit="1" customWidth="1"/>
    <col min="7690" max="7690" width="15.5703125" bestFit="1" customWidth="1"/>
    <col min="7691"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28515625"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1.5703125" bestFit="1" customWidth="1"/>
    <col min="7945" max="7945" width="23.28515625" bestFit="1" customWidth="1"/>
    <col min="7946" max="7946" width="15.5703125" bestFit="1" customWidth="1"/>
    <col min="7947"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28515625"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1.5703125" bestFit="1" customWidth="1"/>
    <col min="8201" max="8201" width="23.28515625" bestFit="1" customWidth="1"/>
    <col min="8202" max="8202" width="15.5703125" bestFit="1" customWidth="1"/>
    <col min="8203"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28515625"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1.5703125" bestFit="1" customWidth="1"/>
    <col min="8457" max="8457" width="23.28515625" bestFit="1" customWidth="1"/>
    <col min="8458" max="8458" width="15.5703125" bestFit="1" customWidth="1"/>
    <col min="8459"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28515625"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1.5703125" bestFit="1" customWidth="1"/>
    <col min="8713" max="8713" width="23.28515625" bestFit="1" customWidth="1"/>
    <col min="8714" max="8714" width="15.5703125" bestFit="1" customWidth="1"/>
    <col min="8715"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28515625"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1.5703125" bestFit="1" customWidth="1"/>
    <col min="8969" max="8969" width="23.28515625" bestFit="1" customWidth="1"/>
    <col min="8970" max="8970" width="15.5703125" bestFit="1" customWidth="1"/>
    <col min="8971"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28515625"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1.5703125" bestFit="1" customWidth="1"/>
    <col min="9225" max="9225" width="23.28515625" bestFit="1" customWidth="1"/>
    <col min="9226" max="9226" width="15.5703125" bestFit="1" customWidth="1"/>
    <col min="9227"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28515625"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1.5703125" bestFit="1" customWidth="1"/>
    <col min="9481" max="9481" width="23.28515625" bestFit="1" customWidth="1"/>
    <col min="9482" max="9482" width="15.5703125" bestFit="1" customWidth="1"/>
    <col min="9483"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28515625"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1.5703125" bestFit="1" customWidth="1"/>
    <col min="9737" max="9737" width="23.28515625" bestFit="1" customWidth="1"/>
    <col min="9738" max="9738" width="15.5703125" bestFit="1" customWidth="1"/>
    <col min="9739"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28515625"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1.5703125" bestFit="1" customWidth="1"/>
    <col min="9993" max="9993" width="23.28515625" bestFit="1" customWidth="1"/>
    <col min="9994" max="9994" width="15.5703125" bestFit="1" customWidth="1"/>
    <col min="9995"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28515625"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1.5703125" bestFit="1" customWidth="1"/>
    <col min="10249" max="10249" width="23.28515625" bestFit="1" customWidth="1"/>
    <col min="10250" max="10250" width="15.5703125" bestFit="1" customWidth="1"/>
    <col min="10251"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28515625"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1.5703125" bestFit="1" customWidth="1"/>
    <col min="10505" max="10505" width="23.28515625" bestFit="1" customWidth="1"/>
    <col min="10506" max="10506" width="15.5703125" bestFit="1" customWidth="1"/>
    <col min="10507"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28515625"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1.5703125" bestFit="1" customWidth="1"/>
    <col min="10761" max="10761" width="23.28515625" bestFit="1" customWidth="1"/>
    <col min="10762" max="10762" width="15.5703125" bestFit="1" customWidth="1"/>
    <col min="10763"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28515625"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1.5703125" bestFit="1" customWidth="1"/>
    <col min="11017" max="11017" width="23.28515625" bestFit="1" customWidth="1"/>
    <col min="11018" max="11018" width="15.5703125" bestFit="1" customWidth="1"/>
    <col min="11019"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28515625"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1.5703125" bestFit="1" customWidth="1"/>
    <col min="11273" max="11273" width="23.28515625" bestFit="1" customWidth="1"/>
    <col min="11274" max="11274" width="15.5703125" bestFit="1" customWidth="1"/>
    <col min="11275"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28515625"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1.5703125" bestFit="1" customWidth="1"/>
    <col min="11529" max="11529" width="23.28515625" bestFit="1" customWidth="1"/>
    <col min="11530" max="11530" width="15.5703125" bestFit="1" customWidth="1"/>
    <col min="11531"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28515625"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1.5703125" bestFit="1" customWidth="1"/>
    <col min="11785" max="11785" width="23.28515625" bestFit="1" customWidth="1"/>
    <col min="11786" max="11786" width="15.5703125" bestFit="1" customWidth="1"/>
    <col min="11787"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28515625"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1.5703125" bestFit="1" customWidth="1"/>
    <col min="12041" max="12041" width="23.28515625" bestFit="1" customWidth="1"/>
    <col min="12042" max="12042" width="15.5703125" bestFit="1" customWidth="1"/>
    <col min="12043"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28515625"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1.5703125" bestFit="1" customWidth="1"/>
    <col min="12297" max="12297" width="23.28515625" bestFit="1" customWidth="1"/>
    <col min="12298" max="12298" width="15.5703125" bestFit="1" customWidth="1"/>
    <col min="12299"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28515625"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1.5703125" bestFit="1" customWidth="1"/>
    <col min="12553" max="12553" width="23.28515625" bestFit="1" customWidth="1"/>
    <col min="12554" max="12554" width="15.5703125" bestFit="1" customWidth="1"/>
    <col min="12555"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28515625"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1.5703125" bestFit="1" customWidth="1"/>
    <col min="12809" max="12809" width="23.28515625" bestFit="1" customWidth="1"/>
    <col min="12810" max="12810" width="15.5703125" bestFit="1" customWidth="1"/>
    <col min="12811"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28515625"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1.5703125" bestFit="1" customWidth="1"/>
    <col min="13065" max="13065" width="23.28515625" bestFit="1" customWidth="1"/>
    <col min="13066" max="13066" width="15.5703125" bestFit="1" customWidth="1"/>
    <col min="13067"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28515625"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1.5703125" bestFit="1" customWidth="1"/>
    <col min="13321" max="13321" width="23.28515625" bestFit="1" customWidth="1"/>
    <col min="13322" max="13322" width="15.5703125" bestFit="1" customWidth="1"/>
    <col min="13323"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28515625"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1.5703125" bestFit="1" customWidth="1"/>
    <col min="13577" max="13577" width="23.28515625" bestFit="1" customWidth="1"/>
    <col min="13578" max="13578" width="15.5703125" bestFit="1" customWidth="1"/>
    <col min="13579"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28515625"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1.5703125" bestFit="1" customWidth="1"/>
    <col min="13833" max="13833" width="23.28515625" bestFit="1" customWidth="1"/>
    <col min="13834" max="13834" width="15.5703125" bestFit="1" customWidth="1"/>
    <col min="13835"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28515625"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1.5703125" bestFit="1" customWidth="1"/>
    <col min="14089" max="14089" width="23.28515625" bestFit="1" customWidth="1"/>
    <col min="14090" max="14090" width="15.5703125" bestFit="1" customWidth="1"/>
    <col min="14091"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28515625"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1.5703125" bestFit="1" customWidth="1"/>
    <col min="14345" max="14345" width="23.28515625" bestFit="1" customWidth="1"/>
    <col min="14346" max="14346" width="15.5703125" bestFit="1" customWidth="1"/>
    <col min="14347"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28515625"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1.5703125" bestFit="1" customWidth="1"/>
    <col min="14601" max="14601" width="23.28515625" bestFit="1" customWidth="1"/>
    <col min="14602" max="14602" width="15.5703125" bestFit="1" customWidth="1"/>
    <col min="14603"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28515625"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1.5703125" bestFit="1" customWidth="1"/>
    <col min="14857" max="14857" width="23.28515625" bestFit="1" customWidth="1"/>
    <col min="14858" max="14858" width="15.5703125" bestFit="1" customWidth="1"/>
    <col min="14859"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28515625"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1.5703125" bestFit="1" customWidth="1"/>
    <col min="15113" max="15113" width="23.28515625" bestFit="1" customWidth="1"/>
    <col min="15114" max="15114" width="15.5703125" bestFit="1" customWidth="1"/>
    <col min="15115"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28515625"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1.5703125" bestFit="1" customWidth="1"/>
    <col min="15369" max="15369" width="23.28515625" bestFit="1" customWidth="1"/>
    <col min="15370" max="15370" width="15.5703125" bestFit="1" customWidth="1"/>
    <col min="15371"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28515625"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1.5703125" bestFit="1" customWidth="1"/>
    <col min="15625" max="15625" width="23.28515625" bestFit="1" customWidth="1"/>
    <col min="15626" max="15626" width="15.5703125" bestFit="1" customWidth="1"/>
    <col min="15627"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28515625"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1.5703125" bestFit="1" customWidth="1"/>
    <col min="15881" max="15881" width="23.28515625" bestFit="1" customWidth="1"/>
    <col min="15882" max="15882" width="15.5703125" bestFit="1" customWidth="1"/>
    <col min="15883"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28515625"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1.5703125" bestFit="1" customWidth="1"/>
    <col min="16137" max="16137" width="23.28515625" bestFit="1" customWidth="1"/>
    <col min="16138" max="16138" width="15.5703125" bestFit="1" customWidth="1"/>
    <col min="16139"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75" customHeight="1" thickBot="1">
      <c r="C1" s="1853" t="s">
        <v>69</v>
      </c>
      <c r="D1" s="1812" t="s">
        <v>291</v>
      </c>
      <c r="E1" s="1853" t="s">
        <v>6</v>
      </c>
      <c r="F1" s="1853">
        <v>18230440</v>
      </c>
      <c r="G1" s="1812" t="s">
        <v>5</v>
      </c>
      <c r="J1" s="1812"/>
      <c r="K1" s="1812"/>
      <c r="L1" s="1812"/>
      <c r="M1" s="1853" t="s">
        <v>69</v>
      </c>
      <c r="N1" s="1812" t="s">
        <v>291</v>
      </c>
      <c r="O1" s="1853" t="s">
        <v>6</v>
      </c>
      <c r="P1" s="1853">
        <v>18230440</v>
      </c>
      <c r="Q1" s="1812" t="s">
        <v>5</v>
      </c>
      <c r="V1" s="1853" t="s">
        <v>69</v>
      </c>
      <c r="W1" s="1812" t="s">
        <v>291</v>
      </c>
      <c r="X1" s="1853" t="s">
        <v>6</v>
      </c>
      <c r="Y1" s="1853">
        <v>18230440</v>
      </c>
      <c r="Z1" s="1812" t="s">
        <v>5</v>
      </c>
    </row>
    <row r="2" spans="1:26" ht="16.5" thickBot="1">
      <c r="C2" s="45"/>
      <c r="D2" s="46"/>
      <c r="H2" s="1576" t="s">
        <v>674</v>
      </c>
      <c r="R2" s="3596"/>
      <c r="S2" s="3596"/>
      <c r="T2" s="3597" t="s">
        <v>36</v>
      </c>
      <c r="U2" s="3598"/>
      <c r="V2" s="3599"/>
      <c r="W2" s="3594" t="s">
        <v>37</v>
      </c>
    </row>
    <row r="3" spans="1:26" ht="26.25" thickBot="1">
      <c r="A3" s="1852" t="s">
        <v>69</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315000</v>
      </c>
      <c r="I4" s="2002">
        <v>135000</v>
      </c>
      <c r="J4" s="2002">
        <v>318150</v>
      </c>
      <c r="K4" s="2002">
        <v>1870000</v>
      </c>
      <c r="L4" s="2002">
        <v>11000</v>
      </c>
      <c r="M4" s="2002">
        <v>1081537</v>
      </c>
      <c r="N4" s="2002">
        <v>8250</v>
      </c>
      <c r="O4" s="2002">
        <v>20000</v>
      </c>
      <c r="P4" s="2002">
        <v>11620470</v>
      </c>
      <c r="Q4" s="2002">
        <v>0</v>
      </c>
      <c r="R4" s="2000">
        <v>15379407</v>
      </c>
      <c r="S4" s="1998" t="s">
        <v>676</v>
      </c>
      <c r="T4" s="65">
        <f>P4/R4</f>
        <v>0.75558634998085428</v>
      </c>
      <c r="U4" s="65">
        <f>(K4+(I4*1.63))/R4</f>
        <v>0.13589925801430444</v>
      </c>
      <c r="V4" s="65">
        <f>M4/R4</f>
        <v>7.0323712741330008E-2</v>
      </c>
      <c r="W4" s="52" t="e">
        <f>R4/S4</f>
        <v>#VALUE!</v>
      </c>
    </row>
    <row r="5" spans="1:26" ht="16.5" thickBot="1">
      <c r="A5" s="1852" t="s">
        <v>6</v>
      </c>
      <c r="B5" s="1852"/>
      <c r="C5" s="45"/>
      <c r="G5" s="45">
        <v>2016</v>
      </c>
      <c r="H5" s="1582">
        <f>D15</f>
        <v>217686.30000000002</v>
      </c>
      <c r="I5" s="1549">
        <f>D21</f>
        <v>104000</v>
      </c>
      <c r="J5" s="1549">
        <f>D27</f>
        <v>214564.76210000002</v>
      </c>
      <c r="K5" s="1549">
        <f>D34</f>
        <v>1847506.07</v>
      </c>
      <c r="L5" s="1549">
        <f>D40</f>
        <v>11000</v>
      </c>
      <c r="M5" s="1549">
        <f>D46</f>
        <v>1550000</v>
      </c>
      <c r="N5" s="1549">
        <f>D52</f>
        <v>8250</v>
      </c>
      <c r="O5" s="1549">
        <f>D58</f>
        <v>20000</v>
      </c>
      <c r="P5" s="1549">
        <f>D64</f>
        <v>10242000</v>
      </c>
      <c r="Q5" s="1549">
        <f>D67</f>
        <v>0</v>
      </c>
      <c r="R5" s="2001">
        <f>SUM(H5:Q5)</f>
        <v>14215007.132100001</v>
      </c>
      <c r="S5" s="1999">
        <f>T15</f>
        <v>71294280</v>
      </c>
      <c r="T5" s="66">
        <f>P5/R5</f>
        <v>0.72050614571073635</v>
      </c>
      <c r="U5" s="66">
        <f>(K5+(I5*1.63))/R5</f>
        <v>0.14189413000329759</v>
      </c>
      <c r="V5" s="66">
        <f>M5/R5</f>
        <v>0.1090396920378482</v>
      </c>
      <c r="W5" s="56">
        <f>R5/S5</f>
        <v>0.1993849595241021</v>
      </c>
    </row>
    <row r="6" spans="1:26" ht="16.5" thickBot="1">
      <c r="A6" s="1852">
        <v>18230440</v>
      </c>
      <c r="B6" s="1852"/>
      <c r="D6" s="45"/>
      <c r="G6" s="45">
        <v>2017</v>
      </c>
      <c r="H6" s="57">
        <f>E15</f>
        <v>223128.45749999999</v>
      </c>
      <c r="I6" s="1990">
        <f>E21</f>
        <v>106599.99999999999</v>
      </c>
      <c r="J6" s="1989">
        <f>E27</f>
        <v>224215.3511</v>
      </c>
      <c r="K6" s="58">
        <f>E34</f>
        <v>1847506.07</v>
      </c>
      <c r="L6" s="58">
        <f>E40</f>
        <v>11000</v>
      </c>
      <c r="M6" s="58">
        <f>E46</f>
        <v>1550000</v>
      </c>
      <c r="N6" s="58">
        <f>E52</f>
        <v>8250</v>
      </c>
      <c r="O6" s="58">
        <f>E58</f>
        <v>20000</v>
      </c>
      <c r="P6" s="58">
        <f>E64</f>
        <v>10428750</v>
      </c>
      <c r="Q6" s="58">
        <f>E67</f>
        <v>0</v>
      </c>
      <c r="R6" s="1997">
        <f>SUM(H6:Q6)</f>
        <v>14419449.878599999</v>
      </c>
      <c r="S6" s="1996">
        <f>U15</f>
        <v>70775150</v>
      </c>
      <c r="T6" s="66">
        <f>P6/R6</f>
        <v>0.72324187731165646</v>
      </c>
      <c r="U6" s="66">
        <f>(K6+(I6*1.63))/R6</f>
        <v>0.14017622634825835</v>
      </c>
      <c r="V6" s="66">
        <f>M6/R6</f>
        <v>0.10749369865353638</v>
      </c>
      <c r="W6" s="56">
        <f>R6/S6</f>
        <v>0.20373605536123907</v>
      </c>
    </row>
    <row r="7" spans="1:26" ht="16.5" thickBot="1">
      <c r="A7" s="1808" t="s">
        <v>5</v>
      </c>
      <c r="B7" s="1808"/>
      <c r="C7" s="1866"/>
      <c r="D7" s="1592"/>
      <c r="E7" s="1867"/>
      <c r="F7" s="1866"/>
      <c r="G7" s="1608" t="s">
        <v>23</v>
      </c>
      <c r="H7" s="1564">
        <f>SUM(H5:H6)</f>
        <v>440814.75750000001</v>
      </c>
      <c r="I7" s="1991">
        <f t="shared" ref="I7:Q7" si="0">SUM(I5:I6)</f>
        <v>210600</v>
      </c>
      <c r="J7" s="1992">
        <f t="shared" si="0"/>
        <v>438780.11320000002</v>
      </c>
      <c r="K7" s="1993">
        <f t="shared" si="0"/>
        <v>3695012.14</v>
      </c>
      <c r="L7" s="1991">
        <f t="shared" si="0"/>
        <v>22000</v>
      </c>
      <c r="M7" s="1992">
        <f t="shared" si="0"/>
        <v>3100000</v>
      </c>
      <c r="N7" s="1991">
        <f t="shared" si="0"/>
        <v>16500</v>
      </c>
      <c r="O7" s="1992">
        <f t="shared" si="0"/>
        <v>40000</v>
      </c>
      <c r="P7" s="1993">
        <f t="shared" si="0"/>
        <v>20670750</v>
      </c>
      <c r="Q7" s="1991">
        <f t="shared" si="0"/>
        <v>0</v>
      </c>
      <c r="R7" s="1993">
        <f>SUM(H7:Q7)</f>
        <v>28634457.010700002</v>
      </c>
      <c r="S7" s="1994">
        <f>SUM(S5:S6)</f>
        <v>142069430</v>
      </c>
      <c r="T7" s="66">
        <f>P7/R7</f>
        <v>0.72188377772541112</v>
      </c>
      <c r="U7" s="66">
        <f>(K7+(I7*1.63))/R7</f>
        <v>0.14102904547800538</v>
      </c>
      <c r="V7" s="66">
        <f>M7/R7</f>
        <v>0.10826117634574335</v>
      </c>
      <c r="W7" s="56">
        <f>R7/S7</f>
        <v>0.2015525578634334</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14215007.132100001</v>
      </c>
      <c r="E12" s="1948">
        <f>E15+E21+E27+E34+E40+E46+E52+E58+E64</f>
        <v>14419449.878599999</v>
      </c>
      <c r="F12" s="1924">
        <f>D12+E12</f>
        <v>28634457.010700002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7"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1119</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217686.30000000002</v>
      </c>
      <c r="E15" s="1926">
        <f>SUM(E16:E19)</f>
        <v>223128.45749999999</v>
      </c>
      <c r="F15" s="1924">
        <f>D15+E15</f>
        <v>440814.75750000001</v>
      </c>
      <c r="H15" s="1938" t="s">
        <v>327</v>
      </c>
      <c r="I15" s="1939"/>
      <c r="J15" s="1939"/>
      <c r="K15" s="1940"/>
      <c r="L15" s="1941">
        <f>SUMPRODUCT(L16:L128,S16:S128)</f>
        <v>60045310</v>
      </c>
      <c r="M15" s="1941">
        <f>SUM(M16:M128)</f>
        <v>67.75</v>
      </c>
      <c r="N15" s="1942"/>
      <c r="O15" s="1940">
        <v>11</v>
      </c>
      <c r="P15" s="1940"/>
      <c r="Q15" s="1940"/>
      <c r="R15" s="1940"/>
      <c r="S15" s="1940"/>
      <c r="T15" s="1943">
        <f>SUM(T16:T65)</f>
        <v>71294280</v>
      </c>
      <c r="U15" s="1943">
        <f t="shared" ref="U15:Y15" si="1">SUM(U16:U65)</f>
        <v>70775150</v>
      </c>
      <c r="V15" s="1943">
        <f t="shared" si="1"/>
        <v>142069430</v>
      </c>
      <c r="W15" s="1941">
        <f t="shared" si="1"/>
        <v>10242000</v>
      </c>
      <c r="X15" s="1941">
        <f t="shared" si="1"/>
        <v>10428750</v>
      </c>
      <c r="Y15" s="1941">
        <f t="shared" si="1"/>
        <v>20670750</v>
      </c>
      <c r="Z15" s="1945">
        <v>0</v>
      </c>
    </row>
    <row r="16" spans="1:26">
      <c r="B16" s="1885">
        <v>0.6</v>
      </c>
      <c r="C16" s="1876" t="s">
        <v>791</v>
      </c>
      <c r="D16" s="1907">
        <v>55534.799999999996</v>
      </c>
      <c r="E16" s="1906">
        <v>56923.17</v>
      </c>
      <c r="F16" s="1879">
        <f>SUM(D16:E16)</f>
        <v>112457.97</v>
      </c>
      <c r="H16" s="2549" t="s">
        <v>1105</v>
      </c>
      <c r="I16" s="2550">
        <v>11.21</v>
      </c>
      <c r="J16" s="1932" t="s">
        <v>120</v>
      </c>
      <c r="K16" s="1922" t="s">
        <v>909</v>
      </c>
      <c r="L16" s="1929">
        <v>7.37</v>
      </c>
      <c r="M16" s="1929">
        <v>4</v>
      </c>
      <c r="N16" s="1923">
        <v>1.6878679036334333E-3</v>
      </c>
      <c r="O16" s="1922">
        <v>12</v>
      </c>
      <c r="P16" s="1925" t="s">
        <v>954</v>
      </c>
      <c r="Q16" s="1928">
        <v>8000</v>
      </c>
      <c r="R16" s="1928">
        <v>10000</v>
      </c>
      <c r="S16" s="1931">
        <f>SUM(Q16:R16)</f>
        <v>18000</v>
      </c>
      <c r="T16" s="1931">
        <f>Q16*I16</f>
        <v>89680</v>
      </c>
      <c r="U16" s="1931">
        <f>R16*I16</f>
        <v>112100.00000000001</v>
      </c>
      <c r="V16" s="1931">
        <f>SUM(T16:U16)</f>
        <v>201780</v>
      </c>
      <c r="W16" s="1921">
        <f>Q16*M16</f>
        <v>32000</v>
      </c>
      <c r="X16" s="1921">
        <f>R16*M16</f>
        <v>40000</v>
      </c>
      <c r="Y16" s="1921">
        <f>SUM(W16:X16)</f>
        <v>72000</v>
      </c>
      <c r="Z16" s="1946"/>
    </row>
    <row r="17" spans="2:26">
      <c r="B17" s="1885">
        <v>1.1000000000000001</v>
      </c>
      <c r="C17" s="1876" t="s">
        <v>792</v>
      </c>
      <c r="D17" s="1905">
        <v>101923.8</v>
      </c>
      <c r="E17" s="1904">
        <v>104471.89499999999</v>
      </c>
      <c r="F17" s="1879">
        <f t="shared" ref="F17:F19" si="2">SUM(D17:E17)</f>
        <v>206395.69500000001</v>
      </c>
      <c r="H17" s="2549" t="s">
        <v>1106</v>
      </c>
      <c r="I17" s="2550">
        <v>20.45</v>
      </c>
      <c r="J17" s="1932" t="s">
        <v>120</v>
      </c>
      <c r="K17" s="1922" t="s">
        <v>909</v>
      </c>
      <c r="L17" s="1929">
        <v>10.11</v>
      </c>
      <c r="M17" s="1929">
        <v>3.25</v>
      </c>
      <c r="N17" s="1923">
        <v>0.2424145695673352</v>
      </c>
      <c r="O17" s="1922">
        <v>12</v>
      </c>
      <c r="P17" s="1925" t="s">
        <v>954</v>
      </c>
      <c r="Q17" s="1928">
        <v>1000000</v>
      </c>
      <c r="R17" s="1928">
        <v>1000000</v>
      </c>
      <c r="S17" s="1931">
        <f t="shared" ref="S17:S26" si="3">SUM(Q17:R17)</f>
        <v>2000000</v>
      </c>
      <c r="T17" s="1931">
        <f t="shared" ref="T17:T26" si="4">Q17*I17</f>
        <v>20450000</v>
      </c>
      <c r="U17" s="1931">
        <f t="shared" ref="U17:U26" si="5">R17*I17</f>
        <v>20450000</v>
      </c>
      <c r="V17" s="1931">
        <f t="shared" ref="V17:V26" si="6">SUM(T17:U17)</f>
        <v>40900000</v>
      </c>
      <c r="W17" s="1921">
        <f t="shared" ref="W17:W26" si="7">Q17*M17</f>
        <v>3250000</v>
      </c>
      <c r="X17" s="1921">
        <f t="shared" ref="X17:X26" si="8">R17*M17</f>
        <v>3250000</v>
      </c>
      <c r="Y17" s="1921">
        <f t="shared" ref="Y17:Y26" si="9">SUM(W17:X17)</f>
        <v>6500000</v>
      </c>
      <c r="Z17" s="1946"/>
    </row>
    <row r="18" spans="2:26">
      <c r="B18" s="1885">
        <v>0.65</v>
      </c>
      <c r="C18" s="2197" t="s">
        <v>794</v>
      </c>
      <c r="D18" s="1905">
        <v>60227.700000000004</v>
      </c>
      <c r="E18" s="1904">
        <v>61733.392499999994</v>
      </c>
      <c r="F18" s="1879">
        <f t="shared" si="2"/>
        <v>121961.0925</v>
      </c>
      <c r="H18" s="2549" t="s">
        <v>1107</v>
      </c>
      <c r="I18" s="2550">
        <v>19.68</v>
      </c>
      <c r="J18" s="1932" t="s">
        <v>120</v>
      </c>
      <c r="K18" s="1922" t="s">
        <v>909</v>
      </c>
      <c r="L18" s="1929">
        <v>11.56</v>
      </c>
      <c r="M18" s="1929">
        <v>2.75</v>
      </c>
      <c r="N18" s="1923">
        <v>5.1855638359621259E-2</v>
      </c>
      <c r="O18" s="1922">
        <v>12</v>
      </c>
      <c r="P18" s="1925" t="s">
        <v>954</v>
      </c>
      <c r="Q18" s="1928">
        <v>170000</v>
      </c>
      <c r="R18" s="1928">
        <v>175000</v>
      </c>
      <c r="S18" s="1931">
        <f t="shared" si="3"/>
        <v>345000</v>
      </c>
      <c r="T18" s="1931">
        <f t="shared" si="4"/>
        <v>3345600</v>
      </c>
      <c r="U18" s="1931">
        <f t="shared" si="5"/>
        <v>3444000</v>
      </c>
      <c r="V18" s="1931">
        <f t="shared" si="6"/>
        <v>6789600</v>
      </c>
      <c r="W18" s="1921">
        <f t="shared" si="7"/>
        <v>467500</v>
      </c>
      <c r="X18" s="1921">
        <f t="shared" si="8"/>
        <v>481250</v>
      </c>
      <c r="Y18" s="1921">
        <f t="shared" si="9"/>
        <v>948750</v>
      </c>
      <c r="Z18" s="1946"/>
    </row>
    <row r="19" spans="2:26">
      <c r="B19" s="1885"/>
      <c r="C19" s="2197"/>
      <c r="D19" s="2242"/>
      <c r="E19" s="2079"/>
      <c r="F19" s="1879">
        <f t="shared" si="2"/>
        <v>0</v>
      </c>
      <c r="H19" s="2549" t="s">
        <v>1108</v>
      </c>
      <c r="I19" s="2550">
        <v>18.350000000000001</v>
      </c>
      <c r="J19" s="1932" t="s">
        <v>120</v>
      </c>
      <c r="K19" s="1922" t="s">
        <v>909</v>
      </c>
      <c r="L19" s="1929">
        <v>12.83</v>
      </c>
      <c r="M19" s="1929">
        <v>2.75</v>
      </c>
      <c r="N19" s="1923">
        <v>3.3155085850141118E-2</v>
      </c>
      <c r="O19" s="1922">
        <v>12</v>
      </c>
      <c r="P19" s="1925" t="s">
        <v>954</v>
      </c>
      <c r="Q19" s="1928">
        <v>120000</v>
      </c>
      <c r="R19" s="1928">
        <v>120000</v>
      </c>
      <c r="S19" s="1931">
        <f t="shared" si="3"/>
        <v>240000</v>
      </c>
      <c r="T19" s="1931">
        <f t="shared" si="4"/>
        <v>2202000</v>
      </c>
      <c r="U19" s="1931">
        <f t="shared" si="5"/>
        <v>2202000</v>
      </c>
      <c r="V19" s="1931">
        <f t="shared" si="6"/>
        <v>4404000</v>
      </c>
      <c r="W19" s="1921">
        <f t="shared" si="7"/>
        <v>330000</v>
      </c>
      <c r="X19" s="1921">
        <f t="shared" si="8"/>
        <v>330000</v>
      </c>
      <c r="Y19" s="1921">
        <f t="shared" si="9"/>
        <v>660000</v>
      </c>
      <c r="Z19" s="1946"/>
    </row>
    <row r="20" spans="2:26">
      <c r="B20" s="1908">
        <f>SUM(B16:B19)</f>
        <v>2.35</v>
      </c>
      <c r="C20" s="1952"/>
      <c r="D20" s="1954"/>
      <c r="E20" s="1955"/>
      <c r="F20" s="1957"/>
      <c r="H20" s="2549" t="s">
        <v>1109</v>
      </c>
      <c r="I20" s="2550">
        <v>20.55</v>
      </c>
      <c r="J20" s="1932" t="s">
        <v>120</v>
      </c>
      <c r="K20" s="1922" t="s">
        <v>909</v>
      </c>
      <c r="L20" s="1929">
        <v>15.79</v>
      </c>
      <c r="M20" s="1929">
        <v>10</v>
      </c>
      <c r="N20" s="1923">
        <v>2.1659214802646685E-2</v>
      </c>
      <c r="O20" s="1922">
        <v>15</v>
      </c>
      <c r="P20" s="1925" t="s">
        <v>954</v>
      </c>
      <c r="Q20" s="1928">
        <v>65000</v>
      </c>
      <c r="R20" s="1928">
        <v>70000</v>
      </c>
      <c r="S20" s="1931">
        <f t="shared" si="3"/>
        <v>135000</v>
      </c>
      <c r="T20" s="1931">
        <f t="shared" si="4"/>
        <v>1335750</v>
      </c>
      <c r="U20" s="1931">
        <f t="shared" si="5"/>
        <v>1438500</v>
      </c>
      <c r="V20" s="1931">
        <f t="shared" si="6"/>
        <v>2774250</v>
      </c>
      <c r="W20" s="1921">
        <f t="shared" si="7"/>
        <v>650000</v>
      </c>
      <c r="X20" s="1921">
        <f t="shared" si="8"/>
        <v>700000</v>
      </c>
      <c r="Y20" s="1921">
        <f t="shared" si="9"/>
        <v>1350000</v>
      </c>
      <c r="Z20" s="1946"/>
    </row>
    <row r="21" spans="2:26">
      <c r="C21" s="1910" t="s">
        <v>47</v>
      </c>
      <c r="D21" s="1911">
        <f>SUM(D22:D25)</f>
        <v>104000</v>
      </c>
      <c r="E21" s="1926">
        <f>SUM(E22:E25)</f>
        <v>106599.99999999999</v>
      </c>
      <c r="F21" s="2157">
        <f>D21+E21</f>
        <v>210600</v>
      </c>
      <c r="H21" s="2549" t="s">
        <v>1110</v>
      </c>
      <c r="I21" s="2550">
        <v>32.46</v>
      </c>
      <c r="J21" s="1932" t="s">
        <v>120</v>
      </c>
      <c r="K21" s="1922" t="s">
        <v>909</v>
      </c>
      <c r="L21" s="1929">
        <v>15.82</v>
      </c>
      <c r="M21" s="1929">
        <v>5</v>
      </c>
      <c r="N21" s="1923">
        <v>4.7368710301791085E-3</v>
      </c>
      <c r="O21" s="1922">
        <v>12</v>
      </c>
      <c r="P21" s="1925" t="s">
        <v>954</v>
      </c>
      <c r="Q21" s="1928">
        <v>10000</v>
      </c>
      <c r="R21" s="1928">
        <v>10000</v>
      </c>
      <c r="S21" s="1931">
        <f t="shared" si="3"/>
        <v>20000</v>
      </c>
      <c r="T21" s="1931">
        <f t="shared" si="4"/>
        <v>324600</v>
      </c>
      <c r="U21" s="1931">
        <f t="shared" si="5"/>
        <v>324600</v>
      </c>
      <c r="V21" s="1931">
        <f t="shared" si="6"/>
        <v>649200</v>
      </c>
      <c r="W21" s="1921">
        <f t="shared" si="7"/>
        <v>50000</v>
      </c>
      <c r="X21" s="1921">
        <f t="shared" si="8"/>
        <v>50000</v>
      </c>
      <c r="Y21" s="1921">
        <f t="shared" si="9"/>
        <v>100000</v>
      </c>
      <c r="Z21" s="1946"/>
    </row>
    <row r="22" spans="2:26">
      <c r="C22" s="1876" t="s">
        <v>886</v>
      </c>
      <c r="D22" s="1907">
        <v>52000</v>
      </c>
      <c r="E22" s="1906">
        <v>53299.999999999993</v>
      </c>
      <c r="F22" s="1879">
        <f t="shared" ref="F22:F25" si="10">SUM(D22:E22)</f>
        <v>105300</v>
      </c>
      <c r="H22" s="2549" t="s">
        <v>1111</v>
      </c>
      <c r="I22" s="2550">
        <v>56.93</v>
      </c>
      <c r="J22" s="1932" t="s">
        <v>120</v>
      </c>
      <c r="K22" s="1922" t="s">
        <v>909</v>
      </c>
      <c r="L22" s="1929">
        <v>10.11</v>
      </c>
      <c r="M22" s="1929">
        <v>11</v>
      </c>
      <c r="N22" s="1923">
        <v>3.0001437924931283E-2</v>
      </c>
      <c r="O22" s="1922">
        <v>15</v>
      </c>
      <c r="P22" s="1925" t="s">
        <v>954</v>
      </c>
      <c r="Q22" s="1928">
        <v>35000</v>
      </c>
      <c r="R22" s="1928">
        <v>35000</v>
      </c>
      <c r="S22" s="1931">
        <f t="shared" si="3"/>
        <v>70000</v>
      </c>
      <c r="T22" s="1931">
        <f t="shared" si="4"/>
        <v>1992550</v>
      </c>
      <c r="U22" s="1931">
        <f t="shared" si="5"/>
        <v>1992550</v>
      </c>
      <c r="V22" s="1931">
        <f t="shared" si="6"/>
        <v>3985100</v>
      </c>
      <c r="W22" s="1921">
        <f t="shared" si="7"/>
        <v>385000</v>
      </c>
      <c r="X22" s="1921">
        <f t="shared" si="8"/>
        <v>385000</v>
      </c>
      <c r="Y22" s="1921">
        <f t="shared" si="9"/>
        <v>770000</v>
      </c>
      <c r="Z22" s="1946"/>
    </row>
    <row r="23" spans="2:26">
      <c r="C23" s="1876" t="s">
        <v>9</v>
      </c>
      <c r="D23" s="2053">
        <v>52000</v>
      </c>
      <c r="E23" s="2054">
        <v>53299.999999999993</v>
      </c>
      <c r="F23" s="1879">
        <f t="shared" si="10"/>
        <v>105300</v>
      </c>
      <c r="H23" s="2549" t="s">
        <v>1112</v>
      </c>
      <c r="I23" s="2550">
        <v>32.64</v>
      </c>
      <c r="J23" s="1932" t="s">
        <v>120</v>
      </c>
      <c r="K23" s="1922" t="s">
        <v>909</v>
      </c>
      <c r="L23" s="1929">
        <v>14.36</v>
      </c>
      <c r="M23" s="1929">
        <v>5</v>
      </c>
      <c r="N23" s="1923">
        <v>0.33173154016816947</v>
      </c>
      <c r="O23" s="1922">
        <v>12</v>
      </c>
      <c r="P23" s="1925" t="s">
        <v>954</v>
      </c>
      <c r="Q23" s="1928">
        <v>650000</v>
      </c>
      <c r="R23" s="1928">
        <v>675000</v>
      </c>
      <c r="S23" s="1931">
        <f t="shared" si="3"/>
        <v>1325000</v>
      </c>
      <c r="T23" s="1931">
        <f t="shared" si="4"/>
        <v>21216000</v>
      </c>
      <c r="U23" s="1931">
        <f t="shared" si="5"/>
        <v>22032000</v>
      </c>
      <c r="V23" s="1931">
        <f t="shared" si="6"/>
        <v>43248000</v>
      </c>
      <c r="W23" s="1921">
        <f t="shared" si="7"/>
        <v>3250000</v>
      </c>
      <c r="X23" s="1921">
        <f t="shared" si="8"/>
        <v>3375000</v>
      </c>
      <c r="Y23" s="1921">
        <f t="shared" si="9"/>
        <v>6625000</v>
      </c>
      <c r="Z23" s="1946"/>
    </row>
    <row r="24" spans="2:26">
      <c r="C24" s="1876"/>
      <c r="D24" s="1898"/>
      <c r="E24" s="1897"/>
      <c r="F24" s="1879">
        <f t="shared" si="10"/>
        <v>0</v>
      </c>
      <c r="H24" s="2549" t="s">
        <v>1113</v>
      </c>
      <c r="I24" s="2550">
        <v>25.43</v>
      </c>
      <c r="J24" s="1932" t="s">
        <v>120</v>
      </c>
      <c r="K24" s="1922" t="s">
        <v>909</v>
      </c>
      <c r="L24" s="1929">
        <v>10.050000000000001</v>
      </c>
      <c r="M24" s="1929">
        <v>6.5</v>
      </c>
      <c r="N24" s="1923">
        <v>4.5947347856626089E-2</v>
      </c>
      <c r="O24" s="1922">
        <v>15</v>
      </c>
      <c r="P24" s="1925" t="s">
        <v>954</v>
      </c>
      <c r="Q24" s="1928">
        <v>110000</v>
      </c>
      <c r="R24" s="1928">
        <v>120000</v>
      </c>
      <c r="S24" s="1931">
        <f t="shared" si="3"/>
        <v>230000</v>
      </c>
      <c r="T24" s="1931">
        <f t="shared" si="4"/>
        <v>2797300</v>
      </c>
      <c r="U24" s="1931">
        <f t="shared" si="5"/>
        <v>3051600</v>
      </c>
      <c r="V24" s="1931">
        <f t="shared" si="6"/>
        <v>5848900</v>
      </c>
      <c r="W24" s="1921">
        <f t="shared" si="7"/>
        <v>715000</v>
      </c>
      <c r="X24" s="1921">
        <f t="shared" si="8"/>
        <v>780000</v>
      </c>
      <c r="Y24" s="1921">
        <f t="shared" si="9"/>
        <v>1495000</v>
      </c>
      <c r="Z24" s="1946"/>
    </row>
    <row r="25" spans="2:26">
      <c r="C25" s="1876"/>
      <c r="D25" s="1896"/>
      <c r="E25" s="1899"/>
      <c r="F25" s="1879">
        <f t="shared" si="10"/>
        <v>0</v>
      </c>
      <c r="H25" s="2549" t="s">
        <v>1114</v>
      </c>
      <c r="I25" s="2550">
        <v>16.920000000000002</v>
      </c>
      <c r="J25" s="1932" t="s">
        <v>120</v>
      </c>
      <c r="K25" s="1922" t="s">
        <v>909</v>
      </c>
      <c r="L25" s="1929">
        <v>3.26</v>
      </c>
      <c r="M25" s="1929">
        <v>0.5</v>
      </c>
      <c r="N25" s="1923">
        <v>8.9166402545202431E-2</v>
      </c>
      <c r="O25" s="1922">
        <v>7</v>
      </c>
      <c r="P25" s="1925" t="s">
        <v>954</v>
      </c>
      <c r="Q25" s="1928">
        <v>400000</v>
      </c>
      <c r="R25" s="1928">
        <v>350000</v>
      </c>
      <c r="S25" s="1931">
        <f t="shared" si="3"/>
        <v>750000</v>
      </c>
      <c r="T25" s="1931">
        <f t="shared" si="4"/>
        <v>6768000.0000000009</v>
      </c>
      <c r="U25" s="1931">
        <f t="shared" si="5"/>
        <v>5922000.0000000009</v>
      </c>
      <c r="V25" s="1931">
        <f t="shared" si="6"/>
        <v>12690000.000000002</v>
      </c>
      <c r="W25" s="1921">
        <f t="shared" si="7"/>
        <v>200000</v>
      </c>
      <c r="X25" s="1921">
        <f t="shared" si="8"/>
        <v>175000</v>
      </c>
      <c r="Y25" s="1921">
        <f t="shared" si="9"/>
        <v>375000</v>
      </c>
      <c r="Z25" s="1946"/>
    </row>
    <row r="26" spans="2:26">
      <c r="C26" s="1877"/>
      <c r="D26" s="1892"/>
      <c r="E26" s="1884"/>
      <c r="F26" s="1892"/>
      <c r="H26" s="2549" t="s">
        <v>1115</v>
      </c>
      <c r="I26" s="2550">
        <v>9.67</v>
      </c>
      <c r="J26" s="1932" t="s">
        <v>120</v>
      </c>
      <c r="K26" s="1922" t="s">
        <v>909</v>
      </c>
      <c r="L26" s="1929">
        <v>1.84</v>
      </c>
      <c r="M26" s="1929">
        <v>0.5</v>
      </c>
      <c r="N26" s="1923">
        <v>0.13103937881642969</v>
      </c>
      <c r="O26" s="1922">
        <v>6</v>
      </c>
      <c r="P26" s="1925" t="s">
        <v>954</v>
      </c>
      <c r="Q26" s="1928">
        <v>1000000</v>
      </c>
      <c r="R26" s="1928">
        <v>900000</v>
      </c>
      <c r="S26" s="1931">
        <f t="shared" si="3"/>
        <v>1900000</v>
      </c>
      <c r="T26" s="1931">
        <f t="shared" si="4"/>
        <v>9670000</v>
      </c>
      <c r="U26" s="1931">
        <f t="shared" si="5"/>
        <v>8703000</v>
      </c>
      <c r="V26" s="1931">
        <f t="shared" si="6"/>
        <v>18373000</v>
      </c>
      <c r="W26" s="1921">
        <f t="shared" si="7"/>
        <v>500000</v>
      </c>
      <c r="X26" s="1921">
        <f t="shared" si="8"/>
        <v>450000</v>
      </c>
      <c r="Y26" s="1921">
        <f t="shared" si="9"/>
        <v>950000</v>
      </c>
      <c r="Z26" s="1946"/>
    </row>
    <row r="27" spans="2:26">
      <c r="C27" s="1910" t="s">
        <v>48</v>
      </c>
      <c r="D27" s="1911">
        <f>SUM(D29:D32)</f>
        <v>214564.76210000002</v>
      </c>
      <c r="E27" s="1926">
        <f>SUM(E29:E32)</f>
        <v>224215.3511</v>
      </c>
      <c r="F27" s="2157">
        <f>D27+E27</f>
        <v>438780.11320000002</v>
      </c>
      <c r="H27" s="1922" t="s">
        <v>1116</v>
      </c>
      <c r="I27" s="1928">
        <v>14.7</v>
      </c>
      <c r="J27" s="1932" t="s">
        <v>120</v>
      </c>
      <c r="K27" s="1922" t="s">
        <v>909</v>
      </c>
      <c r="L27" s="1929">
        <v>23</v>
      </c>
      <c r="M27" s="1929">
        <v>5.5</v>
      </c>
      <c r="N27" s="1923">
        <v>3.3200256266830686E-3</v>
      </c>
      <c r="O27" s="1922">
        <v>15</v>
      </c>
      <c r="P27" s="1925" t="s">
        <v>954</v>
      </c>
      <c r="Q27" s="1928">
        <v>15000</v>
      </c>
      <c r="R27" s="1928">
        <v>15000</v>
      </c>
      <c r="S27" s="1931">
        <f>SUM(Q27:R27)</f>
        <v>30000</v>
      </c>
      <c r="T27" s="1931">
        <f>Q27*I27</f>
        <v>220500</v>
      </c>
      <c r="U27" s="1931">
        <f>R27*I27</f>
        <v>220500</v>
      </c>
      <c r="V27" s="1931">
        <f>SUM(T27:U27)</f>
        <v>441000</v>
      </c>
      <c r="W27" s="1921">
        <f>Q27*M27</f>
        <v>82500</v>
      </c>
      <c r="X27" s="1921">
        <f>R27*M27</f>
        <v>82500</v>
      </c>
      <c r="Y27" s="1921">
        <f>SUM(W27:X27)</f>
        <v>165000</v>
      </c>
      <c r="Z27" s="1946"/>
    </row>
    <row r="28" spans="2:26">
      <c r="C28" s="1909" t="s">
        <v>315</v>
      </c>
      <c r="D28" s="1912">
        <v>0.66700000000000004</v>
      </c>
      <c r="E28" s="1913">
        <v>0.68</v>
      </c>
      <c r="F28" s="1949"/>
      <c r="H28" s="1922" t="s">
        <v>1117</v>
      </c>
      <c r="I28" s="1928">
        <v>29.41</v>
      </c>
      <c r="J28" s="1932" t="s">
        <v>120</v>
      </c>
      <c r="K28" s="1922" t="s">
        <v>909</v>
      </c>
      <c r="L28" s="1929">
        <v>25</v>
      </c>
      <c r="M28" s="1929">
        <v>11</v>
      </c>
      <c r="N28" s="1923">
        <v>1.328461954840123E-2</v>
      </c>
      <c r="O28" s="1922">
        <v>15</v>
      </c>
      <c r="P28" s="1925" t="s">
        <v>954</v>
      </c>
      <c r="Q28" s="1928">
        <v>30000</v>
      </c>
      <c r="R28" s="1928">
        <v>30000</v>
      </c>
      <c r="S28" s="1931">
        <f>SUM(Q28:R28)</f>
        <v>60000</v>
      </c>
      <c r="T28" s="1931">
        <f>Q28*I28</f>
        <v>882300</v>
      </c>
      <c r="U28" s="1931">
        <f>R28*I28</f>
        <v>882300</v>
      </c>
      <c r="V28" s="1931">
        <f>SUM(T28:U28)</f>
        <v>1764600</v>
      </c>
      <c r="W28" s="1921">
        <f>Q28*M28</f>
        <v>330000</v>
      </c>
      <c r="X28" s="1921">
        <f>R28*M28</f>
        <v>330000</v>
      </c>
      <c r="Y28" s="1921">
        <f>SUM(W28:X28)</f>
        <v>660000</v>
      </c>
      <c r="Z28" s="1946"/>
    </row>
    <row r="29" spans="2:26">
      <c r="C29" s="1876" t="s">
        <v>778</v>
      </c>
      <c r="D29" s="1971">
        <f>D15*D28</f>
        <v>145196.76210000002</v>
      </c>
      <c r="E29" s="1972">
        <f>E15*E28</f>
        <v>151727.3511</v>
      </c>
      <c r="F29" s="1879">
        <f t="shared" ref="F29:F32" si="11">SUM(D29:E29)</f>
        <v>296924.11320000002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69368</v>
      </c>
      <c r="E30" s="1972">
        <f>E21*E28</f>
        <v>72488</v>
      </c>
      <c r="F30" s="1879">
        <f t="shared" si="11"/>
        <v>141856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52" t="s">
        <v>69</v>
      </c>
      <c r="C34" s="1910" t="s">
        <v>49</v>
      </c>
      <c r="D34" s="1911">
        <f>SUM(D35:D38)</f>
        <v>1847506.07</v>
      </c>
      <c r="E34" s="1926">
        <f>SUM(E35:E38)</f>
        <v>1847506.07</v>
      </c>
      <c r="F34" s="2157">
        <f>D34+E34</f>
        <v>3695012.14</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1100</v>
      </c>
      <c r="D35" s="1971">
        <v>400000</v>
      </c>
      <c r="E35" s="1988">
        <v>400000</v>
      </c>
      <c r="F35" s="1879">
        <f t="shared" ref="F35:F38" si="12">SUM(D35:E35)</f>
        <v>800000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t="s">
        <v>1101</v>
      </c>
      <c r="D36" s="1971">
        <v>1197506.07</v>
      </c>
      <c r="E36" s="1988">
        <v>1197506.07</v>
      </c>
      <c r="F36" s="1879">
        <f t="shared" si="12"/>
        <v>2395012.14</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18230440</v>
      </c>
      <c r="C37" s="1876" t="s">
        <v>1102</v>
      </c>
      <c r="D37" s="1971">
        <v>250000</v>
      </c>
      <c r="E37" s="1988">
        <v>250000</v>
      </c>
      <c r="F37" s="1879">
        <f t="shared" si="12"/>
        <v>500000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11000</v>
      </c>
      <c r="E40" s="1926">
        <f>SUM(E41:E44)</f>
        <v>11000</v>
      </c>
      <c r="F40" s="2157">
        <f>D40+E40</f>
        <v>22000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v>11000</v>
      </c>
      <c r="E41" s="1988">
        <v>11000</v>
      </c>
      <c r="F41" s="1879">
        <f t="shared" ref="F41:F44" si="13">SUM(D41:E41)</f>
        <v>22000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1550000</v>
      </c>
      <c r="E46" s="1926">
        <f>SUM(E47:E50)</f>
        <v>1550000</v>
      </c>
      <c r="F46" s="2157">
        <f>D46+E46</f>
        <v>3100000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891</v>
      </c>
      <c r="D47" s="1971">
        <v>400000</v>
      </c>
      <c r="E47" s="1988">
        <v>400000</v>
      </c>
      <c r="F47" s="1879">
        <f t="shared" ref="F47:F50" si="14">SUM(D47:E47)</f>
        <v>800000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890</v>
      </c>
      <c r="D48" s="1971">
        <v>1000000</v>
      </c>
      <c r="E48" s="1988">
        <v>1000000</v>
      </c>
      <c r="F48" s="1879">
        <f t="shared" si="14"/>
        <v>2000000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t="s">
        <v>1103</v>
      </c>
      <c r="D49" s="1971">
        <v>100000</v>
      </c>
      <c r="E49" s="1988">
        <v>100000</v>
      </c>
      <c r="F49" s="1879">
        <f t="shared" si="14"/>
        <v>200000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t="s">
        <v>1104</v>
      </c>
      <c r="D50" s="1971">
        <v>50000</v>
      </c>
      <c r="E50" s="1988">
        <v>50000</v>
      </c>
      <c r="F50" s="1879">
        <f t="shared" si="14"/>
        <v>100000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8250</v>
      </c>
      <c r="E52" s="1926">
        <f>SUM(E53:E56)</f>
        <v>8250</v>
      </c>
      <c r="F52" s="2157">
        <f>D52+E52</f>
        <v>16500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8250</v>
      </c>
      <c r="E53" s="1972">
        <v>8250</v>
      </c>
      <c r="F53" s="1879">
        <f t="shared" ref="F53:F56" si="15">SUM(D53:E53)</f>
        <v>16500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20000</v>
      </c>
      <c r="E58" s="1926">
        <f>SUM(E59:E62)</f>
        <v>20000</v>
      </c>
      <c r="F58" s="2157">
        <f>D58+E58</f>
        <v>40000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20000</v>
      </c>
      <c r="E59" s="1988">
        <v>20000</v>
      </c>
      <c r="F59" s="1879">
        <f t="shared" ref="F59:F62" si="16">SUM(D59:E59)</f>
        <v>40000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69</v>
      </c>
      <c r="C64" s="1910" t="s">
        <v>53</v>
      </c>
      <c r="D64" s="1911">
        <f>W15</f>
        <v>10242000</v>
      </c>
      <c r="E64" s="1926">
        <f>X15</f>
        <v>10428750</v>
      </c>
      <c r="F64" s="1924">
        <f>D64+E64</f>
        <v>20670750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0.72050614571073635</v>
      </c>
      <c r="E65" s="2616">
        <f>E64/E12</f>
        <v>0.72324187731165646</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18230440</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U9" sqref="U9"/>
      <pageMargins left="0.24" right="0.28000000000000003" top="0.37" bottom="0.35" header="0.3" footer="0.3"/>
      <pageSetup paperSize="17" scale="46" orientation="landscape" r:id="rId1"/>
    </customSheetView>
    <customSheetView guid="{D9EFFE19-D14B-4C6F-BDF4-FF696F73968D}" showGridLines="0">
      <pane xSplit="1" ySplit="1" topLeftCell="C4" activePane="bottomRight" state="frozen"/>
      <selection pane="bottomRight" activeCell="M15" sqref="L15:M15"/>
      <pageMargins left="0.24" right="0.28000000000000003" top="0.37" bottom="0.35"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4" right="0.28000000000000003" top="0.37" bottom="0.35" header="0.3" footer="0.3"/>
  <pageSetup paperSize="17" scale="46" orientation="landscape" r:id="rId3"/>
  <ignoredErrors>
    <ignoredError sqref="R7" formula="1"/>
  </ignoredError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G3" sqref="G3"/>
    </sheetView>
  </sheetViews>
  <sheetFormatPr defaultRowHeight="12.75"/>
  <cols>
    <col min="1" max="1" width="17.140625" customWidth="1"/>
    <col min="2" max="2" width="17.5703125" style="1866" customWidth="1"/>
    <col min="3" max="3" width="27.5703125" customWidth="1"/>
    <col min="4" max="4" width="19.28515625" customWidth="1"/>
    <col min="5" max="7" width="15.85546875" customWidth="1"/>
    <col min="8" max="8" width="52.42578125" customWidth="1"/>
    <col min="9" max="23" width="18.28515625" customWidth="1"/>
    <col min="24" max="25" width="18.42578125" customWidth="1"/>
    <col min="26" max="26" width="14" style="2530" customWidth="1"/>
  </cols>
  <sheetData>
    <row r="1" spans="1:26" ht="51" customHeight="1" thickBot="1">
      <c r="C1" s="1855" t="s">
        <v>261</v>
      </c>
      <c r="D1" s="1812" t="s">
        <v>291</v>
      </c>
      <c r="E1" s="1855" t="s">
        <v>6</v>
      </c>
      <c r="F1" s="1855">
        <v>18230634</v>
      </c>
      <c r="G1" s="1812" t="s">
        <v>5</v>
      </c>
      <c r="J1" s="1812"/>
      <c r="K1" s="1812"/>
      <c r="L1" s="1812"/>
      <c r="M1" s="1855" t="s">
        <v>261</v>
      </c>
      <c r="N1" s="1812" t="s">
        <v>291</v>
      </c>
      <c r="O1" s="1855" t="s">
        <v>6</v>
      </c>
      <c r="P1" s="1855">
        <v>18230634</v>
      </c>
      <c r="Q1" s="1812" t="s">
        <v>5</v>
      </c>
      <c r="R1" s="1501"/>
      <c r="S1" s="1501"/>
      <c r="T1" s="1501"/>
      <c r="U1" s="1501"/>
      <c r="V1" s="1855" t="s">
        <v>261</v>
      </c>
      <c r="W1" s="1812" t="s">
        <v>291</v>
      </c>
      <c r="X1" s="1855" t="s">
        <v>6</v>
      </c>
      <c r="Y1" s="1855">
        <v>18230634</v>
      </c>
      <c r="Z1" s="2535" t="s">
        <v>5</v>
      </c>
    </row>
    <row r="2" spans="1:26" ht="16.5" thickBot="1">
      <c r="C2" s="1503"/>
      <c r="D2" s="1504"/>
      <c r="E2" s="1501"/>
      <c r="F2" s="1501"/>
      <c r="G2" s="1501"/>
      <c r="H2" s="1576" t="s">
        <v>674</v>
      </c>
      <c r="I2" s="1501"/>
      <c r="J2" s="1501"/>
      <c r="K2" s="1501"/>
      <c r="L2" s="1501"/>
      <c r="M2" s="1501"/>
      <c r="N2" s="1501"/>
      <c r="O2" s="1501"/>
      <c r="P2" s="1501"/>
      <c r="Q2" s="1501"/>
      <c r="R2" s="3606"/>
      <c r="S2" s="3606"/>
      <c r="T2" s="3597" t="s">
        <v>36</v>
      </c>
      <c r="U2" s="3607"/>
      <c r="V2" s="3608"/>
      <c r="W2" s="3609" t="s">
        <v>37</v>
      </c>
    </row>
    <row r="3" spans="1:26" ht="26.25" thickBot="1">
      <c r="A3" s="1854" t="s">
        <v>261</v>
      </c>
      <c r="B3" s="1854"/>
      <c r="E3" s="1501"/>
      <c r="F3" s="1501"/>
      <c r="G3" s="1501"/>
      <c r="H3" s="1577" t="s">
        <v>8</v>
      </c>
      <c r="I3" s="1538" t="s">
        <v>9</v>
      </c>
      <c r="J3" s="1538" t="s">
        <v>10</v>
      </c>
      <c r="K3" s="1538" t="s">
        <v>11</v>
      </c>
      <c r="L3" s="2037" t="s">
        <v>504</v>
      </c>
      <c r="M3" s="1538" t="s">
        <v>12</v>
      </c>
      <c r="N3" s="1538" t="s">
        <v>13</v>
      </c>
      <c r="O3" s="1538" t="s">
        <v>14</v>
      </c>
      <c r="P3" s="1538" t="s">
        <v>38</v>
      </c>
      <c r="Q3" s="1538" t="s">
        <v>39</v>
      </c>
      <c r="R3" s="1578" t="s">
        <v>16</v>
      </c>
      <c r="S3" s="1995" t="s">
        <v>40</v>
      </c>
      <c r="T3" s="1505" t="s">
        <v>41</v>
      </c>
      <c r="U3" s="1505" t="s">
        <v>11</v>
      </c>
      <c r="V3" s="1506" t="s">
        <v>42</v>
      </c>
      <c r="W3" s="3595"/>
    </row>
    <row r="4" spans="1:26" ht="16.5" thickBot="1">
      <c r="A4" s="1808" t="s">
        <v>291</v>
      </c>
      <c r="B4" s="1808"/>
      <c r="C4" s="1504"/>
      <c r="E4" s="1502"/>
      <c r="F4" s="1501"/>
      <c r="G4" s="1704" t="s">
        <v>668</v>
      </c>
      <c r="H4" s="2003">
        <v>39037</v>
      </c>
      <c r="I4" s="2002">
        <v>4024</v>
      </c>
      <c r="J4" s="2002">
        <v>30444</v>
      </c>
      <c r="K4" s="2002">
        <v>15000</v>
      </c>
      <c r="L4" s="2002">
        <v>402</v>
      </c>
      <c r="M4" s="2002">
        <v>127</v>
      </c>
      <c r="N4" s="2002">
        <v>508</v>
      </c>
      <c r="O4" s="2002">
        <v>591</v>
      </c>
      <c r="P4" s="2002">
        <v>1575503</v>
      </c>
      <c r="Q4" s="2002">
        <v>0</v>
      </c>
      <c r="R4" s="2000">
        <v>1665636</v>
      </c>
      <c r="S4" s="1998" t="s">
        <v>677</v>
      </c>
      <c r="T4" s="1509">
        <v>0.38638635383361974</v>
      </c>
      <c r="U4" s="1509">
        <v>5.0728401443212855E-2</v>
      </c>
      <c r="V4" s="1509">
        <v>0.38046853070250508</v>
      </c>
      <c r="W4" s="1507" t="e">
        <v>#DIV/0!</v>
      </c>
    </row>
    <row r="5" spans="1:26" ht="16.5" thickBot="1">
      <c r="A5" s="1854" t="s">
        <v>6</v>
      </c>
      <c r="B5" s="1854"/>
      <c r="C5" s="1503"/>
      <c r="D5" s="1511"/>
      <c r="E5" s="1501"/>
      <c r="F5" s="1501"/>
      <c r="G5" s="1503">
        <v>2016</v>
      </c>
      <c r="H5" s="1582">
        <f>D15</f>
        <v>38972.19</v>
      </c>
      <c r="I5" s="1549">
        <f>D21</f>
        <v>1600.8</v>
      </c>
      <c r="J5" s="1549">
        <f>D27</f>
        <v>27062.184330000004</v>
      </c>
      <c r="K5" s="1549">
        <f>D34</f>
        <v>25000</v>
      </c>
      <c r="L5" s="1549">
        <f>D40</f>
        <v>402</v>
      </c>
      <c r="M5" s="1549">
        <f>D46</f>
        <v>125000</v>
      </c>
      <c r="N5" s="1549">
        <f>D52</f>
        <v>525</v>
      </c>
      <c r="O5" s="1549">
        <f>D58</f>
        <v>600</v>
      </c>
      <c r="P5" s="1549">
        <f>D64</f>
        <v>1236875</v>
      </c>
      <c r="Q5" s="1549">
        <v>0</v>
      </c>
      <c r="R5" s="2001">
        <f>SUM(H5:Q5)</f>
        <v>1456037.1743300001</v>
      </c>
      <c r="S5" s="1999">
        <f>T15</f>
        <v>2971700</v>
      </c>
      <c r="T5" s="1510" t="e">
        <v>#DIV/0!</v>
      </c>
      <c r="U5" s="1510" t="e">
        <v>#DIV/0!</v>
      </c>
      <c r="V5" s="1510" t="e">
        <v>#DIV/0!</v>
      </c>
      <c r="W5" s="1508" t="e">
        <v>#DIV/0!</v>
      </c>
    </row>
    <row r="6" spans="1:26" ht="16.5" thickBot="1">
      <c r="A6" s="1854">
        <v>18230634</v>
      </c>
      <c r="B6" s="1854"/>
      <c r="C6" s="1503"/>
      <c r="D6" s="1501"/>
      <c r="E6" s="1501"/>
      <c r="F6" s="1501"/>
      <c r="G6" s="1513">
        <v>2017</v>
      </c>
      <c r="H6" s="57">
        <f>E15</f>
        <v>39946.57</v>
      </c>
      <c r="I6" s="1990">
        <f>E21</f>
        <v>1640.82</v>
      </c>
      <c r="J6" s="1989">
        <f>E27</f>
        <v>28279.425200000001</v>
      </c>
      <c r="K6" s="58">
        <f>E34</f>
        <v>25000</v>
      </c>
      <c r="L6" s="58">
        <f>E40</f>
        <v>402</v>
      </c>
      <c r="M6" s="58">
        <f>E46</f>
        <v>125000</v>
      </c>
      <c r="N6" s="58">
        <f>E52</f>
        <v>525</v>
      </c>
      <c r="O6" s="58">
        <f>E58</f>
        <v>600</v>
      </c>
      <c r="P6" s="58">
        <f>E64</f>
        <v>1170500</v>
      </c>
      <c r="Q6" s="58">
        <v>0</v>
      </c>
      <c r="R6" s="1997">
        <f>SUM(H6:Q6)</f>
        <v>1391893.8152000001</v>
      </c>
      <c r="S6" s="1996">
        <f>U15</f>
        <v>2865825</v>
      </c>
      <c r="T6" s="1510">
        <v>0.56433512986987144</v>
      </c>
      <c r="U6" s="1510">
        <v>1.8007544630546931E-2</v>
      </c>
      <c r="V6" s="1510">
        <v>0.3558043194643184</v>
      </c>
      <c r="W6" s="1508">
        <v>0.42221572462492302</v>
      </c>
    </row>
    <row r="7" spans="1:26" ht="16.5" thickBot="1">
      <c r="A7" s="1808" t="s">
        <v>5</v>
      </c>
      <c r="B7" s="1808"/>
      <c r="G7" s="1608" t="s">
        <v>23</v>
      </c>
      <c r="H7" s="1564">
        <f>SUM(H5:H6)</f>
        <v>78918.760000000009</v>
      </c>
      <c r="I7" s="1991">
        <f>SUM(I5:I6)</f>
        <v>3241.62</v>
      </c>
      <c r="J7" s="1991">
        <f t="shared" ref="J7:Q7" si="0">SUM(J5:J6)</f>
        <v>55341.609530000002</v>
      </c>
      <c r="K7" s="1991">
        <f t="shared" si="0"/>
        <v>50000</v>
      </c>
      <c r="L7" s="1991">
        <f t="shared" si="0"/>
        <v>804</v>
      </c>
      <c r="M7" s="1991">
        <f t="shared" si="0"/>
        <v>250000</v>
      </c>
      <c r="N7" s="1991">
        <f t="shared" si="0"/>
        <v>1050</v>
      </c>
      <c r="O7" s="1991">
        <f t="shared" si="0"/>
        <v>1200</v>
      </c>
      <c r="P7" s="1991">
        <f t="shared" si="0"/>
        <v>2407375</v>
      </c>
      <c r="Q7" s="1991">
        <f t="shared" si="0"/>
        <v>0</v>
      </c>
      <c r="R7" s="1991">
        <f>SUM(R5:R6)</f>
        <v>2847930.9895299999</v>
      </c>
      <c r="S7" s="1994">
        <f>SUM(S5:S6)</f>
        <v>5837525</v>
      </c>
      <c r="T7" s="1510">
        <v>0.66383055732642549</v>
      </c>
      <c r="U7" s="1510">
        <v>0.14421351486961473</v>
      </c>
      <c r="V7" s="1510">
        <v>2.2803728369184874E-4</v>
      </c>
      <c r="W7" s="1508">
        <v>0.53237220373981875</v>
      </c>
    </row>
    <row r="8" spans="1:26">
      <c r="B8" s="1808"/>
    </row>
    <row r="9" spans="1:26" s="1512" customFormat="1">
      <c r="A9" s="1808"/>
      <c r="B9" s="1808"/>
      <c r="C9" s="1866"/>
      <c r="D9" s="1866"/>
      <c r="E9" s="1866"/>
      <c r="F9" s="1866"/>
      <c r="Z9" s="2530"/>
    </row>
    <row r="10" spans="1:26" s="1512" customFormat="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6"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C12" s="1887" t="s">
        <v>314</v>
      </c>
      <c r="D12" s="2114">
        <f>D15+D21+D27+D34+D40+D46+D52+D58+D64</f>
        <v>1456037.1743300001</v>
      </c>
      <c r="E12" s="2532">
        <f>E15+E21+E27+E34+E40+E46+E52+E58+E64</f>
        <v>1391893.8152000001</v>
      </c>
      <c r="F12" s="1924">
        <f>D12+E12</f>
        <v>2847930.9895299999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2183">
        <f>SUM(D16:D19)</f>
        <v>38972.19</v>
      </c>
      <c r="E15" s="2184">
        <f>SUM(E16:E19)</f>
        <v>39946.57</v>
      </c>
      <c r="F15" s="2114">
        <f>D15+E15</f>
        <v>78918.760000000009</v>
      </c>
      <c r="H15" s="1938" t="s">
        <v>327</v>
      </c>
      <c r="I15" s="1939"/>
      <c r="J15" s="1939"/>
      <c r="K15" s="1940"/>
      <c r="L15" s="1941">
        <f>SUMPRODUCT(L16:L27,S16:S27)</f>
        <v>1157355</v>
      </c>
      <c r="M15" s="1941">
        <f>SUM(M16:M27)</f>
        <v>2051.8000000000002</v>
      </c>
      <c r="N15" s="1942">
        <f>SUM(N16:N65)</f>
        <v>1</v>
      </c>
      <c r="O15" s="1940">
        <v>18</v>
      </c>
      <c r="P15" s="1940"/>
      <c r="Q15" s="1940"/>
      <c r="R15" s="1940"/>
      <c r="S15" s="1940"/>
      <c r="T15" s="1943">
        <f>SUM(T16:T65)</f>
        <v>2971700</v>
      </c>
      <c r="U15" s="1943">
        <f t="shared" ref="U15:Y15" si="1">SUM(U16:U65)</f>
        <v>2865825</v>
      </c>
      <c r="V15" s="1943">
        <f t="shared" si="1"/>
        <v>5837525</v>
      </c>
      <c r="W15" s="1941">
        <f t="shared" si="1"/>
        <v>1236875</v>
      </c>
      <c r="X15" s="1941">
        <f t="shared" si="1"/>
        <v>1170500</v>
      </c>
      <c r="Y15" s="1941">
        <f t="shared" si="1"/>
        <v>2407375</v>
      </c>
      <c r="Z15" s="2534">
        <v>0</v>
      </c>
    </row>
    <row r="16" spans="1:26">
      <c r="B16" s="1885">
        <v>0.1</v>
      </c>
      <c r="C16" s="2197" t="s">
        <v>791</v>
      </c>
      <c r="D16" s="1907">
        <v>9063.3000000000011</v>
      </c>
      <c r="E16" s="1906">
        <v>9289.9</v>
      </c>
      <c r="F16" s="1879">
        <f>SUM(D16:E16)</f>
        <v>18353.2</v>
      </c>
      <c r="H16" s="2548" t="s">
        <v>1120</v>
      </c>
      <c r="I16" s="2551">
        <v>0</v>
      </c>
      <c r="J16" s="1932" t="s">
        <v>120</v>
      </c>
      <c r="K16" s="1922" t="s">
        <v>909</v>
      </c>
      <c r="L16" s="1929">
        <v>80</v>
      </c>
      <c r="M16" s="1929">
        <v>80</v>
      </c>
      <c r="N16" s="1923">
        <v>0</v>
      </c>
      <c r="O16" s="1922">
        <v>1</v>
      </c>
      <c r="P16" s="1925" t="s">
        <v>1069</v>
      </c>
      <c r="Q16" s="1928">
        <v>1000</v>
      </c>
      <c r="R16" s="1928">
        <v>1000</v>
      </c>
      <c r="S16" s="1931">
        <f>SUM(Q16:R16)</f>
        <v>2000</v>
      </c>
      <c r="T16" s="1931">
        <f>Q16*I16</f>
        <v>0</v>
      </c>
      <c r="U16" s="1931">
        <f>R16*I16</f>
        <v>0</v>
      </c>
      <c r="V16" s="1931">
        <f>SUM(T16:U16)</f>
        <v>0</v>
      </c>
      <c r="W16" s="1921">
        <f>Q16*M16</f>
        <v>80000</v>
      </c>
      <c r="X16" s="1921">
        <f>R16*M16</f>
        <v>80000</v>
      </c>
      <c r="Y16" s="1921">
        <f>SUM(W16:X16)</f>
        <v>160000</v>
      </c>
      <c r="Z16" s="2533">
        <v>0</v>
      </c>
    </row>
    <row r="17" spans="2:26">
      <c r="B17" s="1885">
        <v>0.19</v>
      </c>
      <c r="C17" s="1876" t="s">
        <v>792</v>
      </c>
      <c r="D17" s="1905">
        <v>17220.27</v>
      </c>
      <c r="E17" s="1904">
        <v>17650.810000000001</v>
      </c>
      <c r="F17" s="1879">
        <f t="shared" ref="F17:F19" si="2">SUM(D17:E17)</f>
        <v>34871.08</v>
      </c>
      <c r="H17" s="2548" t="s">
        <v>1121</v>
      </c>
      <c r="I17" s="2551">
        <v>17</v>
      </c>
      <c r="J17" s="1932" t="s">
        <v>120</v>
      </c>
      <c r="K17" s="1922" t="s">
        <v>909</v>
      </c>
      <c r="L17" s="1929">
        <v>7.3980000000000015</v>
      </c>
      <c r="M17" s="1929">
        <v>7.4</v>
      </c>
      <c r="N17" s="1923">
        <v>2.9121930955327814E-2</v>
      </c>
      <c r="O17" s="1922">
        <v>12</v>
      </c>
      <c r="P17" s="1925" t="s">
        <v>954</v>
      </c>
      <c r="Q17" s="1928">
        <v>5000</v>
      </c>
      <c r="R17" s="1928">
        <v>5000</v>
      </c>
      <c r="S17" s="1931">
        <f t="shared" ref="S17:S28" si="3">SUM(Q17:R17)</f>
        <v>10000</v>
      </c>
      <c r="T17" s="1931">
        <f t="shared" ref="T17:T28" si="4">Q17*I17</f>
        <v>85000</v>
      </c>
      <c r="U17" s="1931">
        <f t="shared" ref="U17:U28" si="5">R17*I17</f>
        <v>85000</v>
      </c>
      <c r="V17" s="1931">
        <f t="shared" ref="V17:V28" si="6">SUM(T17:U17)</f>
        <v>170000</v>
      </c>
      <c r="W17" s="1921">
        <f t="shared" ref="W17:W28" si="7">Q17*M17</f>
        <v>37000</v>
      </c>
      <c r="X17" s="1921">
        <f t="shared" ref="X17:X28" si="8">R17*M17</f>
        <v>37000</v>
      </c>
      <c r="Y17" s="1921">
        <f t="shared" ref="Y17:Y28" si="9">SUM(W17:X17)</f>
        <v>74000</v>
      </c>
      <c r="Z17" s="2533">
        <v>0</v>
      </c>
    </row>
    <row r="18" spans="2:26">
      <c r="B18" s="1885">
        <v>0.14000000000000001</v>
      </c>
      <c r="C18" s="1876" t="s">
        <v>794</v>
      </c>
      <c r="D18" s="1905">
        <v>12688.62</v>
      </c>
      <c r="E18" s="1904">
        <v>13005.86</v>
      </c>
      <c r="F18" s="1879">
        <f t="shared" si="2"/>
        <v>25694.480000000003</v>
      </c>
      <c r="H18" s="2548" t="s">
        <v>1122</v>
      </c>
      <c r="I18" s="2551">
        <v>16</v>
      </c>
      <c r="J18" s="1932" t="s">
        <v>120</v>
      </c>
      <c r="K18" s="1922" t="s">
        <v>909</v>
      </c>
      <c r="L18" s="1929">
        <v>7.4</v>
      </c>
      <c r="M18" s="1929">
        <v>7.4</v>
      </c>
      <c r="N18" s="1923">
        <v>1.6445325715949824E-2</v>
      </c>
      <c r="O18" s="1922">
        <v>12</v>
      </c>
      <c r="P18" s="1925" t="s">
        <v>954</v>
      </c>
      <c r="Q18" s="1928">
        <v>3000</v>
      </c>
      <c r="R18" s="1928">
        <v>3000</v>
      </c>
      <c r="S18" s="1931">
        <f t="shared" si="3"/>
        <v>6000</v>
      </c>
      <c r="T18" s="1931">
        <f t="shared" si="4"/>
        <v>48000</v>
      </c>
      <c r="U18" s="1931">
        <f t="shared" si="5"/>
        <v>48000</v>
      </c>
      <c r="V18" s="1931">
        <f t="shared" si="6"/>
        <v>96000</v>
      </c>
      <c r="W18" s="1921">
        <f t="shared" si="7"/>
        <v>22200</v>
      </c>
      <c r="X18" s="1921">
        <f t="shared" si="8"/>
        <v>22200</v>
      </c>
      <c r="Y18" s="1921">
        <f t="shared" si="9"/>
        <v>44400</v>
      </c>
      <c r="Z18" s="2533">
        <v>0</v>
      </c>
    </row>
    <row r="19" spans="2:26">
      <c r="B19" s="1885"/>
      <c r="C19" s="1876"/>
      <c r="D19" s="1903"/>
      <c r="E19" s="1902"/>
      <c r="F19" s="1879">
        <f t="shared" si="2"/>
        <v>0</v>
      </c>
      <c r="H19" s="2548" t="s">
        <v>1123</v>
      </c>
      <c r="I19" s="2551">
        <v>307</v>
      </c>
      <c r="J19" s="1932" t="s">
        <v>120</v>
      </c>
      <c r="K19" s="1922" t="s">
        <v>909</v>
      </c>
      <c r="L19" s="1929">
        <v>15</v>
      </c>
      <c r="M19" s="1929">
        <v>15</v>
      </c>
      <c r="N19" s="1923">
        <v>8.9404328032856389E-2</v>
      </c>
      <c r="O19" s="1922">
        <v>10</v>
      </c>
      <c r="P19" s="1925" t="s">
        <v>910</v>
      </c>
      <c r="Q19" s="1928">
        <v>850</v>
      </c>
      <c r="R19" s="1928">
        <v>850</v>
      </c>
      <c r="S19" s="1931">
        <f t="shared" si="3"/>
        <v>1700</v>
      </c>
      <c r="T19" s="1931">
        <f t="shared" si="4"/>
        <v>260950</v>
      </c>
      <c r="U19" s="1931">
        <f t="shared" si="5"/>
        <v>260950</v>
      </c>
      <c r="V19" s="1931">
        <f t="shared" si="6"/>
        <v>521900</v>
      </c>
      <c r="W19" s="1921">
        <f t="shared" si="7"/>
        <v>12750</v>
      </c>
      <c r="X19" s="1921">
        <f t="shared" si="8"/>
        <v>12750</v>
      </c>
      <c r="Y19" s="1921">
        <f t="shared" si="9"/>
        <v>25500</v>
      </c>
      <c r="Z19" s="2533">
        <v>20.53</v>
      </c>
    </row>
    <row r="20" spans="2:26">
      <c r="B20" s="1908">
        <f>SUM(B16:B19)</f>
        <v>0.43000000000000005</v>
      </c>
      <c r="C20" s="1952"/>
      <c r="D20" s="1954"/>
      <c r="E20" s="1955"/>
      <c r="F20" s="1957"/>
      <c r="H20" s="2548" t="s">
        <v>1124</v>
      </c>
      <c r="I20" s="2551">
        <v>173</v>
      </c>
      <c r="J20" s="1932" t="s">
        <v>120</v>
      </c>
      <c r="K20" s="1922" t="s">
        <v>909</v>
      </c>
      <c r="L20" s="1929">
        <v>390</v>
      </c>
      <c r="M20" s="1929">
        <v>390</v>
      </c>
      <c r="N20" s="1923">
        <v>5.186273292191468E-3</v>
      </c>
      <c r="O20" s="1922">
        <v>20</v>
      </c>
      <c r="P20" s="1925" t="s">
        <v>1069</v>
      </c>
      <c r="Q20" s="1928">
        <v>100</v>
      </c>
      <c r="R20" s="1928">
        <v>75</v>
      </c>
      <c r="S20" s="1931">
        <f t="shared" si="3"/>
        <v>175</v>
      </c>
      <c r="T20" s="1931">
        <f t="shared" si="4"/>
        <v>17300</v>
      </c>
      <c r="U20" s="1931">
        <f t="shared" si="5"/>
        <v>12975</v>
      </c>
      <c r="V20" s="1931">
        <f t="shared" si="6"/>
        <v>30275</v>
      </c>
      <c r="W20" s="1921">
        <f t="shared" si="7"/>
        <v>39000</v>
      </c>
      <c r="X20" s="1921">
        <f t="shared" si="8"/>
        <v>29250</v>
      </c>
      <c r="Y20" s="1921">
        <f t="shared" si="9"/>
        <v>68250</v>
      </c>
      <c r="Z20" s="2533">
        <v>0</v>
      </c>
    </row>
    <row r="21" spans="2:26">
      <c r="C21" s="1910" t="s">
        <v>47</v>
      </c>
      <c r="D21" s="2183">
        <f>SUM(D22:D25)</f>
        <v>1600.8</v>
      </c>
      <c r="E21" s="2184">
        <f>SUM(E22:E25)</f>
        <v>1640.82</v>
      </c>
      <c r="F21" s="2114">
        <f>D21+E21</f>
        <v>3241.62</v>
      </c>
      <c r="H21" s="2548" t="s">
        <v>1125</v>
      </c>
      <c r="I21" s="2551">
        <v>900</v>
      </c>
      <c r="J21" s="1932" t="s">
        <v>120</v>
      </c>
      <c r="K21" s="1922" t="s">
        <v>909</v>
      </c>
      <c r="L21" s="1929">
        <v>475</v>
      </c>
      <c r="M21" s="1929">
        <v>475</v>
      </c>
      <c r="N21" s="1923">
        <v>7.323309107883906E-2</v>
      </c>
      <c r="O21" s="1922">
        <v>20</v>
      </c>
      <c r="P21" s="1925" t="s">
        <v>1069</v>
      </c>
      <c r="Q21" s="1928">
        <v>275</v>
      </c>
      <c r="R21" s="1928">
        <v>200</v>
      </c>
      <c r="S21" s="1931">
        <f t="shared" si="3"/>
        <v>475</v>
      </c>
      <c r="T21" s="1931">
        <f t="shared" si="4"/>
        <v>247500</v>
      </c>
      <c r="U21" s="1931">
        <f t="shared" si="5"/>
        <v>180000</v>
      </c>
      <c r="V21" s="1931">
        <f t="shared" si="6"/>
        <v>427500</v>
      </c>
      <c r="W21" s="1921">
        <f t="shared" si="7"/>
        <v>130625</v>
      </c>
      <c r="X21" s="1921">
        <f t="shared" si="8"/>
        <v>95000</v>
      </c>
      <c r="Y21" s="1921">
        <f t="shared" si="9"/>
        <v>225625</v>
      </c>
      <c r="Z21" s="2533">
        <v>0</v>
      </c>
    </row>
    <row r="22" spans="2:26">
      <c r="C22" s="1876" t="s">
        <v>11</v>
      </c>
      <c r="D22" s="1907">
        <v>1600.8</v>
      </c>
      <c r="E22" s="1906">
        <v>1640.82</v>
      </c>
      <c r="F22" s="1879">
        <f t="shared" ref="F22:F25" si="10">SUM(D22:E22)</f>
        <v>3241.62</v>
      </c>
      <c r="H22" s="2548" t="s">
        <v>1126</v>
      </c>
      <c r="I22" s="2551">
        <v>670</v>
      </c>
      <c r="J22" s="1932" t="s">
        <v>120</v>
      </c>
      <c r="K22" s="1922" t="s">
        <v>909</v>
      </c>
      <c r="L22" s="1929">
        <v>475</v>
      </c>
      <c r="M22" s="1929">
        <v>475</v>
      </c>
      <c r="N22" s="1923">
        <v>3.0415287300696786E-2</v>
      </c>
      <c r="O22" s="1922">
        <v>20</v>
      </c>
      <c r="P22" s="1925" t="s">
        <v>1069</v>
      </c>
      <c r="Q22" s="1928">
        <v>140</v>
      </c>
      <c r="R22" s="1928">
        <v>125</v>
      </c>
      <c r="S22" s="1931">
        <f t="shared" si="3"/>
        <v>265</v>
      </c>
      <c r="T22" s="1931">
        <f t="shared" si="4"/>
        <v>93800</v>
      </c>
      <c r="U22" s="1931">
        <f t="shared" si="5"/>
        <v>83750</v>
      </c>
      <c r="V22" s="1931">
        <f t="shared" si="6"/>
        <v>177550</v>
      </c>
      <c r="W22" s="1921">
        <f t="shared" si="7"/>
        <v>66500</v>
      </c>
      <c r="X22" s="1921">
        <f t="shared" si="8"/>
        <v>59375</v>
      </c>
      <c r="Y22" s="1921">
        <f t="shared" si="9"/>
        <v>125875</v>
      </c>
      <c r="Z22" s="2533">
        <v>0</v>
      </c>
    </row>
    <row r="23" spans="2:26">
      <c r="C23" s="1876" t="s">
        <v>1193</v>
      </c>
      <c r="D23" s="1900"/>
      <c r="E23" s="1899"/>
      <c r="F23" s="1879">
        <f t="shared" si="10"/>
        <v>0</v>
      </c>
      <c r="H23" s="2548" t="s">
        <v>1127</v>
      </c>
      <c r="I23" s="2551">
        <v>960</v>
      </c>
      <c r="J23" s="1932" t="s">
        <v>120</v>
      </c>
      <c r="K23" s="1922" t="s">
        <v>909</v>
      </c>
      <c r="L23" s="1929">
        <v>555</v>
      </c>
      <c r="M23" s="1929">
        <v>555</v>
      </c>
      <c r="N23" s="1923">
        <v>0.12745127429861114</v>
      </c>
      <c r="O23" s="1922">
        <v>20</v>
      </c>
      <c r="P23" s="1925" t="s">
        <v>1069</v>
      </c>
      <c r="Q23" s="1928">
        <v>400</v>
      </c>
      <c r="R23" s="1928">
        <v>375</v>
      </c>
      <c r="S23" s="1931">
        <f t="shared" si="3"/>
        <v>775</v>
      </c>
      <c r="T23" s="1931">
        <f t="shared" si="4"/>
        <v>384000</v>
      </c>
      <c r="U23" s="1931">
        <f t="shared" si="5"/>
        <v>360000</v>
      </c>
      <c r="V23" s="1931">
        <f t="shared" si="6"/>
        <v>744000</v>
      </c>
      <c r="W23" s="1921">
        <f t="shared" si="7"/>
        <v>222000</v>
      </c>
      <c r="X23" s="1921">
        <f t="shared" si="8"/>
        <v>208125</v>
      </c>
      <c r="Y23" s="1921">
        <f t="shared" si="9"/>
        <v>430125</v>
      </c>
      <c r="Z23" s="2533">
        <v>0</v>
      </c>
    </row>
    <row r="24" spans="2:26">
      <c r="C24" s="1876"/>
      <c r="D24" s="1898"/>
      <c r="E24" s="1897"/>
      <c r="F24" s="1879">
        <f t="shared" si="10"/>
        <v>0</v>
      </c>
      <c r="H24" s="2548" t="s">
        <v>1097</v>
      </c>
      <c r="I24" s="2551">
        <v>53</v>
      </c>
      <c r="J24" s="1932" t="s">
        <v>120</v>
      </c>
      <c r="K24" s="1922" t="s">
        <v>909</v>
      </c>
      <c r="L24" s="1929">
        <v>2</v>
      </c>
      <c r="M24" s="1929">
        <v>2</v>
      </c>
      <c r="N24" s="1923">
        <v>9.0791902390139657E-3</v>
      </c>
      <c r="O24" s="1922">
        <v>10</v>
      </c>
      <c r="P24" s="1925" t="s">
        <v>910</v>
      </c>
      <c r="Q24" s="1928">
        <v>500</v>
      </c>
      <c r="R24" s="1928">
        <v>500</v>
      </c>
      <c r="S24" s="1931">
        <f t="shared" si="3"/>
        <v>1000</v>
      </c>
      <c r="T24" s="1931">
        <f t="shared" si="4"/>
        <v>26500</v>
      </c>
      <c r="U24" s="1931">
        <f t="shared" si="5"/>
        <v>26500</v>
      </c>
      <c r="V24" s="1931">
        <f t="shared" si="6"/>
        <v>53000</v>
      </c>
      <c r="W24" s="1921">
        <f t="shared" si="7"/>
        <v>1000</v>
      </c>
      <c r="X24" s="1921">
        <f t="shared" si="8"/>
        <v>1000</v>
      </c>
      <c r="Y24" s="1921">
        <f t="shared" si="9"/>
        <v>2000</v>
      </c>
      <c r="Z24" s="2533">
        <v>2.36</v>
      </c>
    </row>
    <row r="25" spans="2:26">
      <c r="C25" s="1876"/>
      <c r="D25" s="1896"/>
      <c r="E25" s="1899"/>
      <c r="F25" s="1879">
        <f t="shared" si="10"/>
        <v>0</v>
      </c>
      <c r="H25" s="2548" t="s">
        <v>1098</v>
      </c>
      <c r="I25" s="2551">
        <v>31</v>
      </c>
      <c r="J25" s="1932" t="s">
        <v>120</v>
      </c>
      <c r="K25" s="1922" t="s">
        <v>909</v>
      </c>
      <c r="L25" s="1929">
        <v>2</v>
      </c>
      <c r="M25" s="1929">
        <v>2</v>
      </c>
      <c r="N25" s="1923">
        <v>4.2483758099537043E-3</v>
      </c>
      <c r="O25" s="1922">
        <v>10</v>
      </c>
      <c r="P25" s="1925" t="s">
        <v>910</v>
      </c>
      <c r="Q25" s="1928">
        <v>400</v>
      </c>
      <c r="R25" s="1928">
        <v>400</v>
      </c>
      <c r="S25" s="1931">
        <f t="shared" si="3"/>
        <v>800</v>
      </c>
      <c r="T25" s="1931">
        <f t="shared" si="4"/>
        <v>12400</v>
      </c>
      <c r="U25" s="1931">
        <f t="shared" si="5"/>
        <v>12400</v>
      </c>
      <c r="V25" s="1931">
        <f t="shared" si="6"/>
        <v>24800</v>
      </c>
      <c r="W25" s="1921">
        <f t="shared" si="7"/>
        <v>800</v>
      </c>
      <c r="X25" s="1921">
        <f t="shared" si="8"/>
        <v>800</v>
      </c>
      <c r="Y25" s="1921">
        <f t="shared" si="9"/>
        <v>1600</v>
      </c>
      <c r="Z25" s="2533">
        <v>2.36</v>
      </c>
    </row>
    <row r="26" spans="2:26">
      <c r="C26" s="1877"/>
      <c r="D26" s="1892"/>
      <c r="E26" s="1884"/>
      <c r="F26" s="1892"/>
      <c r="H26" s="2548" t="s">
        <v>1128</v>
      </c>
      <c r="I26" s="2551">
        <v>1.1299999999999999</v>
      </c>
      <c r="J26" s="1932" t="s">
        <v>120</v>
      </c>
      <c r="K26" s="1922" t="s">
        <v>1067</v>
      </c>
      <c r="L26" s="1929">
        <v>1</v>
      </c>
      <c r="M26" s="1929">
        <v>1</v>
      </c>
      <c r="N26" s="1923" t="s">
        <v>241</v>
      </c>
      <c r="O26" s="1922">
        <v>30</v>
      </c>
      <c r="P26" s="1925" t="s">
        <v>1069</v>
      </c>
      <c r="Q26" s="1928"/>
      <c r="R26" s="1928"/>
      <c r="S26" s="1931">
        <f t="shared" si="3"/>
        <v>0</v>
      </c>
      <c r="T26" s="1931">
        <f t="shared" si="4"/>
        <v>0</v>
      </c>
      <c r="U26" s="1931">
        <f t="shared" si="5"/>
        <v>0</v>
      </c>
      <c r="V26" s="1931">
        <f t="shared" si="6"/>
        <v>0</v>
      </c>
      <c r="W26" s="1921">
        <f t="shared" si="7"/>
        <v>0</v>
      </c>
      <c r="X26" s="1921">
        <f t="shared" si="8"/>
        <v>0</v>
      </c>
      <c r="Y26" s="1921">
        <f t="shared" si="9"/>
        <v>0</v>
      </c>
      <c r="Z26" s="2533">
        <v>0</v>
      </c>
    </row>
    <row r="27" spans="2:26" ht="15.75" customHeight="1">
      <c r="C27" s="1910" t="s">
        <v>48</v>
      </c>
      <c r="D27" s="2183">
        <f>SUM(D29:D32)</f>
        <v>27062.184330000004</v>
      </c>
      <c r="E27" s="2184">
        <f>SUM(E29:E32)</f>
        <v>28279.425200000001</v>
      </c>
      <c r="F27" s="2114">
        <f>D27+E27</f>
        <v>55341.609530000002</v>
      </c>
      <c r="H27" s="2552" t="s">
        <v>1090</v>
      </c>
      <c r="I27" s="2551">
        <v>260</v>
      </c>
      <c r="J27" s="1932" t="s">
        <v>120</v>
      </c>
      <c r="K27" s="1922" t="s">
        <v>909</v>
      </c>
      <c r="L27" s="1929">
        <v>42</v>
      </c>
      <c r="M27" s="1929">
        <v>42</v>
      </c>
      <c r="N27" s="1923" t="s">
        <v>241</v>
      </c>
      <c r="O27" s="1922">
        <v>5</v>
      </c>
      <c r="P27" s="1925" t="s">
        <v>952</v>
      </c>
      <c r="Q27" s="1928"/>
      <c r="R27" s="1928"/>
      <c r="S27" s="1931">
        <f>SUM(Q27:R27)</f>
        <v>0</v>
      </c>
      <c r="T27" s="1931">
        <f>Q27*I27</f>
        <v>0</v>
      </c>
      <c r="U27" s="1931">
        <f>R27*I27</f>
        <v>0</v>
      </c>
      <c r="V27" s="1931">
        <f>SUM(T27:U27)</f>
        <v>0</v>
      </c>
      <c r="W27" s="1921">
        <f>Q27*M27</f>
        <v>0</v>
      </c>
      <c r="X27" s="1921">
        <f>R27*M27</f>
        <v>0</v>
      </c>
      <c r="Y27" s="1921">
        <f>SUM(W27:X27)</f>
        <v>0</v>
      </c>
      <c r="Z27" s="2533">
        <v>0</v>
      </c>
    </row>
    <row r="28" spans="2:26">
      <c r="C28" s="1909" t="s">
        <v>315</v>
      </c>
      <c r="D28" s="1912">
        <v>0.66700000000000004</v>
      </c>
      <c r="E28" s="1913">
        <v>0.68</v>
      </c>
      <c r="F28" s="1949"/>
      <c r="H28" s="2548" t="s">
        <v>1692</v>
      </c>
      <c r="I28" s="2551">
        <v>7185</v>
      </c>
      <c r="J28" s="1932" t="s">
        <v>120</v>
      </c>
      <c r="K28" s="1922" t="s">
        <v>909</v>
      </c>
      <c r="L28" s="1929">
        <v>4958</v>
      </c>
      <c r="M28" s="1929">
        <v>2500</v>
      </c>
      <c r="N28" s="1923">
        <v>0.61541492327655989</v>
      </c>
      <c r="O28" s="1922">
        <v>15</v>
      </c>
      <c r="P28" s="1925" t="s">
        <v>1140</v>
      </c>
      <c r="Q28" s="1928">
        <v>250</v>
      </c>
      <c r="R28" s="1928">
        <v>250</v>
      </c>
      <c r="S28" s="1931">
        <f t="shared" si="3"/>
        <v>500</v>
      </c>
      <c r="T28" s="1931">
        <f t="shared" si="4"/>
        <v>1796250</v>
      </c>
      <c r="U28" s="1931">
        <f t="shared" si="5"/>
        <v>1796250</v>
      </c>
      <c r="V28" s="1931">
        <f t="shared" si="6"/>
        <v>3592500</v>
      </c>
      <c r="W28" s="1921">
        <f t="shared" si="7"/>
        <v>625000</v>
      </c>
      <c r="X28" s="1921">
        <f t="shared" si="8"/>
        <v>625000</v>
      </c>
      <c r="Y28" s="1921">
        <f t="shared" si="9"/>
        <v>1250000</v>
      </c>
      <c r="Z28" s="2533">
        <v>0</v>
      </c>
    </row>
    <row r="29" spans="2:26">
      <c r="C29" s="1876" t="s">
        <v>778</v>
      </c>
      <c r="D29" s="1971">
        <f>D15*D28</f>
        <v>25994.450730000004</v>
      </c>
      <c r="E29" s="1972">
        <f>E15*E28</f>
        <v>27163.667600000001</v>
      </c>
      <c r="F29" s="1879">
        <f t="shared" ref="F29:F32" si="11">SUM(D29:E29)</f>
        <v>53158.118330000005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533"/>
    </row>
    <row r="30" spans="2:26">
      <c r="C30" s="1876" t="s">
        <v>779</v>
      </c>
      <c r="D30" s="1973">
        <f>D21*D28</f>
        <v>1067.7336</v>
      </c>
      <c r="E30" s="1972">
        <f>E21*E28</f>
        <v>1115.7576000000001</v>
      </c>
      <c r="F30" s="1879">
        <f t="shared" si="11"/>
        <v>2183.4912000000004</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533"/>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533"/>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533"/>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533"/>
    </row>
    <row r="34" spans="1:26">
      <c r="A34" s="1854" t="s">
        <v>575</v>
      </c>
      <c r="C34" s="1910" t="s">
        <v>49</v>
      </c>
      <c r="D34" s="2183">
        <f>SUM(D35:D38)</f>
        <v>25000</v>
      </c>
      <c r="E34" s="2184">
        <f>SUM(E35:E38)</f>
        <v>25000</v>
      </c>
      <c r="F34" s="2114">
        <f>D34+E34</f>
        <v>50000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533"/>
    </row>
    <row r="35" spans="1:26">
      <c r="A35" s="2193" t="s">
        <v>576</v>
      </c>
      <c r="C35" s="1876" t="s">
        <v>1085</v>
      </c>
      <c r="D35" s="1971">
        <v>25000</v>
      </c>
      <c r="E35" s="1988">
        <v>25000</v>
      </c>
      <c r="F35" s="1879">
        <f t="shared" ref="F35:F38" si="12">SUM(D35:E35)</f>
        <v>50000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c r="A36" s="2193" t="s">
        <v>577</v>
      </c>
      <c r="C36" s="1876"/>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08" t="s">
        <v>291</v>
      </c>
      <c r="C37" s="1876"/>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4" t="s">
        <v>6</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4">
        <v>18230634</v>
      </c>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A40" s="1808" t="s">
        <v>5</v>
      </c>
      <c r="C40" s="2106" t="s">
        <v>506</v>
      </c>
      <c r="D40" s="2183">
        <f>SUM(D41:D44)</f>
        <v>402</v>
      </c>
      <c r="E40" s="2184">
        <f>SUM(E41:E44)</f>
        <v>402</v>
      </c>
      <c r="F40" s="2114">
        <f>D40+E40</f>
        <v>804</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1876" t="s">
        <v>1087</v>
      </c>
      <c r="D41" s="1971">
        <v>402</v>
      </c>
      <c r="E41" s="1988">
        <v>402</v>
      </c>
      <c r="F41" s="1879">
        <f t="shared" ref="F41:F44" si="13">SUM(D41:E41)</f>
        <v>804</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1876" t="s">
        <v>1146</v>
      </c>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1910" t="s">
        <v>50</v>
      </c>
      <c r="D46" s="2183">
        <f>SUM(D47:D50)</f>
        <v>125000</v>
      </c>
      <c r="E46" s="2184">
        <f>SUM(E47:E50)</f>
        <v>125000</v>
      </c>
      <c r="F46" s="2114">
        <f>D46+E46</f>
        <v>250000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1876" t="s">
        <v>1088</v>
      </c>
      <c r="D47" s="1971">
        <v>125000</v>
      </c>
      <c r="E47" s="1988">
        <v>125000</v>
      </c>
      <c r="F47" s="1879">
        <f t="shared" ref="F47:F50" si="14">SUM(D47:E47)</f>
        <v>250000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1876"/>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1:26">
      <c r="C49" s="1876"/>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1:26">
      <c r="C50" s="1876"/>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1:26">
      <c r="C52" s="1910" t="s">
        <v>51</v>
      </c>
      <c r="D52" s="2183">
        <f>SUM(D53:D56)</f>
        <v>525</v>
      </c>
      <c r="E52" s="2184">
        <f>SUM(E53:E56)</f>
        <v>525</v>
      </c>
      <c r="F52" s="2114">
        <f>D52+E52</f>
        <v>1050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1:26">
      <c r="C53" s="1876"/>
      <c r="D53" s="1971">
        <v>525</v>
      </c>
      <c r="E53" s="1972">
        <v>525</v>
      </c>
      <c r="F53" s="1879">
        <f t="shared" ref="F53:F56" si="15">SUM(D53:E53)</f>
        <v>1050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1:26">
      <c r="C58" s="1910" t="s">
        <v>52</v>
      </c>
      <c r="D58" s="2183">
        <f>SUM(D59:D62)</f>
        <v>600</v>
      </c>
      <c r="E58" s="2184">
        <f>SUM(E59:E62)</f>
        <v>600</v>
      </c>
      <c r="F58" s="2114">
        <f>D58+E58</f>
        <v>1200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1:26">
      <c r="C59" s="1876"/>
      <c r="D59" s="1971">
        <v>600</v>
      </c>
      <c r="E59" s="1988">
        <v>600</v>
      </c>
      <c r="F59" s="1879">
        <f t="shared" ref="F59:F62" si="16">SUM(D59:E59)</f>
        <v>1200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1:26">
      <c r="A64" s="1854" t="s">
        <v>578</v>
      </c>
      <c r="C64" s="1910" t="s">
        <v>53</v>
      </c>
      <c r="D64" s="1911">
        <f>W15</f>
        <v>1236875</v>
      </c>
      <c r="E64" s="1926">
        <f>X15</f>
        <v>1170500</v>
      </c>
      <c r="F64" s="1924">
        <f>D64+E64</f>
        <v>2407375</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A65" s="2193" t="s">
        <v>579</v>
      </c>
      <c r="C65" s="1967" t="s">
        <v>313</v>
      </c>
      <c r="D65" s="2615">
        <f>D64/D12</f>
        <v>0.84948037165957102</v>
      </c>
      <c r="E65" s="2616">
        <f>E64/E12</f>
        <v>0.84094058556601303</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2193" t="s">
        <v>577</v>
      </c>
      <c r="C66" s="1968"/>
      <c r="D66" s="1963"/>
      <c r="E66" s="1964"/>
      <c r="F66" s="1965"/>
    </row>
    <row r="67" spans="1:26">
      <c r="A67" s="1808" t="s">
        <v>291</v>
      </c>
      <c r="C67" s="1959" t="s">
        <v>54</v>
      </c>
      <c r="D67" s="1971">
        <v>0</v>
      </c>
      <c r="E67" s="1971">
        <v>0</v>
      </c>
      <c r="F67" s="1956">
        <v>0</v>
      </c>
    </row>
    <row r="68" spans="1:26">
      <c r="A68" s="1854" t="s">
        <v>6</v>
      </c>
    </row>
    <row r="69" spans="1:26">
      <c r="A69" s="1854">
        <v>18230634</v>
      </c>
    </row>
    <row r="70" spans="1:26">
      <c r="A70" s="1808" t="s">
        <v>5</v>
      </c>
    </row>
  </sheetData>
  <customSheetViews>
    <customSheetView guid="{074EB09C-6289-46D7-9513-012B68BCA7BF}" showGridLines="0">
      <pane xSplit="1" ySplit="1" topLeftCell="G2" activePane="bottomRight" state="frozen"/>
      <selection pane="bottomRight"/>
      <pageMargins left="0.22" right="0.21" top="0.36" bottom="0.39" header="0.3" footer="0.3"/>
      <pageSetup paperSize="3" scale="42" orientation="landscape" r:id="rId1"/>
    </customSheetView>
    <customSheetView guid="{D9EFFE19-D14B-4C6F-BDF4-FF696F73968D}" showGridLines="0">
      <pane xSplit="1" ySplit="1" topLeftCell="B5" activePane="bottomRight" state="frozen"/>
      <selection pane="bottomRight" activeCell="Z27" sqref="Z27:Z28"/>
      <pageMargins left="0.22" right="0.21" top="0.36" bottom="0.39" header="0.3" footer="0.3"/>
      <pageSetup paperSize="3" scale="42" orientation="landscape" r:id="rId2"/>
    </customSheetView>
  </customSheetViews>
  <mergeCells count="8">
    <mergeCell ref="R2:S2"/>
    <mergeCell ref="T2:V2"/>
    <mergeCell ref="W2:W3"/>
    <mergeCell ref="H10:P10"/>
    <mergeCell ref="H12:P12"/>
    <mergeCell ref="Q12:S12"/>
    <mergeCell ref="T12:V12"/>
    <mergeCell ref="W12:Y12"/>
  </mergeCells>
  <pageMargins left="0.22" right="0.21" top="0.36" bottom="0.39" header="0.3" footer="0.3"/>
  <pageSetup paperSize="3" scale="42" orientation="landscape" r:id="rId3"/>
  <ignoredErrors>
    <ignoredError sqref="Q7" formulaRange="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Z68"/>
  <sheetViews>
    <sheetView showGridLines="0" workbookViewId="0">
      <pane xSplit="1" ySplit="1" topLeftCell="B2" activePane="bottomRight" state="frozen"/>
      <selection pane="topRight" activeCell="B1" sqref="B1"/>
      <selection pane="bottomLeft" activeCell="A2" sqref="A2"/>
      <selection pane="bottomRight" activeCell="F29" sqref="F29"/>
    </sheetView>
  </sheetViews>
  <sheetFormatPr defaultRowHeight="12.75"/>
  <cols>
    <col min="1" max="1" width="15" customWidth="1"/>
    <col min="2" max="2" width="16.85546875" style="1866" customWidth="1"/>
    <col min="3" max="3" width="28" customWidth="1"/>
    <col min="4" max="5" width="15.85546875" customWidth="1"/>
    <col min="6" max="6" width="14.85546875" customWidth="1"/>
    <col min="7" max="7" width="21.42578125" customWidth="1"/>
    <col min="8" max="23" width="14.7109375" customWidth="1"/>
  </cols>
  <sheetData>
    <row r="1" spans="1:26" ht="42" customHeight="1" thickBot="1">
      <c r="C1" s="1857" t="s">
        <v>301</v>
      </c>
      <c r="D1" s="1812" t="s">
        <v>291</v>
      </c>
      <c r="E1" s="1853" t="s">
        <v>6</v>
      </c>
      <c r="F1" s="1853">
        <v>18230501</v>
      </c>
      <c r="G1" s="1812" t="s">
        <v>5</v>
      </c>
      <c r="J1" s="1812"/>
      <c r="K1" s="1812"/>
      <c r="L1" s="1812"/>
      <c r="M1" s="1857" t="s">
        <v>301</v>
      </c>
      <c r="N1" s="1812" t="s">
        <v>291</v>
      </c>
      <c r="O1" s="1853" t="s">
        <v>6</v>
      </c>
      <c r="P1" s="1853">
        <v>18230501</v>
      </c>
      <c r="Q1" s="1812" t="s">
        <v>5</v>
      </c>
      <c r="R1" s="1514"/>
      <c r="S1" s="1514"/>
      <c r="T1" s="1514"/>
      <c r="U1" s="1514"/>
      <c r="V1" s="1857" t="s">
        <v>301</v>
      </c>
      <c r="W1" s="1812" t="s">
        <v>291</v>
      </c>
      <c r="X1" s="1853" t="s">
        <v>6</v>
      </c>
      <c r="Y1" s="1853">
        <v>18230501</v>
      </c>
      <c r="Z1" s="1812" t="s">
        <v>5</v>
      </c>
    </row>
    <row r="2" spans="1:26" ht="16.5" thickBot="1">
      <c r="C2" s="1522"/>
      <c r="D2" s="1514"/>
      <c r="E2" s="1514"/>
      <c r="F2" s="1514"/>
      <c r="G2" s="1866"/>
      <c r="H2" s="1576"/>
      <c r="I2" s="1866"/>
      <c r="J2" s="1866"/>
      <c r="K2" s="1866"/>
      <c r="L2" s="1866"/>
      <c r="M2" s="1866"/>
      <c r="N2" s="1866"/>
      <c r="O2" s="1866"/>
      <c r="P2" s="1866"/>
      <c r="Q2" s="1866"/>
      <c r="R2" s="1847"/>
      <c r="S2" s="1847"/>
      <c r="T2" s="1845" t="s">
        <v>36</v>
      </c>
      <c r="U2" s="1848"/>
      <c r="V2" s="1849"/>
      <c r="W2" s="1850" t="s">
        <v>37</v>
      </c>
      <c r="X2" s="1514"/>
      <c r="Y2" s="1514"/>
    </row>
    <row r="3" spans="1:26" ht="27" thickBot="1">
      <c r="A3" s="1856" t="s">
        <v>301</v>
      </c>
      <c r="B3" s="1856"/>
      <c r="C3" s="1515"/>
      <c r="D3" s="1516"/>
      <c r="E3" s="1514"/>
      <c r="F3" s="1514"/>
      <c r="G3" s="1866"/>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28" t="s">
        <v>42</v>
      </c>
      <c r="W3" s="1846"/>
      <c r="X3" s="1514"/>
      <c r="Y3" s="1514"/>
    </row>
    <row r="4" spans="1:26" ht="16.5" thickBot="1">
      <c r="A4" s="1808" t="s">
        <v>291</v>
      </c>
      <c r="B4" s="1808"/>
      <c r="E4" s="1514"/>
      <c r="F4" s="1514"/>
      <c r="G4" s="1804"/>
      <c r="H4" s="2003">
        <v>0</v>
      </c>
      <c r="I4" s="2002">
        <v>0</v>
      </c>
      <c r="J4" s="2002">
        <v>27</v>
      </c>
      <c r="K4" s="2002">
        <v>0</v>
      </c>
      <c r="L4" s="2002">
        <v>0</v>
      </c>
      <c r="M4" s="2002">
        <v>0</v>
      </c>
      <c r="N4" s="2002">
        <v>0</v>
      </c>
      <c r="O4" s="2002">
        <v>0</v>
      </c>
      <c r="P4" s="2002">
        <v>741140.27802919003</v>
      </c>
      <c r="Q4" s="2002">
        <v>0</v>
      </c>
      <c r="R4" s="2000">
        <v>741167.27802919003</v>
      </c>
      <c r="S4" s="1998">
        <v>2845321.04</v>
      </c>
      <c r="T4" s="1532" t="e">
        <v>#DIV/0!</v>
      </c>
      <c r="U4" s="1532" t="e">
        <v>#DIV/0!</v>
      </c>
      <c r="V4" s="1532" t="e">
        <v>#DIV/0!</v>
      </c>
      <c r="W4" s="1520" t="e">
        <v>#DIV/0!</v>
      </c>
      <c r="X4" s="1517" t="s">
        <v>7</v>
      </c>
      <c r="Y4" s="1518" t="s">
        <v>7</v>
      </c>
    </row>
    <row r="5" spans="1:26" ht="16.5" thickBot="1">
      <c r="A5" s="1852" t="s">
        <v>6</v>
      </c>
      <c r="B5" s="1852"/>
      <c r="C5" s="1516"/>
      <c r="E5" s="1514"/>
      <c r="F5" s="1514"/>
      <c r="G5" s="1592"/>
      <c r="H5" s="1582">
        <v>0</v>
      </c>
      <c r="I5" s="1549">
        <v>0</v>
      </c>
      <c r="J5" s="1549">
        <v>0</v>
      </c>
      <c r="K5" s="1549">
        <v>0</v>
      </c>
      <c r="L5" s="1549">
        <v>0</v>
      </c>
      <c r="M5" s="1549">
        <v>0</v>
      </c>
      <c r="N5" s="1549">
        <v>0</v>
      </c>
      <c r="O5" s="1549">
        <v>0</v>
      </c>
      <c r="P5" s="1549">
        <v>0</v>
      </c>
      <c r="Q5" s="1549">
        <v>0</v>
      </c>
      <c r="R5" s="2001">
        <v>0</v>
      </c>
      <c r="S5" s="1999">
        <f>T15</f>
        <v>0</v>
      </c>
      <c r="T5" s="1533" t="e">
        <v>#DIV/0!</v>
      </c>
      <c r="U5" s="1533" t="e">
        <v>#DIV/0!</v>
      </c>
      <c r="V5" s="1533" t="e">
        <v>#DIV/0!</v>
      </c>
      <c r="W5" s="1521" t="e">
        <v>#DIV/0!</v>
      </c>
      <c r="X5" s="1514"/>
      <c r="Y5" s="1514"/>
    </row>
    <row r="6" spans="1:26" ht="16.5" thickBot="1">
      <c r="A6" s="1852">
        <v>18230501</v>
      </c>
      <c r="B6" s="1852"/>
      <c r="C6" s="1515"/>
      <c r="D6" s="1515"/>
      <c r="E6" s="1514"/>
      <c r="F6" s="1514"/>
      <c r="G6" s="1608"/>
      <c r="H6" s="57"/>
      <c r="I6" s="1990"/>
      <c r="J6" s="1989"/>
      <c r="K6" s="58"/>
      <c r="L6" s="58"/>
      <c r="M6" s="58"/>
      <c r="N6" s="58"/>
      <c r="O6" s="58"/>
      <c r="P6" s="58"/>
      <c r="Q6" s="58"/>
      <c r="R6" s="1997"/>
      <c r="S6" s="1996">
        <f>U15</f>
        <v>0</v>
      </c>
      <c r="T6" s="1533"/>
      <c r="U6" s="1533"/>
      <c r="V6" s="1533"/>
      <c r="W6" s="1521"/>
      <c r="X6" s="1514"/>
      <c r="Y6" s="1514"/>
    </row>
    <row r="7" spans="1:26" ht="16.5" thickBot="1">
      <c r="A7" s="1808" t="s">
        <v>5</v>
      </c>
      <c r="B7" s="1808"/>
      <c r="C7" s="1592"/>
      <c r="D7" s="1592"/>
      <c r="E7" s="1866"/>
      <c r="F7" s="1866"/>
      <c r="G7" s="1608" t="s">
        <v>23</v>
      </c>
      <c r="H7" s="1564">
        <v>0</v>
      </c>
      <c r="I7" s="1991">
        <v>0</v>
      </c>
      <c r="J7" s="1992">
        <v>0</v>
      </c>
      <c r="K7" s="1993">
        <v>0</v>
      </c>
      <c r="L7" s="1991">
        <v>0</v>
      </c>
      <c r="M7" s="1992">
        <v>0</v>
      </c>
      <c r="N7" s="1991">
        <v>0</v>
      </c>
      <c r="O7" s="1992">
        <v>0</v>
      </c>
      <c r="P7" s="1993">
        <v>741140.27802919003</v>
      </c>
      <c r="Q7" s="1991">
        <v>0</v>
      </c>
      <c r="R7" s="1993">
        <v>741167.27802919003</v>
      </c>
      <c r="S7" s="1994">
        <v>2845321.04</v>
      </c>
      <c r="T7" s="1519">
        <v>0.9999635709767547</v>
      </c>
      <c r="U7" s="1519">
        <v>0</v>
      </c>
      <c r="V7" s="1519">
        <v>0</v>
      </c>
      <c r="W7" s="1521">
        <v>0.2604863449887504</v>
      </c>
      <c r="X7" s="1514"/>
      <c r="Y7" s="1514"/>
    </row>
    <row r="8" spans="1:26" ht="15.75">
      <c r="B8" s="1808"/>
      <c r="C8" s="1592"/>
      <c r="D8" s="1592"/>
      <c r="E8" s="1866"/>
      <c r="F8" s="1866"/>
      <c r="X8" s="1514"/>
      <c r="Y8" s="1514"/>
    </row>
    <row r="9" spans="1:26" ht="15.75">
      <c r="A9" s="1808"/>
      <c r="B9" s="1808"/>
      <c r="C9" s="1592"/>
      <c r="D9" s="1592"/>
      <c r="E9" s="1866"/>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9"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c r="E14" s="1970"/>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v>0</v>
      </c>
      <c r="E15" s="1926">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row>
    <row r="16" spans="1:26">
      <c r="B16" s="1885"/>
      <c r="C16" s="1876"/>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row>
    <row r="17" spans="2:26">
      <c r="B17" s="1885"/>
      <c r="C17" s="1876"/>
      <c r="D17" s="1905"/>
      <c r="E17" s="1904"/>
      <c r="F17" s="1879">
        <f t="shared" ref="F17:F19" si="0">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row>
    <row r="18" spans="2:26">
      <c r="B18" s="1885"/>
      <c r="C18" s="1876"/>
      <c r="D18" s="1905"/>
      <c r="E18" s="1904"/>
      <c r="F18" s="1879">
        <f t="shared" si="0"/>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row>
    <row r="19" spans="2:26">
      <c r="B19" s="1885"/>
      <c r="C19" s="1876"/>
      <c r="D19" s="1903"/>
      <c r="E19" s="1902"/>
      <c r="F19" s="1879">
        <f t="shared" si="0"/>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row>
    <row r="20" spans="2:26">
      <c r="B20" s="1908"/>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row>
    <row r="21" spans="2:26">
      <c r="C21" s="1910" t="s">
        <v>47</v>
      </c>
      <c r="D21" s="1911">
        <v>0</v>
      </c>
      <c r="E21" s="1926">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row>
    <row r="22" spans="2:26">
      <c r="C22" s="1876"/>
      <c r="D22" s="1907"/>
      <c r="E22" s="1906"/>
      <c r="F22" s="1879">
        <f t="shared" ref="F22:F25" si="1">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v>0</v>
      </c>
      <c r="E27" s="1926">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c r="E28" s="1913"/>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2">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2"/>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2"/>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2"/>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6" t="s">
        <v>301</v>
      </c>
      <c r="C34" s="1910" t="s">
        <v>49</v>
      </c>
      <c r="D34" s="1911">
        <v>0</v>
      </c>
      <c r="E34" s="1926">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c r="D35" s="1971"/>
      <c r="E35" s="1988"/>
      <c r="F35" s="1879">
        <f t="shared" ref="F35:F38" si="3">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3"/>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18230501</v>
      </c>
      <c r="C37" s="1876"/>
      <c r="D37" s="1971"/>
      <c r="E37" s="1988"/>
      <c r="F37" s="1879">
        <f t="shared" si="3"/>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3"/>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v>0</v>
      </c>
      <c r="E40" s="1926">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4">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4"/>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4"/>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4"/>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v>0</v>
      </c>
      <c r="E46" s="1926">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5">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5"/>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5"/>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5"/>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v>0</v>
      </c>
      <c r="E52" s="1926">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6">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6"/>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6"/>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6"/>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v>0</v>
      </c>
      <c r="E58" s="1926">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7">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7"/>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7"/>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7"/>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6" t="s">
        <v>301</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18230501</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F29" sqref="F29"/>
      <pageMargins left="0.7" right="0.7" top="0.75" bottom="0.75" header="0.3" footer="0.3"/>
    </customSheetView>
    <customSheetView guid="{D9EFFE19-D14B-4C6F-BDF4-FF696F73968D}" showGridLines="0">
      <pane xSplit="1" ySplit="1" topLeftCell="B2" activePane="bottomRight" state="frozen"/>
      <selection pane="bottomRight" activeCell="F29" sqref="F29"/>
      <pageMargins left="0.7" right="0.7" top="0.75" bottom="0.75" header="0.3" footer="0.3"/>
    </customSheetView>
  </customSheetViews>
  <mergeCells count="5">
    <mergeCell ref="H12:P12"/>
    <mergeCell ref="Q12:S12"/>
    <mergeCell ref="T12:V12"/>
    <mergeCell ref="W12:Y12"/>
    <mergeCell ref="H10:P1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8DB4E3"/>
  </sheetPr>
  <dimension ref="A1:Z68"/>
  <sheetViews>
    <sheetView showGridLines="0" workbookViewId="0">
      <pane xSplit="1" ySplit="1" topLeftCell="L2" activePane="bottomRight" state="frozen"/>
      <selection pane="topRight" activeCell="B1" sqref="B1"/>
      <selection pane="bottomLeft" activeCell="A2" sqref="A2"/>
      <selection pane="bottomRight"/>
    </sheetView>
  </sheetViews>
  <sheetFormatPr defaultRowHeight="12.75"/>
  <cols>
    <col min="1" max="1" width="18.140625" customWidth="1"/>
    <col min="2" max="2" width="15.7109375" style="1866" customWidth="1"/>
    <col min="3" max="3" width="28.140625" customWidth="1"/>
    <col min="4" max="4" width="18.85546875" customWidth="1"/>
    <col min="5" max="7" width="17.7109375" customWidth="1"/>
    <col min="8" max="8" width="46.85546875" customWidth="1"/>
    <col min="9" max="24" width="17.85546875" customWidth="1"/>
    <col min="25" max="25" width="16.28515625" customWidth="1"/>
    <col min="26" max="26" width="15.42578125" customWidth="1"/>
  </cols>
  <sheetData>
    <row r="1" spans="1:26" ht="51" customHeight="1" thickBot="1">
      <c r="C1" s="1853" t="s">
        <v>192</v>
      </c>
      <c r="D1" s="1812" t="s">
        <v>291</v>
      </c>
      <c r="E1" s="1853" t="s">
        <v>6</v>
      </c>
      <c r="F1" s="1855">
        <v>18230461</v>
      </c>
      <c r="G1" s="1812" t="s">
        <v>5</v>
      </c>
      <c r="J1" s="1812"/>
      <c r="K1" s="1812"/>
      <c r="L1" s="1812"/>
      <c r="M1" s="1853" t="s">
        <v>192</v>
      </c>
      <c r="N1" s="1812" t="s">
        <v>291</v>
      </c>
      <c r="O1" s="1853" t="s">
        <v>6</v>
      </c>
      <c r="P1" s="1855">
        <v>18230461</v>
      </c>
      <c r="Q1" s="1812" t="s">
        <v>5</v>
      </c>
      <c r="R1" s="1523"/>
      <c r="S1" s="1523"/>
      <c r="T1" s="1523"/>
      <c r="U1" s="1523"/>
      <c r="V1" s="1853" t="s">
        <v>192</v>
      </c>
      <c r="W1" s="1812" t="s">
        <v>291</v>
      </c>
      <c r="X1" s="1853" t="s">
        <v>6</v>
      </c>
      <c r="Y1" s="1855">
        <v>18230461</v>
      </c>
      <c r="Z1" s="1812" t="s">
        <v>5</v>
      </c>
    </row>
    <row r="2" spans="1:26" ht="16.5" thickBot="1">
      <c r="C2" s="1525"/>
      <c r="D2" s="1534"/>
      <c r="E2" s="1535"/>
      <c r="F2" s="1523"/>
      <c r="G2" s="1523"/>
      <c r="H2" s="1576" t="s">
        <v>674</v>
      </c>
      <c r="I2" s="1523"/>
      <c r="J2" s="1523"/>
      <c r="K2" s="1523"/>
      <c r="L2" s="1523"/>
      <c r="M2" s="1523"/>
      <c r="N2" s="1523"/>
      <c r="O2" s="1523"/>
      <c r="P2" s="1523"/>
      <c r="Q2" s="1523"/>
      <c r="R2" s="3606"/>
      <c r="S2" s="3606"/>
      <c r="T2" s="3597" t="s">
        <v>36</v>
      </c>
      <c r="U2" s="3607"/>
      <c r="V2" s="3608"/>
      <c r="W2" s="3609" t="s">
        <v>37</v>
      </c>
    </row>
    <row r="3" spans="1:26" ht="26.25" thickBot="1">
      <c r="A3" s="1852" t="s">
        <v>192</v>
      </c>
      <c r="B3" s="1852"/>
      <c r="E3" s="1535"/>
      <c r="F3" s="1523"/>
      <c r="G3" s="1523"/>
      <c r="H3" s="1577" t="s">
        <v>8</v>
      </c>
      <c r="I3" s="1538" t="s">
        <v>9</v>
      </c>
      <c r="J3" s="1538" t="s">
        <v>10</v>
      </c>
      <c r="K3" s="1538" t="s">
        <v>11</v>
      </c>
      <c r="L3" s="2037" t="s">
        <v>504</v>
      </c>
      <c r="M3" s="1538" t="s">
        <v>12</v>
      </c>
      <c r="N3" s="1538" t="s">
        <v>13</v>
      </c>
      <c r="O3" s="1538" t="s">
        <v>14</v>
      </c>
      <c r="P3" s="1538" t="s">
        <v>38</v>
      </c>
      <c r="Q3" s="1538" t="s">
        <v>39</v>
      </c>
      <c r="R3" s="1578" t="s">
        <v>16</v>
      </c>
      <c r="S3" s="1995" t="s">
        <v>40</v>
      </c>
      <c r="T3" s="1527" t="s">
        <v>41</v>
      </c>
      <c r="U3" s="1527" t="s">
        <v>11</v>
      </c>
      <c r="V3" s="1528" t="s">
        <v>42</v>
      </c>
      <c r="W3" s="3610"/>
    </row>
    <row r="4" spans="1:26" ht="16.5" thickBot="1">
      <c r="A4" s="1808" t="s">
        <v>291</v>
      </c>
      <c r="B4" s="1808"/>
      <c r="C4" s="1526"/>
      <c r="E4" s="1523"/>
      <c r="F4" s="1523"/>
      <c r="G4" s="1704" t="s">
        <v>668</v>
      </c>
      <c r="H4" s="2003">
        <v>5250</v>
      </c>
      <c r="I4" s="2002">
        <v>750</v>
      </c>
      <c r="J4" s="2002">
        <v>4242</v>
      </c>
      <c r="K4" s="2002">
        <v>0</v>
      </c>
      <c r="L4" s="2002">
        <v>500</v>
      </c>
      <c r="M4" s="2002">
        <v>75474</v>
      </c>
      <c r="N4" s="2002">
        <v>250</v>
      </c>
      <c r="O4" s="2002">
        <v>100</v>
      </c>
      <c r="P4" s="2002">
        <v>65660</v>
      </c>
      <c r="Q4" s="2002">
        <v>0</v>
      </c>
      <c r="R4" s="2000">
        <v>152226</v>
      </c>
      <c r="S4" s="1998" t="s">
        <v>678</v>
      </c>
      <c r="T4" s="1532">
        <v>0.42677129214552645</v>
      </c>
      <c r="U4" s="1532">
        <v>1.2924323859146776E-2</v>
      </c>
      <c r="V4" s="1532">
        <v>0.52208948451349935</v>
      </c>
      <c r="W4" s="1529" t="e">
        <v>#DIV/0!</v>
      </c>
    </row>
    <row r="5" spans="1:26" ht="16.5" thickBot="1">
      <c r="A5" s="1852" t="s">
        <v>6</v>
      </c>
      <c r="B5" s="1852"/>
      <c r="C5" s="1525"/>
      <c r="D5" s="1525"/>
      <c r="E5" s="1523"/>
      <c r="F5" s="1523"/>
      <c r="G5" s="1525">
        <v>2016</v>
      </c>
      <c r="H5" s="1582">
        <f>D15</f>
        <v>7412.75</v>
      </c>
      <c r="I5" s="1549">
        <f>D21</f>
        <v>0</v>
      </c>
      <c r="J5" s="1549">
        <f>D27</f>
        <v>4944.3042500000001</v>
      </c>
      <c r="K5" s="1549">
        <f>D34</f>
        <v>15381.33</v>
      </c>
      <c r="L5" s="1549">
        <f>D40</f>
        <v>500</v>
      </c>
      <c r="M5" s="1549">
        <f>D46</f>
        <v>100250</v>
      </c>
      <c r="N5" s="1549">
        <f>D52</f>
        <v>250</v>
      </c>
      <c r="O5" s="1549">
        <f>D58</f>
        <v>250</v>
      </c>
      <c r="P5" s="1549">
        <f>D64</f>
        <v>100232.37</v>
      </c>
      <c r="Q5" s="1549">
        <v>0</v>
      </c>
      <c r="R5" s="2001">
        <f>SUM(H5:Q5)</f>
        <v>229220.75425</v>
      </c>
      <c r="S5" s="1999">
        <f>T15</f>
        <v>5722290</v>
      </c>
      <c r="T5" s="1533">
        <v>0.40344390038584205</v>
      </c>
      <c r="U5" s="1533">
        <v>4.5519564215612825E-2</v>
      </c>
      <c r="V5" s="1533">
        <v>0.40344390038584205</v>
      </c>
      <c r="W5" s="1530">
        <v>3.9077962885763907E-2</v>
      </c>
    </row>
    <row r="6" spans="1:26" ht="16.5" thickBot="1">
      <c r="A6" s="1854">
        <v>18230461</v>
      </c>
      <c r="B6" s="1854"/>
      <c r="C6" s="1525"/>
      <c r="D6" s="1523"/>
      <c r="E6" s="1524"/>
      <c r="F6" s="1523"/>
      <c r="G6" s="1531">
        <v>2017</v>
      </c>
      <c r="H6" s="57">
        <f>E15</f>
        <v>0</v>
      </c>
      <c r="I6" s="1990">
        <f>E21</f>
        <v>0</v>
      </c>
      <c r="J6" s="1989">
        <f>E27</f>
        <v>0</v>
      </c>
      <c r="K6" s="58">
        <f>E34</f>
        <v>0</v>
      </c>
      <c r="L6" s="58">
        <f>E40</f>
        <v>0</v>
      </c>
      <c r="M6" s="58">
        <f>E46</f>
        <v>0</v>
      </c>
      <c r="N6" s="58">
        <f>E52</f>
        <v>0</v>
      </c>
      <c r="O6" s="58">
        <f>E58</f>
        <v>0</v>
      </c>
      <c r="P6" s="58">
        <f>E64</f>
        <v>0</v>
      </c>
      <c r="Q6" s="58">
        <v>0</v>
      </c>
      <c r="R6" s="1997">
        <f>SUM(H6:Q6)</f>
        <v>0</v>
      </c>
      <c r="S6" s="1996">
        <f>U15</f>
        <v>0</v>
      </c>
      <c r="T6" s="1533">
        <v>0</v>
      </c>
      <c r="U6" s="1533">
        <v>4.6399307994208147E-2</v>
      </c>
      <c r="V6" s="1533">
        <v>0.80242174996178495</v>
      </c>
      <c r="W6" s="1530">
        <v>3.929545969190542E-2</v>
      </c>
    </row>
    <row r="7" spans="1:26" ht="16.5" thickBot="1">
      <c r="A7" s="1808" t="s">
        <v>5</v>
      </c>
      <c r="B7" s="1808"/>
      <c r="C7" s="1592"/>
      <c r="D7" s="1866"/>
      <c r="E7" s="1867"/>
      <c r="F7" s="1866"/>
      <c r="G7" s="1608" t="s">
        <v>23</v>
      </c>
      <c r="H7" s="1564">
        <f>SUM(H5:H6)</f>
        <v>7412.75</v>
      </c>
      <c r="I7" s="1991">
        <f>SUM(I5:I6)</f>
        <v>0</v>
      </c>
      <c r="J7" s="1991">
        <f t="shared" ref="J7:Q7" si="0">SUM(J5:J6)</f>
        <v>4944.3042500000001</v>
      </c>
      <c r="K7" s="1991">
        <f t="shared" si="0"/>
        <v>15381.33</v>
      </c>
      <c r="L7" s="1991">
        <f t="shared" si="0"/>
        <v>500</v>
      </c>
      <c r="M7" s="1991">
        <f t="shared" si="0"/>
        <v>100250</v>
      </c>
      <c r="N7" s="1991">
        <f t="shared" si="0"/>
        <v>250</v>
      </c>
      <c r="O7" s="1991">
        <f t="shared" si="0"/>
        <v>250</v>
      </c>
      <c r="P7" s="1991">
        <f t="shared" si="0"/>
        <v>100232.37</v>
      </c>
      <c r="Q7" s="1991">
        <f t="shared" si="0"/>
        <v>0</v>
      </c>
      <c r="R7" s="1991">
        <f>SUM(R5:R6)</f>
        <v>229220.75425</v>
      </c>
      <c r="S7" s="1994">
        <f>SUM(S5:S6)</f>
        <v>5722290</v>
      </c>
      <c r="T7" s="1533">
        <v>0.40045031136684367</v>
      </c>
      <c r="U7" s="1533">
        <v>4.5746577632149239E-2</v>
      </c>
      <c r="V7" s="1533">
        <v>0.40045031136684367</v>
      </c>
      <c r="W7" s="1530">
        <v>3.9370092414095031E-2</v>
      </c>
    </row>
    <row r="8" spans="1:26" ht="15.75">
      <c r="B8" s="1808"/>
      <c r="C8" s="1592"/>
      <c r="D8" s="1866"/>
      <c r="E8" s="1867"/>
      <c r="F8" s="1866"/>
    </row>
    <row r="9" spans="1:26" ht="15.75">
      <c r="A9" s="1808"/>
      <c r="B9" s="1808"/>
      <c r="C9" s="1592"/>
      <c r="D9" s="1866"/>
      <c r="E9" s="1867"/>
      <c r="F9" s="1866"/>
      <c r="H9" s="1523"/>
      <c r="I9" s="1523"/>
      <c r="J9" s="1523"/>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2114">
        <f>D15+D21+D27+D34+D40+D46+D52+D58+D64</f>
        <v>229220.75425</v>
      </c>
      <c r="E12" s="2532">
        <f>E15+E21+E27+E34+E40+E46+E52+E58+E64</f>
        <v>0</v>
      </c>
      <c r="F12" s="1924">
        <f>D12+E12</f>
        <v>229220.75425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29"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2183">
        <f>SUM(D16:D19)</f>
        <v>7412.75</v>
      </c>
      <c r="E15" s="2184">
        <f>SUM(E16:E19)</f>
        <v>0</v>
      </c>
      <c r="F15" s="2114">
        <f>D15+E15</f>
        <v>7412.75</v>
      </c>
      <c r="H15" s="1938" t="s">
        <v>327</v>
      </c>
      <c r="I15" s="1939"/>
      <c r="J15" s="1939"/>
      <c r="K15" s="1940"/>
      <c r="L15" s="1941">
        <f>SUMPRODUCT(L16:L23,S16:S23)</f>
        <v>100232.37</v>
      </c>
      <c r="M15" s="1941">
        <f>SUM(M16:M23)</f>
        <v>5.43</v>
      </c>
      <c r="N15" s="1942"/>
      <c r="O15" s="1940">
        <v>2</v>
      </c>
      <c r="P15" s="1940"/>
      <c r="Q15" s="1940"/>
      <c r="R15" s="1940"/>
      <c r="S15" s="1940"/>
      <c r="T15" s="1943">
        <f t="shared" ref="T15:Y15" si="1">SUM(T16:T65)</f>
        <v>5722290</v>
      </c>
      <c r="U15" s="1943">
        <f t="shared" si="1"/>
        <v>0</v>
      </c>
      <c r="V15" s="1943">
        <f t="shared" si="1"/>
        <v>5722290</v>
      </c>
      <c r="W15" s="1941">
        <f t="shared" si="1"/>
        <v>100232.37</v>
      </c>
      <c r="X15" s="1941">
        <f t="shared" si="1"/>
        <v>0</v>
      </c>
      <c r="Y15" s="1941">
        <f t="shared" si="1"/>
        <v>100232.37</v>
      </c>
      <c r="Z15" s="1945">
        <v>0</v>
      </c>
    </row>
    <row r="16" spans="1:26">
      <c r="B16" s="1885">
        <v>0.08</v>
      </c>
      <c r="C16" s="1876" t="s">
        <v>792</v>
      </c>
      <c r="D16" s="1907">
        <v>7412.75</v>
      </c>
      <c r="E16" s="1906">
        <v>0</v>
      </c>
      <c r="F16" s="1879">
        <f>SUM(D16:E16)</f>
        <v>7412.75</v>
      </c>
      <c r="H16" s="2560" t="s">
        <v>1075</v>
      </c>
      <c r="I16" s="2611">
        <v>310</v>
      </c>
      <c r="J16" s="1932" t="s">
        <v>120</v>
      </c>
      <c r="K16" s="1922" t="s">
        <v>966</v>
      </c>
      <c r="L16" s="1929">
        <v>5.43</v>
      </c>
      <c r="M16" s="1929">
        <v>5.43</v>
      </c>
      <c r="N16" s="1923">
        <v>1</v>
      </c>
      <c r="O16" s="1922">
        <v>2</v>
      </c>
      <c r="P16" s="1925" t="s">
        <v>954</v>
      </c>
      <c r="Q16" s="1928">
        <v>18459</v>
      </c>
      <c r="R16" s="1928">
        <v>0</v>
      </c>
      <c r="S16" s="1931">
        <f>SUM(Q16:R16)</f>
        <v>18459</v>
      </c>
      <c r="T16" s="1931">
        <f>Q16*I16</f>
        <v>5722290</v>
      </c>
      <c r="U16" s="1931">
        <f>R16*I16</f>
        <v>0</v>
      </c>
      <c r="V16" s="1931">
        <f>SUM(T16:U16)</f>
        <v>5722290</v>
      </c>
      <c r="W16" s="1921">
        <f>Q16*M16</f>
        <v>100232.37</v>
      </c>
      <c r="X16" s="1921">
        <f>R16*M16</f>
        <v>0</v>
      </c>
      <c r="Y16" s="1921">
        <f>SUM(W16:X16)</f>
        <v>100232.37</v>
      </c>
      <c r="Z16" s="1946"/>
    </row>
    <row r="17" spans="2:26">
      <c r="B17" s="1885"/>
      <c r="C17" s="1876"/>
      <c r="D17" s="1905"/>
      <c r="E17" s="1904"/>
      <c r="F17" s="1879">
        <f t="shared" ref="F17:F19" si="2">SUM(D17:E17)</f>
        <v>0</v>
      </c>
      <c r="H17" s="2560"/>
      <c r="I17" s="2611"/>
      <c r="J17" s="1932" t="s">
        <v>120</v>
      </c>
      <c r="K17" s="1922"/>
      <c r="L17" s="1929"/>
      <c r="M17" s="1929"/>
      <c r="N17" s="1923"/>
      <c r="O17" s="1922"/>
      <c r="P17" s="1925"/>
      <c r="Q17" s="1928"/>
      <c r="R17" s="1928"/>
      <c r="S17" s="1931">
        <f>SUM(Q17:R17)</f>
        <v>0</v>
      </c>
      <c r="T17" s="1931">
        <f>Q17*I17</f>
        <v>0</v>
      </c>
      <c r="U17" s="1931">
        <f>R17*I17</f>
        <v>0</v>
      </c>
      <c r="V17" s="1931">
        <f>SUM(T17:U17)</f>
        <v>0</v>
      </c>
      <c r="W17" s="1921">
        <f>Q17*M17</f>
        <v>0</v>
      </c>
      <c r="X17" s="1921">
        <f>R17*M17</f>
        <v>0</v>
      </c>
      <c r="Y17" s="1921">
        <f>SUM(W17:X17)</f>
        <v>0</v>
      </c>
      <c r="Z17" s="1946"/>
    </row>
    <row r="18" spans="2:26">
      <c r="B18" s="1885"/>
      <c r="C18" s="1876"/>
      <c r="D18" s="1905"/>
      <c r="E18" s="1904"/>
      <c r="F18" s="1879">
        <f t="shared" si="2"/>
        <v>0</v>
      </c>
      <c r="H18" s="2560"/>
      <c r="I18" s="2561"/>
      <c r="J18" s="1932"/>
      <c r="K18" s="1922"/>
      <c r="L18" s="1929"/>
      <c r="M18" s="1929"/>
      <c r="N18" s="1923"/>
      <c r="O18" s="1922"/>
      <c r="P18" s="1925"/>
      <c r="Q18" s="1928"/>
      <c r="R18" s="1928"/>
      <c r="S18" s="1931"/>
      <c r="T18" s="1931"/>
      <c r="U18" s="1931"/>
      <c r="V18" s="1931"/>
      <c r="W18" s="1921"/>
      <c r="X18" s="1921"/>
      <c r="Y18" s="1921"/>
      <c r="Z18" s="1946"/>
    </row>
    <row r="19" spans="2:26">
      <c r="B19" s="1885"/>
      <c r="C19" s="1876"/>
      <c r="D19" s="1903"/>
      <c r="E19" s="1902"/>
      <c r="F19" s="1879">
        <f t="shared" si="2"/>
        <v>0</v>
      </c>
      <c r="H19" s="2560"/>
      <c r="I19" s="2561"/>
      <c r="J19" s="1932"/>
      <c r="K19" s="1922"/>
      <c r="L19" s="1929"/>
      <c r="M19" s="1929"/>
      <c r="N19" s="1923"/>
      <c r="O19" s="1922"/>
      <c r="P19" s="1925"/>
      <c r="Q19" s="1928"/>
      <c r="R19" s="1928"/>
      <c r="S19" s="1931"/>
      <c r="T19" s="1931"/>
      <c r="U19" s="1931"/>
      <c r="V19" s="1931"/>
      <c r="W19" s="1921"/>
      <c r="X19" s="1921"/>
      <c r="Y19" s="1921"/>
      <c r="Z19" s="1946"/>
    </row>
    <row r="20" spans="2:26">
      <c r="B20" s="1908"/>
      <c r="C20" s="1952"/>
      <c r="D20" s="1954"/>
      <c r="E20" s="1955"/>
      <c r="F20" s="1957"/>
      <c r="H20" s="2560"/>
      <c r="I20" s="2561"/>
      <c r="J20" s="1932"/>
      <c r="K20" s="1922"/>
      <c r="L20" s="1929"/>
      <c r="M20" s="1929"/>
      <c r="N20" s="1923"/>
      <c r="O20" s="1922"/>
      <c r="P20" s="1925"/>
      <c r="Q20" s="1928"/>
      <c r="R20" s="1928"/>
      <c r="S20" s="1931"/>
      <c r="T20" s="1931"/>
      <c r="U20" s="1931"/>
      <c r="V20" s="1931"/>
      <c r="W20" s="1921"/>
      <c r="X20" s="1921"/>
      <c r="Y20" s="1921"/>
      <c r="Z20" s="1946"/>
    </row>
    <row r="21" spans="2:26">
      <c r="C21" s="1910" t="s">
        <v>47</v>
      </c>
      <c r="D21" s="2183">
        <f>SUM(D22:D25)</f>
        <v>0</v>
      </c>
      <c r="E21" s="2184">
        <f>SUM(E22:E25)</f>
        <v>0</v>
      </c>
      <c r="F21" s="2114">
        <f>D21+E21</f>
        <v>0</v>
      </c>
      <c r="H21" s="2560"/>
      <c r="I21" s="2561"/>
      <c r="J21" s="1932"/>
      <c r="K21" s="1922"/>
      <c r="L21" s="1929"/>
      <c r="M21" s="1929"/>
      <c r="N21" s="1923"/>
      <c r="O21" s="1922"/>
      <c r="P21" s="1925"/>
      <c r="Q21" s="1928"/>
      <c r="R21" s="1928"/>
      <c r="S21" s="1931"/>
      <c r="T21" s="1931"/>
      <c r="U21" s="1931"/>
      <c r="V21" s="1931"/>
      <c r="W21" s="1921"/>
      <c r="X21" s="1921"/>
      <c r="Y21" s="1921"/>
      <c r="Z21" s="1946"/>
    </row>
    <row r="22" spans="2:26">
      <c r="C22" s="1876"/>
      <c r="D22" s="1907"/>
      <c r="E22" s="1906"/>
      <c r="F22" s="1879">
        <f t="shared" ref="F22:F25" si="3">SUM(D22:E22)</f>
        <v>0</v>
      </c>
      <c r="H22" s="2560"/>
      <c r="I22" s="2561"/>
      <c r="J22" s="1932"/>
      <c r="K22" s="1922"/>
      <c r="L22" s="1929"/>
      <c r="M22" s="1929"/>
      <c r="N22" s="1923"/>
      <c r="O22" s="1922"/>
      <c r="P22" s="1925"/>
      <c r="Q22" s="1928"/>
      <c r="R22" s="1928"/>
      <c r="S22" s="1931"/>
      <c r="T22" s="1931"/>
      <c r="U22" s="1931"/>
      <c r="V22" s="1931"/>
      <c r="W22" s="1921"/>
      <c r="X22" s="1921"/>
      <c r="Y22" s="1921"/>
      <c r="Z22" s="1946"/>
    </row>
    <row r="23" spans="2:26">
      <c r="C23" s="1876"/>
      <c r="D23" s="2053"/>
      <c r="E23" s="2054"/>
      <c r="F23" s="1879">
        <f t="shared" si="3"/>
        <v>0</v>
      </c>
      <c r="H23" s="2560"/>
      <c r="I23" s="2561"/>
      <c r="J23" s="1932"/>
      <c r="K23" s="1922"/>
      <c r="L23" s="1929"/>
      <c r="M23" s="1929"/>
      <c r="N23" s="1923"/>
      <c r="O23" s="1922"/>
      <c r="P23" s="1925"/>
      <c r="Q23" s="1928"/>
      <c r="R23" s="1928"/>
      <c r="S23" s="1931"/>
      <c r="T23" s="1931"/>
      <c r="U23" s="1931"/>
      <c r="V23" s="1931"/>
      <c r="W23" s="1921"/>
      <c r="X23" s="1921"/>
      <c r="Y23" s="1921"/>
      <c r="Z23" s="1946"/>
    </row>
    <row r="24" spans="2:26">
      <c r="C24" s="1876"/>
      <c r="D24" s="1898"/>
      <c r="E24" s="1897"/>
      <c r="F24" s="1879">
        <f t="shared" si="3"/>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2183">
        <f>SUM(D29:D32)</f>
        <v>4944.3042500000001</v>
      </c>
      <c r="E27" s="2184">
        <f>SUM(E29:E32)</f>
        <v>0</v>
      </c>
      <c r="F27" s="2114">
        <f>D27+E27</f>
        <v>4944.3042500000001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4944.3042500000001</v>
      </c>
      <c r="E29" s="1972">
        <f>E15*E28</f>
        <v>0</v>
      </c>
      <c r="F29" s="1879">
        <f t="shared" ref="F29:F32" si="4">SUM(D29:E29)</f>
        <v>4944.3042500000001</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4"/>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52" t="s">
        <v>192</v>
      </c>
      <c r="C34" s="1910" t="s">
        <v>49</v>
      </c>
      <c r="D34" s="2183">
        <f>SUM(D35:D38)</f>
        <v>15381.33</v>
      </c>
      <c r="E34" s="2184">
        <f>SUM(E35:E38)</f>
        <v>0</v>
      </c>
      <c r="F34" s="2114">
        <f>D34+E34</f>
        <v>15381.33</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960</v>
      </c>
      <c r="D35" s="1971">
        <v>15381.33</v>
      </c>
      <c r="E35" s="1988"/>
      <c r="F35" s="1879">
        <f t="shared" ref="F35:F38" si="5">SUM(D35:E35)</f>
        <v>15381.33</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5"/>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4">
        <v>18230461</v>
      </c>
      <c r="C37" s="1876"/>
      <c r="D37" s="1971"/>
      <c r="E37" s="1988"/>
      <c r="F37" s="1879">
        <f t="shared" si="5"/>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1876"/>
      <c r="D38" s="1971"/>
      <c r="E38" s="1988"/>
      <c r="F38" s="1879">
        <f t="shared" si="5"/>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2183">
        <f>SUM(D41:D44)</f>
        <v>500</v>
      </c>
      <c r="E40" s="2184">
        <f>SUM(E41:E44)</f>
        <v>0</v>
      </c>
      <c r="F40" s="2114">
        <f>D40+E40</f>
        <v>500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c r="D41" s="1971">
        <v>500</v>
      </c>
      <c r="E41" s="1988"/>
      <c r="F41" s="1879">
        <f t="shared" ref="F41:F44" si="6">SUM(D41:E41)</f>
        <v>500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6"/>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6"/>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6"/>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100250</v>
      </c>
      <c r="E46" s="2184">
        <f>SUM(E47:E50)</f>
        <v>0</v>
      </c>
      <c r="F46" s="2114">
        <f>D46+E46</f>
        <v>100250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1074</v>
      </c>
      <c r="D47" s="1971">
        <v>100250</v>
      </c>
      <c r="E47" s="1988">
        <v>0</v>
      </c>
      <c r="F47" s="1879">
        <f t="shared" ref="F47:F50" si="7">SUM(D47:E47)</f>
        <v>100250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7"/>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7"/>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7"/>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250</v>
      </c>
      <c r="E52" s="2184">
        <f>SUM(E53:E56)</f>
        <v>0</v>
      </c>
      <c r="F52" s="2114">
        <f>D52+E52</f>
        <v>250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250</v>
      </c>
      <c r="E53" s="1972"/>
      <c r="F53" s="1879">
        <f t="shared" ref="F53:F56" si="8">SUM(D53:E53)</f>
        <v>250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250</v>
      </c>
      <c r="E58" s="2184">
        <f>SUM(E59:E62)</f>
        <v>0</v>
      </c>
      <c r="F58" s="2114">
        <f>D58+E58</f>
        <v>250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250</v>
      </c>
      <c r="E59" s="1988"/>
      <c r="F59" s="1879">
        <f t="shared" ref="F59:F62" si="9">SUM(D59:E59)</f>
        <v>250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c r="A64" s="1852" t="s">
        <v>192</v>
      </c>
      <c r="C64" s="1910" t="s">
        <v>53</v>
      </c>
      <c r="D64" s="1911">
        <f>W15</f>
        <v>100232.37</v>
      </c>
      <c r="E64" s="1926">
        <f>X15</f>
        <v>0</v>
      </c>
      <c r="F64" s="1924">
        <f>D64+E64</f>
        <v>100232.37</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0.43727440967531844</v>
      </c>
      <c r="E65" s="2616" t="e">
        <f>E64/E12</f>
        <v>#DIV/0!</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4">
        <v>18230461</v>
      </c>
      <c r="C67" s="1959" t="s">
        <v>54</v>
      </c>
      <c r="D67" s="1971">
        <v>0</v>
      </c>
      <c r="E67" s="1971">
        <v>0</v>
      </c>
      <c r="F67" s="1956">
        <v>0</v>
      </c>
    </row>
    <row r="68" spans="1:26">
      <c r="A68" s="1808" t="s">
        <v>5</v>
      </c>
    </row>
  </sheetData>
  <customSheetViews>
    <customSheetView guid="{074EB09C-6289-46D7-9513-012B68BCA7BF}" showGridLines="0">
      <pane xSplit="1" ySplit="1" topLeftCell="B2" activePane="bottomRight" state="frozen"/>
      <selection pane="bottomRight" activeCell="S9" sqref="S9"/>
      <pageMargins left="0.21" right="0.24" top="0.37" bottom="0.39" header="0.3" footer="0.3"/>
      <pageSetup paperSize="3" scale="43" orientation="landscape" r:id="rId1"/>
    </customSheetView>
    <customSheetView guid="{D9EFFE19-D14B-4C6F-BDF4-FF696F73968D}" showGridLines="0">
      <pane xSplit="1" ySplit="1" topLeftCell="G2" activePane="bottomRight" state="frozen"/>
      <selection pane="bottomRight" activeCell="O17" sqref="O17"/>
      <pageMargins left="0.21" right="0.24" top="0.37" bottom="0.39" header="0.3" footer="0.3"/>
      <pageSetup paperSize="3" scale="43" orientation="landscape" r:id="rId2"/>
    </customSheetView>
  </customSheetViews>
  <mergeCells count="8">
    <mergeCell ref="R2:S2"/>
    <mergeCell ref="T2:V2"/>
    <mergeCell ref="W2:W3"/>
    <mergeCell ref="H10:P10"/>
    <mergeCell ref="H12:P12"/>
    <mergeCell ref="Q12:S12"/>
    <mergeCell ref="T12:V12"/>
    <mergeCell ref="W12:Y12"/>
  </mergeCells>
  <pageMargins left="0.21" right="0.24" top="0.37" bottom="0.39" header="0.3" footer="0.3"/>
  <pageSetup paperSize="3" scale="43" orientation="landscape" r:id="rId3"/>
  <ignoredErrors>
    <ignoredError sqref="Q7" formulaRange="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8DB4E3"/>
  </sheetPr>
  <dimension ref="A1:Y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6.85546875" style="1164" customWidth="1"/>
    <col min="2" max="2" width="14.85546875" style="1866" customWidth="1"/>
    <col min="3" max="3" width="29" customWidth="1"/>
    <col min="4" max="4" width="18.7109375" customWidth="1"/>
    <col min="5" max="5" width="17.42578125" style="9" customWidth="1"/>
    <col min="6" max="7" width="17.425781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5.2851562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5.7109375" bestFit="1" customWidth="1"/>
    <col min="250" max="250" width="19.7109375" bestFit="1" customWidth="1"/>
    <col min="251" max="251" width="16.140625" customWidth="1"/>
    <col min="252" max="252" width="19.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5.2851562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6" width="15.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5.7109375" bestFit="1" customWidth="1"/>
    <col min="506" max="506" width="19.7109375" bestFit="1" customWidth="1"/>
    <col min="507" max="507" width="16.140625" customWidth="1"/>
    <col min="508" max="508" width="19.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5.2851562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2" width="15.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5.7109375" bestFit="1" customWidth="1"/>
    <col min="762" max="762" width="19.7109375" bestFit="1" customWidth="1"/>
    <col min="763" max="763" width="16.140625" customWidth="1"/>
    <col min="764" max="764" width="19.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5.2851562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8" width="15.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5.7109375" bestFit="1" customWidth="1"/>
    <col min="1018" max="1018" width="19.7109375" bestFit="1" customWidth="1"/>
    <col min="1019" max="1019" width="16.140625" customWidth="1"/>
    <col min="1020" max="1020" width="19.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5.2851562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4" width="15.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5.7109375" bestFit="1" customWidth="1"/>
    <col min="1274" max="1274" width="19.7109375" bestFit="1" customWidth="1"/>
    <col min="1275" max="1275" width="16.140625" customWidth="1"/>
    <col min="1276" max="1276" width="19.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5.2851562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90" width="15.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5.7109375" bestFit="1" customWidth="1"/>
    <col min="1530" max="1530" width="19.7109375" bestFit="1" customWidth="1"/>
    <col min="1531" max="1531" width="16.140625" customWidth="1"/>
    <col min="1532" max="1532" width="19.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5.2851562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6" width="15.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5.7109375" bestFit="1" customWidth="1"/>
    <col min="1786" max="1786" width="19.7109375" bestFit="1" customWidth="1"/>
    <col min="1787" max="1787" width="16.140625" customWidth="1"/>
    <col min="1788" max="1788" width="19.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5.2851562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2" width="15.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5.7109375" bestFit="1" customWidth="1"/>
    <col min="2042" max="2042" width="19.7109375" bestFit="1" customWidth="1"/>
    <col min="2043" max="2043" width="16.140625" customWidth="1"/>
    <col min="2044" max="2044" width="19.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5.2851562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8" width="15.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5.7109375" bestFit="1" customWidth="1"/>
    <col min="2298" max="2298" width="19.7109375" bestFit="1" customWidth="1"/>
    <col min="2299" max="2299" width="16.140625" customWidth="1"/>
    <col min="2300" max="2300" width="19.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5.2851562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4" width="15.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5.7109375" bestFit="1" customWidth="1"/>
    <col min="2554" max="2554" width="19.7109375" bestFit="1" customWidth="1"/>
    <col min="2555" max="2555" width="16.140625" customWidth="1"/>
    <col min="2556" max="2556" width="19.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5.2851562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70" width="15.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5.7109375" bestFit="1" customWidth="1"/>
    <col min="2810" max="2810" width="19.7109375" bestFit="1" customWidth="1"/>
    <col min="2811" max="2811" width="16.140625" customWidth="1"/>
    <col min="2812" max="2812" width="19.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5.2851562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6" width="15.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5.7109375" bestFit="1" customWidth="1"/>
    <col min="3066" max="3066" width="19.7109375" bestFit="1" customWidth="1"/>
    <col min="3067" max="3067" width="16.140625" customWidth="1"/>
    <col min="3068" max="3068" width="19.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5.2851562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2" width="15.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5.7109375" bestFit="1" customWidth="1"/>
    <col min="3322" max="3322" width="19.7109375" bestFit="1" customWidth="1"/>
    <col min="3323" max="3323" width="16.140625" customWidth="1"/>
    <col min="3324" max="3324" width="19.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5.2851562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8" width="15.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5.7109375" bestFit="1" customWidth="1"/>
    <col min="3578" max="3578" width="19.7109375" bestFit="1" customWidth="1"/>
    <col min="3579" max="3579" width="16.140625" customWidth="1"/>
    <col min="3580" max="3580" width="19.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5.2851562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4" width="15.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5.7109375" bestFit="1" customWidth="1"/>
    <col min="3834" max="3834" width="19.7109375" bestFit="1" customWidth="1"/>
    <col min="3835" max="3835" width="16.140625" customWidth="1"/>
    <col min="3836" max="3836" width="19.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5.2851562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50" width="15.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5.7109375" bestFit="1" customWidth="1"/>
    <col min="4090" max="4090" width="19.7109375" bestFit="1" customWidth="1"/>
    <col min="4091" max="4091" width="16.140625" customWidth="1"/>
    <col min="4092" max="4092" width="19.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5.2851562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6" width="15.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5.7109375" bestFit="1" customWidth="1"/>
    <col min="4346" max="4346" width="19.7109375" bestFit="1" customWidth="1"/>
    <col min="4347" max="4347" width="16.140625" customWidth="1"/>
    <col min="4348" max="4348" width="19.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5.2851562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2" width="15.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5.7109375" bestFit="1" customWidth="1"/>
    <col min="4602" max="4602" width="19.7109375" bestFit="1" customWidth="1"/>
    <col min="4603" max="4603" width="16.140625" customWidth="1"/>
    <col min="4604" max="4604" width="19.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5.2851562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8" width="15.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5.7109375" bestFit="1" customWidth="1"/>
    <col min="4858" max="4858" width="19.7109375" bestFit="1" customWidth="1"/>
    <col min="4859" max="4859" width="16.140625" customWidth="1"/>
    <col min="4860" max="4860" width="19.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5.2851562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4" width="15.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5.7109375" bestFit="1" customWidth="1"/>
    <col min="5114" max="5114" width="19.7109375" bestFit="1" customWidth="1"/>
    <col min="5115" max="5115" width="16.140625" customWidth="1"/>
    <col min="5116" max="5116" width="19.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5.2851562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30" width="15.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5.7109375" bestFit="1" customWidth="1"/>
    <col min="5370" max="5370" width="19.7109375" bestFit="1" customWidth="1"/>
    <col min="5371" max="5371" width="16.140625" customWidth="1"/>
    <col min="5372" max="5372" width="19.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5.2851562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6" width="15.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5.7109375" bestFit="1" customWidth="1"/>
    <col min="5626" max="5626" width="19.7109375" bestFit="1" customWidth="1"/>
    <col min="5627" max="5627" width="16.140625" customWidth="1"/>
    <col min="5628" max="5628" width="19.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5.2851562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2" width="15.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5.7109375" bestFit="1" customWidth="1"/>
    <col min="5882" max="5882" width="19.7109375" bestFit="1" customWidth="1"/>
    <col min="5883" max="5883" width="16.140625" customWidth="1"/>
    <col min="5884" max="5884" width="19.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5.2851562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8" width="15.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5.7109375" bestFit="1" customWidth="1"/>
    <col min="6138" max="6138" width="19.7109375" bestFit="1" customWidth="1"/>
    <col min="6139" max="6139" width="16.140625" customWidth="1"/>
    <col min="6140" max="6140" width="19.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5.2851562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4" width="15.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5.7109375" bestFit="1" customWidth="1"/>
    <col min="6394" max="6394" width="19.7109375" bestFit="1" customWidth="1"/>
    <col min="6395" max="6395" width="16.140625" customWidth="1"/>
    <col min="6396" max="6396" width="19.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5.2851562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10" width="15.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5.7109375" bestFit="1" customWidth="1"/>
    <col min="6650" max="6650" width="19.7109375" bestFit="1" customWidth="1"/>
    <col min="6651" max="6651" width="16.140625" customWidth="1"/>
    <col min="6652" max="6652" width="19.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5.2851562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6" width="15.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5.7109375" bestFit="1" customWidth="1"/>
    <col min="6906" max="6906" width="19.7109375" bestFit="1" customWidth="1"/>
    <col min="6907" max="6907" width="16.140625" customWidth="1"/>
    <col min="6908" max="6908" width="19.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5.2851562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2" width="15.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5.7109375" bestFit="1" customWidth="1"/>
    <col min="7162" max="7162" width="19.7109375" bestFit="1" customWidth="1"/>
    <col min="7163" max="7163" width="16.140625" customWidth="1"/>
    <col min="7164" max="7164" width="19.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5.2851562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8" width="15.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5.7109375" bestFit="1" customWidth="1"/>
    <col min="7418" max="7418" width="19.7109375" bestFit="1" customWidth="1"/>
    <col min="7419" max="7419" width="16.140625" customWidth="1"/>
    <col min="7420" max="7420" width="19.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5.2851562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4" width="15.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5.7109375" bestFit="1" customWidth="1"/>
    <col min="7674" max="7674" width="19.7109375" bestFit="1" customWidth="1"/>
    <col min="7675" max="7675" width="16.140625" customWidth="1"/>
    <col min="7676" max="7676" width="19.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5.2851562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90" width="15.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5.7109375" bestFit="1" customWidth="1"/>
    <col min="7930" max="7930" width="19.7109375" bestFit="1" customWidth="1"/>
    <col min="7931" max="7931" width="16.140625" customWidth="1"/>
    <col min="7932" max="7932" width="19.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5.2851562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6" width="15.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5.7109375" bestFit="1" customWidth="1"/>
    <col min="8186" max="8186" width="19.7109375" bestFit="1" customWidth="1"/>
    <col min="8187" max="8187" width="16.140625" customWidth="1"/>
    <col min="8188" max="8188" width="19.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5.2851562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2" width="15.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5.7109375" bestFit="1" customWidth="1"/>
    <col min="8442" max="8442" width="19.7109375" bestFit="1" customWidth="1"/>
    <col min="8443" max="8443" width="16.140625" customWidth="1"/>
    <col min="8444" max="8444" width="19.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5.2851562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8" width="15.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5.7109375" bestFit="1" customWidth="1"/>
    <col min="8698" max="8698" width="19.7109375" bestFit="1" customWidth="1"/>
    <col min="8699" max="8699" width="16.140625" customWidth="1"/>
    <col min="8700" max="8700" width="19.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5.2851562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4" width="15.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5.7109375" bestFit="1" customWidth="1"/>
    <col min="8954" max="8954" width="19.7109375" bestFit="1" customWidth="1"/>
    <col min="8955" max="8955" width="16.140625" customWidth="1"/>
    <col min="8956" max="8956" width="19.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5.2851562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70" width="15.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5.7109375" bestFit="1" customWidth="1"/>
    <col min="9210" max="9210" width="19.7109375" bestFit="1" customWidth="1"/>
    <col min="9211" max="9211" width="16.140625" customWidth="1"/>
    <col min="9212" max="9212" width="19.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5.2851562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6" width="15.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5.7109375" bestFit="1" customWidth="1"/>
    <col min="9466" max="9466" width="19.7109375" bestFit="1" customWidth="1"/>
    <col min="9467" max="9467" width="16.140625" customWidth="1"/>
    <col min="9468" max="9468" width="19.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5.2851562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2" width="15.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5.7109375" bestFit="1" customWidth="1"/>
    <col min="9722" max="9722" width="19.7109375" bestFit="1" customWidth="1"/>
    <col min="9723" max="9723" width="16.140625" customWidth="1"/>
    <col min="9724" max="9724" width="19.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5.2851562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8" width="15.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5.7109375" bestFit="1" customWidth="1"/>
    <col min="9978" max="9978" width="19.7109375" bestFit="1" customWidth="1"/>
    <col min="9979" max="9979" width="16.140625" customWidth="1"/>
    <col min="9980" max="9980" width="19.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5.2851562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4" width="15.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5.7109375" bestFit="1" customWidth="1"/>
    <col min="10234" max="10234" width="19.7109375" bestFit="1" customWidth="1"/>
    <col min="10235" max="10235" width="16.140625" customWidth="1"/>
    <col min="10236" max="10236" width="19.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5.2851562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50" width="15.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5.7109375" bestFit="1" customWidth="1"/>
    <col min="10490" max="10490" width="19.7109375" bestFit="1" customWidth="1"/>
    <col min="10491" max="10491" width="16.140625" customWidth="1"/>
    <col min="10492" max="10492" width="19.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5.2851562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6" width="15.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5.7109375" bestFit="1" customWidth="1"/>
    <col min="10746" max="10746" width="19.7109375" bestFit="1" customWidth="1"/>
    <col min="10747" max="10747" width="16.140625" customWidth="1"/>
    <col min="10748" max="10748" width="19.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5.2851562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2" width="15.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5.7109375" bestFit="1" customWidth="1"/>
    <col min="11002" max="11002" width="19.7109375" bestFit="1" customWidth="1"/>
    <col min="11003" max="11003" width="16.140625" customWidth="1"/>
    <col min="11004" max="11004" width="19.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5.2851562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8" width="15.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5.7109375" bestFit="1" customWidth="1"/>
    <col min="11258" max="11258" width="19.7109375" bestFit="1" customWidth="1"/>
    <col min="11259" max="11259" width="16.140625" customWidth="1"/>
    <col min="11260" max="11260" width="19.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5.2851562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4" width="15.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5.7109375" bestFit="1" customWidth="1"/>
    <col min="11514" max="11514" width="19.7109375" bestFit="1" customWidth="1"/>
    <col min="11515" max="11515" width="16.140625" customWidth="1"/>
    <col min="11516" max="11516" width="19.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5.2851562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30" width="15.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5.7109375" bestFit="1" customWidth="1"/>
    <col min="11770" max="11770" width="19.7109375" bestFit="1" customWidth="1"/>
    <col min="11771" max="11771" width="16.140625" customWidth="1"/>
    <col min="11772" max="11772" width="19.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5.2851562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6" width="15.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5.7109375" bestFit="1" customWidth="1"/>
    <col min="12026" max="12026" width="19.7109375" bestFit="1" customWidth="1"/>
    <col min="12027" max="12027" width="16.140625" customWidth="1"/>
    <col min="12028" max="12028" width="19.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5.2851562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2" width="15.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5.7109375" bestFit="1" customWidth="1"/>
    <col min="12282" max="12282" width="19.7109375" bestFit="1" customWidth="1"/>
    <col min="12283" max="12283" width="16.140625" customWidth="1"/>
    <col min="12284" max="12284" width="19.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5.2851562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8" width="15.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5.7109375" bestFit="1" customWidth="1"/>
    <col min="12538" max="12538" width="19.7109375" bestFit="1" customWidth="1"/>
    <col min="12539" max="12539" width="16.140625" customWidth="1"/>
    <col min="12540" max="12540" width="19.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5.2851562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4" width="15.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5.7109375" bestFit="1" customWidth="1"/>
    <col min="12794" max="12794" width="19.7109375" bestFit="1" customWidth="1"/>
    <col min="12795" max="12795" width="16.140625" customWidth="1"/>
    <col min="12796" max="12796" width="19.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5.2851562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10" width="15.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5.7109375" bestFit="1" customWidth="1"/>
    <col min="13050" max="13050" width="19.7109375" bestFit="1" customWidth="1"/>
    <col min="13051" max="13051" width="16.140625" customWidth="1"/>
    <col min="13052" max="13052" width="19.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5.2851562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6" width="15.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5.7109375" bestFit="1" customWidth="1"/>
    <col min="13306" max="13306" width="19.7109375" bestFit="1" customWidth="1"/>
    <col min="13307" max="13307" width="16.140625" customWidth="1"/>
    <col min="13308" max="13308" width="19.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5.2851562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2" width="15.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5.7109375" bestFit="1" customWidth="1"/>
    <col min="13562" max="13562" width="19.7109375" bestFit="1" customWidth="1"/>
    <col min="13563" max="13563" width="16.140625" customWidth="1"/>
    <col min="13564" max="13564" width="19.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5.2851562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8" width="15.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5.7109375" bestFit="1" customWidth="1"/>
    <col min="13818" max="13818" width="19.7109375" bestFit="1" customWidth="1"/>
    <col min="13819" max="13819" width="16.140625" customWidth="1"/>
    <col min="13820" max="13820" width="19.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5.2851562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4" width="15.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5.7109375" bestFit="1" customWidth="1"/>
    <col min="14074" max="14074" width="19.7109375" bestFit="1" customWidth="1"/>
    <col min="14075" max="14075" width="16.140625" customWidth="1"/>
    <col min="14076" max="14076" width="19.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5.2851562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90" width="15.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5.7109375" bestFit="1" customWidth="1"/>
    <col min="14330" max="14330" width="19.7109375" bestFit="1" customWidth="1"/>
    <col min="14331" max="14331" width="16.140625" customWidth="1"/>
    <col min="14332" max="14332" width="19.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5.2851562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6" width="15.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5.7109375" bestFit="1" customWidth="1"/>
    <col min="14586" max="14586" width="19.7109375" bestFit="1" customWidth="1"/>
    <col min="14587" max="14587" width="16.140625" customWidth="1"/>
    <col min="14588" max="14588" width="19.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5.2851562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2" width="15.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5.7109375" bestFit="1" customWidth="1"/>
    <col min="14842" max="14842" width="19.7109375" bestFit="1" customWidth="1"/>
    <col min="14843" max="14843" width="16.140625" customWidth="1"/>
    <col min="14844" max="14844" width="19.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5.2851562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8" width="15.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5.7109375" bestFit="1" customWidth="1"/>
    <col min="15098" max="15098" width="19.7109375" bestFit="1" customWidth="1"/>
    <col min="15099" max="15099" width="16.140625" customWidth="1"/>
    <col min="15100" max="15100" width="19.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5.2851562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4" width="15.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5.7109375" bestFit="1" customWidth="1"/>
    <col min="15354" max="15354" width="19.7109375" bestFit="1" customWidth="1"/>
    <col min="15355" max="15355" width="16.140625" customWidth="1"/>
    <col min="15356" max="15356" width="19.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5.2851562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70" width="15.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5.7109375" bestFit="1" customWidth="1"/>
    <col min="15610" max="15610" width="19.7109375" bestFit="1" customWidth="1"/>
    <col min="15611" max="15611" width="16.140625" customWidth="1"/>
    <col min="15612" max="15612" width="19.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5.2851562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6" width="15.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5.7109375" bestFit="1" customWidth="1"/>
    <col min="15866" max="15866" width="19.7109375" bestFit="1" customWidth="1"/>
    <col min="15867" max="15867" width="16.140625" customWidth="1"/>
    <col min="15868" max="15868" width="19.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5.2851562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2" width="15.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5.7109375" bestFit="1" customWidth="1"/>
    <col min="16122" max="16122" width="19.7109375" bestFit="1" customWidth="1"/>
    <col min="16123" max="16123" width="16.140625" customWidth="1"/>
    <col min="16124" max="16124" width="19.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5.2851562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8" width="15.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1" customHeight="1" thickBot="1">
      <c r="C1" s="1853" t="s">
        <v>189</v>
      </c>
      <c r="D1" s="1812" t="s">
        <v>289</v>
      </c>
      <c r="E1" s="1853" t="s">
        <v>6</v>
      </c>
      <c r="F1" s="1853">
        <v>18230405</v>
      </c>
      <c r="G1" s="1812" t="s">
        <v>5</v>
      </c>
      <c r="J1" s="1812"/>
      <c r="K1" s="1812"/>
      <c r="L1" s="1812"/>
      <c r="M1" s="1853" t="s">
        <v>189</v>
      </c>
      <c r="N1" s="1812" t="s">
        <v>289</v>
      </c>
      <c r="O1" s="1853" t="s">
        <v>6</v>
      </c>
      <c r="P1" s="1853">
        <v>18230405</v>
      </c>
      <c r="Q1" s="1812" t="s">
        <v>5</v>
      </c>
      <c r="V1" s="1853" t="s">
        <v>189</v>
      </c>
      <c r="W1" s="1812" t="s">
        <v>289</v>
      </c>
      <c r="X1" s="1853" t="s">
        <v>6</v>
      </c>
      <c r="Y1" s="1853">
        <v>18230405</v>
      </c>
    </row>
    <row r="2" spans="1:25" ht="16.5" thickBot="1">
      <c r="C2" s="45"/>
      <c r="D2" s="46"/>
      <c r="H2" s="1576" t="s">
        <v>674</v>
      </c>
      <c r="R2" s="3596"/>
      <c r="S2" s="3596"/>
      <c r="T2" s="3597" t="s">
        <v>36</v>
      </c>
      <c r="U2" s="3598"/>
      <c r="V2" s="3599"/>
      <c r="W2" s="3594" t="s">
        <v>37</v>
      </c>
    </row>
    <row r="3" spans="1:25" ht="26.25" thickBot="1">
      <c r="A3" s="1852" t="s">
        <v>189</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5" ht="16.5" thickBot="1">
      <c r="A4" s="1808" t="s">
        <v>289</v>
      </c>
      <c r="B4" s="1808"/>
      <c r="C4" s="46"/>
      <c r="G4" s="1704" t="s">
        <v>668</v>
      </c>
      <c r="H4" s="2003">
        <v>16476</v>
      </c>
      <c r="I4" s="2002">
        <v>3295</v>
      </c>
      <c r="J4" s="2002">
        <v>13978</v>
      </c>
      <c r="K4" s="2002">
        <v>30000</v>
      </c>
      <c r="L4" s="2002">
        <v>0</v>
      </c>
      <c r="M4" s="2002">
        <v>0</v>
      </c>
      <c r="N4" s="2002">
        <v>0</v>
      </c>
      <c r="O4" s="2002">
        <v>5000</v>
      </c>
      <c r="P4" s="2002">
        <v>0</v>
      </c>
      <c r="Q4" s="2002">
        <v>0</v>
      </c>
      <c r="R4" s="2000">
        <v>68749</v>
      </c>
      <c r="S4" s="1998" t="s">
        <v>679</v>
      </c>
      <c r="T4" s="65">
        <f>P4/R4</f>
        <v>0</v>
      </c>
      <c r="U4" s="65">
        <f>(K4+(I4*1.63))/R4</f>
        <v>0.51449257443744634</v>
      </c>
      <c r="V4" s="65">
        <f>M4/R4</f>
        <v>0</v>
      </c>
      <c r="W4" s="52" t="e">
        <f>R4/S4</f>
        <v>#VALUE!</v>
      </c>
    </row>
    <row r="5" spans="1:25" ht="16.5" thickBot="1">
      <c r="A5" s="1852" t="s">
        <v>6</v>
      </c>
      <c r="B5" s="1852"/>
      <c r="C5" s="45"/>
      <c r="G5" s="45">
        <v>2016</v>
      </c>
      <c r="H5" s="1582">
        <f>D15</f>
        <v>13500</v>
      </c>
      <c r="I5" s="1549">
        <f>D21</f>
        <v>10984.2</v>
      </c>
      <c r="J5" s="1549">
        <f>D27</f>
        <v>16330.9614</v>
      </c>
      <c r="K5" s="1549">
        <f>D34</f>
        <v>26000</v>
      </c>
      <c r="L5" s="1549">
        <f>D40</f>
        <v>1000</v>
      </c>
      <c r="M5" s="1549">
        <f>D46</f>
        <v>2500</v>
      </c>
      <c r="N5" s="1549">
        <f>D52</f>
        <v>2000</v>
      </c>
      <c r="O5" s="1549">
        <f>D58</f>
        <v>0</v>
      </c>
      <c r="P5" s="1549">
        <f>D64</f>
        <v>0</v>
      </c>
      <c r="Q5" s="1549">
        <f>D65</f>
        <v>0</v>
      </c>
      <c r="R5" s="2001">
        <f>SUM(H5:Q5)</f>
        <v>72315.161399999997</v>
      </c>
      <c r="S5" s="1999">
        <f>T15</f>
        <v>0</v>
      </c>
      <c r="T5" s="66">
        <f>P5/R5</f>
        <v>0</v>
      </c>
      <c r="U5" s="66">
        <f>(K5+(I5*1.63))/R5</f>
        <v>0.60712366743054802</v>
      </c>
      <c r="V5" s="66">
        <f>M5/R5</f>
        <v>3.4570897051195683E-2</v>
      </c>
      <c r="W5" s="56" t="e">
        <f>R5/S5</f>
        <v>#DIV/0!</v>
      </c>
    </row>
    <row r="6" spans="1:25" ht="16.5" thickBot="1">
      <c r="A6" s="1852">
        <v>18230405</v>
      </c>
      <c r="B6" s="1852"/>
      <c r="D6" s="1536"/>
      <c r="G6" s="45">
        <v>2017</v>
      </c>
      <c r="H6" s="57">
        <f>E15</f>
        <v>13500</v>
      </c>
      <c r="I6" s="1990">
        <f>E21</f>
        <v>10984.2</v>
      </c>
      <c r="J6" s="1989">
        <f>E27</f>
        <v>16649.256000000001</v>
      </c>
      <c r="K6" s="58">
        <f>E34</f>
        <v>26000</v>
      </c>
      <c r="L6" s="58">
        <f>E40</f>
        <v>1000</v>
      </c>
      <c r="M6" s="58">
        <f>E46</f>
        <v>2500</v>
      </c>
      <c r="N6" s="58">
        <f>E52</f>
        <v>2000</v>
      </c>
      <c r="O6" s="58">
        <f>E58</f>
        <v>0</v>
      </c>
      <c r="P6" s="58">
        <f>E64</f>
        <v>0</v>
      </c>
      <c r="Q6" s="58">
        <f>E65</f>
        <v>0</v>
      </c>
      <c r="R6" s="1997">
        <f>SUM(H6:Q6)</f>
        <v>72633.456000000006</v>
      </c>
      <c r="S6" s="1996">
        <f>U15</f>
        <v>0</v>
      </c>
      <c r="T6" s="66">
        <f>P6/R6</f>
        <v>0</v>
      </c>
      <c r="U6" s="66">
        <f>(K6+(I6*1.63))/R6</f>
        <v>0.60446312784565825</v>
      </c>
      <c r="V6" s="66">
        <f>M6/R6</f>
        <v>3.4419400338048071E-2</v>
      </c>
      <c r="W6" s="56" t="e">
        <f>R6/S6</f>
        <v>#DIV/0!</v>
      </c>
    </row>
    <row r="7" spans="1:25" ht="16.5" thickBot="1">
      <c r="A7" s="1808" t="s">
        <v>5</v>
      </c>
      <c r="B7" s="1808"/>
      <c r="C7" s="1866"/>
      <c r="D7" s="1592"/>
      <c r="E7" s="1867"/>
      <c r="F7" s="1866"/>
      <c r="G7" s="1608" t="s">
        <v>23</v>
      </c>
      <c r="H7" s="1564">
        <f>SUM(H5:H6)</f>
        <v>27000</v>
      </c>
      <c r="I7" s="1991">
        <f t="shared" ref="I7:Q7" si="0">SUM(I5:I6)</f>
        <v>21968.400000000001</v>
      </c>
      <c r="J7" s="1992">
        <f t="shared" si="0"/>
        <v>32980.217400000001</v>
      </c>
      <c r="K7" s="1993">
        <f t="shared" si="0"/>
        <v>52000</v>
      </c>
      <c r="L7" s="1991">
        <f t="shared" si="0"/>
        <v>2000</v>
      </c>
      <c r="M7" s="1992">
        <f t="shared" si="0"/>
        <v>5000</v>
      </c>
      <c r="N7" s="1991">
        <f t="shared" si="0"/>
        <v>4000</v>
      </c>
      <c r="O7" s="1992">
        <f t="shared" si="0"/>
        <v>0</v>
      </c>
      <c r="P7" s="1993">
        <f t="shared" si="0"/>
        <v>0</v>
      </c>
      <c r="Q7" s="1991">
        <f t="shared" si="0"/>
        <v>0</v>
      </c>
      <c r="R7" s="1993">
        <f>SUM(H7:Q7)</f>
        <v>144948.61739999999</v>
      </c>
      <c r="S7" s="1994">
        <f>SUM(S5:S6)</f>
        <v>0</v>
      </c>
      <c r="T7" s="66">
        <f>P7/R7</f>
        <v>0</v>
      </c>
      <c r="U7" s="66">
        <f>(K7+(I7*1.63))/R7</f>
        <v>0.60579047648094364</v>
      </c>
      <c r="V7" s="66">
        <f>M7/R7</f>
        <v>3.4494982357796536E-2</v>
      </c>
      <c r="W7" s="56" t="e">
        <f>R7/S7</f>
        <v>#DIV/0!</v>
      </c>
    </row>
    <row r="8" spans="1:25" ht="15.75">
      <c r="B8" s="1808"/>
      <c r="C8" s="1866"/>
      <c r="D8" s="1592"/>
      <c r="E8" s="1867"/>
      <c r="F8" s="1866"/>
    </row>
    <row r="9" spans="1:25" ht="20.25" customHeight="1">
      <c r="A9" s="1808"/>
      <c r="B9" s="1808"/>
      <c r="C9" s="1866"/>
      <c r="D9" s="1592"/>
      <c r="E9" s="1867"/>
      <c r="F9" s="1866"/>
    </row>
    <row r="10" spans="1:25">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row>
    <row r="11" spans="1:25">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row>
    <row r="12" spans="1:25">
      <c r="C12" s="1887" t="s">
        <v>314</v>
      </c>
      <c r="D12" s="1924">
        <f>D15+D21+D27+D34+D40+D46+D52+D58</f>
        <v>72315.161399999997</v>
      </c>
      <c r="E12" s="1948">
        <f>E15+E21+E27+E34+E40+E46+E52+E58</f>
        <v>72633.456000000006</v>
      </c>
      <c r="F12" s="1924">
        <f>D12+E12</f>
        <v>144948.61739999999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1910" t="s">
        <v>46</v>
      </c>
      <c r="D15" s="1911">
        <f>SUM(D16:D19)</f>
        <v>13500</v>
      </c>
      <c r="E15" s="1926">
        <f>SUM(E16:E19)</f>
        <v>13500</v>
      </c>
      <c r="F15" s="1924">
        <f>D15+E15</f>
        <v>27000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row>
    <row r="16" spans="1:25">
      <c r="B16" s="1885">
        <v>0.05</v>
      </c>
      <c r="C16" s="1876" t="s">
        <v>791</v>
      </c>
      <c r="D16" s="1907">
        <v>4500</v>
      </c>
      <c r="E16" s="1906">
        <v>4500</v>
      </c>
      <c r="F16" s="1879">
        <f>SUM(D16:E16)</f>
        <v>9000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row>
    <row r="17" spans="2:25">
      <c r="B17" s="1885">
        <v>0.1</v>
      </c>
      <c r="C17" s="1876" t="s">
        <v>792</v>
      </c>
      <c r="D17" s="1905">
        <v>9000</v>
      </c>
      <c r="E17" s="1904">
        <v>9000</v>
      </c>
      <c r="F17" s="1879">
        <f t="shared" ref="F17:F19" si="1">SUM(D17:E17)</f>
        <v>18000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row>
    <row r="18" spans="2:25">
      <c r="B18" s="1885"/>
      <c r="C18" s="1876"/>
      <c r="D18" s="1905"/>
      <c r="E18" s="1904"/>
      <c r="F18" s="1879">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row>
    <row r="19" spans="2:25">
      <c r="B19" s="1885"/>
      <c r="C19" s="1876"/>
      <c r="D19" s="1903"/>
      <c r="E19" s="1902"/>
      <c r="F19" s="1879">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row>
    <row r="20" spans="2:25">
      <c r="B20" s="1908">
        <f>SUM(B16:B19)</f>
        <v>0.15000000000000002</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1910" t="s">
        <v>47</v>
      </c>
      <c r="D21" s="1911">
        <f>SUM(D22:D25)</f>
        <v>10984.2</v>
      </c>
      <c r="E21" s="1926">
        <f>SUM(E22:E25)</f>
        <v>10984.2</v>
      </c>
      <c r="F21" s="2157">
        <f>D21+E21</f>
        <v>21968.400000000001</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2974" t="s">
        <v>1177</v>
      </c>
      <c r="D22" s="2975">
        <v>10984.2</v>
      </c>
      <c r="E22" s="2976">
        <v>10984.2</v>
      </c>
      <c r="F22" s="1879">
        <f t="shared" ref="F22:F25" si="2">SUM(D22:E22)</f>
        <v>21968.400000000001</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1876"/>
      <c r="D23" s="1900"/>
      <c r="E23" s="1899"/>
      <c r="F23" s="1879">
        <f t="shared" si="2"/>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1876"/>
      <c r="D24" s="1898"/>
      <c r="E24" s="1897"/>
      <c r="F24" s="1879">
        <f t="shared" si="2"/>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1876"/>
      <c r="D25" s="1896"/>
      <c r="E25" s="1899"/>
      <c r="F25" s="1879">
        <f t="shared" si="2"/>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1910" t="s">
        <v>70</v>
      </c>
      <c r="D27" s="1911">
        <f>SUM(D29:D32)</f>
        <v>16330.9614</v>
      </c>
      <c r="E27" s="1926">
        <f>SUM(E29:E32)</f>
        <v>16649.256000000001</v>
      </c>
      <c r="F27" s="2157">
        <f>D27+E27</f>
        <v>32980.217400000001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1876" t="s">
        <v>778</v>
      </c>
      <c r="D29" s="1971">
        <f>D15*D28</f>
        <v>9004.5</v>
      </c>
      <c r="E29" s="1972">
        <f>E15*E28</f>
        <v>9180</v>
      </c>
      <c r="F29" s="1879">
        <f t="shared" ref="F29:F32" si="3">SUM(D29:E29)</f>
        <v>18184.5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1876" t="s">
        <v>779</v>
      </c>
      <c r="D30" s="1973">
        <f>D21*D28</f>
        <v>7326.461400000001</v>
      </c>
      <c r="E30" s="1972">
        <f>E21*E28</f>
        <v>7469.2560000000012</v>
      </c>
      <c r="F30" s="1879">
        <f t="shared" si="3"/>
        <v>14795.717400000001</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79">
        <f t="shared" si="3"/>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79">
        <f t="shared" si="3"/>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ht="25.5">
      <c r="A34" s="1852" t="s">
        <v>189</v>
      </c>
      <c r="C34" s="1910" t="s">
        <v>49</v>
      </c>
      <c r="D34" s="1911">
        <f>SUM(D35:D38)</f>
        <v>26000</v>
      </c>
      <c r="E34" s="1926">
        <f>SUM(E35:E38)</f>
        <v>26000</v>
      </c>
      <c r="F34" s="2157">
        <f>D34+E34</f>
        <v>52000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1808" t="s">
        <v>289</v>
      </c>
      <c r="C35" s="1876" t="s">
        <v>1182</v>
      </c>
      <c r="D35" s="1971">
        <v>26000</v>
      </c>
      <c r="E35" s="1988">
        <v>26000</v>
      </c>
      <c r="F35" s="1879">
        <f t="shared" ref="F35:F38" si="4">SUM(D35:E35)</f>
        <v>52000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1852" t="s">
        <v>6</v>
      </c>
      <c r="C36" s="1876"/>
      <c r="D36" s="1971"/>
      <c r="E36" s="1988"/>
      <c r="F36" s="1879">
        <f t="shared" si="4"/>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1852">
        <v>18230405</v>
      </c>
      <c r="C37" s="1876"/>
      <c r="D37" s="1971"/>
      <c r="E37" s="1988"/>
      <c r="F37" s="1879">
        <f t="shared" si="4"/>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1808" t="s">
        <v>5</v>
      </c>
      <c r="C38" s="1876"/>
      <c r="D38" s="1971"/>
      <c r="E38" s="1988"/>
      <c r="F38" s="1879">
        <f t="shared" si="4"/>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1911">
        <f>SUM(D41:D44)</f>
        <v>1000</v>
      </c>
      <c r="E40" s="1926">
        <f>SUM(E41:E44)</f>
        <v>1000</v>
      </c>
      <c r="F40" s="2157">
        <f>D40+E40</f>
        <v>2000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1876" t="s">
        <v>1178</v>
      </c>
      <c r="D41" s="1971">
        <v>1000</v>
      </c>
      <c r="E41" s="1988">
        <v>1000</v>
      </c>
      <c r="F41" s="1879">
        <f t="shared" ref="F41:F44" si="5">SUM(D41:E41)</f>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1876"/>
      <c r="D42" s="1971"/>
      <c r="E42" s="1988"/>
      <c r="F42" s="1879">
        <f t="shared" si="5"/>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1876"/>
      <c r="D43" s="1971"/>
      <c r="E43" s="1988"/>
      <c r="F43" s="1879">
        <f t="shared" si="5"/>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1876"/>
      <c r="D44" s="1971"/>
      <c r="E44" s="1988"/>
      <c r="F44" s="1879">
        <f t="shared" si="5"/>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1910" t="s">
        <v>50</v>
      </c>
      <c r="D46" s="1911">
        <f>SUM(D47:D50)</f>
        <v>2500</v>
      </c>
      <c r="E46" s="1926">
        <f>SUM(E47:E50)</f>
        <v>2500</v>
      </c>
      <c r="F46" s="2157">
        <f>D46+E46</f>
        <v>5000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1876" t="s">
        <v>1179</v>
      </c>
      <c r="D47" s="1971">
        <v>2500</v>
      </c>
      <c r="E47" s="1988">
        <v>2500</v>
      </c>
      <c r="F47" s="1879">
        <f t="shared" ref="F47:F50" si="6">SUM(D47:E47)</f>
        <v>5000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1876"/>
      <c r="D48" s="1971"/>
      <c r="E48" s="1988"/>
      <c r="F48" s="1879">
        <f t="shared" si="6"/>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1876"/>
      <c r="D49" s="1971"/>
      <c r="E49" s="1988"/>
      <c r="F49" s="1879">
        <f t="shared" si="6"/>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1876"/>
      <c r="D50" s="1971"/>
      <c r="E50" s="1988"/>
      <c r="F50" s="1879">
        <f t="shared" si="6"/>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1910" t="s">
        <v>51</v>
      </c>
      <c r="D52" s="1911">
        <f>SUM(D53:D56)</f>
        <v>2000</v>
      </c>
      <c r="E52" s="1926">
        <f>SUM(E53:E56)</f>
        <v>2000</v>
      </c>
      <c r="F52" s="2157">
        <f>D52+E52</f>
        <v>4000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1876" t="s">
        <v>1180</v>
      </c>
      <c r="D53" s="1971">
        <v>2000</v>
      </c>
      <c r="E53" s="1972">
        <v>2000</v>
      </c>
      <c r="F53" s="1879">
        <f t="shared" ref="F53:F56" si="7">SUM(D53:E53)</f>
        <v>4000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ht="25.5">
      <c r="A64" s="1852" t="s">
        <v>189</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1852" t="s">
        <v>6</v>
      </c>
      <c r="C66" s="1968"/>
      <c r="D66" s="1963"/>
      <c r="E66" s="1964"/>
      <c r="F66" s="1965"/>
    </row>
    <row r="67" spans="1:25">
      <c r="A67" s="1852">
        <v>18230405</v>
      </c>
      <c r="C67" s="1959" t="s">
        <v>54</v>
      </c>
      <c r="D67" s="1971">
        <v>0</v>
      </c>
      <c r="E67" s="1971">
        <v>0</v>
      </c>
      <c r="F67" s="1956">
        <v>0</v>
      </c>
    </row>
    <row r="68" spans="1:25">
      <c r="A68" s="1808" t="s">
        <v>5</v>
      </c>
    </row>
  </sheetData>
  <customSheetViews>
    <customSheetView guid="{074EB09C-6289-46D7-9513-012B68BCA7BF}" showGridLines="0">
      <pane xSplit="1" ySplit="1" topLeftCell="B2" activePane="bottomRight" state="frozen"/>
      <selection pane="bottomRight" activeCell="E23" sqref="E23"/>
      <pageMargins left="0.2" right="0.23" top="0.37" bottom="0.37" header="0.3" footer="0.3"/>
      <pageSetup paperSize="3" scale="53" orientation="landscape" r:id="rId1"/>
    </customSheetView>
    <customSheetView guid="{D9EFFE19-D14B-4C6F-BDF4-FF696F73968D}" showGridLines="0">
      <pane xSplit="1" ySplit="1" topLeftCell="B2" activePane="bottomRight" state="frozen"/>
      <selection pane="bottomRight" activeCell="F29" sqref="F29"/>
      <pageMargins left="0.2" right="0.23" top="0.37" bottom="0.37" header="0.3" footer="0.3"/>
      <pageSetup paperSize="3" scale="53" orientation="landscape" r:id="rId2"/>
    </customSheetView>
  </customSheetViews>
  <mergeCells count="8">
    <mergeCell ref="R2:S2"/>
    <mergeCell ref="T2:V2"/>
    <mergeCell ref="W2:W3"/>
    <mergeCell ref="H10:P10"/>
    <mergeCell ref="H12:P12"/>
    <mergeCell ref="Q12:S12"/>
    <mergeCell ref="T12:V12"/>
    <mergeCell ref="W12:Y12"/>
  </mergeCells>
  <pageMargins left="0.2" right="0.23" top="0.37" bottom="0.37" header="0.3" footer="0.3"/>
  <pageSetup paperSize="3" scale="53" orientation="landscape" r:id="rId3"/>
  <ignoredErrors>
    <ignoredError sqref="R7" formula="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DB4E3"/>
  </sheetPr>
  <dimension ref="A1:Z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5703125" style="1164" customWidth="1"/>
    <col min="2" max="2" width="15.28515625" style="1866" customWidth="1"/>
    <col min="3" max="3" width="28.5703125" customWidth="1"/>
    <col min="4" max="4" width="21" customWidth="1"/>
    <col min="5" max="5" width="15.5703125" style="9" customWidth="1"/>
    <col min="6" max="6" width="15.5703125" customWidth="1"/>
    <col min="7" max="7" width="19.140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49" max="249" width="24" bestFit="1" customWidth="1"/>
    <col min="250" max="250" width="45.7109375" bestFit="1" customWidth="1"/>
    <col min="251" max="251" width="19.7109375" bestFit="1" customWidth="1"/>
    <col min="252" max="252" width="11.425781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1.425781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1.425781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1.425781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1.425781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1.425781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1.425781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1.425781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1.425781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1.425781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1.425781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1.425781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1.425781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1.425781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1.425781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1.425781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1.425781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1.425781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1.425781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1.425781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1.425781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1.425781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1.425781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1.425781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1.425781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1.425781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1.425781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1.425781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1.425781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1.425781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1.425781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1.425781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1.425781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1.425781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1.425781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1.425781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1.425781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1.425781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1.425781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1.425781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1.425781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1.425781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1.425781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1.425781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1.425781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1.425781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1.425781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1.425781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1.425781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1.425781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1.425781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1.425781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1.425781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1.425781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1.425781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1.425781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1.425781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1.425781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1.425781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1.425781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1.425781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1.425781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1.425781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300</v>
      </c>
      <c r="D1" s="1812" t="s">
        <v>289</v>
      </c>
      <c r="E1" s="1853" t="s">
        <v>6</v>
      </c>
      <c r="F1" s="1853">
        <v>18230433</v>
      </c>
      <c r="G1" s="1853" t="s">
        <v>5</v>
      </c>
      <c r="J1" s="1812"/>
      <c r="K1" s="1812"/>
      <c r="L1" s="1812"/>
      <c r="M1" s="1853" t="s">
        <v>300</v>
      </c>
      <c r="N1" s="1812" t="s">
        <v>289</v>
      </c>
      <c r="O1" s="1853" t="s">
        <v>6</v>
      </c>
      <c r="P1" s="1853">
        <v>18230433</v>
      </c>
      <c r="Q1" s="1853" t="s">
        <v>5</v>
      </c>
      <c r="V1" s="1853" t="s">
        <v>300</v>
      </c>
      <c r="W1" s="1812" t="s">
        <v>289</v>
      </c>
      <c r="X1" s="1853" t="s">
        <v>6</v>
      </c>
      <c r="Y1" s="1853">
        <v>18230433</v>
      </c>
      <c r="Z1" s="1853" t="s">
        <v>5</v>
      </c>
    </row>
    <row r="2" spans="1:26" ht="16.5" thickBot="1">
      <c r="C2" s="45"/>
      <c r="D2" s="46"/>
      <c r="H2" s="1576" t="s">
        <v>674</v>
      </c>
      <c r="R2" s="3596"/>
      <c r="S2" s="3596"/>
      <c r="T2" s="3597" t="s">
        <v>36</v>
      </c>
      <c r="U2" s="3598"/>
      <c r="V2" s="3599"/>
      <c r="W2" s="3594" t="s">
        <v>37</v>
      </c>
    </row>
    <row r="3" spans="1:26" ht="26.25" thickBot="1">
      <c r="A3" s="1852" t="s">
        <v>300</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289</v>
      </c>
      <c r="B4" s="1808"/>
      <c r="C4" s="46"/>
      <c r="G4" s="1704" t="s">
        <v>668</v>
      </c>
      <c r="H4" s="2003">
        <v>0</v>
      </c>
      <c r="I4" s="2002">
        <v>0</v>
      </c>
      <c r="J4" s="2002">
        <v>0</v>
      </c>
      <c r="K4" s="2002">
        <v>5000</v>
      </c>
      <c r="L4" s="2002">
        <v>0</v>
      </c>
      <c r="M4" s="2002">
        <v>0</v>
      </c>
      <c r="N4" s="2002">
        <v>0</v>
      </c>
      <c r="O4" s="2002">
        <v>0</v>
      </c>
      <c r="P4" s="2002">
        <v>0</v>
      </c>
      <c r="Q4" s="2002">
        <v>0</v>
      </c>
      <c r="R4" s="2000">
        <v>5000</v>
      </c>
      <c r="S4" s="1998" t="s">
        <v>679</v>
      </c>
      <c r="T4" s="65">
        <f>P4/R4</f>
        <v>0</v>
      </c>
      <c r="U4" s="65">
        <f>(K4+(I4*1.63))/R4</f>
        <v>1</v>
      </c>
      <c r="V4" s="65">
        <f>M4/R4</f>
        <v>0</v>
      </c>
      <c r="W4" s="52" t="e">
        <f>R4/S4</f>
        <v>#VALUE!</v>
      </c>
    </row>
    <row r="5" spans="1:26"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26" ht="16.5" thickBot="1">
      <c r="A6" s="1852">
        <v>18230433</v>
      </c>
      <c r="B6" s="1852"/>
      <c r="D6" s="1537"/>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26" ht="16.5" thickBot="1">
      <c r="A7" s="1852" t="s">
        <v>5</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613"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614"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row>
    <row r="16" spans="1:26">
      <c r="B16" s="1885"/>
      <c r="C16" s="1876"/>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row>
    <row r="17" spans="2:26">
      <c r="B17" s="1885"/>
      <c r="C17" s="1876"/>
      <c r="D17" s="1905"/>
      <c r="E17" s="1904"/>
      <c r="F17" s="1879">
        <f t="shared" ref="F17:F19"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row>
    <row r="18" spans="2:26">
      <c r="B18" s="1885"/>
      <c r="C18" s="1876"/>
      <c r="D18" s="1905"/>
      <c r="E18" s="1904"/>
      <c r="F18" s="1879">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row>
    <row r="19" spans="2:26">
      <c r="B19" s="1885"/>
      <c r="C19" s="1876"/>
      <c r="D19" s="1903"/>
      <c r="E19" s="1902"/>
      <c r="F19" s="1879">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row>
    <row r="20" spans="2:26">
      <c r="B20" s="1908"/>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row>
    <row r="21" spans="2:26">
      <c r="C21" s="1910" t="s">
        <v>47</v>
      </c>
      <c r="D21" s="1911">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row>
    <row r="22" spans="2:26">
      <c r="C22" s="1876"/>
      <c r="D22" s="1907"/>
      <c r="E22" s="1906"/>
      <c r="F22" s="1879">
        <f t="shared" ref="F22:F25" si="2">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2"/>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2"/>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2"/>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3">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3"/>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3"/>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3"/>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300</v>
      </c>
      <c r="C34" s="1910" t="s">
        <v>49</v>
      </c>
      <c r="D34" s="1911">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289</v>
      </c>
      <c r="C35" s="1876"/>
      <c r="D35" s="1971"/>
      <c r="E35" s="1988"/>
      <c r="F35" s="1879">
        <f t="shared" ref="F35:F38" si="4">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1876"/>
      <c r="D36" s="1971"/>
      <c r="E36" s="1988"/>
      <c r="F36" s="1879">
        <f t="shared" si="4"/>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18230433</v>
      </c>
      <c r="C37" s="1876"/>
      <c r="D37" s="1971"/>
      <c r="E37" s="1988"/>
      <c r="F37" s="1879">
        <f t="shared" si="4"/>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5</v>
      </c>
      <c r="C38" s="1876"/>
      <c r="D38" s="1971"/>
      <c r="E38" s="1988"/>
      <c r="F38" s="1879">
        <f t="shared" si="4"/>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5">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5"/>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5"/>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5"/>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6">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6"/>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6"/>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6"/>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300</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18230433</v>
      </c>
      <c r="C67" s="1959" t="s">
        <v>54</v>
      </c>
      <c r="D67" s="1971">
        <v>0</v>
      </c>
      <c r="E67" s="1971">
        <v>0</v>
      </c>
      <c r="F67" s="1956">
        <v>0</v>
      </c>
    </row>
    <row r="68" spans="1:26">
      <c r="A68" s="1852" t="s">
        <v>5</v>
      </c>
    </row>
  </sheetData>
  <customSheetViews>
    <customSheetView guid="{074EB09C-6289-46D7-9513-012B68BCA7BF}" showGridLines="0">
      <pane xSplit="1" ySplit="1" topLeftCell="B2" activePane="bottomRight" state="frozen"/>
      <selection pane="bottomRight" activeCell="G30" sqref="G30"/>
      <pageMargins left="0.18" right="0.2" top="0.4" bottom="0.33" header="0.3" footer="0.3"/>
      <pageSetup paperSize="17" scale="52" orientation="landscape" r:id="rId1"/>
    </customSheetView>
    <customSheetView guid="{D9EFFE19-D14B-4C6F-BDF4-FF696F73968D}" showGridLines="0">
      <pane xSplit="1" ySplit="1" topLeftCell="B2" activePane="bottomRight" state="frozen"/>
      <selection pane="bottomRight" activeCell="F29" sqref="F29"/>
      <pageMargins left="0.18" right="0.2" top="0.4" bottom="0.33" header="0.3" footer="0.3"/>
      <pageSetup paperSize="17" scale="52" orientation="landscape" r:id="rId2"/>
    </customSheetView>
  </customSheetViews>
  <mergeCells count="8">
    <mergeCell ref="R2:S2"/>
    <mergeCell ref="T2:V2"/>
    <mergeCell ref="W2:W3"/>
    <mergeCell ref="H10:P10"/>
    <mergeCell ref="H12:P12"/>
    <mergeCell ref="Q12:S12"/>
    <mergeCell ref="T12:V12"/>
    <mergeCell ref="W12:Y12"/>
  </mergeCells>
  <pageMargins left="0.18" right="0.2" top="0.4" bottom="0.33" header="0.3" footer="0.3"/>
  <pageSetup paperSize="17" scale="52" orientation="landscape" r:id="rId3"/>
  <ignoredErrors>
    <ignoredError sqref="R7" formula="1"/>
  </ignoredError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2:AK96"/>
  <sheetViews>
    <sheetView showGridLines="0" topLeftCell="D1" zoomScaleNormal="100" workbookViewId="0">
      <selection activeCell="AF105" sqref="AF105"/>
    </sheetView>
  </sheetViews>
  <sheetFormatPr defaultRowHeight="12.75"/>
  <cols>
    <col min="3" max="3" width="0.85546875" customWidth="1"/>
    <col min="4" max="4" width="18.42578125" customWidth="1"/>
    <col min="5" max="5" width="0.85546875" customWidth="1"/>
    <col min="6" max="6" width="28.28515625" customWidth="1"/>
    <col min="7" max="7" width="27.5703125" customWidth="1"/>
    <col min="8" max="8" width="20.5703125" style="2177" customWidth="1"/>
    <col min="9" max="9" width="14.28515625" style="2177" customWidth="1"/>
    <col min="10" max="10" width="0.85546875" style="2177" customWidth="1"/>
    <col min="15" max="15" width="0.85546875" customWidth="1"/>
    <col min="17" max="17" width="10.28515625" customWidth="1"/>
    <col min="20" max="20" width="23.85546875" customWidth="1"/>
    <col min="21" max="21" width="0.85546875" customWidth="1"/>
    <col min="30" max="30" width="0.85546875" customWidth="1"/>
    <col min="31" max="32" width="19.42578125" customWidth="1"/>
    <col min="33" max="34" width="12" customWidth="1"/>
    <col min="35" max="35" width="25.42578125" customWidth="1"/>
    <col min="36" max="36" width="0.85546875" customWidth="1"/>
  </cols>
  <sheetData>
    <row r="2" spans="3:12" ht="15.75">
      <c r="C2" s="607" t="s">
        <v>1659</v>
      </c>
    </row>
    <row r="3" spans="3:12" ht="13.5" thickBot="1"/>
    <row r="4" spans="3:12" ht="4.5" customHeight="1">
      <c r="C4" s="2177"/>
      <c r="D4" s="2177"/>
      <c r="E4" s="3518" t="s">
        <v>1670</v>
      </c>
      <c r="F4" s="3519"/>
      <c r="G4" s="3519"/>
      <c r="H4" s="3519"/>
      <c r="I4" s="3520"/>
      <c r="K4" s="2177"/>
    </row>
    <row r="5" spans="3:12" s="2177" customFormat="1" ht="32.25" customHeight="1">
      <c r="E5" s="3521"/>
      <c r="F5" s="3522"/>
      <c r="G5" s="3522"/>
      <c r="H5" s="3522"/>
      <c r="I5" s="3523"/>
      <c r="J5" s="3170"/>
    </row>
    <row r="6" spans="3:12" ht="28.5" customHeight="1">
      <c r="C6" s="2177"/>
      <c r="D6" s="2177"/>
      <c r="E6" s="3287"/>
      <c r="F6" s="3560" t="s">
        <v>1667</v>
      </c>
      <c r="G6" s="3561"/>
      <c r="H6" s="3562"/>
      <c r="I6" s="3558" t="s">
        <v>1668</v>
      </c>
      <c r="J6" s="2733"/>
      <c r="K6" s="2177"/>
    </row>
    <row r="7" spans="3:12" s="3171" customFormat="1" ht="32.25" customHeight="1">
      <c r="C7" s="3516"/>
      <c r="D7" s="3517"/>
      <c r="E7" s="3292"/>
      <c r="F7" s="3285" t="s">
        <v>40</v>
      </c>
      <c r="G7" s="3200" t="s">
        <v>1663</v>
      </c>
      <c r="H7" s="3473" t="s">
        <v>1791</v>
      </c>
      <c r="I7" s="3559"/>
      <c r="J7" s="2733"/>
      <c r="K7" s="2177"/>
    </row>
    <row r="8" spans="3:12" ht="29.25" customHeight="1">
      <c r="C8" s="3555" t="s">
        <v>5</v>
      </c>
      <c r="D8" s="3556"/>
      <c r="E8" s="3275">
        <f>'2016-2017 Portfolio View'!G81</f>
        <v>537078.35237760004</v>
      </c>
      <c r="F8" s="3276">
        <f>'2016-2017 Portfolio View'!G70</f>
        <v>605193.99687759997</v>
      </c>
      <c r="G8" s="3288">
        <f>ROUND('2016-2017 Portfolio View'!H78,-3)</f>
        <v>198985000</v>
      </c>
      <c r="H8" s="3291">
        <f>'2016-2017 Portfolio View'!G81</f>
        <v>537078.35237760004</v>
      </c>
      <c r="I8" s="3293">
        <v>1.69</v>
      </c>
      <c r="J8" s="3173"/>
      <c r="K8" s="2177"/>
      <c r="L8" t="s">
        <v>1669</v>
      </c>
    </row>
    <row r="9" spans="3:12" s="3192" customFormat="1" ht="22.5" customHeight="1">
      <c r="C9" s="3203"/>
      <c r="D9" s="3197"/>
      <c r="E9" s="3279">
        <f>E8/8760</f>
        <v>61.310314198356167</v>
      </c>
      <c r="F9" s="3280">
        <f>F8/8760</f>
        <v>69.086072702922365</v>
      </c>
      <c r="G9" s="3289"/>
      <c r="H9" s="3413">
        <f>H8/8760</f>
        <v>61.310314198356167</v>
      </c>
      <c r="I9" s="3204"/>
      <c r="J9" s="3195"/>
    </row>
    <row r="10" spans="3:12" s="2051" customFormat="1" ht="20.25" customHeight="1">
      <c r="C10" s="3557" t="s">
        <v>1658</v>
      </c>
      <c r="D10" s="3556"/>
      <c r="E10" s="3277"/>
      <c r="F10" s="3286">
        <f>'2016-2017 Portfolio View'!I70</f>
        <v>7426495.04</v>
      </c>
      <c r="G10" s="3206">
        <f>ROUND('2016-2017 Portfolio View'!J78,-3)</f>
        <v>29481000</v>
      </c>
      <c r="H10" s="3472">
        <f>'2016-2017 Portfolio View'!I81</f>
        <v>6958286.04</v>
      </c>
      <c r="I10" s="3201">
        <v>1.49</v>
      </c>
      <c r="J10" s="3173"/>
      <c r="K10" s="2177"/>
    </row>
    <row r="11" spans="3:12" s="2051" customFormat="1" ht="9" customHeight="1">
      <c r="C11" s="3193"/>
      <c r="D11" s="3194"/>
      <c r="E11" s="3277"/>
      <c r="F11" s="3278"/>
      <c r="G11" s="3288"/>
      <c r="H11" s="3205"/>
      <c r="I11" s="3201"/>
      <c r="J11" s="3173"/>
      <c r="K11" s="2177"/>
    </row>
    <row r="12" spans="3:12" s="2051" customFormat="1" ht="18.75">
      <c r="C12" s="3193"/>
      <c r="D12" s="3194" t="s">
        <v>16</v>
      </c>
      <c r="E12" s="3277"/>
      <c r="F12" s="3278"/>
      <c r="G12" s="3288">
        <f>G8+G10</f>
        <v>228466000</v>
      </c>
      <c r="H12" s="3205"/>
      <c r="I12" s="3201"/>
      <c r="J12" s="3173"/>
      <c r="K12" s="2177"/>
    </row>
    <row r="13" spans="3:12" ht="5.25" customHeight="1" thickBot="1">
      <c r="C13" s="3174"/>
      <c r="D13" s="3174"/>
      <c r="E13" s="3184"/>
      <c r="F13" s="3186"/>
      <c r="G13" s="3290"/>
      <c r="H13" s="3187"/>
      <c r="I13" s="3202"/>
      <c r="J13" s="3173"/>
      <c r="K13" s="2177"/>
    </row>
    <row r="14" spans="3:12" s="2051" customFormat="1" ht="4.5" customHeight="1">
      <c r="C14" s="3189"/>
      <c r="D14" s="3189"/>
      <c r="E14" s="3189"/>
      <c r="F14" s="3191"/>
      <c r="G14" s="3191"/>
      <c r="H14" s="3191"/>
      <c r="I14" s="3191"/>
      <c r="J14" s="3173"/>
      <c r="K14" s="2177"/>
    </row>
    <row r="15" spans="3:12" ht="6" customHeight="1">
      <c r="C15" s="2177"/>
      <c r="D15" s="2177"/>
      <c r="E15" s="2177"/>
      <c r="F15" s="1607"/>
      <c r="G15" s="1607"/>
      <c r="H15" s="1607"/>
      <c r="K15" s="2177"/>
    </row>
    <row r="16" spans="3:12" s="3474" customFormat="1" ht="14.25">
      <c r="C16" s="2308"/>
      <c r="E16" s="2308"/>
      <c r="F16" s="3480" t="s">
        <v>1784</v>
      </c>
      <c r="G16" s="2308"/>
      <c r="H16" s="2308"/>
      <c r="I16" s="2308"/>
      <c r="J16" s="2308"/>
      <c r="K16" s="2308"/>
    </row>
    <row r="17" spans="6:21" s="2308" customFormat="1">
      <c r="F17" s="3480" t="s">
        <v>1785</v>
      </c>
    </row>
    <row r="18" spans="6:21" s="2308" customFormat="1">
      <c r="F18" s="3480" t="s">
        <v>1800</v>
      </c>
    </row>
    <row r="19" spans="6:21" s="2308" customFormat="1" ht="15" customHeight="1"/>
    <row r="20" spans="6:21" ht="15.75">
      <c r="F20" s="1607"/>
      <c r="M20" s="607" t="s">
        <v>1660</v>
      </c>
    </row>
    <row r="23" spans="6:21">
      <c r="M23" s="2177" t="s">
        <v>605</v>
      </c>
      <c r="N23" s="2177"/>
      <c r="O23" s="2177"/>
      <c r="P23" s="2177"/>
      <c r="Q23" s="2177"/>
      <c r="R23" s="2177"/>
      <c r="S23" s="2177"/>
      <c r="T23" s="2177"/>
      <c r="U23" s="2177"/>
    </row>
    <row r="24" spans="6:21" ht="13.5" thickBot="1">
      <c r="M24" s="2177"/>
      <c r="N24" s="2177"/>
      <c r="O24" s="2177"/>
      <c r="P24" s="2177"/>
      <c r="Q24" s="2177"/>
      <c r="R24" s="2177"/>
      <c r="S24" s="2177"/>
      <c r="T24" s="2177"/>
      <c r="U24" s="2177"/>
    </row>
    <row r="25" spans="6:21" ht="4.5" customHeight="1">
      <c r="M25" s="2177"/>
      <c r="N25" s="2177"/>
      <c r="O25" s="3487" t="s">
        <v>1798</v>
      </c>
      <c r="P25" s="3488"/>
      <c r="Q25" s="3488"/>
      <c r="R25" s="3488"/>
      <c r="S25" s="3488"/>
      <c r="T25" s="3542"/>
      <c r="U25" s="2177"/>
    </row>
    <row r="26" spans="6:21" s="2177" customFormat="1" ht="23.25" customHeight="1">
      <c r="O26" s="3552"/>
      <c r="P26" s="3553"/>
      <c r="Q26" s="3553"/>
      <c r="R26" s="3553"/>
      <c r="S26" s="3553"/>
      <c r="T26" s="3554"/>
      <c r="U26" s="3170"/>
    </row>
    <row r="27" spans="6:21" ht="29.25" customHeight="1">
      <c r="M27" s="3516"/>
      <c r="N27" s="3538"/>
      <c r="O27" s="3549" t="s">
        <v>1661</v>
      </c>
      <c r="P27" s="3550"/>
      <c r="Q27" s="3551"/>
      <c r="R27" s="3476" t="s">
        <v>31</v>
      </c>
      <c r="S27" s="3477"/>
      <c r="T27" s="3478" t="s">
        <v>16</v>
      </c>
      <c r="U27" s="2733"/>
    </row>
    <row r="28" spans="6:21" ht="30" customHeight="1">
      <c r="M28" s="3514" t="s">
        <v>1662</v>
      </c>
      <c r="N28" s="3537"/>
      <c r="O28" s="3539">
        <f>('2016-2017 Portfolio View'!G21)</f>
        <v>261686.34027759999</v>
      </c>
      <c r="P28" s="3540"/>
      <c r="Q28" s="3541"/>
      <c r="R28" s="3512">
        <f>('2016-2017 Portfolio View'!I21)</f>
        <v>3505307.64</v>
      </c>
      <c r="S28" s="3513"/>
      <c r="T28" s="3172"/>
      <c r="U28" s="3173"/>
    </row>
    <row r="29" spans="6:21" s="3192" customFormat="1" ht="15.75" customHeight="1">
      <c r="M29" s="3196"/>
      <c r="N29" s="3197"/>
      <c r="O29" s="3528">
        <f>O28/8760</f>
        <v>29.872869894703193</v>
      </c>
      <c r="P29" s="3529"/>
      <c r="Q29" s="3530"/>
      <c r="R29" s="3531" t="s">
        <v>134</v>
      </c>
      <c r="S29" s="3532"/>
      <c r="T29" s="3198"/>
      <c r="U29" s="3195"/>
    </row>
    <row r="30" spans="6:21" ht="13.5" customHeight="1">
      <c r="M30" s="3174"/>
      <c r="N30" s="3174"/>
      <c r="O30" s="3175"/>
      <c r="P30" s="3176"/>
      <c r="Q30" s="3177"/>
      <c r="R30" s="3178"/>
      <c r="S30" s="3177"/>
      <c r="T30" s="3172"/>
      <c r="U30" s="3173"/>
    </row>
    <row r="31" spans="6:21" ht="21" customHeight="1">
      <c r="M31" s="3514" t="s">
        <v>1663</v>
      </c>
      <c r="N31" s="3537"/>
      <c r="O31" s="3533">
        <f>ROUND(('2016-2017 Portfolio View'!H21),-3)</f>
        <v>91160000</v>
      </c>
      <c r="P31" s="3534"/>
      <c r="Q31" s="3535"/>
      <c r="R31" s="3536">
        <f>ROUND(('2016-2017 Portfolio View'!J21),-3)</f>
        <v>14671000</v>
      </c>
      <c r="S31" s="3535"/>
      <c r="T31" s="3199">
        <f>O31+R31</f>
        <v>105831000</v>
      </c>
      <c r="U31" s="3173"/>
    </row>
    <row r="32" spans="6:21" ht="18">
      <c r="M32" s="3179"/>
      <c r="N32" s="3180"/>
      <c r="O32" s="3181"/>
      <c r="P32" s="3182"/>
      <c r="Q32" s="3183"/>
      <c r="R32" s="3182"/>
      <c r="S32" s="3183"/>
      <c r="T32" s="3172"/>
      <c r="U32" s="3173"/>
    </row>
    <row r="33" spans="13:23" ht="18">
      <c r="M33" s="3515" t="s">
        <v>1664</v>
      </c>
      <c r="N33" s="3537"/>
      <c r="O33" s="3524" t="s">
        <v>1780</v>
      </c>
      <c r="P33" s="3525"/>
      <c r="Q33" s="3526"/>
      <c r="R33" s="3527" t="s">
        <v>1781</v>
      </c>
      <c r="S33" s="3526"/>
      <c r="T33" s="3172"/>
      <c r="U33" s="3173"/>
      <c r="W33" t="s">
        <v>1666</v>
      </c>
    </row>
    <row r="34" spans="13:23" ht="19.5" thickBot="1">
      <c r="M34" s="3174"/>
      <c r="N34" s="3174"/>
      <c r="O34" s="3184"/>
      <c r="P34" s="3185"/>
      <c r="Q34" s="3186"/>
      <c r="R34" s="3187"/>
      <c r="S34" s="3186"/>
      <c r="T34" s="3188"/>
      <c r="U34" s="3173"/>
    </row>
    <row r="35" spans="13:23" ht="4.5" customHeight="1">
      <c r="M35" s="3189"/>
      <c r="N35" s="3189"/>
      <c r="O35" s="3189"/>
      <c r="P35" s="3190"/>
      <c r="Q35" s="3191"/>
      <c r="R35" s="3191"/>
      <c r="S35" s="3191"/>
      <c r="T35" s="3191"/>
      <c r="U35" s="3173"/>
    </row>
    <row r="36" spans="13:23">
      <c r="M36" s="2177"/>
      <c r="N36" s="2177"/>
      <c r="O36" s="2177"/>
      <c r="P36" s="2177"/>
      <c r="Q36" s="2177"/>
      <c r="R36" s="2177"/>
      <c r="S36" s="2177"/>
      <c r="T36" s="2177"/>
      <c r="U36" s="2177"/>
    </row>
    <row r="37" spans="13:23">
      <c r="M37" s="2177"/>
      <c r="N37" s="2177"/>
      <c r="O37" s="2177"/>
      <c r="P37" s="2177"/>
      <c r="Q37" s="2177"/>
      <c r="R37" s="2177"/>
      <c r="S37" s="2177"/>
      <c r="T37" s="2177"/>
      <c r="U37" s="2177"/>
    </row>
    <row r="38" spans="13:23">
      <c r="M38" s="2177"/>
      <c r="N38" s="2177"/>
      <c r="O38" s="2177"/>
      <c r="P38" s="2177"/>
      <c r="Q38" s="2177"/>
      <c r="R38" s="2177"/>
      <c r="S38" s="2177"/>
      <c r="T38" s="2177"/>
      <c r="U38" s="2177"/>
    </row>
    <row r="39" spans="13:23">
      <c r="M39" s="2177" t="s">
        <v>1665</v>
      </c>
      <c r="N39" s="2177"/>
      <c r="O39" s="2177"/>
      <c r="P39" s="2177"/>
      <c r="Q39" s="2177"/>
      <c r="R39" s="2177"/>
      <c r="S39" s="2177"/>
      <c r="T39" s="2177"/>
      <c r="U39" s="2177"/>
    </row>
    <row r="40" spans="13:23" ht="13.5" thickBot="1">
      <c r="M40" s="2177"/>
      <c r="N40" s="2177"/>
      <c r="O40" s="2177"/>
      <c r="P40" s="2177"/>
      <c r="Q40" s="2177"/>
      <c r="R40" s="2177"/>
      <c r="S40" s="2177"/>
      <c r="T40" s="2177"/>
      <c r="U40" s="2177"/>
    </row>
    <row r="41" spans="13:23" ht="4.5" customHeight="1">
      <c r="M41" s="2177"/>
      <c r="N41" s="2177"/>
      <c r="O41" s="3487" t="s">
        <v>1797</v>
      </c>
      <c r="P41" s="3488"/>
      <c r="Q41" s="3488"/>
      <c r="R41" s="3488"/>
      <c r="S41" s="3488"/>
      <c r="T41" s="3542"/>
      <c r="U41" s="2177"/>
    </row>
    <row r="42" spans="13:23" s="2177" customFormat="1" ht="26.25" customHeight="1">
      <c r="O42" s="3543"/>
      <c r="P42" s="3493"/>
      <c r="Q42" s="3493"/>
      <c r="R42" s="3493"/>
      <c r="S42" s="3493"/>
      <c r="T42" s="3544"/>
      <c r="U42" s="3170"/>
    </row>
    <row r="43" spans="13:23" ht="30.75" customHeight="1">
      <c r="M43" s="3516"/>
      <c r="N43" s="3538"/>
      <c r="O43" s="3545" t="s">
        <v>1661</v>
      </c>
      <c r="P43" s="3546"/>
      <c r="Q43" s="3547"/>
      <c r="R43" s="3548" t="s">
        <v>31</v>
      </c>
      <c r="S43" s="3547"/>
      <c r="T43" s="3475" t="s">
        <v>16</v>
      </c>
      <c r="U43" s="2733"/>
    </row>
    <row r="44" spans="13:23" ht="18" customHeight="1">
      <c r="M44" s="3514" t="s">
        <v>1662</v>
      </c>
      <c r="N44" s="3537"/>
      <c r="O44" s="3539">
        <f>('2016-2017 Portfolio View'!G30)</f>
        <v>300103.40159999998</v>
      </c>
      <c r="P44" s="3540"/>
      <c r="Q44" s="3541"/>
      <c r="R44" s="3512">
        <f>('2016-2017 Portfolio View'!I30)</f>
        <v>3452978.4</v>
      </c>
      <c r="S44" s="3513"/>
      <c r="T44" s="3172"/>
      <c r="U44" s="3173"/>
    </row>
    <row r="45" spans="13:23" ht="18">
      <c r="M45" s="3174"/>
      <c r="N45" s="3174"/>
      <c r="O45" s="3528">
        <f>O44/8760</f>
        <v>34.258379178082187</v>
      </c>
      <c r="P45" s="3529"/>
      <c r="Q45" s="3530"/>
      <c r="R45" s="3531" t="s">
        <v>134</v>
      </c>
      <c r="S45" s="3532"/>
      <c r="T45" s="3198"/>
      <c r="U45" s="3173"/>
    </row>
    <row r="46" spans="13:23" ht="18">
      <c r="M46" s="3514" t="s">
        <v>1663</v>
      </c>
      <c r="N46" s="3537"/>
      <c r="O46" s="3175"/>
      <c r="P46" s="3176"/>
      <c r="Q46" s="3177"/>
      <c r="R46" s="3178"/>
      <c r="S46" s="3177"/>
      <c r="T46" s="3172"/>
      <c r="U46" s="3173"/>
    </row>
    <row r="47" spans="13:23" ht="18">
      <c r="M47" s="3179"/>
      <c r="N47" s="3180"/>
      <c r="O47" s="3533">
        <f>ROUND(('2016-2017 Portfolio View'!H30),-3)</f>
        <v>75632000</v>
      </c>
      <c r="P47" s="3534"/>
      <c r="Q47" s="3535"/>
      <c r="R47" s="3536">
        <f>ROUND(('2016-2017 Portfolio View'!J30),-3)</f>
        <v>9537000</v>
      </c>
      <c r="S47" s="3535"/>
      <c r="T47" s="3199">
        <f>O47+R47</f>
        <v>85169000</v>
      </c>
      <c r="U47" s="3173"/>
    </row>
    <row r="48" spans="13:23" ht="18">
      <c r="M48" s="3515" t="s">
        <v>1664</v>
      </c>
      <c r="N48" s="3537"/>
      <c r="O48" s="3181"/>
      <c r="P48" s="3182"/>
      <c r="Q48" s="3183"/>
      <c r="R48" s="3182"/>
      <c r="S48" s="3183"/>
      <c r="T48" s="3172"/>
      <c r="U48" s="3173"/>
    </row>
    <row r="49" spans="13:37" s="2177" customFormat="1" ht="18">
      <c r="M49" s="3180"/>
      <c r="N49" s="3180"/>
      <c r="O49" s="3524" t="s">
        <v>1782</v>
      </c>
      <c r="P49" s="3525"/>
      <c r="Q49" s="3526"/>
      <c r="R49" s="3527" t="s">
        <v>1783</v>
      </c>
      <c r="S49" s="3526"/>
      <c r="T49" s="3172"/>
      <c r="U49" s="3173"/>
      <c r="W49" s="2177" t="s">
        <v>1666</v>
      </c>
    </row>
    <row r="50" spans="13:37" ht="19.5" thickBot="1">
      <c r="M50" s="3174"/>
      <c r="N50" s="3174"/>
      <c r="O50" s="3184"/>
      <c r="P50" s="3185"/>
      <c r="Q50" s="3186"/>
      <c r="R50" s="3187"/>
      <c r="S50" s="3186"/>
      <c r="T50" s="3188"/>
      <c r="U50" s="3173"/>
    </row>
    <row r="51" spans="13:37" ht="4.5" customHeight="1">
      <c r="M51" s="3189"/>
      <c r="N51" s="3189"/>
      <c r="O51" s="3189"/>
      <c r="P51" s="3190"/>
      <c r="Q51" s="3191"/>
      <c r="R51" s="3191"/>
      <c r="S51" s="3191"/>
      <c r="T51" s="3191"/>
      <c r="U51" s="3173"/>
    </row>
    <row r="61" spans="13:37">
      <c r="AB61" s="2177" t="s">
        <v>1753</v>
      </c>
      <c r="AC61" s="2177"/>
      <c r="AD61" s="2177"/>
      <c r="AE61" s="2177"/>
      <c r="AF61" s="2177"/>
      <c r="AG61" s="2177"/>
      <c r="AH61" s="2177"/>
      <c r="AI61" s="2177"/>
      <c r="AJ61" s="2177"/>
      <c r="AK61" s="2177"/>
    </row>
    <row r="62" spans="13:37" ht="13.5" thickBot="1">
      <c r="AB62" s="2177"/>
      <c r="AC62" s="2177"/>
      <c r="AD62" s="2177"/>
      <c r="AE62" s="2177"/>
      <c r="AF62" s="2177"/>
      <c r="AG62" s="2177"/>
      <c r="AH62" s="2177"/>
      <c r="AI62" s="2177"/>
      <c r="AJ62" s="2177"/>
      <c r="AK62" s="2177"/>
    </row>
    <row r="63" spans="13:37" ht="4.5" customHeight="1">
      <c r="AB63" s="2177"/>
      <c r="AC63" s="2177"/>
      <c r="AD63" s="3487" t="s">
        <v>1756</v>
      </c>
      <c r="AE63" s="3488"/>
      <c r="AF63" s="3489"/>
      <c r="AG63" s="3488" t="s">
        <v>1754</v>
      </c>
      <c r="AH63" s="3492"/>
      <c r="AI63" s="3508" t="s">
        <v>1755</v>
      </c>
      <c r="AJ63" s="2177"/>
      <c r="AK63" s="2177"/>
    </row>
    <row r="64" spans="13:37" ht="29.25" customHeight="1">
      <c r="AB64" s="3516"/>
      <c r="AC64" s="3517"/>
      <c r="AD64" s="3490"/>
      <c r="AE64" s="3491"/>
      <c r="AF64" s="3491"/>
      <c r="AG64" s="3493"/>
      <c r="AH64" s="3494"/>
      <c r="AI64" s="3509"/>
      <c r="AJ64" s="2733"/>
      <c r="AK64" s="2177"/>
    </row>
    <row r="65" spans="28:37" ht="26.25" customHeight="1">
      <c r="AB65" s="3514"/>
      <c r="AC65" s="3515"/>
      <c r="AD65" s="3510" t="s">
        <v>78</v>
      </c>
      <c r="AE65" s="3511"/>
      <c r="AF65" s="3511"/>
      <c r="AG65" s="3512">
        <f>'2016-2017 Portfolio View'!G21</f>
        <v>261686.34027759999</v>
      </c>
      <c r="AH65" s="3513"/>
      <c r="AI65" s="3397">
        <f>ROUND('2016-2017 Portfolio View'!H21,-3)</f>
        <v>91160000</v>
      </c>
      <c r="AJ65" s="3173"/>
      <c r="AK65" s="2177"/>
    </row>
    <row r="66" spans="28:37" ht="26.25" customHeight="1">
      <c r="AB66" s="3196"/>
      <c r="AC66" s="3197"/>
      <c r="AD66" s="3495" t="s">
        <v>157</v>
      </c>
      <c r="AE66" s="3496"/>
      <c r="AF66" s="3496"/>
      <c r="AG66" s="3498">
        <f>'2016-2017 Portfolio View'!G30</f>
        <v>300103.40159999998</v>
      </c>
      <c r="AH66" s="3499"/>
      <c r="AI66" s="3199">
        <f>ROUND('2016-2017 Portfolio View'!H30,-3)</f>
        <v>75632000</v>
      </c>
      <c r="AJ66" s="3195"/>
      <c r="AK66" s="3192"/>
    </row>
    <row r="67" spans="28:37" s="2177" customFormat="1" ht="26.25" customHeight="1">
      <c r="AB67" s="3196"/>
      <c r="AC67" s="3197"/>
      <c r="AD67" s="3495" t="s">
        <v>77</v>
      </c>
      <c r="AE67" s="3496"/>
      <c r="AF67" s="3497"/>
      <c r="AG67" s="3498">
        <f>'2016-2017 Portfolio View'!G35</f>
        <v>17346.93</v>
      </c>
      <c r="AH67" s="3499"/>
      <c r="AI67" s="3199">
        <f>ROUND('2016-2017 Portfolio View'!H35,-3)</f>
        <v>977000</v>
      </c>
      <c r="AJ67" s="3195"/>
      <c r="AK67" s="3192"/>
    </row>
    <row r="68" spans="28:37" s="2177" customFormat="1" ht="26.25" customHeight="1">
      <c r="AB68" s="3196"/>
      <c r="AC68" s="3197"/>
      <c r="AD68" s="3495" t="s">
        <v>1757</v>
      </c>
      <c r="AE68" s="3496"/>
      <c r="AF68" s="3497"/>
      <c r="AG68" s="3498">
        <f>'2016-2017 Portfolio View'!G41</f>
        <v>26057.325000000001</v>
      </c>
      <c r="AH68" s="3499"/>
      <c r="AI68" s="3199">
        <f>ROUND('2016-2017 Portfolio View'!H41,-3)</f>
        <v>10400000</v>
      </c>
      <c r="AJ68" s="3195"/>
      <c r="AK68" s="3192"/>
    </row>
    <row r="69" spans="28:37" ht="26.25" customHeight="1">
      <c r="AB69" s="3174"/>
      <c r="AC69" s="3174"/>
      <c r="AD69" s="3500" t="s">
        <v>359</v>
      </c>
      <c r="AE69" s="3501"/>
      <c r="AF69" s="3501"/>
      <c r="AG69" s="3502" t="s">
        <v>1759</v>
      </c>
      <c r="AH69" s="3499"/>
      <c r="AI69" s="3199">
        <f>ROUND('2016-2017 Portfolio View'!H59,-3)</f>
        <v>11983000</v>
      </c>
      <c r="AJ69" s="3173"/>
      <c r="AK69" s="2177"/>
    </row>
    <row r="70" spans="28:37" ht="26.25" customHeight="1">
      <c r="AB70" s="3514"/>
      <c r="AC70" s="3515"/>
      <c r="AD70" s="3503" t="s">
        <v>166</v>
      </c>
      <c r="AE70" s="3504"/>
      <c r="AF70" s="3504"/>
      <c r="AG70" s="3502" t="s">
        <v>1759</v>
      </c>
      <c r="AH70" s="3499"/>
      <c r="AI70" s="3199">
        <f>ROUND('2016-2017 Portfolio View'!H68,-3)</f>
        <v>6107000</v>
      </c>
      <c r="AJ70" s="3173"/>
      <c r="AK70" s="2177"/>
    </row>
    <row r="71" spans="28:37" ht="26.25" customHeight="1">
      <c r="AB71" s="3393"/>
      <c r="AC71" s="3394"/>
      <c r="AD71" s="3505" t="s">
        <v>168</v>
      </c>
      <c r="AE71" s="3506"/>
      <c r="AF71" s="3507"/>
      <c r="AG71" s="3502" t="s">
        <v>1759</v>
      </c>
      <c r="AH71" s="3499"/>
      <c r="AI71" s="3479">
        <f>ROUND('2016-2017 Portfolio View'!H75,-3)</f>
        <v>2725000</v>
      </c>
      <c r="AJ71" s="3173"/>
      <c r="AK71" s="2177"/>
    </row>
    <row r="72" spans="28:37" s="2177" customFormat="1" ht="26.25" customHeight="1">
      <c r="AB72" s="3393"/>
      <c r="AC72" s="3394"/>
      <c r="AD72" s="3398"/>
      <c r="AE72" s="3483" t="s">
        <v>1760</v>
      </c>
      <c r="AF72" s="3484"/>
      <c r="AG72" s="3485">
        <f>SUM(AG65:AH71)</f>
        <v>605193.99687759997</v>
      </c>
      <c r="AH72" s="3486"/>
      <c r="AI72" s="3400">
        <f>SUM(AI65:AI71)</f>
        <v>198984000</v>
      </c>
      <c r="AJ72" s="3173"/>
    </row>
    <row r="73" spans="28:37" ht="19.5" thickBot="1">
      <c r="AB73" s="3174"/>
      <c r="AC73" s="3174"/>
      <c r="AD73" s="3395"/>
      <c r="AE73" s="3396"/>
      <c r="AF73" s="3186"/>
      <c r="AG73" s="3481"/>
      <c r="AH73" s="3482"/>
      <c r="AI73" s="3188"/>
      <c r="AJ73" s="3173"/>
      <c r="AK73" s="2177"/>
    </row>
    <row r="74" spans="28:37" ht="4.5" customHeight="1">
      <c r="AB74" s="3189"/>
      <c r="AC74" s="3189"/>
      <c r="AD74" s="3189"/>
      <c r="AE74" s="3190"/>
      <c r="AF74" s="3191"/>
      <c r="AG74" s="3191"/>
      <c r="AH74" s="3191"/>
      <c r="AI74" s="3191"/>
      <c r="AJ74" s="3173"/>
      <c r="AK74" s="2177"/>
    </row>
    <row r="75" spans="28:37">
      <c r="AB75" s="2177"/>
      <c r="AC75" s="2177"/>
      <c r="AD75" s="2177"/>
      <c r="AE75" s="2177"/>
      <c r="AF75" s="2177"/>
      <c r="AG75" s="2177"/>
      <c r="AH75" s="2177"/>
      <c r="AI75" s="2177"/>
      <c r="AJ75" s="2177"/>
      <c r="AK75" s="2177"/>
    </row>
    <row r="76" spans="28:37" s="2177" customFormat="1">
      <c r="AE76" s="2177" t="s">
        <v>1801</v>
      </c>
    </row>
    <row r="77" spans="28:37" s="2177" customFormat="1">
      <c r="AE77" s="2177" t="s">
        <v>1802</v>
      </c>
    </row>
    <row r="80" spans="28:37">
      <c r="AB80" t="s">
        <v>1799</v>
      </c>
    </row>
    <row r="81" spans="30:36" s="2177" customFormat="1" ht="13.5" thickBot="1"/>
    <row r="82" spans="30:36" ht="4.5" customHeight="1">
      <c r="AD82" s="3487" t="s">
        <v>1756</v>
      </c>
      <c r="AE82" s="3488"/>
      <c r="AF82" s="3489"/>
      <c r="AG82" s="3488" t="s">
        <v>1758</v>
      </c>
      <c r="AH82" s="3492"/>
      <c r="AI82" s="3508" t="s">
        <v>1755</v>
      </c>
      <c r="AJ82" s="2177"/>
    </row>
    <row r="83" spans="30:36" ht="40.5" customHeight="1">
      <c r="AD83" s="3490"/>
      <c r="AE83" s="3491"/>
      <c r="AF83" s="3491"/>
      <c r="AG83" s="3493"/>
      <c r="AH83" s="3494"/>
      <c r="AI83" s="3509"/>
      <c r="AJ83" s="2733"/>
    </row>
    <row r="84" spans="30:36" ht="26.25" customHeight="1">
      <c r="AD84" s="3510" t="s">
        <v>78</v>
      </c>
      <c r="AE84" s="3511"/>
      <c r="AF84" s="3511"/>
      <c r="AG84" s="3512">
        <f>'2016-2017 Portfolio View'!I21</f>
        <v>3505307.64</v>
      </c>
      <c r="AH84" s="3513"/>
      <c r="AI84" s="3199">
        <f>ROUND('2016-2017 Portfolio View'!J21,-3)</f>
        <v>14671000</v>
      </c>
      <c r="AJ84" s="3173"/>
    </row>
    <row r="85" spans="30:36" ht="26.25" customHeight="1">
      <c r="AD85" s="3495" t="s">
        <v>157</v>
      </c>
      <c r="AE85" s="3496"/>
      <c r="AF85" s="3496"/>
      <c r="AG85" s="3498">
        <f>'2016-2017 Portfolio View'!I30</f>
        <v>3452978.4</v>
      </c>
      <c r="AH85" s="3499"/>
      <c r="AI85" s="3199">
        <f>ROUND('2016-2017 Portfolio View'!J30,-3)</f>
        <v>9537000</v>
      </c>
      <c r="AJ85" s="3195"/>
    </row>
    <row r="86" spans="30:36" ht="26.25" customHeight="1">
      <c r="AD86" s="3495" t="s">
        <v>77</v>
      </c>
      <c r="AE86" s="3496"/>
      <c r="AF86" s="3497"/>
      <c r="AG86" s="3498">
        <f>'2016-2017 Portfolio View'!I35</f>
        <v>430529</v>
      </c>
      <c r="AH86" s="3499"/>
      <c r="AI86" s="3199">
        <f>ROUND('2016-2017 Portfolio View'!J35,-3)</f>
        <v>181000</v>
      </c>
      <c r="AJ86" s="3195"/>
    </row>
    <row r="87" spans="30:36" ht="26.25" customHeight="1">
      <c r="AD87" s="3495" t="s">
        <v>1757</v>
      </c>
      <c r="AE87" s="3496"/>
      <c r="AF87" s="3497"/>
      <c r="AG87" s="3498">
        <f>'2016-2017 Portfolio View'!I41</f>
        <v>37680</v>
      </c>
      <c r="AH87" s="3499"/>
      <c r="AI87" s="3199">
        <f>ROUND('2016-2017 Portfolio View'!J41,-3)</f>
        <v>2476000</v>
      </c>
      <c r="AJ87" s="3195"/>
    </row>
    <row r="88" spans="30:36" ht="26.25" customHeight="1">
      <c r="AD88" s="3500" t="s">
        <v>359</v>
      </c>
      <c r="AE88" s="3501"/>
      <c r="AF88" s="3501"/>
      <c r="AG88" s="3502" t="s">
        <v>1759</v>
      </c>
      <c r="AH88" s="3499"/>
      <c r="AI88" s="3199">
        <f>ROUND('2016-2017 Portfolio View'!J59,-3)</f>
        <v>1632000</v>
      </c>
      <c r="AJ88" s="3173"/>
    </row>
    <row r="89" spans="30:36" ht="26.25" customHeight="1">
      <c r="AD89" s="3503" t="s">
        <v>166</v>
      </c>
      <c r="AE89" s="3504"/>
      <c r="AF89" s="3504"/>
      <c r="AG89" s="3502" t="s">
        <v>1759</v>
      </c>
      <c r="AH89" s="3499"/>
      <c r="AI89" s="3199">
        <f>ROUND('2016-2017 Portfolio View'!J68,-3)</f>
        <v>984000</v>
      </c>
      <c r="AJ89" s="3173"/>
    </row>
    <row r="90" spans="30:36" ht="26.25" customHeight="1">
      <c r="AD90" s="3505" t="s">
        <v>168</v>
      </c>
      <c r="AE90" s="3506"/>
      <c r="AF90" s="3507"/>
      <c r="AG90" s="3502" t="s">
        <v>1759</v>
      </c>
      <c r="AH90" s="3499"/>
      <c r="AI90" s="3399" t="s">
        <v>1759</v>
      </c>
      <c r="AJ90" s="3173"/>
    </row>
    <row r="91" spans="30:36" s="2177" customFormat="1" ht="26.25" customHeight="1">
      <c r="AD91" s="3398"/>
      <c r="AE91" s="3483" t="s">
        <v>1760</v>
      </c>
      <c r="AF91" s="3484"/>
      <c r="AG91" s="3485">
        <f>SUM(AG84:AH90)</f>
        <v>7426495.04</v>
      </c>
      <c r="AH91" s="3486"/>
      <c r="AI91" s="3401">
        <f>SUM(AI84:AI90)</f>
        <v>29481000</v>
      </c>
      <c r="AJ91" s="3173"/>
    </row>
    <row r="92" spans="30:36" ht="19.5" thickBot="1">
      <c r="AD92" s="3395"/>
      <c r="AE92" s="3396"/>
      <c r="AF92" s="3186"/>
      <c r="AG92" s="3481"/>
      <c r="AH92" s="3482"/>
      <c r="AI92" s="3188"/>
      <c r="AJ92" s="3173"/>
    </row>
    <row r="93" spans="30:36" ht="4.5" customHeight="1">
      <c r="AD93" s="3189"/>
      <c r="AE93" s="3190"/>
      <c r="AF93" s="3191"/>
      <c r="AG93" s="3191"/>
      <c r="AH93" s="3191"/>
      <c r="AI93" s="3191"/>
      <c r="AJ93" s="3173"/>
    </row>
    <row r="95" spans="30:36">
      <c r="AE95" s="2177" t="s">
        <v>1801</v>
      </c>
    </row>
    <row r="96" spans="30:36">
      <c r="AE96" s="2177" t="s">
        <v>1802</v>
      </c>
    </row>
  </sheetData>
  <customSheetViews>
    <customSheetView guid="{074EB09C-6289-46D7-9513-012B68BCA7BF}" showGridLines="0" topLeftCell="B1">
      <selection activeCell="D3" sqref="C3:K17"/>
      <pageMargins left="0.7" right="0.7" top="0.75" bottom="0.75" header="0.3" footer="0.3"/>
      <pageSetup orientation="portrait" r:id="rId1"/>
    </customSheetView>
    <customSheetView guid="{D9EFFE19-D14B-4C6F-BDF4-FF696F73968D}" showGridLines="0" topLeftCell="B1">
      <selection activeCell="D3" sqref="C3:K17"/>
      <pageMargins left="0.7" right="0.7" top="0.75" bottom="0.75" header="0.3" footer="0.3"/>
      <pageSetup orientation="portrait" r:id="rId2"/>
    </customSheetView>
  </customSheetViews>
  <mergeCells count="78">
    <mergeCell ref="O25:T26"/>
    <mergeCell ref="C8:D8"/>
    <mergeCell ref="C10:D10"/>
    <mergeCell ref="I6:I7"/>
    <mergeCell ref="F6:H6"/>
    <mergeCell ref="R31:S31"/>
    <mergeCell ref="M33:N33"/>
    <mergeCell ref="O33:Q33"/>
    <mergeCell ref="R33:S33"/>
    <mergeCell ref="O27:Q27"/>
    <mergeCell ref="M27:N27"/>
    <mergeCell ref="M28:N28"/>
    <mergeCell ref="O28:Q28"/>
    <mergeCell ref="R28:S28"/>
    <mergeCell ref="O44:Q44"/>
    <mergeCell ref="R44:S44"/>
    <mergeCell ref="O41:T42"/>
    <mergeCell ref="O43:Q43"/>
    <mergeCell ref="R43:S43"/>
    <mergeCell ref="E4:I5"/>
    <mergeCell ref="O49:Q49"/>
    <mergeCell ref="R49:S49"/>
    <mergeCell ref="C7:D7"/>
    <mergeCell ref="O29:Q29"/>
    <mergeCell ref="R29:S29"/>
    <mergeCell ref="O45:Q45"/>
    <mergeCell ref="R45:S45"/>
    <mergeCell ref="O47:Q47"/>
    <mergeCell ref="R47:S47"/>
    <mergeCell ref="M46:N46"/>
    <mergeCell ref="M48:N48"/>
    <mergeCell ref="M31:N31"/>
    <mergeCell ref="O31:Q31"/>
    <mergeCell ref="M43:N43"/>
    <mergeCell ref="M44:N44"/>
    <mergeCell ref="AB70:AC70"/>
    <mergeCell ref="AD70:AF70"/>
    <mergeCell ref="AD63:AF64"/>
    <mergeCell ref="AG63:AH64"/>
    <mergeCell ref="AI63:AI64"/>
    <mergeCell ref="AB64:AC64"/>
    <mergeCell ref="AB65:AC65"/>
    <mergeCell ref="AD65:AF65"/>
    <mergeCell ref="AG65:AH65"/>
    <mergeCell ref="AG90:AH90"/>
    <mergeCell ref="AG73:AH73"/>
    <mergeCell ref="AG70:AH70"/>
    <mergeCell ref="AD66:AF66"/>
    <mergeCell ref="AD71:AF71"/>
    <mergeCell ref="AD69:AF69"/>
    <mergeCell ref="AD67:AF67"/>
    <mergeCell ref="AD68:AF68"/>
    <mergeCell ref="AG67:AH67"/>
    <mergeCell ref="AG68:AH68"/>
    <mergeCell ref="AG69:AH69"/>
    <mergeCell ref="AG71:AH71"/>
    <mergeCell ref="AG66:AH66"/>
    <mergeCell ref="AI82:AI83"/>
    <mergeCell ref="AD84:AF84"/>
    <mergeCell ref="AG84:AH84"/>
    <mergeCell ref="AD85:AF85"/>
    <mergeCell ref="AG85:AH85"/>
    <mergeCell ref="AG92:AH92"/>
    <mergeCell ref="AE72:AF72"/>
    <mergeCell ref="AG72:AH72"/>
    <mergeCell ref="AE91:AF91"/>
    <mergeCell ref="AG91:AH91"/>
    <mergeCell ref="AD82:AF83"/>
    <mergeCell ref="AG82:AH83"/>
    <mergeCell ref="AD86:AF86"/>
    <mergeCell ref="AG86:AH86"/>
    <mergeCell ref="AD87:AF87"/>
    <mergeCell ref="AG87:AH87"/>
    <mergeCell ref="AD88:AF88"/>
    <mergeCell ref="AG88:AH88"/>
    <mergeCell ref="AD89:AF89"/>
    <mergeCell ref="AG89:AH89"/>
    <mergeCell ref="AD90:AF90"/>
  </mergeCells>
  <pageMargins left="0.7" right="0.7" top="0.75" bottom="0.75" header="0.3" footer="0.3"/>
  <pageSetup orientation="portrait" r:id="rId3"/>
  <ignoredErrors>
    <ignoredError sqref="AG72 AG9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DB4E3"/>
  </sheetPr>
  <dimension ref="A1:Z68"/>
  <sheetViews>
    <sheetView showGridLines="0" workbookViewId="0">
      <pane xSplit="1" ySplit="1" topLeftCell="G2" activePane="bottomRight" state="frozen"/>
      <selection pane="topRight" activeCell="B1" sqref="B1"/>
      <selection pane="bottomLeft" activeCell="A2" sqref="A2"/>
      <selection pane="bottomRight"/>
    </sheetView>
  </sheetViews>
  <sheetFormatPr defaultRowHeight="12.75"/>
  <cols>
    <col min="1" max="1" width="15.42578125" style="1164" customWidth="1"/>
    <col min="2" max="2" width="16" style="1866" customWidth="1"/>
    <col min="3" max="3" width="28.28515625" customWidth="1"/>
    <col min="4" max="4" width="20.5703125" customWidth="1"/>
    <col min="5" max="5" width="16.28515625" style="9" customWidth="1"/>
    <col min="6" max="6" width="16.28515625" customWidth="1"/>
    <col min="7" max="7" width="16.85546875" customWidth="1"/>
    <col min="8" max="8" width="37" customWidth="1"/>
    <col min="9" max="9" width="15.5703125" bestFit="1" customWidth="1"/>
    <col min="10" max="10" width="14.425781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7" width="16.28515625" bestFit="1" customWidth="1"/>
    <col min="18" max="18" width="16.140625" customWidth="1"/>
    <col min="19" max="19" width="16.85546875" bestFit="1" customWidth="1"/>
    <col min="20" max="20" width="15.7109375" bestFit="1" customWidth="1"/>
    <col min="21" max="21" width="16.28515625" bestFit="1" customWidth="1"/>
    <col min="22" max="22" width="16.5703125" bestFit="1" customWidth="1"/>
    <col min="23" max="23" width="14.28515625" customWidth="1"/>
    <col min="24" max="25" width="16.28515625" customWidth="1"/>
    <col min="26" max="26" width="14.140625" customWidth="1"/>
    <col min="249" max="249" width="24.28515625" bestFit="1" customWidth="1"/>
    <col min="250" max="250" width="45.7109375" bestFit="1" customWidth="1"/>
    <col min="251" max="251" width="19.85546875" bestFit="1" customWidth="1"/>
    <col min="252" max="252" width="15.42578125" bestFit="1" customWidth="1"/>
    <col min="253" max="253" width="20.425781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3" width="16.28515625" bestFit="1" customWidth="1"/>
    <col min="264" max="264" width="16.140625" customWidth="1"/>
    <col min="265" max="265" width="16.85546875" bestFit="1" customWidth="1"/>
    <col min="266" max="266" width="15.7109375" bestFit="1" customWidth="1"/>
    <col min="267" max="267" width="16.28515625" bestFit="1" customWidth="1"/>
    <col min="268" max="268" width="16.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28515625" bestFit="1" customWidth="1"/>
    <col min="506" max="506" width="45.7109375" bestFit="1" customWidth="1"/>
    <col min="507" max="507" width="19.85546875" bestFit="1" customWidth="1"/>
    <col min="508" max="508" width="15.42578125" bestFit="1" customWidth="1"/>
    <col min="509" max="509" width="20.425781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19" width="16.28515625" bestFit="1" customWidth="1"/>
    <col min="520" max="520" width="16.140625" customWidth="1"/>
    <col min="521" max="521" width="16.85546875" bestFit="1" customWidth="1"/>
    <col min="522" max="522" width="15.7109375" bestFit="1" customWidth="1"/>
    <col min="523" max="523" width="16.28515625" bestFit="1" customWidth="1"/>
    <col min="524" max="524" width="16.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28515625" bestFit="1" customWidth="1"/>
    <col min="762" max="762" width="45.7109375" bestFit="1" customWidth="1"/>
    <col min="763" max="763" width="19.85546875" bestFit="1" customWidth="1"/>
    <col min="764" max="764" width="15.42578125" bestFit="1" customWidth="1"/>
    <col min="765" max="765" width="20.425781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5" width="16.28515625" bestFit="1" customWidth="1"/>
    <col min="776" max="776" width="16.140625" customWidth="1"/>
    <col min="777" max="777" width="16.85546875" bestFit="1" customWidth="1"/>
    <col min="778" max="778" width="15.7109375" bestFit="1" customWidth="1"/>
    <col min="779" max="779" width="16.28515625" bestFit="1" customWidth="1"/>
    <col min="780" max="780" width="16.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28515625" bestFit="1" customWidth="1"/>
    <col min="1018" max="1018" width="45.7109375" bestFit="1" customWidth="1"/>
    <col min="1019" max="1019" width="19.85546875" bestFit="1" customWidth="1"/>
    <col min="1020" max="1020" width="15.42578125" bestFit="1" customWidth="1"/>
    <col min="1021" max="1021" width="20.425781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1" width="16.28515625" bestFit="1" customWidth="1"/>
    <col min="1032" max="1032" width="16.140625" customWidth="1"/>
    <col min="1033" max="1033" width="16.85546875" bestFit="1" customWidth="1"/>
    <col min="1034" max="1034" width="15.7109375" bestFit="1" customWidth="1"/>
    <col min="1035" max="1035" width="16.28515625" bestFit="1" customWidth="1"/>
    <col min="1036" max="1036" width="16.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28515625" bestFit="1" customWidth="1"/>
    <col min="1274" max="1274" width="45.7109375" bestFit="1" customWidth="1"/>
    <col min="1275" max="1275" width="19.85546875" bestFit="1" customWidth="1"/>
    <col min="1276" max="1276" width="15.42578125" bestFit="1" customWidth="1"/>
    <col min="1277" max="1277" width="20.425781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7" width="16.28515625" bestFit="1" customWidth="1"/>
    <col min="1288" max="1288" width="16.140625" customWidth="1"/>
    <col min="1289" max="1289" width="16.85546875" bestFit="1" customWidth="1"/>
    <col min="1290" max="1290" width="15.7109375" bestFit="1" customWidth="1"/>
    <col min="1291" max="1291" width="16.28515625" bestFit="1" customWidth="1"/>
    <col min="1292" max="1292" width="16.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28515625" bestFit="1" customWidth="1"/>
    <col min="1530" max="1530" width="45.7109375" bestFit="1" customWidth="1"/>
    <col min="1531" max="1531" width="19.85546875" bestFit="1" customWidth="1"/>
    <col min="1532" max="1532" width="15.42578125" bestFit="1" customWidth="1"/>
    <col min="1533" max="1533" width="20.425781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3" width="16.28515625" bestFit="1" customWidth="1"/>
    <col min="1544" max="1544" width="16.140625" customWidth="1"/>
    <col min="1545" max="1545" width="16.85546875" bestFit="1" customWidth="1"/>
    <col min="1546" max="1546" width="15.7109375" bestFit="1" customWidth="1"/>
    <col min="1547" max="1547" width="16.28515625" bestFit="1" customWidth="1"/>
    <col min="1548" max="1548" width="16.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28515625" bestFit="1" customWidth="1"/>
    <col min="1786" max="1786" width="45.7109375" bestFit="1" customWidth="1"/>
    <col min="1787" max="1787" width="19.85546875" bestFit="1" customWidth="1"/>
    <col min="1788" max="1788" width="15.42578125" bestFit="1" customWidth="1"/>
    <col min="1789" max="1789" width="20.425781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799" width="16.28515625" bestFit="1" customWidth="1"/>
    <col min="1800" max="1800" width="16.140625" customWidth="1"/>
    <col min="1801" max="1801" width="16.85546875" bestFit="1" customWidth="1"/>
    <col min="1802" max="1802" width="15.7109375" bestFit="1" customWidth="1"/>
    <col min="1803" max="1803" width="16.28515625" bestFit="1" customWidth="1"/>
    <col min="1804" max="1804" width="16.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28515625" bestFit="1" customWidth="1"/>
    <col min="2042" max="2042" width="45.7109375" bestFit="1" customWidth="1"/>
    <col min="2043" max="2043" width="19.85546875" bestFit="1" customWidth="1"/>
    <col min="2044" max="2044" width="15.42578125" bestFit="1" customWidth="1"/>
    <col min="2045" max="2045" width="20.425781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5" width="16.28515625" bestFit="1" customWidth="1"/>
    <col min="2056" max="2056" width="16.140625" customWidth="1"/>
    <col min="2057" max="2057" width="16.85546875" bestFit="1" customWidth="1"/>
    <col min="2058" max="2058" width="15.7109375" bestFit="1" customWidth="1"/>
    <col min="2059" max="2059" width="16.28515625" bestFit="1" customWidth="1"/>
    <col min="2060" max="2060" width="16.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28515625" bestFit="1" customWidth="1"/>
    <col min="2298" max="2298" width="45.7109375" bestFit="1" customWidth="1"/>
    <col min="2299" max="2299" width="19.85546875" bestFit="1" customWidth="1"/>
    <col min="2300" max="2300" width="15.42578125" bestFit="1" customWidth="1"/>
    <col min="2301" max="2301" width="20.425781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1" width="16.28515625" bestFit="1" customWidth="1"/>
    <col min="2312" max="2312" width="16.140625" customWidth="1"/>
    <col min="2313" max="2313" width="16.85546875" bestFit="1" customWidth="1"/>
    <col min="2314" max="2314" width="15.7109375" bestFit="1" customWidth="1"/>
    <col min="2315" max="2315" width="16.28515625" bestFit="1" customWidth="1"/>
    <col min="2316" max="2316" width="16.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28515625" bestFit="1" customWidth="1"/>
    <col min="2554" max="2554" width="45.7109375" bestFit="1" customWidth="1"/>
    <col min="2555" max="2555" width="19.85546875" bestFit="1" customWidth="1"/>
    <col min="2556" max="2556" width="15.42578125" bestFit="1" customWidth="1"/>
    <col min="2557" max="2557" width="20.425781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7" width="16.28515625" bestFit="1" customWidth="1"/>
    <col min="2568" max="2568" width="16.140625" customWidth="1"/>
    <col min="2569" max="2569" width="16.85546875" bestFit="1" customWidth="1"/>
    <col min="2570" max="2570" width="15.7109375" bestFit="1" customWidth="1"/>
    <col min="2571" max="2571" width="16.28515625" bestFit="1" customWidth="1"/>
    <col min="2572" max="2572" width="16.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28515625" bestFit="1" customWidth="1"/>
    <col min="2810" max="2810" width="45.7109375" bestFit="1" customWidth="1"/>
    <col min="2811" max="2811" width="19.85546875" bestFit="1" customWidth="1"/>
    <col min="2812" max="2812" width="15.42578125" bestFit="1" customWidth="1"/>
    <col min="2813" max="2813" width="20.425781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3" width="16.28515625" bestFit="1" customWidth="1"/>
    <col min="2824" max="2824" width="16.140625" customWidth="1"/>
    <col min="2825" max="2825" width="16.85546875" bestFit="1" customWidth="1"/>
    <col min="2826" max="2826" width="15.7109375" bestFit="1" customWidth="1"/>
    <col min="2827" max="2827" width="16.28515625" bestFit="1" customWidth="1"/>
    <col min="2828" max="2828" width="16.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28515625" bestFit="1" customWidth="1"/>
    <col min="3066" max="3066" width="45.7109375" bestFit="1" customWidth="1"/>
    <col min="3067" max="3067" width="19.85546875" bestFit="1" customWidth="1"/>
    <col min="3068" max="3068" width="15.42578125" bestFit="1" customWidth="1"/>
    <col min="3069" max="3069" width="20.425781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79" width="16.28515625" bestFit="1" customWidth="1"/>
    <col min="3080" max="3080" width="16.140625" customWidth="1"/>
    <col min="3081" max="3081" width="16.85546875" bestFit="1" customWidth="1"/>
    <col min="3082" max="3082" width="15.7109375" bestFit="1" customWidth="1"/>
    <col min="3083" max="3083" width="16.28515625" bestFit="1" customWidth="1"/>
    <col min="3084" max="3084" width="16.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28515625" bestFit="1" customWidth="1"/>
    <col min="3322" max="3322" width="45.7109375" bestFit="1" customWidth="1"/>
    <col min="3323" max="3323" width="19.85546875" bestFit="1" customWidth="1"/>
    <col min="3324" max="3324" width="15.42578125" bestFit="1" customWidth="1"/>
    <col min="3325" max="3325" width="20.425781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5" width="16.28515625" bestFit="1" customWidth="1"/>
    <col min="3336" max="3336" width="16.140625" customWidth="1"/>
    <col min="3337" max="3337" width="16.85546875" bestFit="1" customWidth="1"/>
    <col min="3338" max="3338" width="15.7109375" bestFit="1" customWidth="1"/>
    <col min="3339" max="3339" width="16.28515625" bestFit="1" customWidth="1"/>
    <col min="3340" max="3340" width="16.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28515625" bestFit="1" customWidth="1"/>
    <col min="3578" max="3578" width="45.7109375" bestFit="1" customWidth="1"/>
    <col min="3579" max="3579" width="19.85546875" bestFit="1" customWidth="1"/>
    <col min="3580" max="3580" width="15.42578125" bestFit="1" customWidth="1"/>
    <col min="3581" max="3581" width="20.425781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1" width="16.28515625" bestFit="1" customWidth="1"/>
    <col min="3592" max="3592" width="16.140625" customWidth="1"/>
    <col min="3593" max="3593" width="16.85546875" bestFit="1" customWidth="1"/>
    <col min="3594" max="3594" width="15.7109375" bestFit="1" customWidth="1"/>
    <col min="3595" max="3595" width="16.28515625" bestFit="1" customWidth="1"/>
    <col min="3596" max="3596" width="16.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28515625" bestFit="1" customWidth="1"/>
    <col min="3834" max="3834" width="45.7109375" bestFit="1" customWidth="1"/>
    <col min="3835" max="3835" width="19.85546875" bestFit="1" customWidth="1"/>
    <col min="3836" max="3836" width="15.42578125" bestFit="1" customWidth="1"/>
    <col min="3837" max="3837" width="20.425781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7" width="16.28515625" bestFit="1" customWidth="1"/>
    <col min="3848" max="3848" width="16.140625" customWidth="1"/>
    <col min="3849" max="3849" width="16.85546875" bestFit="1" customWidth="1"/>
    <col min="3850" max="3850" width="15.7109375" bestFit="1" customWidth="1"/>
    <col min="3851" max="3851" width="16.28515625" bestFit="1" customWidth="1"/>
    <col min="3852" max="3852" width="16.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28515625" bestFit="1" customWidth="1"/>
    <col min="4090" max="4090" width="45.7109375" bestFit="1" customWidth="1"/>
    <col min="4091" max="4091" width="19.85546875" bestFit="1" customWidth="1"/>
    <col min="4092" max="4092" width="15.42578125" bestFit="1" customWidth="1"/>
    <col min="4093" max="4093" width="20.425781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3" width="16.28515625" bestFit="1" customWidth="1"/>
    <col min="4104" max="4104" width="16.140625" customWidth="1"/>
    <col min="4105" max="4105" width="16.85546875" bestFit="1" customWidth="1"/>
    <col min="4106" max="4106" width="15.7109375" bestFit="1" customWidth="1"/>
    <col min="4107" max="4107" width="16.28515625" bestFit="1" customWidth="1"/>
    <col min="4108" max="4108" width="16.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28515625" bestFit="1" customWidth="1"/>
    <col min="4346" max="4346" width="45.7109375" bestFit="1" customWidth="1"/>
    <col min="4347" max="4347" width="19.85546875" bestFit="1" customWidth="1"/>
    <col min="4348" max="4348" width="15.42578125" bestFit="1" customWidth="1"/>
    <col min="4349" max="4349" width="20.425781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59" width="16.28515625" bestFit="1" customWidth="1"/>
    <col min="4360" max="4360" width="16.140625" customWidth="1"/>
    <col min="4361" max="4361" width="16.85546875" bestFit="1" customWidth="1"/>
    <col min="4362" max="4362" width="15.7109375" bestFit="1" customWidth="1"/>
    <col min="4363" max="4363" width="16.28515625" bestFit="1" customWidth="1"/>
    <col min="4364" max="4364" width="16.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28515625" bestFit="1" customWidth="1"/>
    <col min="4602" max="4602" width="45.7109375" bestFit="1" customWidth="1"/>
    <col min="4603" max="4603" width="19.85546875" bestFit="1" customWidth="1"/>
    <col min="4604" max="4604" width="15.42578125" bestFit="1" customWidth="1"/>
    <col min="4605" max="4605" width="20.425781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5" width="16.28515625" bestFit="1" customWidth="1"/>
    <col min="4616" max="4616" width="16.140625" customWidth="1"/>
    <col min="4617" max="4617" width="16.85546875" bestFit="1" customWidth="1"/>
    <col min="4618" max="4618" width="15.7109375" bestFit="1" customWidth="1"/>
    <col min="4619" max="4619" width="16.28515625" bestFit="1" customWidth="1"/>
    <col min="4620" max="4620" width="16.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28515625" bestFit="1" customWidth="1"/>
    <col min="4858" max="4858" width="45.7109375" bestFit="1" customWidth="1"/>
    <col min="4859" max="4859" width="19.85546875" bestFit="1" customWidth="1"/>
    <col min="4860" max="4860" width="15.42578125" bestFit="1" customWidth="1"/>
    <col min="4861" max="4861" width="20.425781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1" width="16.28515625" bestFit="1" customWidth="1"/>
    <col min="4872" max="4872" width="16.140625" customWidth="1"/>
    <col min="4873" max="4873" width="16.85546875" bestFit="1" customWidth="1"/>
    <col min="4874" max="4874" width="15.7109375" bestFit="1" customWidth="1"/>
    <col min="4875" max="4875" width="16.28515625" bestFit="1" customWidth="1"/>
    <col min="4876" max="4876" width="16.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28515625" bestFit="1" customWidth="1"/>
    <col min="5114" max="5114" width="45.7109375" bestFit="1" customWidth="1"/>
    <col min="5115" max="5115" width="19.85546875" bestFit="1" customWidth="1"/>
    <col min="5116" max="5116" width="15.42578125" bestFit="1" customWidth="1"/>
    <col min="5117" max="5117" width="20.425781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7" width="16.28515625" bestFit="1" customWidth="1"/>
    <col min="5128" max="5128" width="16.140625" customWidth="1"/>
    <col min="5129" max="5129" width="16.85546875" bestFit="1" customWidth="1"/>
    <col min="5130" max="5130" width="15.7109375" bestFit="1" customWidth="1"/>
    <col min="5131" max="5131" width="16.28515625" bestFit="1" customWidth="1"/>
    <col min="5132" max="5132" width="16.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28515625" bestFit="1" customWidth="1"/>
    <col min="5370" max="5370" width="45.7109375" bestFit="1" customWidth="1"/>
    <col min="5371" max="5371" width="19.85546875" bestFit="1" customWidth="1"/>
    <col min="5372" max="5372" width="15.42578125" bestFit="1" customWidth="1"/>
    <col min="5373" max="5373" width="20.425781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3" width="16.28515625" bestFit="1" customWidth="1"/>
    <col min="5384" max="5384" width="16.140625" customWidth="1"/>
    <col min="5385" max="5385" width="16.85546875" bestFit="1" customWidth="1"/>
    <col min="5386" max="5386" width="15.7109375" bestFit="1" customWidth="1"/>
    <col min="5387" max="5387" width="16.28515625" bestFit="1" customWidth="1"/>
    <col min="5388" max="5388" width="16.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28515625" bestFit="1" customWidth="1"/>
    <col min="5626" max="5626" width="45.7109375" bestFit="1" customWidth="1"/>
    <col min="5627" max="5627" width="19.85546875" bestFit="1" customWidth="1"/>
    <col min="5628" max="5628" width="15.42578125" bestFit="1" customWidth="1"/>
    <col min="5629" max="5629" width="20.425781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39" width="16.28515625" bestFit="1" customWidth="1"/>
    <col min="5640" max="5640" width="16.140625" customWidth="1"/>
    <col min="5641" max="5641" width="16.85546875" bestFit="1" customWidth="1"/>
    <col min="5642" max="5642" width="15.7109375" bestFit="1" customWidth="1"/>
    <col min="5643" max="5643" width="16.28515625" bestFit="1" customWidth="1"/>
    <col min="5644" max="5644" width="16.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28515625" bestFit="1" customWidth="1"/>
    <col min="5882" max="5882" width="45.7109375" bestFit="1" customWidth="1"/>
    <col min="5883" max="5883" width="19.85546875" bestFit="1" customWidth="1"/>
    <col min="5884" max="5884" width="15.42578125" bestFit="1" customWidth="1"/>
    <col min="5885" max="5885" width="20.425781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5" width="16.28515625" bestFit="1" customWidth="1"/>
    <col min="5896" max="5896" width="16.140625" customWidth="1"/>
    <col min="5897" max="5897" width="16.85546875" bestFit="1" customWidth="1"/>
    <col min="5898" max="5898" width="15.7109375" bestFit="1" customWidth="1"/>
    <col min="5899" max="5899" width="16.28515625" bestFit="1" customWidth="1"/>
    <col min="5900" max="5900" width="16.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28515625" bestFit="1" customWidth="1"/>
    <col min="6138" max="6138" width="45.7109375" bestFit="1" customWidth="1"/>
    <col min="6139" max="6139" width="19.85546875" bestFit="1" customWidth="1"/>
    <col min="6140" max="6140" width="15.42578125" bestFit="1" customWidth="1"/>
    <col min="6141" max="6141" width="20.425781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1" width="16.28515625" bestFit="1" customWidth="1"/>
    <col min="6152" max="6152" width="16.140625" customWidth="1"/>
    <col min="6153" max="6153" width="16.85546875" bestFit="1" customWidth="1"/>
    <col min="6154" max="6154" width="15.7109375" bestFit="1" customWidth="1"/>
    <col min="6155" max="6155" width="16.28515625" bestFit="1" customWidth="1"/>
    <col min="6156" max="6156" width="16.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28515625" bestFit="1" customWidth="1"/>
    <col min="6394" max="6394" width="45.7109375" bestFit="1" customWidth="1"/>
    <col min="6395" max="6395" width="19.85546875" bestFit="1" customWidth="1"/>
    <col min="6396" max="6396" width="15.42578125" bestFit="1" customWidth="1"/>
    <col min="6397" max="6397" width="20.425781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7" width="16.28515625" bestFit="1" customWidth="1"/>
    <col min="6408" max="6408" width="16.140625" customWidth="1"/>
    <col min="6409" max="6409" width="16.85546875" bestFit="1" customWidth="1"/>
    <col min="6410" max="6410" width="15.7109375" bestFit="1" customWidth="1"/>
    <col min="6411" max="6411" width="16.28515625" bestFit="1" customWidth="1"/>
    <col min="6412" max="6412" width="16.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28515625" bestFit="1" customWidth="1"/>
    <col min="6650" max="6650" width="45.7109375" bestFit="1" customWidth="1"/>
    <col min="6651" max="6651" width="19.85546875" bestFit="1" customWidth="1"/>
    <col min="6652" max="6652" width="15.42578125" bestFit="1" customWidth="1"/>
    <col min="6653" max="6653" width="20.425781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3" width="16.28515625" bestFit="1" customWidth="1"/>
    <col min="6664" max="6664" width="16.140625" customWidth="1"/>
    <col min="6665" max="6665" width="16.85546875" bestFit="1" customWidth="1"/>
    <col min="6666" max="6666" width="15.7109375" bestFit="1" customWidth="1"/>
    <col min="6667" max="6667" width="16.28515625" bestFit="1" customWidth="1"/>
    <col min="6668" max="6668" width="16.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28515625" bestFit="1" customWidth="1"/>
    <col min="6906" max="6906" width="45.7109375" bestFit="1" customWidth="1"/>
    <col min="6907" max="6907" width="19.85546875" bestFit="1" customWidth="1"/>
    <col min="6908" max="6908" width="15.42578125" bestFit="1" customWidth="1"/>
    <col min="6909" max="6909" width="20.425781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19" width="16.28515625" bestFit="1" customWidth="1"/>
    <col min="6920" max="6920" width="16.140625" customWidth="1"/>
    <col min="6921" max="6921" width="16.85546875" bestFit="1" customWidth="1"/>
    <col min="6922" max="6922" width="15.7109375" bestFit="1" customWidth="1"/>
    <col min="6923" max="6923" width="16.28515625" bestFit="1" customWidth="1"/>
    <col min="6924" max="6924" width="16.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28515625" bestFit="1" customWidth="1"/>
    <col min="7162" max="7162" width="45.7109375" bestFit="1" customWidth="1"/>
    <col min="7163" max="7163" width="19.85546875" bestFit="1" customWidth="1"/>
    <col min="7164" max="7164" width="15.42578125" bestFit="1" customWidth="1"/>
    <col min="7165" max="7165" width="20.425781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5" width="16.28515625" bestFit="1" customWidth="1"/>
    <col min="7176" max="7176" width="16.140625" customWidth="1"/>
    <col min="7177" max="7177" width="16.85546875" bestFit="1" customWidth="1"/>
    <col min="7178" max="7178" width="15.7109375" bestFit="1" customWidth="1"/>
    <col min="7179" max="7179" width="16.28515625" bestFit="1" customWidth="1"/>
    <col min="7180" max="7180" width="16.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28515625" bestFit="1" customWidth="1"/>
    <col min="7418" max="7418" width="45.7109375" bestFit="1" customWidth="1"/>
    <col min="7419" max="7419" width="19.85546875" bestFit="1" customWidth="1"/>
    <col min="7420" max="7420" width="15.42578125" bestFit="1" customWidth="1"/>
    <col min="7421" max="7421" width="20.425781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1" width="16.28515625" bestFit="1" customWidth="1"/>
    <col min="7432" max="7432" width="16.140625" customWidth="1"/>
    <col min="7433" max="7433" width="16.85546875" bestFit="1" customWidth="1"/>
    <col min="7434" max="7434" width="15.7109375" bestFit="1" customWidth="1"/>
    <col min="7435" max="7435" width="16.28515625" bestFit="1" customWidth="1"/>
    <col min="7436" max="7436" width="16.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28515625" bestFit="1" customWidth="1"/>
    <col min="7674" max="7674" width="45.7109375" bestFit="1" customWidth="1"/>
    <col min="7675" max="7675" width="19.85546875" bestFit="1" customWidth="1"/>
    <col min="7676" max="7676" width="15.42578125" bestFit="1" customWidth="1"/>
    <col min="7677" max="7677" width="20.425781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7" width="16.28515625" bestFit="1" customWidth="1"/>
    <col min="7688" max="7688" width="16.140625" customWidth="1"/>
    <col min="7689" max="7689" width="16.85546875" bestFit="1" customWidth="1"/>
    <col min="7690" max="7690" width="15.7109375" bestFit="1" customWidth="1"/>
    <col min="7691" max="7691" width="16.28515625" bestFit="1" customWidth="1"/>
    <col min="7692" max="7692" width="16.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28515625" bestFit="1" customWidth="1"/>
    <col min="7930" max="7930" width="45.7109375" bestFit="1" customWidth="1"/>
    <col min="7931" max="7931" width="19.85546875" bestFit="1" customWidth="1"/>
    <col min="7932" max="7932" width="15.42578125" bestFit="1" customWidth="1"/>
    <col min="7933" max="7933" width="20.425781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3" width="16.28515625" bestFit="1" customWidth="1"/>
    <col min="7944" max="7944" width="16.140625" customWidth="1"/>
    <col min="7945" max="7945" width="16.85546875" bestFit="1" customWidth="1"/>
    <col min="7946" max="7946" width="15.7109375" bestFit="1" customWidth="1"/>
    <col min="7947" max="7947" width="16.28515625" bestFit="1" customWidth="1"/>
    <col min="7948" max="7948" width="16.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28515625" bestFit="1" customWidth="1"/>
    <col min="8186" max="8186" width="45.7109375" bestFit="1" customWidth="1"/>
    <col min="8187" max="8187" width="19.85546875" bestFit="1" customWidth="1"/>
    <col min="8188" max="8188" width="15.42578125" bestFit="1" customWidth="1"/>
    <col min="8189" max="8189" width="20.425781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199" width="16.28515625" bestFit="1" customWidth="1"/>
    <col min="8200" max="8200" width="16.140625" customWidth="1"/>
    <col min="8201" max="8201" width="16.85546875" bestFit="1" customWidth="1"/>
    <col min="8202" max="8202" width="15.7109375" bestFit="1" customWidth="1"/>
    <col min="8203" max="8203" width="16.28515625" bestFit="1" customWidth="1"/>
    <col min="8204" max="8204" width="16.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28515625" bestFit="1" customWidth="1"/>
    <col min="8442" max="8442" width="45.7109375" bestFit="1" customWidth="1"/>
    <col min="8443" max="8443" width="19.85546875" bestFit="1" customWidth="1"/>
    <col min="8444" max="8444" width="15.42578125" bestFit="1" customWidth="1"/>
    <col min="8445" max="8445" width="20.425781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5" width="16.28515625" bestFit="1" customWidth="1"/>
    <col min="8456" max="8456" width="16.140625" customWidth="1"/>
    <col min="8457" max="8457" width="16.85546875" bestFit="1" customWidth="1"/>
    <col min="8458" max="8458" width="15.7109375" bestFit="1" customWidth="1"/>
    <col min="8459" max="8459" width="16.28515625" bestFit="1" customWidth="1"/>
    <col min="8460" max="8460" width="16.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28515625" bestFit="1" customWidth="1"/>
    <col min="8698" max="8698" width="45.7109375" bestFit="1" customWidth="1"/>
    <col min="8699" max="8699" width="19.85546875" bestFit="1" customWidth="1"/>
    <col min="8700" max="8700" width="15.42578125" bestFit="1" customWidth="1"/>
    <col min="8701" max="8701" width="20.425781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1" width="16.28515625" bestFit="1" customWidth="1"/>
    <col min="8712" max="8712" width="16.140625" customWidth="1"/>
    <col min="8713" max="8713" width="16.85546875" bestFit="1" customWidth="1"/>
    <col min="8714" max="8714" width="15.7109375" bestFit="1" customWidth="1"/>
    <col min="8715" max="8715" width="16.28515625" bestFit="1" customWidth="1"/>
    <col min="8716" max="8716" width="16.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28515625" bestFit="1" customWidth="1"/>
    <col min="8954" max="8954" width="45.7109375" bestFit="1" customWidth="1"/>
    <col min="8955" max="8955" width="19.85546875" bestFit="1" customWidth="1"/>
    <col min="8956" max="8956" width="15.42578125" bestFit="1" customWidth="1"/>
    <col min="8957" max="8957" width="20.425781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7" width="16.28515625" bestFit="1" customWidth="1"/>
    <col min="8968" max="8968" width="16.140625" customWidth="1"/>
    <col min="8969" max="8969" width="16.85546875" bestFit="1" customWidth="1"/>
    <col min="8970" max="8970" width="15.7109375" bestFit="1" customWidth="1"/>
    <col min="8971" max="8971" width="16.28515625" bestFit="1" customWidth="1"/>
    <col min="8972" max="8972" width="16.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28515625" bestFit="1" customWidth="1"/>
    <col min="9210" max="9210" width="45.7109375" bestFit="1" customWidth="1"/>
    <col min="9211" max="9211" width="19.85546875" bestFit="1" customWidth="1"/>
    <col min="9212" max="9212" width="15.42578125" bestFit="1" customWidth="1"/>
    <col min="9213" max="9213" width="20.425781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3" width="16.28515625" bestFit="1" customWidth="1"/>
    <col min="9224" max="9224" width="16.140625" customWidth="1"/>
    <col min="9225" max="9225" width="16.85546875" bestFit="1" customWidth="1"/>
    <col min="9226" max="9226" width="15.7109375" bestFit="1" customWidth="1"/>
    <col min="9227" max="9227" width="16.28515625" bestFit="1" customWidth="1"/>
    <col min="9228" max="9228" width="16.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28515625" bestFit="1" customWidth="1"/>
    <col min="9466" max="9466" width="45.7109375" bestFit="1" customWidth="1"/>
    <col min="9467" max="9467" width="19.85546875" bestFit="1" customWidth="1"/>
    <col min="9468" max="9468" width="15.42578125" bestFit="1" customWidth="1"/>
    <col min="9469" max="9469" width="20.425781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79" width="16.28515625" bestFit="1" customWidth="1"/>
    <col min="9480" max="9480" width="16.140625" customWidth="1"/>
    <col min="9481" max="9481" width="16.85546875" bestFit="1" customWidth="1"/>
    <col min="9482" max="9482" width="15.7109375" bestFit="1" customWidth="1"/>
    <col min="9483" max="9483" width="16.28515625" bestFit="1" customWidth="1"/>
    <col min="9484" max="9484" width="16.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28515625" bestFit="1" customWidth="1"/>
    <col min="9722" max="9722" width="45.7109375" bestFit="1" customWidth="1"/>
    <col min="9723" max="9723" width="19.85546875" bestFit="1" customWidth="1"/>
    <col min="9724" max="9724" width="15.42578125" bestFit="1" customWidth="1"/>
    <col min="9725" max="9725" width="20.425781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5" width="16.28515625" bestFit="1" customWidth="1"/>
    <col min="9736" max="9736" width="16.140625" customWidth="1"/>
    <col min="9737" max="9737" width="16.85546875" bestFit="1" customWidth="1"/>
    <col min="9738" max="9738" width="15.7109375" bestFit="1" customWidth="1"/>
    <col min="9739" max="9739" width="16.28515625" bestFit="1" customWidth="1"/>
    <col min="9740" max="9740" width="16.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28515625" bestFit="1" customWidth="1"/>
    <col min="9978" max="9978" width="45.7109375" bestFit="1" customWidth="1"/>
    <col min="9979" max="9979" width="19.85546875" bestFit="1" customWidth="1"/>
    <col min="9980" max="9980" width="15.42578125" bestFit="1" customWidth="1"/>
    <col min="9981" max="9981" width="20.425781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1" width="16.28515625" bestFit="1" customWidth="1"/>
    <col min="9992" max="9992" width="16.140625" customWidth="1"/>
    <col min="9993" max="9993" width="16.85546875" bestFit="1" customWidth="1"/>
    <col min="9994" max="9994" width="15.7109375" bestFit="1" customWidth="1"/>
    <col min="9995" max="9995" width="16.28515625" bestFit="1" customWidth="1"/>
    <col min="9996" max="9996" width="16.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28515625" bestFit="1" customWidth="1"/>
    <col min="10234" max="10234" width="45.7109375" bestFit="1" customWidth="1"/>
    <col min="10235" max="10235" width="19.85546875" bestFit="1" customWidth="1"/>
    <col min="10236" max="10236" width="15.42578125" bestFit="1" customWidth="1"/>
    <col min="10237" max="10237" width="20.425781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7" width="16.28515625" bestFit="1" customWidth="1"/>
    <col min="10248" max="10248" width="16.140625" customWidth="1"/>
    <col min="10249" max="10249" width="16.85546875" bestFit="1" customWidth="1"/>
    <col min="10250" max="10250" width="15.7109375" bestFit="1" customWidth="1"/>
    <col min="10251" max="10251" width="16.28515625" bestFit="1" customWidth="1"/>
    <col min="10252" max="10252" width="16.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28515625" bestFit="1" customWidth="1"/>
    <col min="10490" max="10490" width="45.7109375" bestFit="1" customWidth="1"/>
    <col min="10491" max="10491" width="19.85546875" bestFit="1" customWidth="1"/>
    <col min="10492" max="10492" width="15.42578125" bestFit="1" customWidth="1"/>
    <col min="10493" max="10493" width="20.425781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3" width="16.28515625" bestFit="1" customWidth="1"/>
    <col min="10504" max="10504" width="16.140625" customWidth="1"/>
    <col min="10505" max="10505" width="16.85546875" bestFit="1" customWidth="1"/>
    <col min="10506" max="10506" width="15.7109375" bestFit="1" customWidth="1"/>
    <col min="10507" max="10507" width="16.28515625" bestFit="1" customWidth="1"/>
    <col min="10508" max="10508" width="16.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28515625" bestFit="1" customWidth="1"/>
    <col min="10746" max="10746" width="45.7109375" bestFit="1" customWidth="1"/>
    <col min="10747" max="10747" width="19.85546875" bestFit="1" customWidth="1"/>
    <col min="10748" max="10748" width="15.42578125" bestFit="1" customWidth="1"/>
    <col min="10749" max="10749" width="20.425781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59" width="16.28515625" bestFit="1" customWidth="1"/>
    <col min="10760" max="10760" width="16.140625" customWidth="1"/>
    <col min="10761" max="10761" width="16.85546875" bestFit="1" customWidth="1"/>
    <col min="10762" max="10762" width="15.7109375" bestFit="1" customWidth="1"/>
    <col min="10763" max="10763" width="16.28515625" bestFit="1" customWidth="1"/>
    <col min="10764" max="10764" width="16.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28515625" bestFit="1" customWidth="1"/>
    <col min="11002" max="11002" width="45.7109375" bestFit="1" customWidth="1"/>
    <col min="11003" max="11003" width="19.85546875" bestFit="1" customWidth="1"/>
    <col min="11004" max="11004" width="15.42578125" bestFit="1" customWidth="1"/>
    <col min="11005" max="11005" width="20.425781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5" width="16.28515625" bestFit="1" customWidth="1"/>
    <col min="11016" max="11016" width="16.140625" customWidth="1"/>
    <col min="11017" max="11017" width="16.85546875" bestFit="1" customWidth="1"/>
    <col min="11018" max="11018" width="15.7109375" bestFit="1" customWidth="1"/>
    <col min="11019" max="11019" width="16.28515625" bestFit="1" customWidth="1"/>
    <col min="11020" max="11020" width="16.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28515625" bestFit="1" customWidth="1"/>
    <col min="11258" max="11258" width="45.7109375" bestFit="1" customWidth="1"/>
    <col min="11259" max="11259" width="19.85546875" bestFit="1" customWidth="1"/>
    <col min="11260" max="11260" width="15.42578125" bestFit="1" customWidth="1"/>
    <col min="11261" max="11261" width="20.425781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1" width="16.28515625" bestFit="1" customWidth="1"/>
    <col min="11272" max="11272" width="16.140625" customWidth="1"/>
    <col min="11273" max="11273" width="16.85546875" bestFit="1" customWidth="1"/>
    <col min="11274" max="11274" width="15.7109375" bestFit="1" customWidth="1"/>
    <col min="11275" max="11275" width="16.28515625" bestFit="1" customWidth="1"/>
    <col min="11276" max="11276" width="16.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28515625" bestFit="1" customWidth="1"/>
    <col min="11514" max="11514" width="45.7109375" bestFit="1" customWidth="1"/>
    <col min="11515" max="11515" width="19.85546875" bestFit="1" customWidth="1"/>
    <col min="11516" max="11516" width="15.42578125" bestFit="1" customWidth="1"/>
    <col min="11517" max="11517" width="20.425781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7" width="16.28515625" bestFit="1" customWidth="1"/>
    <col min="11528" max="11528" width="16.140625" customWidth="1"/>
    <col min="11529" max="11529" width="16.85546875" bestFit="1" customWidth="1"/>
    <col min="11530" max="11530" width="15.7109375" bestFit="1" customWidth="1"/>
    <col min="11531" max="11531" width="16.28515625" bestFit="1" customWidth="1"/>
    <col min="11532" max="11532" width="16.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28515625" bestFit="1" customWidth="1"/>
    <col min="11770" max="11770" width="45.7109375" bestFit="1" customWidth="1"/>
    <col min="11771" max="11771" width="19.85546875" bestFit="1" customWidth="1"/>
    <col min="11772" max="11772" width="15.42578125" bestFit="1" customWidth="1"/>
    <col min="11773" max="11773" width="20.425781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3" width="16.28515625" bestFit="1" customWidth="1"/>
    <col min="11784" max="11784" width="16.140625" customWidth="1"/>
    <col min="11785" max="11785" width="16.85546875" bestFit="1" customWidth="1"/>
    <col min="11786" max="11786" width="15.7109375" bestFit="1" customWidth="1"/>
    <col min="11787" max="11787" width="16.28515625" bestFit="1" customWidth="1"/>
    <col min="11788" max="11788" width="16.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28515625" bestFit="1" customWidth="1"/>
    <col min="12026" max="12026" width="45.7109375" bestFit="1" customWidth="1"/>
    <col min="12027" max="12027" width="19.85546875" bestFit="1" customWidth="1"/>
    <col min="12028" max="12028" width="15.42578125" bestFit="1" customWidth="1"/>
    <col min="12029" max="12029" width="20.425781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39" width="16.28515625" bestFit="1" customWidth="1"/>
    <col min="12040" max="12040" width="16.140625" customWidth="1"/>
    <col min="12041" max="12041" width="16.85546875" bestFit="1" customWidth="1"/>
    <col min="12042" max="12042" width="15.7109375" bestFit="1" customWidth="1"/>
    <col min="12043" max="12043" width="16.28515625" bestFit="1" customWidth="1"/>
    <col min="12044" max="12044" width="16.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28515625" bestFit="1" customWidth="1"/>
    <col min="12282" max="12282" width="45.7109375" bestFit="1" customWidth="1"/>
    <col min="12283" max="12283" width="19.85546875" bestFit="1" customWidth="1"/>
    <col min="12284" max="12284" width="15.42578125" bestFit="1" customWidth="1"/>
    <col min="12285" max="12285" width="20.425781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5" width="16.28515625" bestFit="1" customWidth="1"/>
    <col min="12296" max="12296" width="16.140625" customWidth="1"/>
    <col min="12297" max="12297" width="16.85546875" bestFit="1" customWidth="1"/>
    <col min="12298" max="12298" width="15.7109375" bestFit="1" customWidth="1"/>
    <col min="12299" max="12299" width="16.28515625" bestFit="1" customWidth="1"/>
    <col min="12300" max="12300" width="16.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28515625" bestFit="1" customWidth="1"/>
    <col min="12538" max="12538" width="45.7109375" bestFit="1" customWidth="1"/>
    <col min="12539" max="12539" width="19.85546875" bestFit="1" customWidth="1"/>
    <col min="12540" max="12540" width="15.42578125" bestFit="1" customWidth="1"/>
    <col min="12541" max="12541" width="20.425781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1" width="16.28515625" bestFit="1" customWidth="1"/>
    <col min="12552" max="12552" width="16.140625" customWidth="1"/>
    <col min="12553" max="12553" width="16.85546875" bestFit="1" customWidth="1"/>
    <col min="12554" max="12554" width="15.7109375" bestFit="1" customWidth="1"/>
    <col min="12555" max="12555" width="16.28515625" bestFit="1" customWidth="1"/>
    <col min="12556" max="12556" width="16.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28515625" bestFit="1" customWidth="1"/>
    <col min="12794" max="12794" width="45.7109375" bestFit="1" customWidth="1"/>
    <col min="12795" max="12795" width="19.85546875" bestFit="1" customWidth="1"/>
    <col min="12796" max="12796" width="15.42578125" bestFit="1" customWidth="1"/>
    <col min="12797" max="12797" width="20.425781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7" width="16.28515625" bestFit="1" customWidth="1"/>
    <col min="12808" max="12808" width="16.140625" customWidth="1"/>
    <col min="12809" max="12809" width="16.85546875" bestFit="1" customWidth="1"/>
    <col min="12810" max="12810" width="15.7109375" bestFit="1" customWidth="1"/>
    <col min="12811" max="12811" width="16.28515625" bestFit="1" customWidth="1"/>
    <col min="12812" max="12812" width="16.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28515625" bestFit="1" customWidth="1"/>
    <col min="13050" max="13050" width="45.7109375" bestFit="1" customWidth="1"/>
    <col min="13051" max="13051" width="19.85546875" bestFit="1" customWidth="1"/>
    <col min="13052" max="13052" width="15.42578125" bestFit="1" customWidth="1"/>
    <col min="13053" max="13053" width="20.425781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3" width="16.28515625" bestFit="1" customWidth="1"/>
    <col min="13064" max="13064" width="16.140625" customWidth="1"/>
    <col min="13065" max="13065" width="16.85546875" bestFit="1" customWidth="1"/>
    <col min="13066" max="13066" width="15.7109375" bestFit="1" customWidth="1"/>
    <col min="13067" max="13067" width="16.28515625" bestFit="1" customWidth="1"/>
    <col min="13068" max="13068" width="16.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28515625" bestFit="1" customWidth="1"/>
    <col min="13306" max="13306" width="45.7109375" bestFit="1" customWidth="1"/>
    <col min="13307" max="13307" width="19.85546875" bestFit="1" customWidth="1"/>
    <col min="13308" max="13308" width="15.42578125" bestFit="1" customWidth="1"/>
    <col min="13309" max="13309" width="20.425781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19" width="16.28515625" bestFit="1" customWidth="1"/>
    <col min="13320" max="13320" width="16.140625" customWidth="1"/>
    <col min="13321" max="13321" width="16.85546875" bestFit="1" customWidth="1"/>
    <col min="13322" max="13322" width="15.7109375" bestFit="1" customWidth="1"/>
    <col min="13323" max="13323" width="16.28515625" bestFit="1" customWidth="1"/>
    <col min="13324" max="13324" width="16.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28515625" bestFit="1" customWidth="1"/>
    <col min="13562" max="13562" width="45.7109375" bestFit="1" customWidth="1"/>
    <col min="13563" max="13563" width="19.85546875" bestFit="1" customWidth="1"/>
    <col min="13564" max="13564" width="15.42578125" bestFit="1" customWidth="1"/>
    <col min="13565" max="13565" width="20.425781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5" width="16.28515625" bestFit="1" customWidth="1"/>
    <col min="13576" max="13576" width="16.140625" customWidth="1"/>
    <col min="13577" max="13577" width="16.85546875" bestFit="1" customWidth="1"/>
    <col min="13578" max="13578" width="15.7109375" bestFit="1" customWidth="1"/>
    <col min="13579" max="13579" width="16.28515625" bestFit="1" customWidth="1"/>
    <col min="13580" max="13580" width="16.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28515625" bestFit="1" customWidth="1"/>
    <col min="13818" max="13818" width="45.7109375" bestFit="1" customWidth="1"/>
    <col min="13819" max="13819" width="19.85546875" bestFit="1" customWidth="1"/>
    <col min="13820" max="13820" width="15.42578125" bestFit="1" customWidth="1"/>
    <col min="13821" max="13821" width="20.425781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1" width="16.28515625" bestFit="1" customWidth="1"/>
    <col min="13832" max="13832" width="16.140625" customWidth="1"/>
    <col min="13833" max="13833" width="16.85546875" bestFit="1" customWidth="1"/>
    <col min="13834" max="13834" width="15.7109375" bestFit="1" customWidth="1"/>
    <col min="13835" max="13835" width="16.28515625" bestFit="1" customWidth="1"/>
    <col min="13836" max="13836" width="16.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28515625" bestFit="1" customWidth="1"/>
    <col min="14074" max="14074" width="45.7109375" bestFit="1" customWidth="1"/>
    <col min="14075" max="14075" width="19.85546875" bestFit="1" customWidth="1"/>
    <col min="14076" max="14076" width="15.42578125" bestFit="1" customWidth="1"/>
    <col min="14077" max="14077" width="20.425781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7" width="16.28515625" bestFit="1" customWidth="1"/>
    <col min="14088" max="14088" width="16.140625" customWidth="1"/>
    <col min="14089" max="14089" width="16.85546875" bestFit="1" customWidth="1"/>
    <col min="14090" max="14090" width="15.7109375" bestFit="1" customWidth="1"/>
    <col min="14091" max="14091" width="16.28515625" bestFit="1" customWidth="1"/>
    <col min="14092" max="14092" width="16.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28515625" bestFit="1" customWidth="1"/>
    <col min="14330" max="14330" width="45.7109375" bestFit="1" customWidth="1"/>
    <col min="14331" max="14331" width="19.85546875" bestFit="1" customWidth="1"/>
    <col min="14332" max="14332" width="15.42578125" bestFit="1" customWidth="1"/>
    <col min="14333" max="14333" width="20.425781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3" width="16.28515625" bestFit="1" customWidth="1"/>
    <col min="14344" max="14344" width="16.140625" customWidth="1"/>
    <col min="14345" max="14345" width="16.85546875" bestFit="1" customWidth="1"/>
    <col min="14346" max="14346" width="15.7109375" bestFit="1" customWidth="1"/>
    <col min="14347" max="14347" width="16.28515625" bestFit="1" customWidth="1"/>
    <col min="14348" max="14348" width="16.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28515625" bestFit="1" customWidth="1"/>
    <col min="14586" max="14586" width="45.7109375" bestFit="1" customWidth="1"/>
    <col min="14587" max="14587" width="19.85546875" bestFit="1" customWidth="1"/>
    <col min="14588" max="14588" width="15.42578125" bestFit="1" customWidth="1"/>
    <col min="14589" max="14589" width="20.425781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599" width="16.28515625" bestFit="1" customWidth="1"/>
    <col min="14600" max="14600" width="16.140625" customWidth="1"/>
    <col min="14601" max="14601" width="16.85546875" bestFit="1" customWidth="1"/>
    <col min="14602" max="14602" width="15.7109375" bestFit="1" customWidth="1"/>
    <col min="14603" max="14603" width="16.28515625" bestFit="1" customWidth="1"/>
    <col min="14604" max="14604" width="16.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28515625" bestFit="1" customWidth="1"/>
    <col min="14842" max="14842" width="45.7109375" bestFit="1" customWidth="1"/>
    <col min="14843" max="14843" width="19.85546875" bestFit="1" customWidth="1"/>
    <col min="14844" max="14844" width="15.42578125" bestFit="1" customWidth="1"/>
    <col min="14845" max="14845" width="20.425781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5" width="16.28515625" bestFit="1" customWidth="1"/>
    <col min="14856" max="14856" width="16.140625" customWidth="1"/>
    <col min="14857" max="14857" width="16.85546875" bestFit="1" customWidth="1"/>
    <col min="14858" max="14858" width="15.7109375" bestFit="1" customWidth="1"/>
    <col min="14859" max="14859" width="16.28515625" bestFit="1" customWidth="1"/>
    <col min="14860" max="14860" width="16.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28515625" bestFit="1" customWidth="1"/>
    <col min="15098" max="15098" width="45.7109375" bestFit="1" customWidth="1"/>
    <col min="15099" max="15099" width="19.85546875" bestFit="1" customWidth="1"/>
    <col min="15100" max="15100" width="15.42578125" bestFit="1" customWidth="1"/>
    <col min="15101" max="15101" width="20.425781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1" width="16.28515625" bestFit="1" customWidth="1"/>
    <col min="15112" max="15112" width="16.140625" customWidth="1"/>
    <col min="15113" max="15113" width="16.85546875" bestFit="1" customWidth="1"/>
    <col min="15114" max="15114" width="15.7109375" bestFit="1" customWidth="1"/>
    <col min="15115" max="15115" width="16.28515625" bestFit="1" customWidth="1"/>
    <col min="15116" max="15116" width="16.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28515625" bestFit="1" customWidth="1"/>
    <col min="15354" max="15354" width="45.7109375" bestFit="1" customWidth="1"/>
    <col min="15355" max="15355" width="19.85546875" bestFit="1" customWidth="1"/>
    <col min="15356" max="15356" width="15.42578125" bestFit="1" customWidth="1"/>
    <col min="15357" max="15357" width="20.425781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7" width="16.28515625" bestFit="1" customWidth="1"/>
    <col min="15368" max="15368" width="16.140625" customWidth="1"/>
    <col min="15369" max="15369" width="16.85546875" bestFit="1" customWidth="1"/>
    <col min="15370" max="15370" width="15.7109375" bestFit="1" customWidth="1"/>
    <col min="15371" max="15371" width="16.28515625" bestFit="1" customWidth="1"/>
    <col min="15372" max="15372" width="16.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28515625" bestFit="1" customWidth="1"/>
    <col min="15610" max="15610" width="45.7109375" bestFit="1" customWidth="1"/>
    <col min="15611" max="15611" width="19.85546875" bestFit="1" customWidth="1"/>
    <col min="15612" max="15612" width="15.42578125" bestFit="1" customWidth="1"/>
    <col min="15613" max="15613" width="20.425781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3" width="16.28515625" bestFit="1" customWidth="1"/>
    <col min="15624" max="15624" width="16.140625" customWidth="1"/>
    <col min="15625" max="15625" width="16.85546875" bestFit="1" customWidth="1"/>
    <col min="15626" max="15626" width="15.7109375" bestFit="1" customWidth="1"/>
    <col min="15627" max="15627" width="16.28515625" bestFit="1" customWidth="1"/>
    <col min="15628" max="15628" width="16.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28515625" bestFit="1" customWidth="1"/>
    <col min="15866" max="15866" width="45.7109375" bestFit="1" customWidth="1"/>
    <col min="15867" max="15867" width="19.85546875" bestFit="1" customWidth="1"/>
    <col min="15868" max="15868" width="15.42578125" bestFit="1" customWidth="1"/>
    <col min="15869" max="15869" width="20.425781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79" width="16.28515625" bestFit="1" customWidth="1"/>
    <col min="15880" max="15880" width="16.140625" customWidth="1"/>
    <col min="15881" max="15881" width="16.85546875" bestFit="1" customWidth="1"/>
    <col min="15882" max="15882" width="15.7109375" bestFit="1" customWidth="1"/>
    <col min="15883" max="15883" width="16.28515625" bestFit="1" customWidth="1"/>
    <col min="15884" max="15884" width="16.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28515625" bestFit="1" customWidth="1"/>
    <col min="16122" max="16122" width="45.7109375" bestFit="1" customWidth="1"/>
    <col min="16123" max="16123" width="19.85546875" bestFit="1" customWidth="1"/>
    <col min="16124" max="16124" width="15.42578125" bestFit="1" customWidth="1"/>
    <col min="16125" max="16125" width="20.425781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5" width="16.28515625" bestFit="1" customWidth="1"/>
    <col min="16136" max="16136" width="16.140625" customWidth="1"/>
    <col min="16137" max="16137" width="16.85546875" bestFit="1" customWidth="1"/>
    <col min="16138" max="16138" width="15.7109375" bestFit="1" customWidth="1"/>
    <col min="16139" max="16139" width="16.28515625" bestFit="1" customWidth="1"/>
    <col min="16140" max="16140" width="16.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 customHeight="1" thickBot="1">
      <c r="C1" s="1853" t="s">
        <v>73</v>
      </c>
      <c r="D1" s="1812" t="s">
        <v>299</v>
      </c>
      <c r="E1" s="1853" t="s">
        <v>6</v>
      </c>
      <c r="F1" s="1853">
        <v>18230612</v>
      </c>
      <c r="G1" s="1812" t="s">
        <v>5</v>
      </c>
      <c r="J1" s="1812"/>
      <c r="K1" s="1812"/>
      <c r="L1" s="1812"/>
      <c r="M1" s="1853" t="s">
        <v>73</v>
      </c>
      <c r="N1" s="1812" t="s">
        <v>299</v>
      </c>
      <c r="O1" s="1853" t="s">
        <v>6</v>
      </c>
      <c r="P1" s="1853">
        <v>18230612</v>
      </c>
      <c r="Q1" s="1812" t="s">
        <v>5</v>
      </c>
      <c r="V1" s="1853" t="s">
        <v>73</v>
      </c>
      <c r="W1" s="1812" t="s">
        <v>299</v>
      </c>
      <c r="X1" s="1853" t="s">
        <v>6</v>
      </c>
      <c r="Y1" s="1853">
        <v>18230612</v>
      </c>
      <c r="Z1" s="1812" t="s">
        <v>5</v>
      </c>
    </row>
    <row r="2" spans="1:26" ht="16.5" thickBot="1">
      <c r="C2" s="45"/>
      <c r="D2" s="46"/>
      <c r="H2" s="1576" t="s">
        <v>674</v>
      </c>
      <c r="R2" s="3596"/>
      <c r="S2" s="3596"/>
      <c r="T2" s="3597" t="s">
        <v>36</v>
      </c>
      <c r="U2" s="3598"/>
      <c r="V2" s="3599"/>
      <c r="W2" s="3594" t="s">
        <v>37</v>
      </c>
    </row>
    <row r="3" spans="1:26" ht="26.25" thickBot="1">
      <c r="A3" s="1852" t="s">
        <v>73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299</v>
      </c>
      <c r="B4" s="1808"/>
      <c r="C4" s="46"/>
      <c r="G4" s="1704" t="s">
        <v>668</v>
      </c>
      <c r="H4" s="2003">
        <v>54072</v>
      </c>
      <c r="I4" s="2002">
        <v>22134</v>
      </c>
      <c r="J4" s="2002">
        <v>53877</v>
      </c>
      <c r="K4" s="2002">
        <v>105000</v>
      </c>
      <c r="L4" s="2002">
        <v>1200</v>
      </c>
      <c r="M4" s="2002">
        <v>1000</v>
      </c>
      <c r="N4" s="2002">
        <v>1000</v>
      </c>
      <c r="O4" s="2002">
        <v>2000</v>
      </c>
      <c r="P4" s="2002">
        <v>545500</v>
      </c>
      <c r="Q4" s="2002">
        <v>0</v>
      </c>
      <c r="R4" s="2000">
        <v>785783</v>
      </c>
      <c r="S4" s="1998" t="s">
        <v>680</v>
      </c>
      <c r="T4" s="65">
        <f>P4/R4</f>
        <v>0.69421201527648213</v>
      </c>
      <c r="U4" s="65">
        <f>(K4+(I4*1.63))/R4</f>
        <v>0.17953865125613558</v>
      </c>
      <c r="V4" s="65">
        <f>M4/R4</f>
        <v>1.2726159766754943E-3</v>
      </c>
      <c r="W4" s="52" t="e">
        <f>R4/S4</f>
        <v>#VALUE!</v>
      </c>
    </row>
    <row r="5" spans="1:26" ht="16.5" thickBot="1">
      <c r="A5" s="1852" t="s">
        <v>6</v>
      </c>
      <c r="B5" s="1852"/>
      <c r="C5" s="45"/>
      <c r="G5" s="45">
        <v>2016</v>
      </c>
      <c r="H5" s="1582">
        <f>D15</f>
        <v>49848.15</v>
      </c>
      <c r="I5" s="1549">
        <f>D21</f>
        <v>16008</v>
      </c>
      <c r="J5" s="1549">
        <f>D27</f>
        <v>43926.052050000006</v>
      </c>
      <c r="K5" s="1549">
        <f>D34</f>
        <v>85000</v>
      </c>
      <c r="L5" s="1549">
        <f>D40</f>
        <v>2000</v>
      </c>
      <c r="M5" s="1549">
        <f>D46</f>
        <v>2000</v>
      </c>
      <c r="N5" s="1549">
        <f>D52</f>
        <v>1000</v>
      </c>
      <c r="O5" s="1549">
        <f>D58</f>
        <v>3000</v>
      </c>
      <c r="P5" s="1549">
        <f>D64</f>
        <v>630500</v>
      </c>
      <c r="Q5" s="1549">
        <f>D67</f>
        <v>0</v>
      </c>
      <c r="R5" s="2001">
        <f>SUM(H5:Q5)</f>
        <v>833282.20204999996</v>
      </c>
      <c r="S5" s="1999">
        <f>T15</f>
        <v>1896700</v>
      </c>
      <c r="T5" s="66">
        <f>P5/R5</f>
        <v>0.75664642596334697</v>
      </c>
      <c r="U5" s="66">
        <f>(K5+(I5*1.63))/R5</f>
        <v>0.13331982817669014</v>
      </c>
      <c r="V5" s="66">
        <f>M5/R5</f>
        <v>2.400147267131949E-3</v>
      </c>
      <c r="W5" s="56">
        <f>R5/S5</f>
        <v>0.43933263143881479</v>
      </c>
    </row>
    <row r="6" spans="1:26" ht="16.5" thickBot="1">
      <c r="A6" s="1852">
        <v>18230612</v>
      </c>
      <c r="B6" s="1852"/>
      <c r="D6" s="45"/>
      <c r="G6" s="45">
        <v>2017</v>
      </c>
      <c r="H6" s="57">
        <f>E15</f>
        <v>51094.45</v>
      </c>
      <c r="I6" s="1990">
        <f>E21</f>
        <v>16408.199999999997</v>
      </c>
      <c r="J6" s="1989">
        <f>E27</f>
        <v>45901.802000000003</v>
      </c>
      <c r="K6" s="58">
        <f>E34</f>
        <v>85000</v>
      </c>
      <c r="L6" s="58">
        <f>E40</f>
        <v>2000</v>
      </c>
      <c r="M6" s="58">
        <f>E46</f>
        <v>2000</v>
      </c>
      <c r="N6" s="58">
        <f>E52</f>
        <v>1000</v>
      </c>
      <c r="O6" s="58">
        <f>E58</f>
        <v>3000</v>
      </c>
      <c r="P6" s="58">
        <f>E64</f>
        <v>630500</v>
      </c>
      <c r="Q6" s="58">
        <f>E67</f>
        <v>0</v>
      </c>
      <c r="R6" s="1997">
        <f>SUM(H6:Q6)</f>
        <v>836904.45200000005</v>
      </c>
      <c r="S6" s="1996">
        <f>U15</f>
        <v>1896700</v>
      </c>
      <c r="T6" s="66">
        <f>P6/R6</f>
        <v>0.75337154497536352</v>
      </c>
      <c r="U6" s="66">
        <f>(K6+(I6*1.63))/R6</f>
        <v>0.13352225063799755</v>
      </c>
      <c r="V6" s="66">
        <f>M6/R6</f>
        <v>2.3897590641565854E-3</v>
      </c>
      <c r="W6" s="56">
        <f>R6/S6</f>
        <v>0.44124239573996943</v>
      </c>
    </row>
    <row r="7" spans="1:26" ht="16.5" thickBot="1">
      <c r="A7" s="1808" t="s">
        <v>5</v>
      </c>
      <c r="B7" s="1808"/>
      <c r="C7" s="1866"/>
      <c r="D7" s="1592"/>
      <c r="E7" s="1867"/>
      <c r="F7" s="1866"/>
      <c r="G7" s="1608" t="s">
        <v>23</v>
      </c>
      <c r="H7" s="1564">
        <f>SUM(H5:H6)</f>
        <v>100942.6</v>
      </c>
      <c r="I7" s="1991">
        <f t="shared" ref="I7:Q7" si="0">SUM(I5:I6)</f>
        <v>32416.199999999997</v>
      </c>
      <c r="J7" s="1992">
        <f t="shared" si="0"/>
        <v>89827.854050000009</v>
      </c>
      <c r="K7" s="1993">
        <f t="shared" si="0"/>
        <v>170000</v>
      </c>
      <c r="L7" s="1991">
        <f t="shared" si="0"/>
        <v>4000</v>
      </c>
      <c r="M7" s="1992">
        <f t="shared" si="0"/>
        <v>4000</v>
      </c>
      <c r="N7" s="1991">
        <f t="shared" si="0"/>
        <v>2000</v>
      </c>
      <c r="O7" s="1992">
        <f t="shared" si="0"/>
        <v>6000</v>
      </c>
      <c r="P7" s="1993">
        <f t="shared" si="0"/>
        <v>1261000</v>
      </c>
      <c r="Q7" s="1991">
        <f t="shared" si="0"/>
        <v>0</v>
      </c>
      <c r="R7" s="1993">
        <f>SUM(H7:Q7)</f>
        <v>1670186.65405</v>
      </c>
      <c r="S7" s="1994">
        <f>SUM(S5:S6)</f>
        <v>3793400</v>
      </c>
      <c r="T7" s="66">
        <f>P7/R7</f>
        <v>0.75500543423827993</v>
      </c>
      <c r="U7" s="66">
        <f>(K7+(I7*1.63))/R7</f>
        <v>0.13342125891117851</v>
      </c>
      <c r="V7" s="66">
        <f>M7/R7</f>
        <v>2.3949419008351463E-3</v>
      </c>
      <c r="W7" s="56">
        <f>R7/S7</f>
        <v>0.44028751358939211</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833282.20204999996</v>
      </c>
      <c r="E12" s="1948">
        <f>E15+E21+E27+E34+E40+E46+E52+E58+E64</f>
        <v>836904.45200000005</v>
      </c>
      <c r="F12" s="1924">
        <f>D12+E12</f>
        <v>1670186.65405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49848.15</v>
      </c>
      <c r="E15" s="1926">
        <f>SUM(E16:E19)</f>
        <v>51094.45</v>
      </c>
      <c r="F15" s="1924">
        <f>D15+E15</f>
        <v>100942.6</v>
      </c>
      <c r="H15" s="1938" t="s">
        <v>327</v>
      </c>
      <c r="I15" s="1939"/>
      <c r="J15" s="1939"/>
      <c r="K15" s="1940"/>
      <c r="L15" s="1941">
        <f>SUMPRODUCT(L16:L23,S16:S23)</f>
        <v>3206000</v>
      </c>
      <c r="M15" s="1941">
        <f>SUM(M16:M23)</f>
        <v>13700</v>
      </c>
      <c r="N15" s="1942"/>
      <c r="O15" s="1940">
        <v>30</v>
      </c>
      <c r="P15" s="1940"/>
      <c r="Q15" s="1940"/>
      <c r="R15" s="1940"/>
      <c r="S15" s="1940"/>
      <c r="T15" s="1943">
        <f t="shared" ref="T15:Y15" si="1">SUM(T16:T65)</f>
        <v>1896700</v>
      </c>
      <c r="U15" s="1943">
        <f t="shared" si="1"/>
        <v>1896700</v>
      </c>
      <c r="V15" s="1943">
        <f t="shared" si="1"/>
        <v>3793400</v>
      </c>
      <c r="W15" s="1941">
        <f t="shared" si="1"/>
        <v>630500</v>
      </c>
      <c r="X15" s="1941">
        <f t="shared" si="1"/>
        <v>630500</v>
      </c>
      <c r="Y15" s="1941">
        <f t="shared" si="1"/>
        <v>1261000</v>
      </c>
      <c r="Z15" s="1945">
        <v>0</v>
      </c>
    </row>
    <row r="16" spans="1:26">
      <c r="B16" s="1885">
        <v>0.1</v>
      </c>
      <c r="C16" s="2197" t="s">
        <v>791</v>
      </c>
      <c r="D16" s="1907">
        <v>9063.3000000000011</v>
      </c>
      <c r="E16" s="1906">
        <v>9289.9</v>
      </c>
      <c r="F16" s="1879">
        <f>SUM(D16:E16)</f>
        <v>18353.2</v>
      </c>
      <c r="H16" s="2563" t="s">
        <v>1185</v>
      </c>
      <c r="I16" s="2562">
        <v>12000</v>
      </c>
      <c r="J16" s="1932" t="s">
        <v>120</v>
      </c>
      <c r="K16" s="1922" t="s">
        <v>909</v>
      </c>
      <c r="L16" s="1929">
        <v>10800</v>
      </c>
      <c r="M16" s="1929">
        <v>3550</v>
      </c>
      <c r="N16" s="1923">
        <v>0.12653556176517108</v>
      </c>
      <c r="O16" s="1922">
        <v>30</v>
      </c>
      <c r="P16" s="1925" t="s">
        <v>1069</v>
      </c>
      <c r="Q16" s="1928">
        <v>20</v>
      </c>
      <c r="R16" s="1928">
        <v>20</v>
      </c>
      <c r="S16" s="1931">
        <f t="shared" ref="S16:S21" si="2">SUM(Q16:R16)</f>
        <v>40</v>
      </c>
      <c r="T16" s="1931">
        <f t="shared" ref="T16:T21" si="3">Q16*I16</f>
        <v>240000</v>
      </c>
      <c r="U16" s="1931">
        <f t="shared" ref="U16:U21" si="4">R16*I16</f>
        <v>240000</v>
      </c>
      <c r="V16" s="1931">
        <f t="shared" ref="V16:V21" si="5">SUM(T16:U16)</f>
        <v>480000</v>
      </c>
      <c r="W16" s="1921">
        <f t="shared" ref="W16:W21" si="6">Q16*M16</f>
        <v>71000</v>
      </c>
      <c r="X16" s="1921">
        <f t="shared" ref="X16:X21" si="7">R16*M16</f>
        <v>71000</v>
      </c>
      <c r="Y16" s="1921">
        <f t="shared" ref="Y16:Y21" si="8">SUM(W16:X16)</f>
        <v>142000</v>
      </c>
      <c r="Z16" s="1946"/>
    </row>
    <row r="17" spans="2:26">
      <c r="B17" s="1885">
        <v>0.35</v>
      </c>
      <c r="C17" s="1876" t="s">
        <v>792</v>
      </c>
      <c r="D17" s="1905">
        <v>31721.55</v>
      </c>
      <c r="E17" s="1904">
        <v>32514.649999999998</v>
      </c>
      <c r="F17" s="1879">
        <f t="shared" ref="F17:F19" si="9">SUM(D17:E17)</f>
        <v>64236.2</v>
      </c>
      <c r="H17" s="2555" t="s">
        <v>1186</v>
      </c>
      <c r="I17" s="2562">
        <v>12000</v>
      </c>
      <c r="J17" s="1932" t="s">
        <v>120</v>
      </c>
      <c r="K17" s="1922" t="s">
        <v>909</v>
      </c>
      <c r="L17" s="1929">
        <v>8300</v>
      </c>
      <c r="M17" s="1929">
        <v>2950</v>
      </c>
      <c r="N17" s="1923">
        <v>0.18980334264775664</v>
      </c>
      <c r="O17" s="1922">
        <v>30</v>
      </c>
      <c r="P17" s="1925" t="s">
        <v>1069</v>
      </c>
      <c r="Q17" s="1928">
        <v>30</v>
      </c>
      <c r="R17" s="1928">
        <v>30</v>
      </c>
      <c r="S17" s="1931">
        <f t="shared" si="2"/>
        <v>60</v>
      </c>
      <c r="T17" s="1931">
        <f t="shared" si="3"/>
        <v>360000</v>
      </c>
      <c r="U17" s="1931">
        <f t="shared" si="4"/>
        <v>360000</v>
      </c>
      <c r="V17" s="1931">
        <f t="shared" si="5"/>
        <v>720000</v>
      </c>
      <c r="W17" s="1921">
        <f t="shared" si="6"/>
        <v>88500</v>
      </c>
      <c r="X17" s="1921">
        <f t="shared" si="7"/>
        <v>88500</v>
      </c>
      <c r="Y17" s="1921">
        <f t="shared" si="8"/>
        <v>177000</v>
      </c>
      <c r="Z17" s="1946"/>
    </row>
    <row r="18" spans="2:26">
      <c r="B18" s="1885">
        <v>0.1</v>
      </c>
      <c r="C18" s="1876" t="s">
        <v>794</v>
      </c>
      <c r="D18" s="1905">
        <v>9063.3000000000011</v>
      </c>
      <c r="E18" s="1904">
        <v>9289.9</v>
      </c>
      <c r="F18" s="1879">
        <f t="shared" si="9"/>
        <v>18353.2</v>
      </c>
      <c r="H18" s="2563" t="s">
        <v>1187</v>
      </c>
      <c r="I18" s="2562">
        <v>8500</v>
      </c>
      <c r="J18" s="1932" t="s">
        <v>120</v>
      </c>
      <c r="K18" s="1922" t="s">
        <v>909</v>
      </c>
      <c r="L18" s="1929">
        <v>8700</v>
      </c>
      <c r="M18" s="1929">
        <v>2600</v>
      </c>
      <c r="N18" s="1923">
        <v>6.7222017187747146E-2</v>
      </c>
      <c r="O18" s="1922">
        <v>30</v>
      </c>
      <c r="P18" s="1925" t="s">
        <v>1069</v>
      </c>
      <c r="Q18" s="1928">
        <v>15</v>
      </c>
      <c r="R18" s="1928">
        <v>15</v>
      </c>
      <c r="S18" s="1931">
        <f t="shared" si="2"/>
        <v>30</v>
      </c>
      <c r="T18" s="1931">
        <f t="shared" si="3"/>
        <v>127500</v>
      </c>
      <c r="U18" s="1931">
        <f t="shared" si="4"/>
        <v>127500</v>
      </c>
      <c r="V18" s="1931">
        <f t="shared" si="5"/>
        <v>255000</v>
      </c>
      <c r="W18" s="1921">
        <f t="shared" si="6"/>
        <v>39000</v>
      </c>
      <c r="X18" s="1921">
        <f t="shared" si="7"/>
        <v>39000</v>
      </c>
      <c r="Y18" s="1921">
        <f t="shared" si="8"/>
        <v>78000</v>
      </c>
      <c r="Z18" s="1946"/>
    </row>
    <row r="19" spans="2:26">
      <c r="B19" s="1885"/>
      <c r="C19" s="1876"/>
      <c r="D19" s="1903"/>
      <c r="E19" s="1902"/>
      <c r="F19" s="1879">
        <f t="shared" si="9"/>
        <v>0</v>
      </c>
      <c r="H19" s="2563" t="s">
        <v>1188</v>
      </c>
      <c r="I19" s="2562">
        <v>8500</v>
      </c>
      <c r="J19" s="1932" t="s">
        <v>120</v>
      </c>
      <c r="K19" s="1922" t="s">
        <v>909</v>
      </c>
      <c r="L19" s="1929">
        <v>6700</v>
      </c>
      <c r="M19" s="1929">
        <v>2000</v>
      </c>
      <c r="N19" s="1923">
        <v>0.15685137343807665</v>
      </c>
      <c r="O19" s="1922">
        <v>30</v>
      </c>
      <c r="P19" s="1925" t="s">
        <v>1069</v>
      </c>
      <c r="Q19" s="1928">
        <v>35</v>
      </c>
      <c r="R19" s="1928">
        <v>35</v>
      </c>
      <c r="S19" s="1931">
        <f t="shared" si="2"/>
        <v>70</v>
      </c>
      <c r="T19" s="1931">
        <f t="shared" si="3"/>
        <v>297500</v>
      </c>
      <c r="U19" s="1931">
        <f t="shared" si="4"/>
        <v>297500</v>
      </c>
      <c r="V19" s="1931">
        <f t="shared" si="5"/>
        <v>595000</v>
      </c>
      <c r="W19" s="1921">
        <f t="shared" si="6"/>
        <v>70000</v>
      </c>
      <c r="X19" s="1921">
        <f t="shared" si="7"/>
        <v>70000</v>
      </c>
      <c r="Y19" s="1921">
        <f t="shared" si="8"/>
        <v>140000</v>
      </c>
      <c r="Z19" s="1946"/>
    </row>
    <row r="20" spans="2:26">
      <c r="B20" s="1908">
        <f>SUM(B16:B19)</f>
        <v>0.54999999999999993</v>
      </c>
      <c r="C20" s="1952"/>
      <c r="D20" s="1954"/>
      <c r="E20" s="1955"/>
      <c r="F20" s="1957"/>
      <c r="H20" s="2555" t="s">
        <v>1189</v>
      </c>
      <c r="I20" s="2562">
        <v>3500</v>
      </c>
      <c r="J20" s="1932" t="s">
        <v>120</v>
      </c>
      <c r="K20" s="1922" t="s">
        <v>966</v>
      </c>
      <c r="L20" s="1929">
        <v>2600</v>
      </c>
      <c r="M20" s="1929">
        <v>950</v>
      </c>
      <c r="N20" s="1923">
        <v>0.14762482205936628</v>
      </c>
      <c r="O20" s="1922">
        <v>30</v>
      </c>
      <c r="P20" s="1925" t="s">
        <v>910</v>
      </c>
      <c r="Q20" s="1928">
        <v>80</v>
      </c>
      <c r="R20" s="1928">
        <v>80</v>
      </c>
      <c r="S20" s="1931">
        <f t="shared" si="2"/>
        <v>160</v>
      </c>
      <c r="T20" s="1931">
        <f t="shared" si="3"/>
        <v>280000</v>
      </c>
      <c r="U20" s="1931">
        <f t="shared" si="4"/>
        <v>280000</v>
      </c>
      <c r="V20" s="1931">
        <f t="shared" si="5"/>
        <v>560000</v>
      </c>
      <c r="W20" s="1921">
        <f t="shared" si="6"/>
        <v>76000</v>
      </c>
      <c r="X20" s="1921">
        <f t="shared" si="7"/>
        <v>76000</v>
      </c>
      <c r="Y20" s="1921">
        <f t="shared" si="8"/>
        <v>152000</v>
      </c>
      <c r="Z20" s="1946"/>
    </row>
    <row r="21" spans="2:26">
      <c r="C21" s="1910" t="s">
        <v>47</v>
      </c>
      <c r="D21" s="1911">
        <f>SUM(D22:D25)</f>
        <v>16008</v>
      </c>
      <c r="E21" s="1926">
        <f>SUM(E22:E25)</f>
        <v>16408.199999999997</v>
      </c>
      <c r="F21" s="2157">
        <f>D21+E21</f>
        <v>32416.199999999997</v>
      </c>
      <c r="H21" s="2555" t="s">
        <v>1190</v>
      </c>
      <c r="I21" s="2562">
        <v>3500</v>
      </c>
      <c r="J21" s="1932" t="s">
        <v>120</v>
      </c>
      <c r="K21" s="1922" t="s">
        <v>966</v>
      </c>
      <c r="L21" s="1929">
        <v>3500</v>
      </c>
      <c r="M21" s="1929">
        <v>950</v>
      </c>
      <c r="N21" s="1923">
        <v>0.14762482205936628</v>
      </c>
      <c r="O21" s="1922">
        <v>30</v>
      </c>
      <c r="P21" s="1925" t="s">
        <v>910</v>
      </c>
      <c r="Q21" s="1928">
        <v>80</v>
      </c>
      <c r="R21" s="1928">
        <v>80</v>
      </c>
      <c r="S21" s="1931">
        <f t="shared" si="2"/>
        <v>160</v>
      </c>
      <c r="T21" s="1931">
        <f t="shared" si="3"/>
        <v>280000</v>
      </c>
      <c r="U21" s="1931">
        <f t="shared" si="4"/>
        <v>280000</v>
      </c>
      <c r="V21" s="1931">
        <f t="shared" si="5"/>
        <v>560000</v>
      </c>
      <c r="W21" s="1921">
        <f t="shared" si="6"/>
        <v>76000</v>
      </c>
      <c r="X21" s="1921">
        <f t="shared" si="7"/>
        <v>76000</v>
      </c>
      <c r="Y21" s="1921">
        <f t="shared" si="8"/>
        <v>152000</v>
      </c>
      <c r="Z21" s="1946"/>
    </row>
    <row r="22" spans="2:26">
      <c r="C22" s="1876" t="s">
        <v>1286</v>
      </c>
      <c r="D22" s="1907">
        <v>16008</v>
      </c>
      <c r="E22" s="1906">
        <v>16408.199999999997</v>
      </c>
      <c r="F22" s="1879">
        <f t="shared" ref="F22:F25" si="10">SUM(D22:E22)</f>
        <v>32416.199999999997</v>
      </c>
      <c r="H22" s="1922" t="s">
        <v>1191</v>
      </c>
      <c r="I22" s="1928">
        <v>725</v>
      </c>
      <c r="J22" s="1932" t="s">
        <v>120</v>
      </c>
      <c r="K22" s="1922" t="s">
        <v>909</v>
      </c>
      <c r="L22" s="1929">
        <v>500</v>
      </c>
      <c r="M22" s="1929">
        <v>500</v>
      </c>
      <c r="N22" s="1923">
        <v>0.1146728528496863</v>
      </c>
      <c r="O22" s="1922">
        <v>30</v>
      </c>
      <c r="P22" s="1925" t="s">
        <v>952</v>
      </c>
      <c r="Q22" s="1928">
        <v>300</v>
      </c>
      <c r="R22" s="1928">
        <v>300</v>
      </c>
      <c r="S22" s="1931">
        <f>SUM(Q22:R22)</f>
        <v>600</v>
      </c>
      <c r="T22" s="1931">
        <f>Q22*I22</f>
        <v>217500</v>
      </c>
      <c r="U22" s="1931">
        <f>R22*I22</f>
        <v>217500</v>
      </c>
      <c r="V22" s="1931">
        <f>SUM(T22:U22)</f>
        <v>435000</v>
      </c>
      <c r="W22" s="1921">
        <f>Q22*M22</f>
        <v>150000</v>
      </c>
      <c r="X22" s="1921">
        <f>R22*M22</f>
        <v>150000</v>
      </c>
      <c r="Y22" s="1921">
        <f>SUM(W22:X22)</f>
        <v>300000</v>
      </c>
      <c r="Z22" s="1946"/>
    </row>
    <row r="23" spans="2:26">
      <c r="C23" s="1876"/>
      <c r="D23" s="2201"/>
      <c r="E23" s="2200"/>
      <c r="F23" s="1879">
        <f t="shared" si="10"/>
        <v>0</v>
      </c>
      <c r="H23" s="1922" t="s">
        <v>1192</v>
      </c>
      <c r="I23" s="1928">
        <v>314</v>
      </c>
      <c r="J23" s="1932" t="s">
        <v>120</v>
      </c>
      <c r="K23" s="1922" t="s">
        <v>909</v>
      </c>
      <c r="L23" s="1929">
        <v>450</v>
      </c>
      <c r="M23" s="1929">
        <v>200</v>
      </c>
      <c r="N23" s="1923">
        <v>4.9665207992829655E-2</v>
      </c>
      <c r="O23" s="1922">
        <v>30</v>
      </c>
      <c r="P23" s="1925" t="s">
        <v>952</v>
      </c>
      <c r="Q23" s="1928">
        <v>300</v>
      </c>
      <c r="R23" s="1928">
        <v>300</v>
      </c>
      <c r="S23" s="1931">
        <f>SUM(Q23:R23)</f>
        <v>600</v>
      </c>
      <c r="T23" s="1931">
        <f>Q23*I23</f>
        <v>94200</v>
      </c>
      <c r="U23" s="1931">
        <f>R23*I23</f>
        <v>94200</v>
      </c>
      <c r="V23" s="1931">
        <f>SUM(T23:U23)</f>
        <v>188400</v>
      </c>
      <c r="W23" s="1921">
        <f>Q23*M23</f>
        <v>60000</v>
      </c>
      <c r="X23" s="1921">
        <f>R23*M23</f>
        <v>60000</v>
      </c>
      <c r="Y23" s="1921">
        <f>SUM(W23:X23)</f>
        <v>120000</v>
      </c>
      <c r="Z23" s="1946"/>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43926.052050000006</v>
      </c>
      <c r="E27" s="1926">
        <f>SUM(E29:E32)</f>
        <v>45901.802000000003</v>
      </c>
      <c r="F27" s="2157">
        <f>D27+E27</f>
        <v>89827.854050000009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958</v>
      </c>
      <c r="D29" s="1971">
        <v>33248.716050000003</v>
      </c>
      <c r="E29" s="1972">
        <v>34744.226000000002</v>
      </c>
      <c r="F29" s="1879">
        <f t="shared" ref="F29:F32" si="11">SUM(D29:E29)</f>
        <v>67992.942050000012</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959</v>
      </c>
      <c r="D30" s="1973">
        <v>10677.336000000001</v>
      </c>
      <c r="E30" s="1972">
        <v>11157.575999999999</v>
      </c>
      <c r="F30" s="1879">
        <f t="shared" si="11"/>
        <v>21834.912</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73</v>
      </c>
      <c r="C34" s="2106" t="s">
        <v>49</v>
      </c>
      <c r="D34" s="1911">
        <f>SUM(D35:D38)</f>
        <v>85000</v>
      </c>
      <c r="E34" s="1926">
        <f>SUM(E35:E38)</f>
        <v>85000</v>
      </c>
      <c r="F34" s="2157">
        <f>D34+E34</f>
        <v>170000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299</v>
      </c>
      <c r="C35" s="2197" t="s">
        <v>1076</v>
      </c>
      <c r="D35" s="1971">
        <v>85000</v>
      </c>
      <c r="E35" s="1988">
        <v>85000</v>
      </c>
      <c r="F35" s="1879">
        <f t="shared" ref="F35:F38" si="12">SUM(D35:E35)</f>
        <v>170000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18230612</v>
      </c>
      <c r="C37" s="2197"/>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5</v>
      </c>
      <c r="C38" s="2197"/>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2000</v>
      </c>
      <c r="E40" s="1926">
        <f>SUM(E41:E44)</f>
        <v>2000</v>
      </c>
      <c r="F40" s="2157">
        <f>D40+E40</f>
        <v>4000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1183</v>
      </c>
      <c r="D41" s="1971">
        <v>2000</v>
      </c>
      <c r="E41" s="1988">
        <v>2000</v>
      </c>
      <c r="F41" s="1879">
        <f t="shared" ref="F41:F44" si="13">SUM(D41:E41)</f>
        <v>4000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2000</v>
      </c>
      <c r="E46" s="1926">
        <f>SUM(E47:E50)</f>
        <v>2000</v>
      </c>
      <c r="F46" s="2157">
        <f>D46+E46</f>
        <v>4000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1184</v>
      </c>
      <c r="D47" s="1971">
        <v>2000</v>
      </c>
      <c r="E47" s="1988">
        <v>2000</v>
      </c>
      <c r="F47" s="1879">
        <f t="shared" ref="F47:F50" si="14">SUM(D47:E47)</f>
        <v>4000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1000</v>
      </c>
      <c r="E52" s="1926">
        <f>SUM(E53:E56)</f>
        <v>1000</v>
      </c>
      <c r="F52" s="2157">
        <f>D52+E52</f>
        <v>2000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1000</v>
      </c>
      <c r="E53" s="1972">
        <v>1000</v>
      </c>
      <c r="F53" s="1879">
        <f t="shared" ref="F53:F56" si="15">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3000</v>
      </c>
      <c r="E58" s="1926">
        <f>SUM(E59:E62)</f>
        <v>3000</v>
      </c>
      <c r="F58" s="2157">
        <f>D58+E58</f>
        <v>6000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3000</v>
      </c>
      <c r="E59" s="1988">
        <v>3000</v>
      </c>
      <c r="F59" s="1879">
        <f t="shared" ref="F59:F62" si="16">SUM(D59:E59)</f>
        <v>6000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73</v>
      </c>
      <c r="C64" s="1910" t="s">
        <v>53</v>
      </c>
      <c r="D64" s="1911">
        <f>W15</f>
        <v>630500</v>
      </c>
      <c r="E64" s="1926">
        <f>X15</f>
        <v>630500</v>
      </c>
      <c r="F64" s="1924">
        <f>D64+E64</f>
        <v>1261000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299</v>
      </c>
      <c r="C65" s="1967" t="s">
        <v>313</v>
      </c>
      <c r="D65" s="2615">
        <f>D64/D12</f>
        <v>0.75664642596334697</v>
      </c>
      <c r="E65" s="2616">
        <f>E64/E12</f>
        <v>0.75337154497536352</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18230612</v>
      </c>
      <c r="C67" s="1959" t="s">
        <v>54</v>
      </c>
      <c r="D67" s="1971">
        <v>0</v>
      </c>
      <c r="E67" s="1971">
        <v>0</v>
      </c>
      <c r="F67" s="1956">
        <v>0</v>
      </c>
    </row>
    <row r="68" spans="1:26">
      <c r="A68" s="1808" t="s">
        <v>5</v>
      </c>
    </row>
  </sheetData>
  <customSheetViews>
    <customSheetView guid="{074EB09C-6289-46D7-9513-012B68BCA7BF}" showGridLines="0">
      <pane xSplit="1" ySplit="1" topLeftCell="G2" activePane="bottomRight" state="frozen"/>
      <selection pane="bottomRight"/>
      <pageMargins left="0.17" right="0.21" top="0.37" bottom="0.33" header="0.3" footer="0.3"/>
      <pageSetup paperSize="17" scale="48" orientation="landscape" r:id="rId1"/>
    </customSheetView>
    <customSheetView guid="{D9EFFE19-D14B-4C6F-BDF4-FF696F73968D}" showGridLines="0">
      <pane xSplit="1" ySplit="1" topLeftCell="B8" activePane="bottomRight" state="frozen"/>
      <selection pane="bottomRight" activeCell="L16" sqref="L16:R23"/>
      <pageMargins left="0.17" right="0.21" top="0.37" bottom="0.33"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17" right="0.21" top="0.37" bottom="0.33" header="0.3" footer="0.3"/>
  <pageSetup paperSize="17" scale="48" orientation="landscape" r:id="rId3"/>
  <ignoredErrors>
    <ignoredError sqref="R7" formula="1"/>
  </ignoredError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DB4E3"/>
  </sheetPr>
  <dimension ref="A1:Z72"/>
  <sheetViews>
    <sheetView showGridLines="0" workbookViewId="0">
      <pane xSplit="1" ySplit="1" topLeftCell="G2" activePane="bottomRight" state="frozen"/>
      <selection pane="topRight" activeCell="B1" sqref="B1"/>
      <selection pane="bottomLeft" activeCell="A2" sqref="A2"/>
      <selection pane="bottomRight" activeCell="G3" sqref="G3"/>
    </sheetView>
  </sheetViews>
  <sheetFormatPr defaultRowHeight="12.75"/>
  <cols>
    <col min="1" max="1" width="17.140625" style="1164" customWidth="1"/>
    <col min="2" max="2" width="15.28515625" style="1866" customWidth="1"/>
    <col min="3" max="3" width="29.28515625" customWidth="1"/>
    <col min="4" max="4" width="18.140625" customWidth="1"/>
    <col min="5" max="5" width="19.42578125" style="9" customWidth="1"/>
    <col min="6" max="6" width="19.140625" customWidth="1"/>
    <col min="7" max="7" width="18.28515625" customWidth="1"/>
    <col min="8" max="8" width="46.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7.140625" customWidth="1"/>
    <col min="19" max="19" width="18.42578125" customWidth="1"/>
    <col min="20" max="21" width="20.5703125" bestFit="1" customWidth="1"/>
    <col min="22" max="22" width="23.5703125" bestFit="1" customWidth="1"/>
    <col min="23" max="24" width="15.28515625" customWidth="1"/>
    <col min="25" max="25" width="19.140625" customWidth="1"/>
    <col min="26" max="26" width="13.5703125" style="2530"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6.5703125" customWidth="1"/>
    <col min="264" max="264" width="17.140625" customWidth="1"/>
    <col min="265" max="265" width="18.42578125" customWidth="1"/>
    <col min="266"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6.5703125" customWidth="1"/>
    <col min="520" max="520" width="17.140625" customWidth="1"/>
    <col min="521" max="521" width="18.42578125" customWidth="1"/>
    <col min="522"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6.5703125" customWidth="1"/>
    <col min="776" max="776" width="17.140625" customWidth="1"/>
    <col min="777" max="777" width="18.42578125" customWidth="1"/>
    <col min="778"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6.5703125" customWidth="1"/>
    <col min="1032" max="1032" width="17.140625" customWidth="1"/>
    <col min="1033" max="1033" width="18.42578125" customWidth="1"/>
    <col min="1034"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6.5703125" customWidth="1"/>
    <col min="1288" max="1288" width="17.140625" customWidth="1"/>
    <col min="1289" max="1289" width="18.42578125" customWidth="1"/>
    <col min="1290"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6.5703125" customWidth="1"/>
    <col min="1544" max="1544" width="17.140625" customWidth="1"/>
    <col min="1545" max="1545" width="18.42578125" customWidth="1"/>
    <col min="1546"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6.5703125" customWidth="1"/>
    <col min="1800" max="1800" width="17.140625" customWidth="1"/>
    <col min="1801" max="1801" width="18.42578125" customWidth="1"/>
    <col min="1802"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6.5703125" customWidth="1"/>
    <col min="2056" max="2056" width="17.140625" customWidth="1"/>
    <col min="2057" max="2057" width="18.42578125" customWidth="1"/>
    <col min="2058"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6.5703125" customWidth="1"/>
    <col min="2312" max="2312" width="17.140625" customWidth="1"/>
    <col min="2313" max="2313" width="18.42578125" customWidth="1"/>
    <col min="2314"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6.5703125" customWidth="1"/>
    <col min="2568" max="2568" width="17.140625" customWidth="1"/>
    <col min="2569" max="2569" width="18.42578125" customWidth="1"/>
    <col min="2570"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6.5703125" customWidth="1"/>
    <col min="2824" max="2824" width="17.140625" customWidth="1"/>
    <col min="2825" max="2825" width="18.42578125" customWidth="1"/>
    <col min="2826"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6.5703125" customWidth="1"/>
    <col min="3080" max="3080" width="17.140625" customWidth="1"/>
    <col min="3081" max="3081" width="18.42578125" customWidth="1"/>
    <col min="3082"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6.5703125" customWidth="1"/>
    <col min="3336" max="3336" width="17.140625" customWidth="1"/>
    <col min="3337" max="3337" width="18.42578125" customWidth="1"/>
    <col min="3338"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6.5703125" customWidth="1"/>
    <col min="3592" max="3592" width="17.140625" customWidth="1"/>
    <col min="3593" max="3593" width="18.42578125" customWidth="1"/>
    <col min="3594"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6.5703125" customWidth="1"/>
    <col min="3848" max="3848" width="17.140625" customWidth="1"/>
    <col min="3849" max="3849" width="18.42578125" customWidth="1"/>
    <col min="3850"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6.5703125" customWidth="1"/>
    <col min="4104" max="4104" width="17.140625" customWidth="1"/>
    <col min="4105" max="4105" width="18.42578125" customWidth="1"/>
    <col min="4106"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6.5703125" customWidth="1"/>
    <col min="4360" max="4360" width="17.140625" customWidth="1"/>
    <col min="4361" max="4361" width="18.42578125" customWidth="1"/>
    <col min="4362"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6.5703125" customWidth="1"/>
    <col min="4616" max="4616" width="17.140625" customWidth="1"/>
    <col min="4617" max="4617" width="18.42578125" customWidth="1"/>
    <col min="4618"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6.5703125" customWidth="1"/>
    <col min="4872" max="4872" width="17.140625" customWidth="1"/>
    <col min="4873" max="4873" width="18.42578125" customWidth="1"/>
    <col min="4874"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6.5703125" customWidth="1"/>
    <col min="5128" max="5128" width="17.140625" customWidth="1"/>
    <col min="5129" max="5129" width="18.42578125" customWidth="1"/>
    <col min="5130"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6.5703125" customWidth="1"/>
    <col min="5384" max="5384" width="17.140625" customWidth="1"/>
    <col min="5385" max="5385" width="18.42578125" customWidth="1"/>
    <col min="5386"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6.5703125" customWidth="1"/>
    <col min="5640" max="5640" width="17.140625" customWidth="1"/>
    <col min="5641" max="5641" width="18.42578125" customWidth="1"/>
    <col min="5642"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6.5703125" customWidth="1"/>
    <col min="5896" max="5896" width="17.140625" customWidth="1"/>
    <col min="5897" max="5897" width="18.42578125" customWidth="1"/>
    <col min="5898"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6.5703125" customWidth="1"/>
    <col min="6152" max="6152" width="17.140625" customWidth="1"/>
    <col min="6153" max="6153" width="18.42578125" customWidth="1"/>
    <col min="6154"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6.5703125" customWidth="1"/>
    <col min="6408" max="6408" width="17.140625" customWidth="1"/>
    <col min="6409" max="6409" width="18.42578125" customWidth="1"/>
    <col min="6410"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6.5703125" customWidth="1"/>
    <col min="6664" max="6664" width="17.140625" customWidth="1"/>
    <col min="6665" max="6665" width="18.42578125" customWidth="1"/>
    <col min="6666"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6.5703125" customWidth="1"/>
    <col min="6920" max="6920" width="17.140625" customWidth="1"/>
    <col min="6921" max="6921" width="18.42578125" customWidth="1"/>
    <col min="6922"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6.5703125" customWidth="1"/>
    <col min="7176" max="7176" width="17.140625" customWidth="1"/>
    <col min="7177" max="7177" width="18.42578125" customWidth="1"/>
    <col min="7178"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6.5703125" customWidth="1"/>
    <col min="7432" max="7432" width="17.140625" customWidth="1"/>
    <col min="7433" max="7433" width="18.42578125" customWidth="1"/>
    <col min="7434"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6.5703125" customWidth="1"/>
    <col min="7688" max="7688" width="17.140625" customWidth="1"/>
    <col min="7689" max="7689" width="18.42578125" customWidth="1"/>
    <col min="7690"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6.5703125" customWidth="1"/>
    <col min="7944" max="7944" width="17.140625" customWidth="1"/>
    <col min="7945" max="7945" width="18.42578125" customWidth="1"/>
    <col min="7946"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6.5703125" customWidth="1"/>
    <col min="8200" max="8200" width="17.140625" customWidth="1"/>
    <col min="8201" max="8201" width="18.42578125" customWidth="1"/>
    <col min="8202"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6.5703125" customWidth="1"/>
    <col min="8456" max="8456" width="17.140625" customWidth="1"/>
    <col min="8457" max="8457" width="18.42578125" customWidth="1"/>
    <col min="8458"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6.5703125" customWidth="1"/>
    <col min="8712" max="8712" width="17.140625" customWidth="1"/>
    <col min="8713" max="8713" width="18.42578125" customWidth="1"/>
    <col min="8714"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6.5703125" customWidth="1"/>
    <col min="8968" max="8968" width="17.140625" customWidth="1"/>
    <col min="8969" max="8969" width="18.42578125" customWidth="1"/>
    <col min="8970"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6.5703125" customWidth="1"/>
    <col min="9224" max="9224" width="17.140625" customWidth="1"/>
    <col min="9225" max="9225" width="18.42578125" customWidth="1"/>
    <col min="9226"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6.5703125" customWidth="1"/>
    <col min="9480" max="9480" width="17.140625" customWidth="1"/>
    <col min="9481" max="9481" width="18.42578125" customWidth="1"/>
    <col min="9482"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6.5703125" customWidth="1"/>
    <col min="9736" max="9736" width="17.140625" customWidth="1"/>
    <col min="9737" max="9737" width="18.42578125" customWidth="1"/>
    <col min="9738"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6.5703125" customWidth="1"/>
    <col min="9992" max="9992" width="17.140625" customWidth="1"/>
    <col min="9993" max="9993" width="18.42578125" customWidth="1"/>
    <col min="9994"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6.5703125" customWidth="1"/>
    <col min="10248" max="10248" width="17.140625" customWidth="1"/>
    <col min="10249" max="10249" width="18.42578125" customWidth="1"/>
    <col min="10250"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6.5703125" customWidth="1"/>
    <col min="10504" max="10504" width="17.140625" customWidth="1"/>
    <col min="10505" max="10505" width="18.42578125" customWidth="1"/>
    <col min="10506"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6.5703125" customWidth="1"/>
    <col min="10760" max="10760" width="17.140625" customWidth="1"/>
    <col min="10761" max="10761" width="18.42578125" customWidth="1"/>
    <col min="10762"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6.5703125" customWidth="1"/>
    <col min="11016" max="11016" width="17.140625" customWidth="1"/>
    <col min="11017" max="11017" width="18.42578125" customWidth="1"/>
    <col min="11018"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6.5703125" customWidth="1"/>
    <col min="11272" max="11272" width="17.140625" customWidth="1"/>
    <col min="11273" max="11273" width="18.42578125" customWidth="1"/>
    <col min="11274"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6.5703125" customWidth="1"/>
    <col min="11528" max="11528" width="17.140625" customWidth="1"/>
    <col min="11529" max="11529" width="18.42578125" customWidth="1"/>
    <col min="11530"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6.5703125" customWidth="1"/>
    <col min="11784" max="11784" width="17.140625" customWidth="1"/>
    <col min="11785" max="11785" width="18.42578125" customWidth="1"/>
    <col min="11786"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6.5703125" customWidth="1"/>
    <col min="12040" max="12040" width="17.140625" customWidth="1"/>
    <col min="12041" max="12041" width="18.42578125" customWidth="1"/>
    <col min="12042"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6.5703125" customWidth="1"/>
    <col min="12296" max="12296" width="17.140625" customWidth="1"/>
    <col min="12297" max="12297" width="18.42578125" customWidth="1"/>
    <col min="12298"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6.5703125" customWidth="1"/>
    <col min="12552" max="12552" width="17.140625" customWidth="1"/>
    <col min="12553" max="12553" width="18.42578125" customWidth="1"/>
    <col min="12554"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6.5703125" customWidth="1"/>
    <col min="12808" max="12808" width="17.140625" customWidth="1"/>
    <col min="12809" max="12809" width="18.42578125" customWidth="1"/>
    <col min="12810"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6.5703125" customWidth="1"/>
    <col min="13064" max="13064" width="17.140625" customWidth="1"/>
    <col min="13065" max="13065" width="18.42578125" customWidth="1"/>
    <col min="13066"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6.5703125" customWidth="1"/>
    <col min="13320" max="13320" width="17.140625" customWidth="1"/>
    <col min="13321" max="13321" width="18.42578125" customWidth="1"/>
    <col min="13322"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6.5703125" customWidth="1"/>
    <col min="13576" max="13576" width="17.140625" customWidth="1"/>
    <col min="13577" max="13577" width="18.42578125" customWidth="1"/>
    <col min="13578"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6.5703125" customWidth="1"/>
    <col min="13832" max="13832" width="17.140625" customWidth="1"/>
    <col min="13833" max="13833" width="18.42578125" customWidth="1"/>
    <col min="13834"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6.5703125" customWidth="1"/>
    <col min="14088" max="14088" width="17.140625" customWidth="1"/>
    <col min="14089" max="14089" width="18.42578125" customWidth="1"/>
    <col min="14090"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6.5703125" customWidth="1"/>
    <col min="14344" max="14344" width="17.140625" customWidth="1"/>
    <col min="14345" max="14345" width="18.42578125" customWidth="1"/>
    <col min="14346"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6.5703125" customWidth="1"/>
    <col min="14600" max="14600" width="17.140625" customWidth="1"/>
    <col min="14601" max="14601" width="18.42578125" customWidth="1"/>
    <col min="14602"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6.5703125" customWidth="1"/>
    <col min="14856" max="14856" width="17.140625" customWidth="1"/>
    <col min="14857" max="14857" width="18.42578125" customWidth="1"/>
    <col min="14858"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6.5703125" customWidth="1"/>
    <col min="15112" max="15112" width="17.140625" customWidth="1"/>
    <col min="15113" max="15113" width="18.42578125" customWidth="1"/>
    <col min="15114"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6.5703125" customWidth="1"/>
    <col min="15368" max="15368" width="17.140625" customWidth="1"/>
    <col min="15369" max="15369" width="18.42578125" customWidth="1"/>
    <col min="15370"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6.5703125" customWidth="1"/>
    <col min="15624" max="15624" width="17.140625" customWidth="1"/>
    <col min="15625" max="15625" width="18.42578125" customWidth="1"/>
    <col min="15626"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6.5703125" customWidth="1"/>
    <col min="15880" max="15880" width="17.140625" customWidth="1"/>
    <col min="15881" max="15881" width="18.42578125" customWidth="1"/>
    <col min="15882"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6.5703125" customWidth="1"/>
    <col min="16136" max="16136" width="17.140625" customWidth="1"/>
    <col min="16137" max="16137" width="18.42578125" customWidth="1"/>
    <col min="16138"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286</v>
      </c>
      <c r="D1" s="1812" t="s">
        <v>287</v>
      </c>
      <c r="E1" s="1853" t="s">
        <v>6</v>
      </c>
      <c r="F1" s="1853">
        <v>18230407</v>
      </c>
      <c r="G1" s="1853" t="s">
        <v>5</v>
      </c>
      <c r="J1" s="1812"/>
      <c r="K1" s="1812"/>
      <c r="L1" s="1812"/>
      <c r="M1" s="1853" t="s">
        <v>286</v>
      </c>
      <c r="N1" s="1812" t="s">
        <v>287</v>
      </c>
      <c r="O1" s="1853" t="s">
        <v>6</v>
      </c>
      <c r="P1" s="1853">
        <v>18230407</v>
      </c>
      <c r="Q1" s="1853" t="s">
        <v>5</v>
      </c>
      <c r="V1" s="1853" t="s">
        <v>286</v>
      </c>
      <c r="W1" s="1812" t="s">
        <v>287</v>
      </c>
      <c r="X1" s="1853" t="s">
        <v>6</v>
      </c>
      <c r="Y1" s="1853">
        <v>18230407</v>
      </c>
      <c r="Z1" s="2559" t="s">
        <v>5</v>
      </c>
    </row>
    <row r="2" spans="1:26" ht="16.5" thickBot="1">
      <c r="C2" s="45"/>
      <c r="D2" s="46"/>
      <c r="H2" s="1576" t="s">
        <v>674</v>
      </c>
      <c r="R2" s="3596"/>
      <c r="S2" s="3596"/>
      <c r="T2" s="3597" t="s">
        <v>36</v>
      </c>
      <c r="U2" s="3598"/>
      <c r="V2" s="3599"/>
      <c r="W2" s="3594" t="s">
        <v>37</v>
      </c>
    </row>
    <row r="3" spans="1:26" ht="26.25" thickBot="1">
      <c r="A3" s="1852" t="s">
        <v>286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287</v>
      </c>
      <c r="B4" s="1808"/>
      <c r="C4" s="46"/>
      <c r="G4" s="1704" t="s">
        <v>668</v>
      </c>
      <c r="H4" s="2003">
        <v>257631.75</v>
      </c>
      <c r="I4" s="2002">
        <v>70110</v>
      </c>
      <c r="J4" s="2002">
        <v>231713.41724999997</v>
      </c>
      <c r="K4" s="2002">
        <v>71250</v>
      </c>
      <c r="L4" s="2002">
        <v>11010</v>
      </c>
      <c r="M4" s="2002">
        <v>827392.3</v>
      </c>
      <c r="N4" s="2002">
        <v>250</v>
      </c>
      <c r="O4" s="2002">
        <v>9620</v>
      </c>
      <c r="P4" s="2002">
        <v>5382843.7000000002</v>
      </c>
      <c r="Q4" s="2002">
        <v>0</v>
      </c>
      <c r="R4" s="2000">
        <v>6861821.1672499999</v>
      </c>
      <c r="S4" s="1998">
        <v>16746954.299999999</v>
      </c>
      <c r="T4" s="65">
        <f>P4/R4</f>
        <v>0.78446283702221187</v>
      </c>
      <c r="U4" s="65">
        <f>(K4+(I4*1.63))/R4</f>
        <v>2.7037909540034578E-2</v>
      </c>
      <c r="V4" s="65">
        <f>M4/R4</f>
        <v>0.12057911155553951</v>
      </c>
      <c r="W4" s="52">
        <f>R4/S4</f>
        <v>0.40973546857114196</v>
      </c>
    </row>
    <row r="5" spans="1:26" ht="16.5" thickBot="1">
      <c r="A5" s="1852" t="s">
        <v>6</v>
      </c>
      <c r="B5" s="1852"/>
      <c r="C5" s="45"/>
      <c r="G5" s="45">
        <v>2016</v>
      </c>
      <c r="H5" s="1582">
        <f>D15</f>
        <v>192344.1</v>
      </c>
      <c r="I5" s="1549">
        <f>D21</f>
        <v>40000</v>
      </c>
      <c r="J5" s="1549">
        <f>D27</f>
        <v>154973.5147</v>
      </c>
      <c r="K5" s="1549">
        <f>D34</f>
        <v>75000</v>
      </c>
      <c r="L5" s="1549">
        <f>D40</f>
        <v>4000</v>
      </c>
      <c r="M5" s="1549">
        <f>D46</f>
        <v>1150000</v>
      </c>
      <c r="N5" s="1549">
        <f>D52</f>
        <v>1000</v>
      </c>
      <c r="O5" s="1549">
        <f>D58</f>
        <v>1000</v>
      </c>
      <c r="P5" s="1549">
        <f>D64</f>
        <v>8157682</v>
      </c>
      <c r="Q5" s="1549">
        <f>D67</f>
        <v>0</v>
      </c>
      <c r="R5" s="2001">
        <f>SUM(H5:Q5)</f>
        <v>9775999.6147000007</v>
      </c>
      <c r="S5" s="1999">
        <f>T15</f>
        <v>17190284</v>
      </c>
      <c r="T5" s="66">
        <f>P5/R5</f>
        <v>0.83446013927142915</v>
      </c>
      <c r="U5" s="66">
        <f>(K5+(I5*1.63))/R5</f>
        <v>1.4341244427749741E-2</v>
      </c>
      <c r="V5" s="66">
        <f>M5/R5</f>
        <v>0.11763502918624966</v>
      </c>
      <c r="W5" s="56">
        <f>R5/S5</f>
        <v>0.56869331621862684</v>
      </c>
    </row>
    <row r="6" spans="1:26" ht="16.5" thickBot="1">
      <c r="A6" s="1852">
        <v>18230407</v>
      </c>
      <c r="B6" s="1852"/>
      <c r="C6" s="1592"/>
      <c r="D6" s="1866"/>
      <c r="E6" s="1867"/>
      <c r="F6" s="1866"/>
      <c r="G6" s="45">
        <v>2017</v>
      </c>
      <c r="H6" s="57">
        <f>E15</f>
        <v>197152.80000000005</v>
      </c>
      <c r="I6" s="1990">
        <f>E21</f>
        <v>40000</v>
      </c>
      <c r="J6" s="1989">
        <f>E27</f>
        <v>161263.90400000004</v>
      </c>
      <c r="K6" s="58">
        <f>E34</f>
        <v>75000</v>
      </c>
      <c r="L6" s="58">
        <f>E40</f>
        <v>4000</v>
      </c>
      <c r="M6" s="58">
        <f>E46</f>
        <v>1150000</v>
      </c>
      <c r="N6" s="58">
        <f>E52</f>
        <v>1000</v>
      </c>
      <c r="O6" s="58">
        <f>E58</f>
        <v>1000</v>
      </c>
      <c r="P6" s="58">
        <f>E64</f>
        <v>8521682</v>
      </c>
      <c r="Q6" s="58">
        <f>E67</f>
        <v>0</v>
      </c>
      <c r="R6" s="1997">
        <f>SUM(H6:Q6)</f>
        <v>10151098.704</v>
      </c>
      <c r="S6" s="1996">
        <f>U15</f>
        <v>19095964</v>
      </c>
      <c r="T6" s="66">
        <f>P6/R6</f>
        <v>0.83948370993989696</v>
      </c>
      <c r="U6" s="66">
        <f>(K6+(I6*1.63))/R6</f>
        <v>1.3811312852741226E-2</v>
      </c>
      <c r="V6" s="66">
        <f>M6/R6</f>
        <v>0.11328822953389736</v>
      </c>
      <c r="W6" s="56">
        <f>R6/S6</f>
        <v>0.53158346465253081</v>
      </c>
    </row>
    <row r="7" spans="1:26" ht="16.5" thickBot="1">
      <c r="A7" s="1852" t="s">
        <v>5</v>
      </c>
      <c r="B7" s="1808"/>
      <c r="C7" s="1592"/>
      <c r="D7" s="1866"/>
      <c r="E7" s="1867"/>
      <c r="F7" s="1866"/>
      <c r="G7" s="1608" t="s">
        <v>23</v>
      </c>
      <c r="H7" s="1564">
        <f t="shared" ref="H7:Q7" si="0">SUM(H5:H6)</f>
        <v>389496.9</v>
      </c>
      <c r="I7" s="1991">
        <f t="shared" si="0"/>
        <v>80000</v>
      </c>
      <c r="J7" s="1992">
        <f t="shared" si="0"/>
        <v>316237.41870000004</v>
      </c>
      <c r="K7" s="1993">
        <f t="shared" si="0"/>
        <v>150000</v>
      </c>
      <c r="L7" s="1991">
        <f t="shared" si="0"/>
        <v>8000</v>
      </c>
      <c r="M7" s="1992">
        <f t="shared" si="0"/>
        <v>2300000</v>
      </c>
      <c r="N7" s="1991">
        <f t="shared" si="0"/>
        <v>2000</v>
      </c>
      <c r="O7" s="1992">
        <f t="shared" si="0"/>
        <v>2000</v>
      </c>
      <c r="P7" s="1993">
        <f t="shared" si="0"/>
        <v>16679364</v>
      </c>
      <c r="Q7" s="1991">
        <f t="shared" si="0"/>
        <v>0</v>
      </c>
      <c r="R7" s="1993">
        <f>SUM(H7:Q7)</f>
        <v>19927098.318700001</v>
      </c>
      <c r="S7" s="1994">
        <f>SUM(S5:S6)</f>
        <v>36286248</v>
      </c>
      <c r="T7" s="66">
        <f>P7/R7</f>
        <v>0.83701920536758434</v>
      </c>
      <c r="U7" s="66">
        <f>(K7+(I7*1.63))/R7</f>
        <v>1.4071291038739286E-2</v>
      </c>
      <c r="V7" s="66">
        <f>M7/R7</f>
        <v>0.11542071822075733</v>
      </c>
      <c r="W7" s="56">
        <f>R7/S7</f>
        <v>0.54916392344284259</v>
      </c>
    </row>
    <row r="8" spans="1:26" ht="15.75">
      <c r="B8" s="1852"/>
      <c r="C8" s="1592"/>
      <c r="D8" s="1866"/>
      <c r="E8" s="1867"/>
      <c r="F8" s="1866"/>
    </row>
    <row r="9" spans="1:26" ht="20.25" customHeight="1">
      <c r="A9" s="1808"/>
      <c r="B9" s="1808"/>
      <c r="C9" s="1592"/>
      <c r="D9" s="1866"/>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2546"/>
    </row>
    <row r="12" spans="1:26">
      <c r="B12" s="2177"/>
      <c r="C12" s="1887" t="s">
        <v>314</v>
      </c>
      <c r="D12" s="2157">
        <f>D15+D21+D27+D34+D40+D46+D52+D58+D64</f>
        <v>9775999.6147000007</v>
      </c>
      <c r="E12" s="1948">
        <f>E15+E21+E27+E34+E40+E46+E52+E58+E64</f>
        <v>10151098.704</v>
      </c>
      <c r="F12" s="2157">
        <f>D12+E12</f>
        <v>19927098.318700001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2177"/>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B14" s="2177"/>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2106" t="s">
        <v>46</v>
      </c>
      <c r="D15" s="2158">
        <f>SUM(D16:D19)</f>
        <v>192344.1</v>
      </c>
      <c r="E15" s="1926">
        <f>SUM(E16:E19)</f>
        <v>197152.80000000005</v>
      </c>
      <c r="F15" s="2157">
        <f>D15+E15</f>
        <v>389496.9</v>
      </c>
      <c r="H15" s="1938" t="s">
        <v>327</v>
      </c>
      <c r="I15" s="1939"/>
      <c r="J15" s="1939"/>
      <c r="K15" s="1940"/>
      <c r="L15" s="1941">
        <f>SUMPRODUCT(L16:L72,S16:S72)</f>
        <v>26520194</v>
      </c>
      <c r="M15" s="1941">
        <f>SUM(M16:M72)</f>
        <v>64122.060000000005</v>
      </c>
      <c r="N15" s="1942"/>
      <c r="O15" s="1940">
        <v>18</v>
      </c>
      <c r="P15" s="1940"/>
      <c r="Q15" s="1940"/>
      <c r="R15" s="1940"/>
      <c r="S15" s="1940"/>
      <c r="T15" s="1943">
        <f t="shared" ref="T15:Y15" si="1">SUM(T16:T72)</f>
        <v>17190284</v>
      </c>
      <c r="U15" s="1943">
        <f t="shared" si="1"/>
        <v>19095964</v>
      </c>
      <c r="V15" s="1943">
        <f t="shared" si="1"/>
        <v>36286248</v>
      </c>
      <c r="W15" s="1941">
        <f t="shared" si="1"/>
        <v>8157682</v>
      </c>
      <c r="X15" s="1941">
        <f t="shared" si="1"/>
        <v>8521682</v>
      </c>
      <c r="Y15" s="1941">
        <f t="shared" si="1"/>
        <v>16679364</v>
      </c>
      <c r="Z15" s="2534">
        <v>0</v>
      </c>
    </row>
    <row r="16" spans="1:26">
      <c r="B16" s="2610">
        <v>0.45</v>
      </c>
      <c r="C16" s="2197" t="s">
        <v>791</v>
      </c>
      <c r="D16" s="2201">
        <v>44387.1</v>
      </c>
      <c r="E16" s="2200">
        <v>45496.800000000003</v>
      </c>
      <c r="F16" s="1879">
        <f>SUM(D16:E16)</f>
        <v>89883.9</v>
      </c>
      <c r="H16" s="3244" t="s">
        <v>1198</v>
      </c>
      <c r="I16" s="3229">
        <v>216</v>
      </c>
      <c r="J16" s="1932" t="s">
        <v>120</v>
      </c>
      <c r="K16" s="2564" t="s">
        <v>909</v>
      </c>
      <c r="L16" s="3243">
        <v>55</v>
      </c>
      <c r="M16" s="3243">
        <v>55</v>
      </c>
      <c r="N16" s="1923">
        <v>7.234271929208308E-2</v>
      </c>
      <c r="O16" s="1922">
        <v>5</v>
      </c>
      <c r="P16" s="2565" t="s">
        <v>952</v>
      </c>
      <c r="Q16" s="3264">
        <v>6000</v>
      </c>
      <c r="R16" s="3264">
        <v>6000</v>
      </c>
      <c r="S16" s="1931">
        <f>SUM(Q16:R16)</f>
        <v>12000</v>
      </c>
      <c r="T16" s="1931">
        <f>Q16*I16</f>
        <v>1296000</v>
      </c>
      <c r="U16" s="1931">
        <f>R16*I16</f>
        <v>1296000</v>
      </c>
      <c r="V16" s="1931">
        <f>SUM(T16:U16)</f>
        <v>2592000</v>
      </c>
      <c r="W16" s="1921">
        <f>Q16*M16</f>
        <v>330000</v>
      </c>
      <c r="X16" s="1921">
        <f>R16*M16</f>
        <v>330000</v>
      </c>
      <c r="Y16" s="1921">
        <f>SUM(W16:X16)</f>
        <v>660000</v>
      </c>
      <c r="Z16" s="2978">
        <v>0</v>
      </c>
    </row>
    <row r="17" spans="2:26">
      <c r="B17" s="2610">
        <v>0.8</v>
      </c>
      <c r="C17" s="2197" t="s">
        <v>792</v>
      </c>
      <c r="D17" s="2199">
        <v>78910.400000000009</v>
      </c>
      <c r="E17" s="2198">
        <v>80883.200000000012</v>
      </c>
      <c r="F17" s="1879">
        <f t="shared" ref="F17:F19" si="2">SUM(D17:E17)</f>
        <v>159793.60000000003</v>
      </c>
      <c r="H17" s="3244" t="s">
        <v>1199</v>
      </c>
      <c r="I17" s="3229">
        <v>45</v>
      </c>
      <c r="J17" s="1932" t="s">
        <v>120</v>
      </c>
      <c r="K17" s="2564" t="s">
        <v>909</v>
      </c>
      <c r="L17" s="3243">
        <v>2.1</v>
      </c>
      <c r="M17" s="3243">
        <v>2.1</v>
      </c>
      <c r="N17" s="1923">
        <v>7.2342719292083088E-3</v>
      </c>
      <c r="O17" s="1922">
        <v>10</v>
      </c>
      <c r="P17" s="2565" t="s">
        <v>910</v>
      </c>
      <c r="Q17" s="3264">
        <v>4000</v>
      </c>
      <c r="R17" s="3264">
        <v>4000</v>
      </c>
      <c r="S17" s="1931">
        <f t="shared" ref="S17:S53" si="3">SUM(Q17:R17)</f>
        <v>8000</v>
      </c>
      <c r="T17" s="1931">
        <f t="shared" ref="T17:T53" si="4">Q17*I17</f>
        <v>180000</v>
      </c>
      <c r="U17" s="1931">
        <f t="shared" ref="U17:U53" si="5">R17*I17</f>
        <v>180000</v>
      </c>
      <c r="V17" s="1931">
        <f t="shared" ref="V17:V53" si="6">SUM(T17:U17)</f>
        <v>360000</v>
      </c>
      <c r="W17" s="1921">
        <f t="shared" ref="W17:W53" si="7">Q17*M17</f>
        <v>8400</v>
      </c>
      <c r="X17" s="1921">
        <f t="shared" ref="X17:X53" si="8">R17*M17</f>
        <v>8400</v>
      </c>
      <c r="Y17" s="1921">
        <f t="shared" ref="Y17:Y53" si="9">SUM(W17:X17)</f>
        <v>16800</v>
      </c>
      <c r="Z17" s="2982">
        <v>4.8499999999999996</v>
      </c>
    </row>
    <row r="18" spans="2:26" s="2177" customFormat="1">
      <c r="B18" s="2610">
        <v>0.4</v>
      </c>
      <c r="C18" s="2197" t="s">
        <v>794</v>
      </c>
      <c r="D18" s="2199">
        <v>39455.200000000004</v>
      </c>
      <c r="E18" s="2198">
        <v>40441.600000000006</v>
      </c>
      <c r="F18" s="1879">
        <f t="shared" si="2"/>
        <v>79896.800000000017</v>
      </c>
      <c r="H18" s="3244" t="s">
        <v>1200</v>
      </c>
      <c r="I18" s="3229">
        <v>1</v>
      </c>
      <c r="J18" s="2557" t="s">
        <v>120</v>
      </c>
      <c r="K18" s="2564" t="s">
        <v>1067</v>
      </c>
      <c r="L18" s="3261">
        <v>2</v>
      </c>
      <c r="M18" s="3261">
        <v>2</v>
      </c>
      <c r="N18" s="2566">
        <v>0.12057119882013848</v>
      </c>
      <c r="O18" s="2556">
        <v>30</v>
      </c>
      <c r="P18" s="2565" t="s">
        <v>1070</v>
      </c>
      <c r="Q18" s="3265">
        <v>750000</v>
      </c>
      <c r="R18" s="3265">
        <v>750000</v>
      </c>
      <c r="S18" s="1931">
        <f t="shared" si="3"/>
        <v>1500000</v>
      </c>
      <c r="T18" s="1931">
        <f t="shared" si="4"/>
        <v>750000</v>
      </c>
      <c r="U18" s="1931">
        <f t="shared" si="5"/>
        <v>750000</v>
      </c>
      <c r="V18" s="1931">
        <f t="shared" si="6"/>
        <v>1500000</v>
      </c>
      <c r="W18" s="1921">
        <f t="shared" si="7"/>
        <v>1500000</v>
      </c>
      <c r="X18" s="1921">
        <f t="shared" si="8"/>
        <v>1500000</v>
      </c>
      <c r="Y18" s="1921">
        <f t="shared" si="9"/>
        <v>3000000</v>
      </c>
      <c r="Z18" s="2979">
        <v>0</v>
      </c>
    </row>
    <row r="19" spans="2:26">
      <c r="B19" s="2610">
        <v>0.3</v>
      </c>
      <c r="C19" s="2197" t="s">
        <v>967</v>
      </c>
      <c r="D19" s="2053">
        <v>29591.399999999998</v>
      </c>
      <c r="E19" s="2054">
        <v>30331.199999999997</v>
      </c>
      <c r="F19" s="1879">
        <f t="shared" si="2"/>
        <v>59922.599999999991</v>
      </c>
      <c r="H19" s="3244" t="s">
        <v>1201</v>
      </c>
      <c r="I19" s="3232">
        <v>2.1800000000000002</v>
      </c>
      <c r="J19" s="1932" t="s">
        <v>120</v>
      </c>
      <c r="K19" s="2564" t="s">
        <v>1067</v>
      </c>
      <c r="L19" s="3243">
        <v>1.06</v>
      </c>
      <c r="M19" s="3243">
        <v>0.75</v>
      </c>
      <c r="N19" s="1923">
        <v>8.7615071142633973E-3</v>
      </c>
      <c r="O19" s="1922">
        <v>30</v>
      </c>
      <c r="P19" s="2565" t="s">
        <v>1070</v>
      </c>
      <c r="Q19" s="3264">
        <v>100000</v>
      </c>
      <c r="R19" s="3264">
        <v>100000</v>
      </c>
      <c r="S19" s="1931">
        <f t="shared" si="3"/>
        <v>200000</v>
      </c>
      <c r="T19" s="1931">
        <f t="shared" si="4"/>
        <v>218000.00000000003</v>
      </c>
      <c r="U19" s="1931">
        <f t="shared" si="5"/>
        <v>218000.00000000003</v>
      </c>
      <c r="V19" s="1931">
        <f t="shared" si="6"/>
        <v>436000.00000000006</v>
      </c>
      <c r="W19" s="1921">
        <f t="shared" si="7"/>
        <v>75000</v>
      </c>
      <c r="X19" s="1921">
        <f t="shared" si="8"/>
        <v>75000</v>
      </c>
      <c r="Y19" s="1921">
        <f t="shared" si="9"/>
        <v>150000</v>
      </c>
      <c r="Z19" s="2978">
        <v>0</v>
      </c>
    </row>
    <row r="20" spans="2:26">
      <c r="B20" s="1908">
        <f>SUM(B16:B19)</f>
        <v>1.95</v>
      </c>
      <c r="C20" s="1952"/>
      <c r="D20" s="1954"/>
      <c r="E20" s="1955"/>
      <c r="F20" s="1957"/>
      <c r="H20" s="3244" t="s">
        <v>1202</v>
      </c>
      <c r="I20" s="3232">
        <v>1.39</v>
      </c>
      <c r="J20" s="1932" t="s">
        <v>120</v>
      </c>
      <c r="K20" s="2564" t="s">
        <v>1067</v>
      </c>
      <c r="L20" s="3243">
        <v>0.75</v>
      </c>
      <c r="M20" s="3243">
        <v>0.75</v>
      </c>
      <c r="N20" s="1923">
        <v>6.7037586543996983E-2</v>
      </c>
      <c r="O20" s="1922">
        <v>30</v>
      </c>
      <c r="P20" s="2565" t="s">
        <v>1070</v>
      </c>
      <c r="Q20" s="3266">
        <v>1000000</v>
      </c>
      <c r="R20" s="3266">
        <v>1000000</v>
      </c>
      <c r="S20" s="1931">
        <f t="shared" si="3"/>
        <v>2000000</v>
      </c>
      <c r="T20" s="1931">
        <f t="shared" si="4"/>
        <v>1390000</v>
      </c>
      <c r="U20" s="1931">
        <f t="shared" si="5"/>
        <v>1390000</v>
      </c>
      <c r="V20" s="1931">
        <f t="shared" si="6"/>
        <v>2780000</v>
      </c>
      <c r="W20" s="1921">
        <f t="shared" si="7"/>
        <v>750000</v>
      </c>
      <c r="X20" s="1921">
        <f t="shared" si="8"/>
        <v>750000</v>
      </c>
      <c r="Y20" s="1921">
        <f t="shared" si="9"/>
        <v>1500000</v>
      </c>
      <c r="Z20" s="2978">
        <v>0</v>
      </c>
    </row>
    <row r="21" spans="2:26">
      <c r="B21" s="2177"/>
      <c r="C21" s="2106" t="s">
        <v>47</v>
      </c>
      <c r="D21" s="2158">
        <f>SUM(D22:D25)</f>
        <v>40000</v>
      </c>
      <c r="E21" s="1926">
        <f>SUM(E22:E25)</f>
        <v>40000</v>
      </c>
      <c r="F21" s="2157">
        <f>D21+E21</f>
        <v>80000</v>
      </c>
      <c r="H21" s="3244" t="s">
        <v>1203</v>
      </c>
      <c r="I21" s="3229">
        <v>180</v>
      </c>
      <c r="J21" s="1932" t="s">
        <v>120</v>
      </c>
      <c r="K21" s="2564" t="s">
        <v>909</v>
      </c>
      <c r="L21" s="3261">
        <v>124</v>
      </c>
      <c r="M21" s="3243">
        <v>50</v>
      </c>
      <c r="N21" s="1923">
        <v>1.4468543858416616E-4</v>
      </c>
      <c r="O21" s="1922">
        <v>14</v>
      </c>
      <c r="P21" s="2565" t="s">
        <v>910</v>
      </c>
      <c r="Q21" s="3264">
        <v>20</v>
      </c>
      <c r="R21" s="3264">
        <v>20</v>
      </c>
      <c r="S21" s="1931">
        <f t="shared" si="3"/>
        <v>40</v>
      </c>
      <c r="T21" s="1931">
        <f t="shared" si="4"/>
        <v>3600</v>
      </c>
      <c r="U21" s="1931">
        <f t="shared" si="5"/>
        <v>3600</v>
      </c>
      <c r="V21" s="1931">
        <f t="shared" si="6"/>
        <v>7200</v>
      </c>
      <c r="W21" s="1921">
        <f t="shared" si="7"/>
        <v>1000</v>
      </c>
      <c r="X21" s="1921">
        <f t="shared" si="8"/>
        <v>1000</v>
      </c>
      <c r="Y21" s="1921">
        <f t="shared" si="9"/>
        <v>2000</v>
      </c>
      <c r="Z21" s="2978">
        <v>22.49</v>
      </c>
    </row>
    <row r="22" spans="2:26">
      <c r="B22" s="2177"/>
      <c r="C22" s="2197" t="s">
        <v>968</v>
      </c>
      <c r="D22" s="2201">
        <v>32000</v>
      </c>
      <c r="E22" s="2200">
        <v>32000</v>
      </c>
      <c r="F22" s="1879">
        <f t="shared" ref="F22:F25" si="10">SUM(D22:E22)</f>
        <v>64000</v>
      </c>
      <c r="H22" s="3244" t="s">
        <v>1204</v>
      </c>
      <c r="I22" s="3229">
        <v>809</v>
      </c>
      <c r="J22" s="1932" t="s">
        <v>120</v>
      </c>
      <c r="K22" s="2564" t="s">
        <v>909</v>
      </c>
      <c r="L22" s="3243">
        <v>600</v>
      </c>
      <c r="M22" s="3243">
        <v>600</v>
      </c>
      <c r="N22" s="1923">
        <v>4.8771049922746015E-2</v>
      </c>
      <c r="O22" s="1922">
        <v>11</v>
      </c>
      <c r="P22" s="2565" t="s">
        <v>910</v>
      </c>
      <c r="Q22" s="3266">
        <v>1000</v>
      </c>
      <c r="R22" s="3266">
        <v>1000</v>
      </c>
      <c r="S22" s="1931">
        <f t="shared" si="3"/>
        <v>2000</v>
      </c>
      <c r="T22" s="1931">
        <f t="shared" si="4"/>
        <v>809000</v>
      </c>
      <c r="U22" s="1931">
        <f t="shared" si="5"/>
        <v>809000</v>
      </c>
      <c r="V22" s="1931">
        <f t="shared" si="6"/>
        <v>1618000</v>
      </c>
      <c r="W22" s="1921">
        <f t="shared" si="7"/>
        <v>600000</v>
      </c>
      <c r="X22" s="1921">
        <f t="shared" si="8"/>
        <v>600000</v>
      </c>
      <c r="Y22" s="1921">
        <f t="shared" si="9"/>
        <v>1200000</v>
      </c>
      <c r="Z22" s="2980">
        <v>20.309999999999999</v>
      </c>
    </row>
    <row r="23" spans="2:26">
      <c r="B23" s="2177"/>
      <c r="C23" s="2197" t="s">
        <v>1193</v>
      </c>
      <c r="D23" s="2201">
        <v>8000</v>
      </c>
      <c r="E23" s="2200">
        <v>8000</v>
      </c>
      <c r="F23" s="1879">
        <f t="shared" si="10"/>
        <v>16000</v>
      </c>
      <c r="H23" s="3244" t="s">
        <v>1205</v>
      </c>
      <c r="I23" s="3252">
        <v>54135</v>
      </c>
      <c r="J23" s="1932" t="s">
        <v>120</v>
      </c>
      <c r="K23" s="2564" t="s">
        <v>1066</v>
      </c>
      <c r="L23" s="3243">
        <v>16055</v>
      </c>
      <c r="M23" s="3243">
        <v>8000</v>
      </c>
      <c r="N23" s="1923">
        <v>0.10878536413546994</v>
      </c>
      <c r="O23" s="1922">
        <v>15</v>
      </c>
      <c r="P23" s="2565" t="s">
        <v>1071</v>
      </c>
      <c r="Q23" s="3267">
        <v>50</v>
      </c>
      <c r="R23" s="3267">
        <v>50</v>
      </c>
      <c r="S23" s="1931">
        <f t="shared" si="3"/>
        <v>100</v>
      </c>
      <c r="T23" s="1931">
        <f t="shared" si="4"/>
        <v>2706750</v>
      </c>
      <c r="U23" s="1931">
        <f t="shared" si="5"/>
        <v>2706750</v>
      </c>
      <c r="V23" s="1931">
        <f t="shared" si="6"/>
        <v>5413500</v>
      </c>
      <c r="W23" s="1921">
        <f t="shared" si="7"/>
        <v>400000</v>
      </c>
      <c r="X23" s="1921">
        <f t="shared" si="8"/>
        <v>400000</v>
      </c>
      <c r="Y23" s="1921">
        <f t="shared" si="9"/>
        <v>800000</v>
      </c>
      <c r="Z23" s="2978">
        <v>0</v>
      </c>
    </row>
    <row r="24" spans="2:26">
      <c r="B24" s="2177"/>
      <c r="C24" s="2197"/>
      <c r="D24" s="1898"/>
      <c r="E24" s="1897"/>
      <c r="F24" s="1879">
        <f t="shared" si="10"/>
        <v>0</v>
      </c>
      <c r="H24" s="3244" t="s">
        <v>1133</v>
      </c>
      <c r="I24" s="3253">
        <v>1195</v>
      </c>
      <c r="J24" s="1932" t="s">
        <v>120</v>
      </c>
      <c r="K24" s="2564" t="s">
        <v>966</v>
      </c>
      <c r="L24" s="3261">
        <v>3250</v>
      </c>
      <c r="M24" s="3243">
        <v>1200</v>
      </c>
      <c r="N24" s="1923">
        <v>4.8027527530021825E-2</v>
      </c>
      <c r="O24" s="1922">
        <v>15</v>
      </c>
      <c r="P24" s="2565" t="s">
        <v>1070</v>
      </c>
      <c r="Q24" s="3266">
        <v>500</v>
      </c>
      <c r="R24" s="3266">
        <v>500</v>
      </c>
      <c r="S24" s="1931">
        <f t="shared" si="3"/>
        <v>1000</v>
      </c>
      <c r="T24" s="1931">
        <f t="shared" si="4"/>
        <v>597500</v>
      </c>
      <c r="U24" s="1931">
        <f t="shared" si="5"/>
        <v>597500</v>
      </c>
      <c r="V24" s="1931">
        <f t="shared" si="6"/>
        <v>1195000</v>
      </c>
      <c r="W24" s="1921">
        <f t="shared" si="7"/>
        <v>600000</v>
      </c>
      <c r="X24" s="1921">
        <f t="shared" si="8"/>
        <v>600000</v>
      </c>
      <c r="Y24" s="1921">
        <f t="shared" si="9"/>
        <v>1200000</v>
      </c>
      <c r="Z24" s="2978">
        <v>0</v>
      </c>
    </row>
    <row r="25" spans="2:26">
      <c r="B25" s="2177"/>
      <c r="C25" s="2197"/>
      <c r="D25" s="1896"/>
      <c r="E25" s="1899"/>
      <c r="F25" s="1879">
        <f t="shared" si="10"/>
        <v>0</v>
      </c>
      <c r="H25" s="3244" t="s">
        <v>1189</v>
      </c>
      <c r="I25" s="3252">
        <v>3500</v>
      </c>
      <c r="J25" s="1932" t="s">
        <v>120</v>
      </c>
      <c r="K25" s="2564" t="s">
        <v>966</v>
      </c>
      <c r="L25" s="3243">
        <v>2196</v>
      </c>
      <c r="M25" s="3243">
        <v>950</v>
      </c>
      <c r="N25" s="1923">
        <v>4.2199919587048465E-4</v>
      </c>
      <c r="O25" s="1922">
        <v>30</v>
      </c>
      <c r="P25" s="2565" t="s">
        <v>910</v>
      </c>
      <c r="Q25" s="3267">
        <v>3</v>
      </c>
      <c r="R25" s="3267">
        <v>3</v>
      </c>
      <c r="S25" s="1931">
        <f t="shared" si="3"/>
        <v>6</v>
      </c>
      <c r="T25" s="1931">
        <f t="shared" si="4"/>
        <v>10500</v>
      </c>
      <c r="U25" s="1931">
        <f t="shared" si="5"/>
        <v>10500</v>
      </c>
      <c r="V25" s="1931">
        <f t="shared" si="6"/>
        <v>21000</v>
      </c>
      <c r="W25" s="1921">
        <f t="shared" si="7"/>
        <v>2850</v>
      </c>
      <c r="X25" s="1921">
        <f t="shared" si="8"/>
        <v>2850</v>
      </c>
      <c r="Y25" s="1921">
        <f t="shared" si="9"/>
        <v>5700</v>
      </c>
      <c r="Z25" s="2978">
        <v>0</v>
      </c>
    </row>
    <row r="26" spans="2:26">
      <c r="B26" s="2177"/>
      <c r="C26" s="1877"/>
      <c r="D26" s="1892"/>
      <c r="E26" s="1884"/>
      <c r="F26" s="1892"/>
      <c r="H26" s="3244" t="s">
        <v>1190</v>
      </c>
      <c r="I26" s="3252">
        <v>3500</v>
      </c>
      <c r="J26" s="1932" t="s">
        <v>120</v>
      </c>
      <c r="K26" s="2564" t="s">
        <v>966</v>
      </c>
      <c r="L26" s="3243">
        <v>3489</v>
      </c>
      <c r="M26" s="3243">
        <v>950</v>
      </c>
      <c r="N26" s="1923">
        <v>4.2199919587048465E-4</v>
      </c>
      <c r="O26" s="1922">
        <v>30</v>
      </c>
      <c r="P26" s="2565" t="s">
        <v>910</v>
      </c>
      <c r="Q26" s="3264">
        <v>3</v>
      </c>
      <c r="R26" s="3264">
        <v>3</v>
      </c>
      <c r="S26" s="1931">
        <f t="shared" si="3"/>
        <v>6</v>
      </c>
      <c r="T26" s="1931">
        <f t="shared" si="4"/>
        <v>10500</v>
      </c>
      <c r="U26" s="1931">
        <f t="shared" si="5"/>
        <v>10500</v>
      </c>
      <c r="V26" s="1931">
        <f t="shared" si="6"/>
        <v>21000</v>
      </c>
      <c r="W26" s="1921">
        <f t="shared" si="7"/>
        <v>2850</v>
      </c>
      <c r="X26" s="1921">
        <f t="shared" si="8"/>
        <v>2850</v>
      </c>
      <c r="Y26" s="1921">
        <f t="shared" si="9"/>
        <v>5700</v>
      </c>
      <c r="Z26" s="2978">
        <v>0</v>
      </c>
    </row>
    <row r="27" spans="2:26">
      <c r="B27" s="2177"/>
      <c r="C27" s="2106" t="s">
        <v>48</v>
      </c>
      <c r="D27" s="2158">
        <f>SUM(D29:D32)</f>
        <v>154973.5147</v>
      </c>
      <c r="E27" s="1926">
        <f>SUM(E29:E32)</f>
        <v>161263.90400000004</v>
      </c>
      <c r="F27" s="2157">
        <f>D27+E27</f>
        <v>316237.41870000004</v>
      </c>
      <c r="H27" s="3244" t="s">
        <v>1136</v>
      </c>
      <c r="I27" s="3232">
        <v>128</v>
      </c>
      <c r="J27" s="1932" t="s">
        <v>120</v>
      </c>
      <c r="K27" s="2564" t="s">
        <v>909</v>
      </c>
      <c r="L27" s="3243">
        <v>884</v>
      </c>
      <c r="M27" s="3243">
        <v>350</v>
      </c>
      <c r="N27" s="1923">
        <v>0</v>
      </c>
      <c r="O27" s="1922">
        <v>20</v>
      </c>
      <c r="P27" s="2565" t="s">
        <v>1140</v>
      </c>
      <c r="Q27" s="3264">
        <v>0</v>
      </c>
      <c r="R27" s="3264">
        <v>0</v>
      </c>
      <c r="S27" s="1931">
        <f t="shared" si="3"/>
        <v>0</v>
      </c>
      <c r="T27" s="1931">
        <f t="shared" si="4"/>
        <v>0</v>
      </c>
      <c r="U27" s="1931">
        <f t="shared" si="5"/>
        <v>0</v>
      </c>
      <c r="V27" s="1931">
        <f t="shared" si="6"/>
        <v>0</v>
      </c>
      <c r="W27" s="1921">
        <f t="shared" si="7"/>
        <v>0</v>
      </c>
      <c r="X27" s="1921">
        <f t="shared" si="8"/>
        <v>0</v>
      </c>
      <c r="Y27" s="1921">
        <f t="shared" si="9"/>
        <v>0</v>
      </c>
      <c r="Z27" s="2978">
        <v>0</v>
      </c>
    </row>
    <row r="28" spans="2:26">
      <c r="B28" s="2177"/>
      <c r="C28" s="1909" t="s">
        <v>315</v>
      </c>
      <c r="D28" s="1912">
        <v>0.66700000000000004</v>
      </c>
      <c r="E28" s="1913">
        <v>0.68</v>
      </c>
      <c r="F28" s="1949"/>
      <c r="H28" s="3244" t="s">
        <v>1206</v>
      </c>
      <c r="I28" s="3232">
        <v>939</v>
      </c>
      <c r="J28" s="1932" t="s">
        <v>120</v>
      </c>
      <c r="K28" s="2564" t="s">
        <v>909</v>
      </c>
      <c r="L28" s="3243">
        <v>1688</v>
      </c>
      <c r="M28" s="3243">
        <v>800</v>
      </c>
      <c r="N28" s="1923">
        <v>0</v>
      </c>
      <c r="O28" s="1922">
        <v>20</v>
      </c>
      <c r="P28" s="2565" t="s">
        <v>1070</v>
      </c>
      <c r="Q28" s="3267">
        <v>0</v>
      </c>
      <c r="R28" s="3267">
        <v>0</v>
      </c>
      <c r="S28" s="1931">
        <f t="shared" si="3"/>
        <v>0</v>
      </c>
      <c r="T28" s="1931">
        <f t="shared" si="4"/>
        <v>0</v>
      </c>
      <c r="U28" s="1931">
        <f t="shared" si="5"/>
        <v>0</v>
      </c>
      <c r="V28" s="1931">
        <f t="shared" si="6"/>
        <v>0</v>
      </c>
      <c r="W28" s="1921">
        <f t="shared" si="7"/>
        <v>0</v>
      </c>
      <c r="X28" s="1921">
        <f t="shared" si="8"/>
        <v>0</v>
      </c>
      <c r="Y28" s="1921">
        <f t="shared" si="9"/>
        <v>0</v>
      </c>
      <c r="Z28" s="2978">
        <v>0</v>
      </c>
    </row>
    <row r="29" spans="2:26">
      <c r="B29" s="2177"/>
      <c r="C29" s="2197" t="s">
        <v>778</v>
      </c>
      <c r="D29" s="2202">
        <f>D15*D28</f>
        <v>128293.51470000001</v>
      </c>
      <c r="E29" s="2163">
        <f>E15*E28</f>
        <v>134063.90400000004</v>
      </c>
      <c r="F29" s="1879">
        <f t="shared" ref="F29:F32" si="11">SUM(D29:E29)</f>
        <v>262357.41870000004</v>
      </c>
      <c r="H29" s="3244" t="s">
        <v>1207</v>
      </c>
      <c r="I29" s="3232">
        <v>27</v>
      </c>
      <c r="J29" s="1932" t="s">
        <v>120</v>
      </c>
      <c r="K29" s="2564" t="s">
        <v>909</v>
      </c>
      <c r="L29" s="3243">
        <v>50</v>
      </c>
      <c r="M29" s="3243">
        <v>30</v>
      </c>
      <c r="N29" s="1923">
        <v>2.1702815787624924E-3</v>
      </c>
      <c r="O29" s="1922">
        <v>15</v>
      </c>
      <c r="P29" s="2565" t="s">
        <v>954</v>
      </c>
      <c r="Q29" s="3264">
        <v>2000</v>
      </c>
      <c r="R29" s="3264">
        <v>2000</v>
      </c>
      <c r="S29" s="1931">
        <f t="shared" si="3"/>
        <v>4000</v>
      </c>
      <c r="T29" s="1931">
        <f t="shared" si="4"/>
        <v>54000</v>
      </c>
      <c r="U29" s="1931">
        <f t="shared" si="5"/>
        <v>54000</v>
      </c>
      <c r="V29" s="1931">
        <f t="shared" si="6"/>
        <v>108000</v>
      </c>
      <c r="W29" s="1921">
        <f t="shared" si="7"/>
        <v>60000</v>
      </c>
      <c r="X29" s="1921">
        <f t="shared" si="8"/>
        <v>60000</v>
      </c>
      <c r="Y29" s="1921">
        <f t="shared" si="9"/>
        <v>120000</v>
      </c>
      <c r="Z29" s="2978">
        <v>0</v>
      </c>
    </row>
    <row r="30" spans="2:26">
      <c r="B30" s="2177"/>
      <c r="C30" s="2197" t="s">
        <v>779</v>
      </c>
      <c r="D30" s="1973">
        <f>D21*D28</f>
        <v>26680</v>
      </c>
      <c r="E30" s="2163">
        <f>E21*E28</f>
        <v>27200.000000000004</v>
      </c>
      <c r="F30" s="1879">
        <f t="shared" si="11"/>
        <v>53880</v>
      </c>
      <c r="H30" s="3244" t="s">
        <v>1208</v>
      </c>
      <c r="I30" s="3232">
        <v>143</v>
      </c>
      <c r="J30" s="1932" t="s">
        <v>120</v>
      </c>
      <c r="K30" s="2564" t="s">
        <v>909</v>
      </c>
      <c r="L30" s="3243">
        <v>40</v>
      </c>
      <c r="M30" s="3243">
        <v>50</v>
      </c>
      <c r="N30" s="1923">
        <v>1.1494454287519868E-3</v>
      </c>
      <c r="O30" s="1922">
        <v>10</v>
      </c>
      <c r="P30" s="2565" t="s">
        <v>952</v>
      </c>
      <c r="Q30" s="3267">
        <v>200</v>
      </c>
      <c r="R30" s="3267">
        <v>200</v>
      </c>
      <c r="S30" s="1931">
        <f t="shared" si="3"/>
        <v>400</v>
      </c>
      <c r="T30" s="1931">
        <f t="shared" si="4"/>
        <v>28600</v>
      </c>
      <c r="U30" s="1931">
        <f t="shared" si="5"/>
        <v>28600</v>
      </c>
      <c r="V30" s="1931">
        <f t="shared" si="6"/>
        <v>57200</v>
      </c>
      <c r="W30" s="1921">
        <f t="shared" si="7"/>
        <v>10000</v>
      </c>
      <c r="X30" s="1921">
        <f t="shared" si="8"/>
        <v>10000</v>
      </c>
      <c r="Y30" s="1921">
        <f t="shared" si="9"/>
        <v>20000</v>
      </c>
      <c r="Z30" s="2978">
        <v>0</v>
      </c>
    </row>
    <row r="31" spans="2:26">
      <c r="B31" s="2177"/>
      <c r="C31" s="1901"/>
      <c r="D31" s="1898"/>
      <c r="E31" s="1897"/>
      <c r="F31" s="1879">
        <f t="shared" si="11"/>
        <v>0</v>
      </c>
      <c r="H31" s="3244" t="s">
        <v>1209</v>
      </c>
      <c r="I31" s="3232">
        <v>143</v>
      </c>
      <c r="J31" s="1932" t="s">
        <v>120</v>
      </c>
      <c r="K31" s="2564" t="s">
        <v>909</v>
      </c>
      <c r="L31" s="3243">
        <v>250</v>
      </c>
      <c r="M31" s="3243">
        <v>200</v>
      </c>
      <c r="N31" s="1923">
        <v>6.8966725725119211E-3</v>
      </c>
      <c r="O31" s="1922">
        <v>10</v>
      </c>
      <c r="P31" s="2565" t="s">
        <v>952</v>
      </c>
      <c r="Q31" s="3264">
        <v>1200</v>
      </c>
      <c r="R31" s="3264">
        <v>1200</v>
      </c>
      <c r="S31" s="1931">
        <f t="shared" si="3"/>
        <v>2400</v>
      </c>
      <c r="T31" s="1931">
        <f t="shared" si="4"/>
        <v>171600</v>
      </c>
      <c r="U31" s="1931">
        <f t="shared" si="5"/>
        <v>171600</v>
      </c>
      <c r="V31" s="1931">
        <f t="shared" si="6"/>
        <v>343200</v>
      </c>
      <c r="W31" s="1921">
        <f t="shared" si="7"/>
        <v>240000</v>
      </c>
      <c r="X31" s="1921">
        <f t="shared" si="8"/>
        <v>240000</v>
      </c>
      <c r="Y31" s="1921">
        <f t="shared" si="9"/>
        <v>480000</v>
      </c>
      <c r="Z31" s="2978">
        <v>0</v>
      </c>
    </row>
    <row r="32" spans="2:26">
      <c r="B32" s="2177"/>
      <c r="C32" s="1901"/>
      <c r="D32" s="1896"/>
      <c r="E32" s="1899"/>
      <c r="F32" s="1879">
        <f t="shared" si="11"/>
        <v>0</v>
      </c>
      <c r="H32" s="3244" t="s">
        <v>1210</v>
      </c>
      <c r="I32" s="3232">
        <v>1.3</v>
      </c>
      <c r="J32" s="1932" t="s">
        <v>120</v>
      </c>
      <c r="K32" s="2564" t="s">
        <v>1067</v>
      </c>
      <c r="L32" s="3243">
        <v>1.59</v>
      </c>
      <c r="M32" s="3243">
        <v>0.75</v>
      </c>
      <c r="N32" s="1923">
        <v>5.2247519488726676E-3</v>
      </c>
      <c r="O32" s="1922">
        <v>30</v>
      </c>
      <c r="P32" s="2565" t="s">
        <v>1070</v>
      </c>
      <c r="Q32" s="3267">
        <v>100000</v>
      </c>
      <c r="R32" s="3267">
        <v>100000</v>
      </c>
      <c r="S32" s="1931">
        <f t="shared" si="3"/>
        <v>200000</v>
      </c>
      <c r="T32" s="1931">
        <f t="shared" si="4"/>
        <v>130000</v>
      </c>
      <c r="U32" s="1931">
        <f t="shared" si="5"/>
        <v>130000</v>
      </c>
      <c r="V32" s="1931">
        <f t="shared" si="6"/>
        <v>260000</v>
      </c>
      <c r="W32" s="1921">
        <f t="shared" si="7"/>
        <v>75000</v>
      </c>
      <c r="X32" s="1921">
        <f t="shared" si="8"/>
        <v>75000</v>
      </c>
      <c r="Y32" s="1921">
        <f t="shared" si="9"/>
        <v>150000</v>
      </c>
      <c r="Z32" s="2978">
        <v>0</v>
      </c>
    </row>
    <row r="33" spans="1:26">
      <c r="B33" s="2177"/>
      <c r="C33" s="1952"/>
      <c r="D33" s="1958"/>
      <c r="E33" s="1955"/>
      <c r="F33" s="1958"/>
      <c r="H33" s="3244" t="s">
        <v>1211</v>
      </c>
      <c r="I33" s="3232">
        <v>0.66</v>
      </c>
      <c r="J33" s="1932" t="s">
        <v>120</v>
      </c>
      <c r="K33" s="2564" t="s">
        <v>1067</v>
      </c>
      <c r="L33" s="3243">
        <v>1.01</v>
      </c>
      <c r="M33" s="3243">
        <v>0.75</v>
      </c>
      <c r="N33" s="1923">
        <v>1.3262831870215232E-3</v>
      </c>
      <c r="O33" s="1922">
        <v>30</v>
      </c>
      <c r="P33" s="2565" t="s">
        <v>1070</v>
      </c>
      <c r="Q33" s="3267">
        <v>50000</v>
      </c>
      <c r="R33" s="3267">
        <v>50000</v>
      </c>
      <c r="S33" s="1931">
        <f t="shared" si="3"/>
        <v>100000</v>
      </c>
      <c r="T33" s="1931">
        <f t="shared" si="4"/>
        <v>33000</v>
      </c>
      <c r="U33" s="1931">
        <f t="shared" si="5"/>
        <v>33000</v>
      </c>
      <c r="V33" s="1931">
        <f t="shared" si="6"/>
        <v>66000</v>
      </c>
      <c r="W33" s="1921">
        <f t="shared" si="7"/>
        <v>37500</v>
      </c>
      <c r="X33" s="1921">
        <f t="shared" si="8"/>
        <v>37500</v>
      </c>
      <c r="Y33" s="1921">
        <f t="shared" si="9"/>
        <v>75000</v>
      </c>
      <c r="Z33" s="2978">
        <v>0</v>
      </c>
    </row>
    <row r="34" spans="1:26">
      <c r="A34" s="1852" t="s">
        <v>580</v>
      </c>
      <c r="B34" s="2177"/>
      <c r="C34" s="2106" t="s">
        <v>49</v>
      </c>
      <c r="D34" s="2158">
        <f>SUM(D35:D38)</f>
        <v>75000</v>
      </c>
      <c r="E34" s="1926">
        <f>SUM(E35:E38)</f>
        <v>75000</v>
      </c>
      <c r="F34" s="2157">
        <f>D34+E34</f>
        <v>150000</v>
      </c>
      <c r="H34" s="3250" t="s">
        <v>1212</v>
      </c>
      <c r="I34" s="3252">
        <v>21168</v>
      </c>
      <c r="J34" s="1932" t="s">
        <v>120</v>
      </c>
      <c r="K34" s="2564" t="s">
        <v>1066</v>
      </c>
      <c r="L34" s="3243">
        <v>17958</v>
      </c>
      <c r="M34" s="3243">
        <v>6351</v>
      </c>
      <c r="N34" s="1923">
        <v>8.5075037887489711E-4</v>
      </c>
      <c r="O34" s="1922">
        <v>15</v>
      </c>
      <c r="P34" s="2565" t="s">
        <v>1070</v>
      </c>
      <c r="Q34" s="3264">
        <v>1</v>
      </c>
      <c r="R34" s="3264">
        <v>1</v>
      </c>
      <c r="S34" s="1931">
        <f t="shared" si="3"/>
        <v>2</v>
      </c>
      <c r="T34" s="1931">
        <f t="shared" si="4"/>
        <v>21168</v>
      </c>
      <c r="U34" s="1931">
        <f t="shared" si="5"/>
        <v>21168</v>
      </c>
      <c r="V34" s="1931">
        <f t="shared" si="6"/>
        <v>42336</v>
      </c>
      <c r="W34" s="1921">
        <f t="shared" si="7"/>
        <v>6351</v>
      </c>
      <c r="X34" s="1921">
        <f t="shared" si="8"/>
        <v>6351</v>
      </c>
      <c r="Y34" s="1921">
        <f t="shared" si="9"/>
        <v>12702</v>
      </c>
      <c r="Z34" s="2978">
        <v>0</v>
      </c>
    </row>
    <row r="35" spans="1:26">
      <c r="A35" s="2193" t="s">
        <v>581</v>
      </c>
      <c r="B35" s="2177"/>
      <c r="C35" s="2197" t="s">
        <v>1194</v>
      </c>
      <c r="D35" s="2202">
        <v>75000</v>
      </c>
      <c r="E35" s="2203">
        <v>75000</v>
      </c>
      <c r="F35" s="1879">
        <f t="shared" ref="F35:F38" si="12">SUM(D35:E35)</f>
        <v>150000</v>
      </c>
      <c r="H35" s="3244" t="s">
        <v>1213</v>
      </c>
      <c r="I35" s="3253">
        <v>1040</v>
      </c>
      <c r="J35" s="1932" t="s">
        <v>120</v>
      </c>
      <c r="K35" s="2564" t="s">
        <v>909</v>
      </c>
      <c r="L35" s="3243">
        <v>900</v>
      </c>
      <c r="M35" s="3243">
        <v>500</v>
      </c>
      <c r="N35" s="1923">
        <v>2.5078809354588805E-4</v>
      </c>
      <c r="O35" s="1922">
        <v>15</v>
      </c>
      <c r="P35" s="2565" t="s">
        <v>910</v>
      </c>
      <c r="Q35" s="3264">
        <v>6</v>
      </c>
      <c r="R35" s="3264">
        <v>6</v>
      </c>
      <c r="S35" s="1931">
        <f t="shared" si="3"/>
        <v>12</v>
      </c>
      <c r="T35" s="1931">
        <f t="shared" si="4"/>
        <v>6240</v>
      </c>
      <c r="U35" s="1931">
        <f t="shared" si="5"/>
        <v>6240</v>
      </c>
      <c r="V35" s="1931">
        <f t="shared" si="6"/>
        <v>12480</v>
      </c>
      <c r="W35" s="1921">
        <f t="shared" si="7"/>
        <v>3000</v>
      </c>
      <c r="X35" s="1921">
        <f t="shared" si="8"/>
        <v>3000</v>
      </c>
      <c r="Y35" s="1921">
        <f t="shared" si="9"/>
        <v>6000</v>
      </c>
      <c r="Z35" s="2978">
        <v>0</v>
      </c>
    </row>
    <row r="36" spans="1:26">
      <c r="A36" s="1808" t="s">
        <v>287</v>
      </c>
      <c r="B36" s="2177"/>
      <c r="C36" s="2197"/>
      <c r="D36" s="2202"/>
      <c r="E36" s="2203"/>
      <c r="F36" s="1879">
        <f t="shared" si="12"/>
        <v>0</v>
      </c>
      <c r="H36" s="3244" t="s">
        <v>1214</v>
      </c>
      <c r="I36" s="3253">
        <v>1221</v>
      </c>
      <c r="J36" s="1932" t="s">
        <v>120</v>
      </c>
      <c r="K36" s="2564" t="s">
        <v>909</v>
      </c>
      <c r="L36" s="3243">
        <v>1369</v>
      </c>
      <c r="M36" s="3243">
        <v>800</v>
      </c>
      <c r="N36" s="1923">
        <v>2.9443486751877816E-4</v>
      </c>
      <c r="O36" s="1922">
        <v>15</v>
      </c>
      <c r="P36" s="2565" t="s">
        <v>910</v>
      </c>
      <c r="Q36" s="3264">
        <v>6</v>
      </c>
      <c r="R36" s="3264">
        <v>6</v>
      </c>
      <c r="S36" s="1931">
        <f t="shared" si="3"/>
        <v>12</v>
      </c>
      <c r="T36" s="1931">
        <f t="shared" si="4"/>
        <v>7326</v>
      </c>
      <c r="U36" s="1931">
        <f t="shared" si="5"/>
        <v>7326</v>
      </c>
      <c r="V36" s="1931">
        <f t="shared" si="6"/>
        <v>14652</v>
      </c>
      <c r="W36" s="1921">
        <f t="shared" si="7"/>
        <v>4800</v>
      </c>
      <c r="X36" s="1921">
        <f t="shared" si="8"/>
        <v>4800</v>
      </c>
      <c r="Y36" s="1921">
        <f t="shared" si="9"/>
        <v>9600</v>
      </c>
      <c r="Z36" s="2978">
        <v>0</v>
      </c>
    </row>
    <row r="37" spans="1:26">
      <c r="A37" s="1852" t="s">
        <v>6</v>
      </c>
      <c r="B37" s="2177"/>
      <c r="C37" s="2197"/>
      <c r="D37" s="2202"/>
      <c r="E37" s="2203"/>
      <c r="F37" s="1879">
        <f t="shared" si="12"/>
        <v>0</v>
      </c>
      <c r="H37" s="3244" t="s">
        <v>1215</v>
      </c>
      <c r="I37" s="3232">
        <v>17</v>
      </c>
      <c r="J37" s="1932" t="s">
        <v>120</v>
      </c>
      <c r="K37" s="2564" t="s">
        <v>909</v>
      </c>
      <c r="L37" s="3261">
        <v>12.72</v>
      </c>
      <c r="M37" s="3261">
        <v>12.72</v>
      </c>
      <c r="N37" s="1923">
        <v>3.41618396657059E-2</v>
      </c>
      <c r="O37" s="1922">
        <v>12</v>
      </c>
      <c r="P37" s="2565" t="s">
        <v>954</v>
      </c>
      <c r="Q37" s="3264">
        <v>50000</v>
      </c>
      <c r="R37" s="3264">
        <v>50000</v>
      </c>
      <c r="S37" s="1931">
        <f t="shared" si="3"/>
        <v>100000</v>
      </c>
      <c r="T37" s="1931">
        <f t="shared" si="4"/>
        <v>850000</v>
      </c>
      <c r="U37" s="1931">
        <f t="shared" si="5"/>
        <v>850000</v>
      </c>
      <c r="V37" s="1931">
        <f t="shared" si="6"/>
        <v>1700000</v>
      </c>
      <c r="W37" s="1921">
        <f t="shared" si="7"/>
        <v>636000</v>
      </c>
      <c r="X37" s="1921">
        <f t="shared" si="8"/>
        <v>636000</v>
      </c>
      <c r="Y37" s="1921">
        <f t="shared" si="9"/>
        <v>1272000</v>
      </c>
      <c r="Z37" s="2978">
        <v>0</v>
      </c>
    </row>
    <row r="38" spans="1:26">
      <c r="A38" s="1852">
        <v>18230407</v>
      </c>
      <c r="B38" s="2177"/>
      <c r="C38" s="2197"/>
      <c r="D38" s="2202"/>
      <c r="E38" s="2203"/>
      <c r="F38" s="1879">
        <f t="shared" si="12"/>
        <v>0</v>
      </c>
      <c r="H38" s="3244" t="s">
        <v>1216</v>
      </c>
      <c r="I38" s="3232">
        <v>19</v>
      </c>
      <c r="J38" s="1932" t="s">
        <v>120</v>
      </c>
      <c r="K38" s="2564" t="s">
        <v>909</v>
      </c>
      <c r="L38" s="3243">
        <v>11.22</v>
      </c>
      <c r="M38" s="3243">
        <v>11.22</v>
      </c>
      <c r="N38" s="1923">
        <v>7.6361759252754373E-3</v>
      </c>
      <c r="O38" s="1922">
        <v>12</v>
      </c>
      <c r="P38" s="2565" t="s">
        <v>954</v>
      </c>
      <c r="Q38" s="3264">
        <v>10000</v>
      </c>
      <c r="R38" s="3264">
        <v>10000</v>
      </c>
      <c r="S38" s="1931">
        <f t="shared" si="3"/>
        <v>20000</v>
      </c>
      <c r="T38" s="1931">
        <f t="shared" si="4"/>
        <v>190000</v>
      </c>
      <c r="U38" s="1931">
        <f t="shared" si="5"/>
        <v>190000</v>
      </c>
      <c r="V38" s="1931">
        <f t="shared" si="6"/>
        <v>380000</v>
      </c>
      <c r="W38" s="1921">
        <f t="shared" si="7"/>
        <v>112200</v>
      </c>
      <c r="X38" s="1921">
        <f t="shared" si="8"/>
        <v>112200</v>
      </c>
      <c r="Y38" s="1921">
        <f t="shared" si="9"/>
        <v>224400</v>
      </c>
      <c r="Z38" s="2978">
        <v>0</v>
      </c>
    </row>
    <row r="39" spans="1:26">
      <c r="A39" s="1852" t="s">
        <v>5</v>
      </c>
      <c r="B39" s="2177"/>
      <c r="C39" s="1952"/>
      <c r="D39" s="1958"/>
      <c r="E39" s="1955"/>
      <c r="F39" s="1958"/>
      <c r="H39" s="3244" t="s">
        <v>1217</v>
      </c>
      <c r="I39" s="3232">
        <v>23</v>
      </c>
      <c r="J39" s="1932" t="s">
        <v>120</v>
      </c>
      <c r="K39" s="2564" t="s">
        <v>909</v>
      </c>
      <c r="L39" s="3261">
        <v>12.74</v>
      </c>
      <c r="M39" s="3261">
        <v>12.74</v>
      </c>
      <c r="N39" s="1923">
        <v>4.621895954771975E-3</v>
      </c>
      <c r="O39" s="1922">
        <v>12</v>
      </c>
      <c r="P39" s="2565" t="s">
        <v>954</v>
      </c>
      <c r="Q39" s="3264">
        <v>5000</v>
      </c>
      <c r="R39" s="3264">
        <v>5000</v>
      </c>
      <c r="S39" s="1931">
        <f t="shared" si="3"/>
        <v>10000</v>
      </c>
      <c r="T39" s="1931">
        <f t="shared" si="4"/>
        <v>115000</v>
      </c>
      <c r="U39" s="1931">
        <f t="shared" si="5"/>
        <v>115000</v>
      </c>
      <c r="V39" s="1931">
        <f t="shared" si="6"/>
        <v>230000</v>
      </c>
      <c r="W39" s="1921">
        <f t="shared" si="7"/>
        <v>63700</v>
      </c>
      <c r="X39" s="1921">
        <f t="shared" si="8"/>
        <v>63700</v>
      </c>
      <c r="Y39" s="1921">
        <f t="shared" si="9"/>
        <v>127400</v>
      </c>
      <c r="Z39" s="2978">
        <v>0</v>
      </c>
    </row>
    <row r="40" spans="1:26">
      <c r="B40" s="2177"/>
      <c r="C40" s="2106" t="s">
        <v>506</v>
      </c>
      <c r="D40" s="2158">
        <f>SUM(D41:D44)</f>
        <v>4000</v>
      </c>
      <c r="E40" s="1926">
        <f>SUM(E41:E44)</f>
        <v>4000</v>
      </c>
      <c r="F40" s="2157">
        <f>D40+E40</f>
        <v>8000</v>
      </c>
      <c r="H40" s="3244" t="s">
        <v>1218</v>
      </c>
      <c r="I40" s="3232">
        <v>23</v>
      </c>
      <c r="J40" s="1932" t="s">
        <v>120</v>
      </c>
      <c r="K40" s="2564" t="s">
        <v>909</v>
      </c>
      <c r="L40" s="3261">
        <v>16.239999999999998</v>
      </c>
      <c r="M40" s="3261">
        <v>16.239999999999998</v>
      </c>
      <c r="N40" s="1923">
        <v>5.54627514572637E-3</v>
      </c>
      <c r="O40" s="1922">
        <v>12</v>
      </c>
      <c r="P40" s="2565" t="s">
        <v>954</v>
      </c>
      <c r="Q40" s="3267">
        <v>6000</v>
      </c>
      <c r="R40" s="3267">
        <v>6000</v>
      </c>
      <c r="S40" s="1931">
        <f t="shared" si="3"/>
        <v>12000</v>
      </c>
      <c r="T40" s="1931">
        <f t="shared" si="4"/>
        <v>138000</v>
      </c>
      <c r="U40" s="1931">
        <f t="shared" si="5"/>
        <v>138000</v>
      </c>
      <c r="V40" s="1931">
        <f t="shared" si="6"/>
        <v>276000</v>
      </c>
      <c r="W40" s="1921">
        <f t="shared" si="7"/>
        <v>97439.999999999985</v>
      </c>
      <c r="X40" s="1921">
        <f t="shared" si="8"/>
        <v>97439.999999999985</v>
      </c>
      <c r="Y40" s="1921">
        <f t="shared" si="9"/>
        <v>194879.99999999997</v>
      </c>
      <c r="Z40" s="2978">
        <v>0</v>
      </c>
    </row>
    <row r="41" spans="1:26">
      <c r="B41" s="2177"/>
      <c r="C41" s="2197" t="s">
        <v>1195</v>
      </c>
      <c r="D41" s="2202">
        <v>4000</v>
      </c>
      <c r="E41" s="2203">
        <v>4000</v>
      </c>
      <c r="F41" s="1879">
        <f t="shared" ref="F41:F44" si="13">SUM(D41:E41)</f>
        <v>8000</v>
      </c>
      <c r="H41" s="3244" t="s">
        <v>1219</v>
      </c>
      <c r="I41" s="3232">
        <v>16</v>
      </c>
      <c r="J41" s="1932" t="s">
        <v>120</v>
      </c>
      <c r="K41" s="2564" t="s">
        <v>909</v>
      </c>
      <c r="L41" s="3261">
        <v>11.74</v>
      </c>
      <c r="M41" s="3261">
        <v>11.74</v>
      </c>
      <c r="N41" s="1923">
        <v>9.6456959056110785E-3</v>
      </c>
      <c r="O41" s="1922">
        <v>12</v>
      </c>
      <c r="P41" s="2565" t="s">
        <v>954</v>
      </c>
      <c r="Q41" s="3264">
        <v>15000</v>
      </c>
      <c r="R41" s="3264">
        <v>15000</v>
      </c>
      <c r="S41" s="1931">
        <f t="shared" si="3"/>
        <v>30000</v>
      </c>
      <c r="T41" s="1931">
        <f t="shared" si="4"/>
        <v>240000</v>
      </c>
      <c r="U41" s="1931">
        <f t="shared" si="5"/>
        <v>240000</v>
      </c>
      <c r="V41" s="1931">
        <f t="shared" si="6"/>
        <v>480000</v>
      </c>
      <c r="W41" s="1921">
        <f t="shared" si="7"/>
        <v>176100</v>
      </c>
      <c r="X41" s="1921">
        <f t="shared" si="8"/>
        <v>176100</v>
      </c>
      <c r="Y41" s="1921">
        <f t="shared" si="9"/>
        <v>352200</v>
      </c>
      <c r="Z41" s="2978">
        <v>0</v>
      </c>
    </row>
    <row r="42" spans="1:26">
      <c r="B42" s="2177"/>
      <c r="C42" s="2197"/>
      <c r="D42" s="2202"/>
      <c r="E42" s="2203"/>
      <c r="F42" s="1879">
        <f t="shared" si="13"/>
        <v>0</v>
      </c>
      <c r="H42" s="3244" t="s">
        <v>1220</v>
      </c>
      <c r="I42" s="3232">
        <v>25</v>
      </c>
      <c r="J42" s="1932" t="s">
        <v>120</v>
      </c>
      <c r="K42" s="2564" t="s">
        <v>909</v>
      </c>
      <c r="L42" s="3261">
        <v>13.54</v>
      </c>
      <c r="M42" s="3261">
        <v>13.54</v>
      </c>
      <c r="N42" s="1923">
        <v>8.0380799213425648E-3</v>
      </c>
      <c r="O42" s="1922">
        <v>12</v>
      </c>
      <c r="P42" s="2565" t="s">
        <v>954</v>
      </c>
      <c r="Q42" s="3264">
        <v>8000</v>
      </c>
      <c r="R42" s="3264">
        <v>8000</v>
      </c>
      <c r="S42" s="1931">
        <f t="shared" si="3"/>
        <v>16000</v>
      </c>
      <c r="T42" s="1931">
        <f t="shared" si="4"/>
        <v>200000</v>
      </c>
      <c r="U42" s="1931">
        <f t="shared" si="5"/>
        <v>200000</v>
      </c>
      <c r="V42" s="1931">
        <f t="shared" si="6"/>
        <v>400000</v>
      </c>
      <c r="W42" s="1921">
        <f t="shared" si="7"/>
        <v>108320</v>
      </c>
      <c r="X42" s="1921">
        <f t="shared" si="8"/>
        <v>108320</v>
      </c>
      <c r="Y42" s="1921">
        <f t="shared" si="9"/>
        <v>216640</v>
      </c>
      <c r="Z42" s="2978">
        <v>0</v>
      </c>
    </row>
    <row r="43" spans="1:26">
      <c r="B43" s="2177"/>
      <c r="C43" s="2197"/>
      <c r="D43" s="2202"/>
      <c r="E43" s="2203"/>
      <c r="F43" s="1879">
        <f t="shared" si="13"/>
        <v>0</v>
      </c>
      <c r="H43" s="3244" t="s">
        <v>1221</v>
      </c>
      <c r="I43" s="3252">
        <v>10095</v>
      </c>
      <c r="J43" s="1932" t="s">
        <v>120</v>
      </c>
      <c r="K43" s="2564" t="s">
        <v>1066</v>
      </c>
      <c r="L43" s="3243">
        <v>9376</v>
      </c>
      <c r="M43" s="3243">
        <v>3028</v>
      </c>
      <c r="N43" s="1923">
        <v>4.0572208402976596E-4</v>
      </c>
      <c r="O43" s="1922">
        <v>10</v>
      </c>
      <c r="P43" s="2565" t="s">
        <v>952</v>
      </c>
      <c r="Q43" s="3267">
        <v>1</v>
      </c>
      <c r="R43" s="3267">
        <v>1</v>
      </c>
      <c r="S43" s="1931">
        <f t="shared" si="3"/>
        <v>2</v>
      </c>
      <c r="T43" s="1931">
        <f t="shared" si="4"/>
        <v>10095</v>
      </c>
      <c r="U43" s="1931">
        <f t="shared" si="5"/>
        <v>10095</v>
      </c>
      <c r="V43" s="1931">
        <f t="shared" si="6"/>
        <v>20190</v>
      </c>
      <c r="W43" s="1921">
        <f t="shared" si="7"/>
        <v>3028</v>
      </c>
      <c r="X43" s="1921">
        <f t="shared" si="8"/>
        <v>3028</v>
      </c>
      <c r="Y43" s="1921">
        <f t="shared" si="9"/>
        <v>6056</v>
      </c>
      <c r="Z43" s="2978">
        <v>0</v>
      </c>
    </row>
    <row r="44" spans="1:26">
      <c r="B44" s="2177"/>
      <c r="C44" s="2197"/>
      <c r="D44" s="2202"/>
      <c r="E44" s="2203"/>
      <c r="F44" s="1879">
        <f t="shared" si="13"/>
        <v>0</v>
      </c>
      <c r="H44" s="3244" t="s">
        <v>1222</v>
      </c>
      <c r="I44" s="3252">
        <v>24000</v>
      </c>
      <c r="J44" s="1932" t="s">
        <v>120</v>
      </c>
      <c r="K44" s="2564" t="s">
        <v>1066</v>
      </c>
      <c r="L44" s="3243">
        <v>11454</v>
      </c>
      <c r="M44" s="3243">
        <v>5071</v>
      </c>
      <c r="N44" s="1923">
        <v>9.645695905611078E-4</v>
      </c>
      <c r="O44" s="1922">
        <v>15</v>
      </c>
      <c r="P44" s="2565" t="s">
        <v>1072</v>
      </c>
      <c r="Q44" s="3264">
        <v>1</v>
      </c>
      <c r="R44" s="3264">
        <v>1</v>
      </c>
      <c r="S44" s="1931">
        <f t="shared" si="3"/>
        <v>2</v>
      </c>
      <c r="T44" s="1931">
        <f t="shared" si="4"/>
        <v>24000</v>
      </c>
      <c r="U44" s="1931">
        <f t="shared" si="5"/>
        <v>24000</v>
      </c>
      <c r="V44" s="1931">
        <f t="shared" si="6"/>
        <v>48000</v>
      </c>
      <c r="W44" s="1921">
        <f t="shared" si="7"/>
        <v>5071</v>
      </c>
      <c r="X44" s="1921">
        <f t="shared" si="8"/>
        <v>5071</v>
      </c>
      <c r="Y44" s="1921">
        <f t="shared" si="9"/>
        <v>10142</v>
      </c>
      <c r="Z44" s="2978">
        <v>0</v>
      </c>
    </row>
    <row r="45" spans="1:26">
      <c r="B45" s="2177"/>
      <c r="C45" s="1952"/>
      <c r="D45" s="1958"/>
      <c r="E45" s="1955"/>
      <c r="F45" s="1958"/>
      <c r="H45" s="3244" t="s">
        <v>942</v>
      </c>
      <c r="I45" s="3232">
        <v>98</v>
      </c>
      <c r="J45" s="1932" t="s">
        <v>120</v>
      </c>
      <c r="K45" s="2564" t="s">
        <v>909</v>
      </c>
      <c r="L45" s="3243">
        <v>211</v>
      </c>
      <c r="M45" s="3243">
        <v>50</v>
      </c>
      <c r="N45" s="1923">
        <v>3.9386591614578567E-4</v>
      </c>
      <c r="O45" s="1922">
        <v>15</v>
      </c>
      <c r="P45" s="2565" t="s">
        <v>953</v>
      </c>
      <c r="Q45" s="3267">
        <v>100</v>
      </c>
      <c r="R45" s="3267">
        <v>100</v>
      </c>
      <c r="S45" s="1931">
        <f t="shared" si="3"/>
        <v>200</v>
      </c>
      <c r="T45" s="1931">
        <f t="shared" si="4"/>
        <v>9800</v>
      </c>
      <c r="U45" s="1931">
        <f t="shared" si="5"/>
        <v>9800</v>
      </c>
      <c r="V45" s="1931">
        <f t="shared" si="6"/>
        <v>19600</v>
      </c>
      <c r="W45" s="1921">
        <f t="shared" si="7"/>
        <v>5000</v>
      </c>
      <c r="X45" s="1921">
        <f t="shared" si="8"/>
        <v>5000</v>
      </c>
      <c r="Y45" s="1921">
        <f t="shared" si="9"/>
        <v>10000</v>
      </c>
      <c r="Z45" s="2978">
        <v>0</v>
      </c>
    </row>
    <row r="46" spans="1:26">
      <c r="B46" s="2177"/>
      <c r="C46" s="2106" t="s">
        <v>50</v>
      </c>
      <c r="D46" s="2158">
        <f>SUM(D47:D50)</f>
        <v>1150000</v>
      </c>
      <c r="E46" s="1926">
        <f>SUM(E47:E50)</f>
        <v>1150000</v>
      </c>
      <c r="F46" s="2157">
        <f>D46+E46</f>
        <v>2300000</v>
      </c>
      <c r="H46" s="3244" t="s">
        <v>1223</v>
      </c>
      <c r="I46" s="3232">
        <v>356</v>
      </c>
      <c r="J46" s="1932" t="s">
        <v>120</v>
      </c>
      <c r="K46" s="2564" t="s">
        <v>909</v>
      </c>
      <c r="L46" s="3243">
        <v>108.5</v>
      </c>
      <c r="M46" s="3243">
        <v>108.5</v>
      </c>
      <c r="N46" s="1923">
        <v>8.5846693559938597E-5</v>
      </c>
      <c r="O46" s="1922">
        <v>7</v>
      </c>
      <c r="P46" s="2565" t="s">
        <v>953</v>
      </c>
      <c r="Q46" s="3267">
        <v>6</v>
      </c>
      <c r="R46" s="3267">
        <v>6</v>
      </c>
      <c r="S46" s="1931">
        <f t="shared" si="3"/>
        <v>12</v>
      </c>
      <c r="T46" s="1931">
        <f t="shared" si="4"/>
        <v>2136</v>
      </c>
      <c r="U46" s="1931">
        <f t="shared" si="5"/>
        <v>2136</v>
      </c>
      <c r="V46" s="1931">
        <f t="shared" si="6"/>
        <v>4272</v>
      </c>
      <c r="W46" s="1921">
        <f t="shared" si="7"/>
        <v>651</v>
      </c>
      <c r="X46" s="1921">
        <f t="shared" si="8"/>
        <v>651</v>
      </c>
      <c r="Y46" s="1921">
        <f t="shared" si="9"/>
        <v>1302</v>
      </c>
      <c r="Z46" s="2978">
        <v>7.12</v>
      </c>
    </row>
    <row r="47" spans="1:26">
      <c r="B47" s="2177"/>
      <c r="C47" s="2197" t="s">
        <v>1196</v>
      </c>
      <c r="D47" s="2202">
        <v>1100000</v>
      </c>
      <c r="E47" s="2203">
        <v>1100000</v>
      </c>
      <c r="F47" s="1879">
        <f t="shared" ref="F47:F50" si="14">SUM(D47:E47)</f>
        <v>2200000</v>
      </c>
      <c r="H47" s="3244" t="s">
        <v>1224</v>
      </c>
      <c r="I47" s="3229">
        <v>503</v>
      </c>
      <c r="J47" s="1932" t="s">
        <v>120</v>
      </c>
      <c r="K47" s="2564" t="s">
        <v>909</v>
      </c>
      <c r="L47" s="3261">
        <v>600</v>
      </c>
      <c r="M47" s="3261">
        <v>600</v>
      </c>
      <c r="N47" s="1923">
        <v>1.617261680174124E-2</v>
      </c>
      <c r="O47" s="1922">
        <v>20</v>
      </c>
      <c r="P47" s="2565" t="s">
        <v>953</v>
      </c>
      <c r="Q47" s="3268">
        <v>600</v>
      </c>
      <c r="R47" s="3268">
        <v>600</v>
      </c>
      <c r="S47" s="1931">
        <f t="shared" si="3"/>
        <v>1200</v>
      </c>
      <c r="T47" s="1931">
        <f t="shared" si="4"/>
        <v>301800</v>
      </c>
      <c r="U47" s="1931">
        <f t="shared" si="5"/>
        <v>301800</v>
      </c>
      <c r="V47" s="1931">
        <f t="shared" si="6"/>
        <v>603600</v>
      </c>
      <c r="W47" s="1921">
        <f t="shared" si="7"/>
        <v>360000</v>
      </c>
      <c r="X47" s="1921">
        <f t="shared" si="8"/>
        <v>360000</v>
      </c>
      <c r="Y47" s="1921">
        <f t="shared" si="9"/>
        <v>720000</v>
      </c>
      <c r="Z47" s="2978">
        <v>0</v>
      </c>
    </row>
    <row r="48" spans="1:26">
      <c r="B48" s="2177"/>
      <c r="C48" s="2197" t="s">
        <v>1197</v>
      </c>
      <c r="D48" s="2202">
        <v>50000</v>
      </c>
      <c r="E48" s="2203">
        <v>50000</v>
      </c>
      <c r="F48" s="1879">
        <f t="shared" si="14"/>
        <v>100000</v>
      </c>
      <c r="H48" s="3244" t="s">
        <v>1225</v>
      </c>
      <c r="I48" s="3232">
        <v>307</v>
      </c>
      <c r="J48" s="1932" t="s">
        <v>120</v>
      </c>
      <c r="K48" s="2564" t="s">
        <v>909</v>
      </c>
      <c r="L48" s="3243">
        <v>18</v>
      </c>
      <c r="M48" s="3243">
        <v>18</v>
      </c>
      <c r="N48" s="1923">
        <v>9.8707621434086703E-3</v>
      </c>
      <c r="O48" s="1922">
        <v>10</v>
      </c>
      <c r="P48" s="2565" t="s">
        <v>910</v>
      </c>
      <c r="Q48" s="3238">
        <v>800</v>
      </c>
      <c r="R48" s="3238">
        <v>800</v>
      </c>
      <c r="S48" s="1931">
        <f t="shared" si="3"/>
        <v>1600</v>
      </c>
      <c r="T48" s="1931">
        <f t="shared" si="4"/>
        <v>245600</v>
      </c>
      <c r="U48" s="1931">
        <f t="shared" si="5"/>
        <v>245600</v>
      </c>
      <c r="V48" s="1931">
        <f t="shared" si="6"/>
        <v>491200</v>
      </c>
      <c r="W48" s="1921">
        <f t="shared" si="7"/>
        <v>14400</v>
      </c>
      <c r="X48" s="1921">
        <f t="shared" si="8"/>
        <v>14400</v>
      </c>
      <c r="Y48" s="1921">
        <f t="shared" si="9"/>
        <v>28800</v>
      </c>
      <c r="Z48" s="2978">
        <v>24.31</v>
      </c>
    </row>
    <row r="49" spans="1:26">
      <c r="B49" s="2177"/>
      <c r="C49" s="2197"/>
      <c r="D49" s="2202"/>
      <c r="E49" s="2203"/>
      <c r="F49" s="1879">
        <f t="shared" si="14"/>
        <v>0</v>
      </c>
      <c r="H49" s="3244" t="s">
        <v>1226</v>
      </c>
      <c r="I49" s="3252">
        <v>27000</v>
      </c>
      <c r="J49" s="1932" t="s">
        <v>120</v>
      </c>
      <c r="K49" s="2564" t="s">
        <v>1066</v>
      </c>
      <c r="L49" s="3243">
        <v>12665</v>
      </c>
      <c r="M49" s="3243">
        <v>8000</v>
      </c>
      <c r="N49" s="1923">
        <v>1.0851407893812462E-3</v>
      </c>
      <c r="O49" s="1922">
        <v>12</v>
      </c>
      <c r="P49" s="2565" t="s">
        <v>1072</v>
      </c>
      <c r="Q49" s="3238">
        <v>1</v>
      </c>
      <c r="R49" s="3238">
        <v>1</v>
      </c>
      <c r="S49" s="1931">
        <f t="shared" si="3"/>
        <v>2</v>
      </c>
      <c r="T49" s="1931">
        <f t="shared" si="4"/>
        <v>27000</v>
      </c>
      <c r="U49" s="1931">
        <f t="shared" si="5"/>
        <v>27000</v>
      </c>
      <c r="V49" s="1931">
        <f t="shared" si="6"/>
        <v>54000</v>
      </c>
      <c r="W49" s="1921">
        <f t="shared" si="7"/>
        <v>8000</v>
      </c>
      <c r="X49" s="1921">
        <f t="shared" si="8"/>
        <v>8000</v>
      </c>
      <c r="Y49" s="1921">
        <f t="shared" si="9"/>
        <v>16000</v>
      </c>
      <c r="Z49" s="2978">
        <v>0</v>
      </c>
    </row>
    <row r="50" spans="1:26">
      <c r="B50" s="2177"/>
      <c r="C50" s="2197"/>
      <c r="D50" s="2202"/>
      <c r="E50" s="2203"/>
      <c r="F50" s="1879">
        <f t="shared" si="14"/>
        <v>0</v>
      </c>
      <c r="H50" s="3244" t="s">
        <v>1227</v>
      </c>
      <c r="I50" s="3229">
        <v>336</v>
      </c>
      <c r="J50" s="1932" t="s">
        <v>120</v>
      </c>
      <c r="K50" s="2564" t="s">
        <v>909</v>
      </c>
      <c r="L50" s="3243">
        <v>58</v>
      </c>
      <c r="M50" s="3243">
        <v>58</v>
      </c>
      <c r="N50" s="1923">
        <v>6.7519871339277544E-3</v>
      </c>
      <c r="O50" s="1922">
        <v>10</v>
      </c>
      <c r="P50" s="2565" t="s">
        <v>910</v>
      </c>
      <c r="Q50" s="3238">
        <v>500</v>
      </c>
      <c r="R50" s="3238">
        <v>500</v>
      </c>
      <c r="S50" s="1931">
        <f t="shared" si="3"/>
        <v>1000</v>
      </c>
      <c r="T50" s="1931">
        <f t="shared" si="4"/>
        <v>168000</v>
      </c>
      <c r="U50" s="1931">
        <f t="shared" si="5"/>
        <v>168000</v>
      </c>
      <c r="V50" s="1931">
        <f t="shared" si="6"/>
        <v>336000</v>
      </c>
      <c r="W50" s="1921">
        <f t="shared" si="7"/>
        <v>29000</v>
      </c>
      <c r="X50" s="1921">
        <f t="shared" si="8"/>
        <v>29000</v>
      </c>
      <c r="Y50" s="1921">
        <f t="shared" si="9"/>
        <v>58000</v>
      </c>
      <c r="Z50" s="2980">
        <v>31.95</v>
      </c>
    </row>
    <row r="51" spans="1:26">
      <c r="B51" s="2177"/>
      <c r="C51" s="1952"/>
      <c r="D51" s="1958"/>
      <c r="E51" s="1955"/>
      <c r="F51" s="1958"/>
      <c r="H51" s="3244" t="s">
        <v>1228</v>
      </c>
      <c r="I51" s="3229">
        <v>336</v>
      </c>
      <c r="J51" s="1932" t="s">
        <v>120</v>
      </c>
      <c r="K51" s="2564" t="s">
        <v>909</v>
      </c>
      <c r="L51" s="3243">
        <v>41</v>
      </c>
      <c r="M51" s="3243">
        <v>41</v>
      </c>
      <c r="N51" s="1923">
        <v>8.1023845607133063E-2</v>
      </c>
      <c r="O51" s="1922">
        <v>10</v>
      </c>
      <c r="P51" s="2565" t="s">
        <v>910</v>
      </c>
      <c r="Q51" s="3238">
        <v>6000</v>
      </c>
      <c r="R51" s="3238">
        <v>6000</v>
      </c>
      <c r="S51" s="1931">
        <f t="shared" si="3"/>
        <v>12000</v>
      </c>
      <c r="T51" s="1931">
        <f t="shared" si="4"/>
        <v>2016000</v>
      </c>
      <c r="U51" s="1931">
        <f t="shared" si="5"/>
        <v>2016000</v>
      </c>
      <c r="V51" s="1931">
        <f t="shared" si="6"/>
        <v>4032000</v>
      </c>
      <c r="W51" s="1921">
        <f t="shared" si="7"/>
        <v>246000</v>
      </c>
      <c r="X51" s="1921">
        <f t="shared" si="8"/>
        <v>246000</v>
      </c>
      <c r="Y51" s="1921">
        <f t="shared" si="9"/>
        <v>492000</v>
      </c>
      <c r="Z51" s="2980">
        <v>31.95</v>
      </c>
    </row>
    <row r="52" spans="1:26">
      <c r="B52" s="2177"/>
      <c r="C52" s="2106" t="s">
        <v>51</v>
      </c>
      <c r="D52" s="2158">
        <f>SUM(D53:D56)</f>
        <v>1000</v>
      </c>
      <c r="E52" s="1926">
        <f>SUM(E53:E56)</f>
        <v>1000</v>
      </c>
      <c r="F52" s="2157">
        <f>D52+E52</f>
        <v>2000</v>
      </c>
      <c r="H52" s="3244" t="s">
        <v>1229</v>
      </c>
      <c r="I52" s="3229">
        <v>58</v>
      </c>
      <c r="J52" s="1932" t="s">
        <v>120</v>
      </c>
      <c r="K52" s="2564" t="s">
        <v>909</v>
      </c>
      <c r="L52" s="3243">
        <v>33</v>
      </c>
      <c r="M52" s="3243">
        <v>33</v>
      </c>
      <c r="N52" s="1923">
        <v>1.1655215885946719E-2</v>
      </c>
      <c r="O52" s="1922">
        <v>10</v>
      </c>
      <c r="P52" s="2565" t="s">
        <v>910</v>
      </c>
      <c r="Q52" s="3238">
        <v>5000</v>
      </c>
      <c r="R52" s="3238">
        <v>5000</v>
      </c>
      <c r="S52" s="1931">
        <f t="shared" si="3"/>
        <v>10000</v>
      </c>
      <c r="T52" s="1931">
        <f t="shared" si="4"/>
        <v>290000</v>
      </c>
      <c r="U52" s="1931">
        <f t="shared" si="5"/>
        <v>290000</v>
      </c>
      <c r="V52" s="1931">
        <f t="shared" si="6"/>
        <v>580000</v>
      </c>
      <c r="W52" s="1921">
        <f t="shared" si="7"/>
        <v>165000</v>
      </c>
      <c r="X52" s="1921">
        <f t="shared" si="8"/>
        <v>165000</v>
      </c>
      <c r="Y52" s="1921">
        <f t="shared" si="9"/>
        <v>330000</v>
      </c>
      <c r="Z52" s="2980">
        <v>4.5199999999999996</v>
      </c>
    </row>
    <row r="53" spans="1:26">
      <c r="B53" s="2177"/>
      <c r="C53" s="2197"/>
      <c r="D53" s="2202">
        <v>1000</v>
      </c>
      <c r="E53" s="2163">
        <v>1000</v>
      </c>
      <c r="F53" s="1879">
        <f t="shared" ref="F53:F56" si="15">SUM(D53:E53)</f>
        <v>2000</v>
      </c>
      <c r="H53" s="3244" t="s">
        <v>1230</v>
      </c>
      <c r="I53" s="3252">
        <v>34649</v>
      </c>
      <c r="J53" s="1932" t="s">
        <v>120</v>
      </c>
      <c r="K53" s="2564" t="s">
        <v>1066</v>
      </c>
      <c r="L53" s="3243">
        <v>137340</v>
      </c>
      <c r="M53" s="3243">
        <v>4121</v>
      </c>
      <c r="N53" s="1923">
        <v>1.3925571559729928E-3</v>
      </c>
      <c r="O53" s="1922">
        <v>15</v>
      </c>
      <c r="P53" s="2565" t="s">
        <v>1249</v>
      </c>
      <c r="Q53" s="3238">
        <v>1</v>
      </c>
      <c r="R53" s="3238">
        <v>1</v>
      </c>
      <c r="S53" s="1931">
        <f t="shared" si="3"/>
        <v>2</v>
      </c>
      <c r="T53" s="1931">
        <f t="shared" si="4"/>
        <v>34649</v>
      </c>
      <c r="U53" s="1931">
        <f t="shared" si="5"/>
        <v>34649</v>
      </c>
      <c r="V53" s="1931">
        <f t="shared" si="6"/>
        <v>69298</v>
      </c>
      <c r="W53" s="1921">
        <f t="shared" si="7"/>
        <v>4121</v>
      </c>
      <c r="X53" s="1921">
        <f t="shared" si="8"/>
        <v>4121</v>
      </c>
      <c r="Y53" s="1921">
        <f t="shared" si="9"/>
        <v>8242</v>
      </c>
      <c r="Z53" s="2978">
        <v>0</v>
      </c>
    </row>
    <row r="54" spans="1:26">
      <c r="B54" s="2177"/>
      <c r="C54" s="2197"/>
      <c r="D54" s="2202"/>
      <c r="E54" s="2163"/>
      <c r="F54" s="1879">
        <f t="shared" si="15"/>
        <v>0</v>
      </c>
      <c r="H54" s="3244" t="s">
        <v>1231</v>
      </c>
      <c r="I54" s="3248">
        <v>1.3</v>
      </c>
      <c r="J54" s="1932" t="s">
        <v>120</v>
      </c>
      <c r="K54" s="1922" t="s">
        <v>1067</v>
      </c>
      <c r="L54" s="3262">
        <v>0.76</v>
      </c>
      <c r="M54" s="3262">
        <v>0.75</v>
      </c>
      <c r="N54" s="1923">
        <v>6.2697023386472004E-4</v>
      </c>
      <c r="O54" s="1922">
        <v>30</v>
      </c>
      <c r="P54" s="1925" t="s">
        <v>1070</v>
      </c>
      <c r="Q54" s="3269">
        <v>12000</v>
      </c>
      <c r="R54" s="3269">
        <v>12000</v>
      </c>
      <c r="S54" s="1931">
        <f t="shared" ref="S54:S72" si="16">SUM(Q54:R54)</f>
        <v>24000</v>
      </c>
      <c r="T54" s="1931">
        <f t="shared" ref="T54:T72" si="17">Q54*I54</f>
        <v>15600</v>
      </c>
      <c r="U54" s="1931">
        <f t="shared" ref="U54:U72" si="18">R54*I54</f>
        <v>15600</v>
      </c>
      <c r="V54" s="1931">
        <f t="shared" ref="V54:V72" si="19">SUM(T54:U54)</f>
        <v>31200</v>
      </c>
      <c r="W54" s="1921">
        <f t="shared" ref="W54:W72" si="20">Q54*M54</f>
        <v>9000</v>
      </c>
      <c r="X54" s="1921">
        <f t="shared" ref="X54:X72" si="21">R54*M54</f>
        <v>9000</v>
      </c>
      <c r="Y54" s="1921">
        <f t="shared" ref="Y54:Y72" si="22">SUM(W54:X54)</f>
        <v>18000</v>
      </c>
      <c r="Z54" s="2978">
        <v>0</v>
      </c>
    </row>
    <row r="55" spans="1:26">
      <c r="B55" s="2177"/>
      <c r="C55" s="2197"/>
      <c r="D55" s="2202"/>
      <c r="E55" s="2163"/>
      <c r="F55" s="1879">
        <f t="shared" si="15"/>
        <v>0</v>
      </c>
      <c r="H55" s="3244" t="s">
        <v>1232</v>
      </c>
      <c r="I55" s="3248">
        <v>149</v>
      </c>
      <c r="J55" s="1932" t="s">
        <v>120</v>
      </c>
      <c r="K55" s="1922" t="s">
        <v>909</v>
      </c>
      <c r="L55" s="3262">
        <v>73</v>
      </c>
      <c r="M55" s="3262">
        <v>50</v>
      </c>
      <c r="N55" s="1923">
        <v>5.9883695414002106E-4</v>
      </c>
      <c r="O55" s="1922">
        <v>15</v>
      </c>
      <c r="P55" s="1925" t="s">
        <v>910</v>
      </c>
      <c r="Q55" s="3269">
        <v>100</v>
      </c>
      <c r="R55" s="3269">
        <v>100</v>
      </c>
      <c r="S55" s="1931">
        <f t="shared" si="16"/>
        <v>200</v>
      </c>
      <c r="T55" s="1931">
        <f t="shared" si="17"/>
        <v>14900</v>
      </c>
      <c r="U55" s="1931">
        <f t="shared" si="18"/>
        <v>14900</v>
      </c>
      <c r="V55" s="1931">
        <f t="shared" si="19"/>
        <v>29800</v>
      </c>
      <c r="W55" s="1921">
        <f t="shared" si="20"/>
        <v>5000</v>
      </c>
      <c r="X55" s="1921">
        <f t="shared" si="21"/>
        <v>5000</v>
      </c>
      <c r="Y55" s="1921">
        <f t="shared" si="22"/>
        <v>10000</v>
      </c>
      <c r="Z55" s="2978">
        <v>0</v>
      </c>
    </row>
    <row r="56" spans="1:26">
      <c r="B56" s="2177"/>
      <c r="C56" s="2197"/>
      <c r="D56" s="2202"/>
      <c r="E56" s="2163"/>
      <c r="F56" s="1879">
        <f t="shared" si="15"/>
        <v>0</v>
      </c>
      <c r="H56" s="3244" t="s">
        <v>1233</v>
      </c>
      <c r="I56" s="3248">
        <v>20</v>
      </c>
      <c r="J56" s="1932" t="s">
        <v>120</v>
      </c>
      <c r="K56" s="1922" t="s">
        <v>909</v>
      </c>
      <c r="L56" s="3262">
        <v>4.5</v>
      </c>
      <c r="M56" s="3262">
        <v>4.5</v>
      </c>
      <c r="N56" s="1923">
        <v>4.0190399606712824E-3</v>
      </c>
      <c r="O56" s="1922">
        <v>15</v>
      </c>
      <c r="P56" s="1925" t="s">
        <v>910</v>
      </c>
      <c r="Q56" s="3269">
        <v>5000</v>
      </c>
      <c r="R56" s="3269">
        <v>5000</v>
      </c>
      <c r="S56" s="1931">
        <f t="shared" si="16"/>
        <v>10000</v>
      </c>
      <c r="T56" s="1931">
        <f t="shared" si="17"/>
        <v>100000</v>
      </c>
      <c r="U56" s="1931">
        <f t="shared" si="18"/>
        <v>100000</v>
      </c>
      <c r="V56" s="1931">
        <f t="shared" si="19"/>
        <v>200000</v>
      </c>
      <c r="W56" s="1921">
        <f t="shared" si="20"/>
        <v>22500</v>
      </c>
      <c r="X56" s="1921">
        <f t="shared" si="21"/>
        <v>22500</v>
      </c>
      <c r="Y56" s="1921">
        <f t="shared" si="22"/>
        <v>45000</v>
      </c>
      <c r="Z56" s="2978">
        <v>0</v>
      </c>
    </row>
    <row r="57" spans="1:26">
      <c r="B57" s="2177"/>
      <c r="C57" s="1952"/>
      <c r="D57" s="1958"/>
      <c r="E57" s="1955"/>
      <c r="F57" s="1958"/>
      <c r="H57" s="3244" t="s">
        <v>1234</v>
      </c>
      <c r="I57" s="3248">
        <v>11.94</v>
      </c>
      <c r="J57" s="1932" t="s">
        <v>120</v>
      </c>
      <c r="K57" s="1922" t="s">
        <v>1067</v>
      </c>
      <c r="L57" s="3262">
        <v>20.61</v>
      </c>
      <c r="M57" s="3263">
        <v>5</v>
      </c>
      <c r="N57" s="1923">
        <v>7.1981005695622671E-2</v>
      </c>
      <c r="O57" s="1922">
        <v>30</v>
      </c>
      <c r="P57" s="1925" t="s">
        <v>1070</v>
      </c>
      <c r="Q57" s="3270">
        <v>100000</v>
      </c>
      <c r="R57" s="3270">
        <v>100000</v>
      </c>
      <c r="S57" s="1931">
        <f t="shared" si="16"/>
        <v>200000</v>
      </c>
      <c r="T57" s="1931">
        <f t="shared" si="17"/>
        <v>1194000</v>
      </c>
      <c r="U57" s="1931">
        <f t="shared" si="18"/>
        <v>1194000</v>
      </c>
      <c r="V57" s="1931">
        <f t="shared" si="19"/>
        <v>2388000</v>
      </c>
      <c r="W57" s="1921">
        <f t="shared" si="20"/>
        <v>500000</v>
      </c>
      <c r="X57" s="1921">
        <f t="shared" si="21"/>
        <v>500000</v>
      </c>
      <c r="Y57" s="1921">
        <f t="shared" si="22"/>
        <v>1000000</v>
      </c>
      <c r="Z57" s="2978">
        <v>0</v>
      </c>
    </row>
    <row r="58" spans="1:26">
      <c r="B58" s="2177"/>
      <c r="C58" s="2106" t="s">
        <v>52</v>
      </c>
      <c r="D58" s="2158">
        <f>SUM(D59:D62)</f>
        <v>1000</v>
      </c>
      <c r="E58" s="1926">
        <f>SUM(E59:E62)</f>
        <v>1000</v>
      </c>
      <c r="F58" s="2157">
        <f>D58+E58</f>
        <v>2000</v>
      </c>
      <c r="H58" s="3244" t="s">
        <v>1235</v>
      </c>
      <c r="I58" s="3248">
        <v>13.87</v>
      </c>
      <c r="J58" s="1932" t="s">
        <v>120</v>
      </c>
      <c r="K58" s="1922" t="s">
        <v>1067</v>
      </c>
      <c r="L58" s="3262">
        <v>21.97</v>
      </c>
      <c r="M58" s="3263">
        <v>7</v>
      </c>
      <c r="N58" s="1923">
        <v>5.5744084254510688E-3</v>
      </c>
      <c r="O58" s="1922">
        <v>30</v>
      </c>
      <c r="P58" s="1925" t="s">
        <v>1070</v>
      </c>
      <c r="Q58" s="3269">
        <v>10000</v>
      </c>
      <c r="R58" s="3269">
        <v>10000</v>
      </c>
      <c r="S58" s="1931">
        <f t="shared" si="16"/>
        <v>20000</v>
      </c>
      <c r="T58" s="1931">
        <f t="shared" si="17"/>
        <v>138700</v>
      </c>
      <c r="U58" s="1931">
        <f t="shared" si="18"/>
        <v>138700</v>
      </c>
      <c r="V58" s="1931">
        <f t="shared" si="19"/>
        <v>277400</v>
      </c>
      <c r="W58" s="1921">
        <f t="shared" si="20"/>
        <v>70000</v>
      </c>
      <c r="X58" s="1921">
        <f t="shared" si="21"/>
        <v>70000</v>
      </c>
      <c r="Y58" s="1921">
        <f t="shared" si="22"/>
        <v>140000</v>
      </c>
      <c r="Z58" s="2978">
        <v>0</v>
      </c>
    </row>
    <row r="59" spans="1:26">
      <c r="B59" s="2177"/>
      <c r="C59" s="2197"/>
      <c r="D59" s="2202">
        <v>1000</v>
      </c>
      <c r="E59" s="2203">
        <v>1000</v>
      </c>
      <c r="F59" s="1879">
        <f t="shared" ref="F59:F62" si="23">SUM(D59:E59)</f>
        <v>2000</v>
      </c>
      <c r="H59" s="3244" t="s">
        <v>1236</v>
      </c>
      <c r="I59" s="3248">
        <v>21.65</v>
      </c>
      <c r="J59" s="1932" t="s">
        <v>120</v>
      </c>
      <c r="K59" s="1922" t="s">
        <v>1067</v>
      </c>
      <c r="L59" s="3262">
        <v>20.61</v>
      </c>
      <c r="M59" s="3263">
        <v>7</v>
      </c>
      <c r="N59" s="1923">
        <v>6.9609772118826616E-2</v>
      </c>
      <c r="O59" s="1922">
        <v>30</v>
      </c>
      <c r="P59" s="1925" t="s">
        <v>1070</v>
      </c>
      <c r="Q59" s="3269">
        <v>80000</v>
      </c>
      <c r="R59" s="3269">
        <v>80000</v>
      </c>
      <c r="S59" s="1931">
        <f t="shared" si="16"/>
        <v>160000</v>
      </c>
      <c r="T59" s="1931">
        <f t="shared" si="17"/>
        <v>1732000</v>
      </c>
      <c r="U59" s="1931">
        <f t="shared" si="18"/>
        <v>1732000</v>
      </c>
      <c r="V59" s="1931">
        <f t="shared" si="19"/>
        <v>3464000</v>
      </c>
      <c r="W59" s="1921">
        <f t="shared" si="20"/>
        <v>560000</v>
      </c>
      <c r="X59" s="1921">
        <f t="shared" si="21"/>
        <v>560000</v>
      </c>
      <c r="Y59" s="1921">
        <f t="shared" si="22"/>
        <v>1120000</v>
      </c>
      <c r="Z59" s="2978">
        <v>0</v>
      </c>
    </row>
    <row r="60" spans="1:26">
      <c r="B60" s="2177"/>
      <c r="C60" s="2197"/>
      <c r="D60" s="2202"/>
      <c r="E60" s="2203"/>
      <c r="F60" s="1879">
        <f t="shared" si="23"/>
        <v>0</v>
      </c>
      <c r="H60" s="3244" t="s">
        <v>1237</v>
      </c>
      <c r="I60" s="3248">
        <v>23.58</v>
      </c>
      <c r="J60" s="1932" t="s">
        <v>120</v>
      </c>
      <c r="K60" s="1922" t="s">
        <v>1067</v>
      </c>
      <c r="L60" s="3262">
        <v>21.97</v>
      </c>
      <c r="M60" s="3263">
        <v>9</v>
      </c>
      <c r="N60" s="1923">
        <v>3.7907584909051537E-3</v>
      </c>
      <c r="O60" s="1922">
        <v>30</v>
      </c>
      <c r="P60" s="1925" t="s">
        <v>1070</v>
      </c>
      <c r="Q60" s="3269">
        <v>8000</v>
      </c>
      <c r="R60" s="3269">
        <v>4000</v>
      </c>
      <c r="S60" s="1931">
        <f t="shared" si="16"/>
        <v>12000</v>
      </c>
      <c r="T60" s="1931">
        <f t="shared" si="17"/>
        <v>188640</v>
      </c>
      <c r="U60" s="1931">
        <f t="shared" si="18"/>
        <v>94320</v>
      </c>
      <c r="V60" s="1931">
        <f t="shared" si="19"/>
        <v>282960</v>
      </c>
      <c r="W60" s="1921">
        <f t="shared" si="20"/>
        <v>72000</v>
      </c>
      <c r="X60" s="1921">
        <f t="shared" si="21"/>
        <v>36000</v>
      </c>
      <c r="Y60" s="1921">
        <f t="shared" si="22"/>
        <v>108000</v>
      </c>
      <c r="Z60" s="2978">
        <v>0</v>
      </c>
    </row>
    <row r="61" spans="1:26">
      <c r="B61" s="2177"/>
      <c r="C61" s="2197"/>
      <c r="D61" s="2202"/>
      <c r="E61" s="2203"/>
      <c r="F61" s="1879">
        <f t="shared" si="23"/>
        <v>0</v>
      </c>
      <c r="H61" s="3254" t="s">
        <v>1238</v>
      </c>
      <c r="I61" s="3255">
        <v>62</v>
      </c>
      <c r="J61" s="1932" t="s">
        <v>120</v>
      </c>
      <c r="K61" s="1922" t="s">
        <v>909</v>
      </c>
      <c r="L61" s="3262">
        <v>332.27</v>
      </c>
      <c r="M61" s="3262">
        <v>150</v>
      </c>
      <c r="N61" s="1923">
        <v>6.2697023386472004E-4</v>
      </c>
      <c r="O61" s="1922">
        <v>20</v>
      </c>
      <c r="P61" s="1925" t="s">
        <v>1070</v>
      </c>
      <c r="Q61" s="3269">
        <v>200</v>
      </c>
      <c r="R61" s="3269">
        <v>200</v>
      </c>
      <c r="S61" s="1931">
        <f t="shared" si="16"/>
        <v>400</v>
      </c>
      <c r="T61" s="1931">
        <f t="shared" si="17"/>
        <v>12400</v>
      </c>
      <c r="U61" s="1931">
        <f t="shared" si="18"/>
        <v>12400</v>
      </c>
      <c r="V61" s="1931">
        <f t="shared" si="19"/>
        <v>24800</v>
      </c>
      <c r="W61" s="1921">
        <f t="shared" si="20"/>
        <v>30000</v>
      </c>
      <c r="X61" s="1921">
        <f t="shared" si="21"/>
        <v>30000</v>
      </c>
      <c r="Y61" s="1921">
        <f t="shared" si="22"/>
        <v>60000</v>
      </c>
      <c r="Z61" s="2978">
        <v>0</v>
      </c>
    </row>
    <row r="62" spans="1:26">
      <c r="B62" s="2177"/>
      <c r="C62" s="2197"/>
      <c r="D62" s="2202"/>
      <c r="E62" s="2203"/>
      <c r="F62" s="1879">
        <f t="shared" si="23"/>
        <v>0</v>
      </c>
      <c r="H62" s="3256" t="s">
        <v>1239</v>
      </c>
      <c r="I62" s="3257">
        <v>5</v>
      </c>
      <c r="J62" s="1932" t="s">
        <v>120</v>
      </c>
      <c r="K62" s="1922" t="s">
        <v>909</v>
      </c>
      <c r="L62" s="1929">
        <v>6</v>
      </c>
      <c r="M62" s="1929">
        <v>20</v>
      </c>
      <c r="N62" s="1923">
        <v>2.0095199803356413E-5</v>
      </c>
      <c r="O62" s="1922">
        <v>15</v>
      </c>
      <c r="P62" s="1925" t="s">
        <v>910</v>
      </c>
      <c r="Q62" s="3269">
        <v>100</v>
      </c>
      <c r="R62" s="3269">
        <v>100</v>
      </c>
      <c r="S62" s="1931">
        <f t="shared" si="16"/>
        <v>200</v>
      </c>
      <c r="T62" s="1931">
        <f t="shared" si="17"/>
        <v>500</v>
      </c>
      <c r="U62" s="1931">
        <f t="shared" si="18"/>
        <v>500</v>
      </c>
      <c r="V62" s="1931">
        <f t="shared" si="19"/>
        <v>1000</v>
      </c>
      <c r="W62" s="1921">
        <f t="shared" si="20"/>
        <v>2000</v>
      </c>
      <c r="X62" s="1921">
        <f t="shared" si="21"/>
        <v>2000</v>
      </c>
      <c r="Y62" s="1921">
        <f t="shared" si="22"/>
        <v>4000</v>
      </c>
      <c r="Z62" s="2978">
        <v>0.43</v>
      </c>
    </row>
    <row r="63" spans="1:26">
      <c r="B63" s="2177"/>
      <c r="C63" s="1952"/>
      <c r="D63" s="1958"/>
      <c r="E63" s="1955"/>
      <c r="F63" s="1958"/>
      <c r="H63" s="3256" t="s">
        <v>1240</v>
      </c>
      <c r="I63" s="1928">
        <v>31</v>
      </c>
      <c r="J63" s="1932" t="s">
        <v>120</v>
      </c>
      <c r="K63" s="1922" t="s">
        <v>909</v>
      </c>
      <c r="L63" s="1929">
        <v>54</v>
      </c>
      <c r="M63" s="1929">
        <v>25</v>
      </c>
      <c r="N63" s="1923">
        <v>6.2295119390404878E-3</v>
      </c>
      <c r="O63" s="1922">
        <v>15</v>
      </c>
      <c r="P63" s="1925" t="s">
        <v>954</v>
      </c>
      <c r="Q63" s="3269">
        <v>5000</v>
      </c>
      <c r="R63" s="3269">
        <v>5000</v>
      </c>
      <c r="S63" s="1931">
        <f t="shared" si="16"/>
        <v>10000</v>
      </c>
      <c r="T63" s="1931">
        <f t="shared" si="17"/>
        <v>155000</v>
      </c>
      <c r="U63" s="1931">
        <f t="shared" si="18"/>
        <v>155000</v>
      </c>
      <c r="V63" s="1931">
        <f t="shared" si="19"/>
        <v>310000</v>
      </c>
      <c r="W63" s="1921">
        <f t="shared" si="20"/>
        <v>125000</v>
      </c>
      <c r="X63" s="1921">
        <f t="shared" si="21"/>
        <v>125000</v>
      </c>
      <c r="Y63" s="1921">
        <f t="shared" si="22"/>
        <v>250000</v>
      </c>
      <c r="Z63" s="2978">
        <v>0</v>
      </c>
    </row>
    <row r="64" spans="1:26" ht="25.5">
      <c r="A64" s="1852" t="s">
        <v>286</v>
      </c>
      <c r="B64" s="2177"/>
      <c r="C64" s="2106" t="s">
        <v>53</v>
      </c>
      <c r="D64" s="2158">
        <f>W15</f>
        <v>8157682</v>
      </c>
      <c r="E64" s="1926">
        <f>X15</f>
        <v>8521682</v>
      </c>
      <c r="F64" s="2157">
        <f>D64+E64</f>
        <v>16679364</v>
      </c>
      <c r="H64" s="3254" t="s">
        <v>567</v>
      </c>
      <c r="I64" s="3258">
        <v>50000</v>
      </c>
      <c r="J64" s="1932" t="s">
        <v>120</v>
      </c>
      <c r="K64" s="1922" t="s">
        <v>1066</v>
      </c>
      <c r="L64" s="1929">
        <v>10000</v>
      </c>
      <c r="M64" s="1929">
        <v>10000</v>
      </c>
      <c r="N64" s="1923">
        <v>8.0380799213425655E-2</v>
      </c>
      <c r="O64" s="1922">
        <v>3</v>
      </c>
      <c r="P64" s="1925" t="s">
        <v>1070</v>
      </c>
      <c r="Q64" s="3269">
        <v>0</v>
      </c>
      <c r="R64" s="3269">
        <v>40</v>
      </c>
      <c r="S64" s="1931">
        <f t="shared" si="16"/>
        <v>40</v>
      </c>
      <c r="T64" s="1931">
        <f t="shared" si="17"/>
        <v>0</v>
      </c>
      <c r="U64" s="1931">
        <f t="shared" si="18"/>
        <v>2000000</v>
      </c>
      <c r="V64" s="1931">
        <f t="shared" si="19"/>
        <v>2000000</v>
      </c>
      <c r="W64" s="1921">
        <f t="shared" si="20"/>
        <v>0</v>
      </c>
      <c r="X64" s="1921">
        <f t="shared" si="21"/>
        <v>400000</v>
      </c>
      <c r="Y64" s="1921">
        <f t="shared" si="22"/>
        <v>400000</v>
      </c>
      <c r="Z64" s="2978">
        <v>0</v>
      </c>
    </row>
    <row r="65" spans="1:26">
      <c r="A65" s="1808" t="s">
        <v>287</v>
      </c>
      <c r="B65" s="2177"/>
      <c r="C65" s="1967" t="s">
        <v>313</v>
      </c>
      <c r="D65" s="2615">
        <f>D64/D12</f>
        <v>0.83446013927142915</v>
      </c>
      <c r="E65" s="2616">
        <f>E64/E12</f>
        <v>0.83948370993989696</v>
      </c>
      <c r="F65" s="1966"/>
      <c r="H65" s="3254" t="s">
        <v>1241</v>
      </c>
      <c r="I65" s="3258">
        <v>40000</v>
      </c>
      <c r="J65" s="1932" t="s">
        <v>120</v>
      </c>
      <c r="K65" s="1922" t="s">
        <v>1066</v>
      </c>
      <c r="L65" s="1929">
        <v>15000</v>
      </c>
      <c r="M65" s="1929">
        <v>10000</v>
      </c>
      <c r="N65" s="1923">
        <v>3.215231968537026E-3</v>
      </c>
      <c r="O65" s="1922">
        <v>5</v>
      </c>
      <c r="P65" s="1925" t="s">
        <v>1070</v>
      </c>
      <c r="Q65" s="3270">
        <v>1</v>
      </c>
      <c r="R65" s="3270">
        <v>1</v>
      </c>
      <c r="S65" s="1931">
        <f t="shared" si="16"/>
        <v>2</v>
      </c>
      <c r="T65" s="1931">
        <f t="shared" si="17"/>
        <v>40000</v>
      </c>
      <c r="U65" s="1931">
        <f t="shared" si="18"/>
        <v>40000</v>
      </c>
      <c r="V65" s="1931">
        <f t="shared" si="19"/>
        <v>80000</v>
      </c>
      <c r="W65" s="1921">
        <f t="shared" si="20"/>
        <v>10000</v>
      </c>
      <c r="X65" s="1921">
        <f t="shared" si="21"/>
        <v>10000</v>
      </c>
      <c r="Y65" s="1921">
        <f t="shared" si="22"/>
        <v>20000</v>
      </c>
      <c r="Z65" s="2978">
        <v>0</v>
      </c>
    </row>
    <row r="66" spans="1:26">
      <c r="A66" s="1852" t="s">
        <v>6</v>
      </c>
      <c r="B66" s="2177"/>
      <c r="C66" s="1968"/>
      <c r="D66" s="1963"/>
      <c r="E66" s="1964"/>
      <c r="F66" s="1965"/>
      <c r="H66" s="3259" t="s">
        <v>1242</v>
      </c>
      <c r="I66" s="3260">
        <v>645</v>
      </c>
      <c r="J66" s="2950" t="s">
        <v>120</v>
      </c>
      <c r="K66" s="2948" t="s">
        <v>966</v>
      </c>
      <c r="L66" s="2177">
        <v>642.36</v>
      </c>
      <c r="M66" s="2177">
        <v>642.36</v>
      </c>
      <c r="N66" s="2977">
        <v>1.0369123098531909E-2</v>
      </c>
      <c r="O66" s="2948">
        <v>20</v>
      </c>
      <c r="P66" s="2949" t="s">
        <v>1070</v>
      </c>
      <c r="Q66" s="3271">
        <v>0</v>
      </c>
      <c r="R66" s="3271">
        <v>0</v>
      </c>
      <c r="S66" s="2952">
        <f t="shared" si="16"/>
        <v>0</v>
      </c>
      <c r="T66" s="2952">
        <f t="shared" si="17"/>
        <v>0</v>
      </c>
      <c r="U66" s="2952">
        <f t="shared" si="18"/>
        <v>0</v>
      </c>
      <c r="V66" s="2952">
        <f t="shared" si="19"/>
        <v>0</v>
      </c>
      <c r="W66" s="2954">
        <f t="shared" si="20"/>
        <v>0</v>
      </c>
      <c r="X66" s="2954">
        <f t="shared" si="21"/>
        <v>0</v>
      </c>
      <c r="Y66" s="2954">
        <f t="shared" si="22"/>
        <v>0</v>
      </c>
      <c r="Z66" s="2979">
        <v>0</v>
      </c>
    </row>
    <row r="67" spans="1:26">
      <c r="A67" s="1852">
        <v>18230407</v>
      </c>
      <c r="B67" s="2177"/>
      <c r="C67" s="1959" t="s">
        <v>54</v>
      </c>
      <c r="D67" s="2202">
        <v>0</v>
      </c>
      <c r="E67" s="2202">
        <v>0</v>
      </c>
      <c r="F67" s="1956">
        <v>0</v>
      </c>
      <c r="H67" s="3259" t="s">
        <v>1243</v>
      </c>
      <c r="I67" s="3260">
        <v>141</v>
      </c>
      <c r="J67" s="2950" t="s">
        <v>120</v>
      </c>
      <c r="K67" s="2948" t="s">
        <v>909</v>
      </c>
      <c r="L67" s="2177">
        <v>349</v>
      </c>
      <c r="M67" s="2177">
        <v>100</v>
      </c>
      <c r="N67" s="2977">
        <v>1.1333692689093017E-4</v>
      </c>
      <c r="O67" s="2948">
        <v>12</v>
      </c>
      <c r="P67" s="2949" t="s">
        <v>952</v>
      </c>
      <c r="Q67" s="3272">
        <v>20</v>
      </c>
      <c r="R67" s="3272">
        <v>20</v>
      </c>
      <c r="S67" s="2952">
        <f t="shared" si="16"/>
        <v>40</v>
      </c>
      <c r="T67" s="2952">
        <f t="shared" si="17"/>
        <v>2820</v>
      </c>
      <c r="U67" s="2952">
        <f t="shared" si="18"/>
        <v>2820</v>
      </c>
      <c r="V67" s="2952">
        <f t="shared" si="19"/>
        <v>5640</v>
      </c>
      <c r="W67" s="2954">
        <f t="shared" si="20"/>
        <v>2000</v>
      </c>
      <c r="X67" s="2954">
        <f t="shared" si="21"/>
        <v>2000</v>
      </c>
      <c r="Y67" s="2954">
        <f t="shared" si="22"/>
        <v>4000</v>
      </c>
      <c r="Z67" s="2979">
        <v>5.86</v>
      </c>
    </row>
    <row r="68" spans="1:26">
      <c r="A68" s="1852" t="s">
        <v>5</v>
      </c>
      <c r="H68" s="3259" t="s">
        <v>1244</v>
      </c>
      <c r="I68" s="3260">
        <v>93</v>
      </c>
      <c r="J68" s="2950" t="s">
        <v>120</v>
      </c>
      <c r="K68" s="2948" t="s">
        <v>909</v>
      </c>
      <c r="L68" s="2177">
        <v>46</v>
      </c>
      <c r="M68" s="2177">
        <v>50</v>
      </c>
      <c r="N68" s="2977">
        <v>7.4754143268485857E-5</v>
      </c>
      <c r="O68" s="2948">
        <v>12</v>
      </c>
      <c r="P68" s="2949" t="s">
        <v>952</v>
      </c>
      <c r="Q68" s="3272">
        <v>20</v>
      </c>
      <c r="R68" s="3272">
        <v>20</v>
      </c>
      <c r="S68" s="2952">
        <f t="shared" si="16"/>
        <v>40</v>
      </c>
      <c r="T68" s="2952">
        <f t="shared" si="17"/>
        <v>1860</v>
      </c>
      <c r="U68" s="2952">
        <f t="shared" si="18"/>
        <v>1860</v>
      </c>
      <c r="V68" s="2952">
        <f t="shared" si="19"/>
        <v>3720</v>
      </c>
      <c r="W68" s="2954">
        <f t="shared" si="20"/>
        <v>1000</v>
      </c>
      <c r="X68" s="2954">
        <f t="shared" si="21"/>
        <v>1000</v>
      </c>
      <c r="Y68" s="2954">
        <f t="shared" si="22"/>
        <v>2000</v>
      </c>
      <c r="Z68" s="2979">
        <v>-0.31</v>
      </c>
    </row>
    <row r="69" spans="1:26">
      <c r="H69" s="3259" t="s">
        <v>1245</v>
      </c>
      <c r="I69" s="3260">
        <v>0</v>
      </c>
      <c r="J69" s="2950" t="s">
        <v>120</v>
      </c>
      <c r="K69" s="2948" t="s">
        <v>909</v>
      </c>
      <c r="L69" s="2177">
        <v>1</v>
      </c>
      <c r="M69" s="2177">
        <v>1</v>
      </c>
      <c r="N69" s="2977">
        <v>0</v>
      </c>
      <c r="O69" s="2948">
        <v>30</v>
      </c>
      <c r="P69" s="2949" t="s">
        <v>1070</v>
      </c>
      <c r="Q69" s="3271">
        <v>0</v>
      </c>
      <c r="R69" s="3273">
        <v>0</v>
      </c>
      <c r="S69" s="2952">
        <f t="shared" si="16"/>
        <v>0</v>
      </c>
      <c r="T69" s="2952">
        <f t="shared" si="17"/>
        <v>0</v>
      </c>
      <c r="U69" s="2952">
        <f t="shared" si="18"/>
        <v>0</v>
      </c>
      <c r="V69" s="2952">
        <f t="shared" si="19"/>
        <v>0</v>
      </c>
      <c r="W69" s="2954">
        <f t="shared" si="20"/>
        <v>0</v>
      </c>
      <c r="X69" s="2954">
        <f t="shared" si="21"/>
        <v>0</v>
      </c>
      <c r="Y69" s="2954">
        <f t="shared" si="22"/>
        <v>0</v>
      </c>
      <c r="Z69" s="2979">
        <v>0</v>
      </c>
    </row>
    <row r="70" spans="1:26">
      <c r="H70" s="3259" t="s">
        <v>1246</v>
      </c>
      <c r="I70" s="3260">
        <v>538</v>
      </c>
      <c r="J70" s="2950" t="s">
        <v>120</v>
      </c>
      <c r="K70" s="2948" t="s">
        <v>966</v>
      </c>
      <c r="L70" s="2177">
        <v>480.54</v>
      </c>
      <c r="M70" s="2177">
        <v>480.54</v>
      </c>
      <c r="N70" s="2977">
        <v>1.2973460993046901E-2</v>
      </c>
      <c r="O70" s="2948">
        <v>20</v>
      </c>
      <c r="P70" s="2949" t="s">
        <v>1070</v>
      </c>
      <c r="Q70" s="3271">
        <v>0</v>
      </c>
      <c r="R70" s="3273">
        <v>0</v>
      </c>
      <c r="S70" s="2952">
        <f t="shared" si="16"/>
        <v>0</v>
      </c>
      <c r="T70" s="2952">
        <f t="shared" si="17"/>
        <v>0</v>
      </c>
      <c r="U70" s="2952">
        <f t="shared" si="18"/>
        <v>0</v>
      </c>
      <c r="V70" s="2952">
        <f t="shared" si="19"/>
        <v>0</v>
      </c>
      <c r="W70" s="2954">
        <f t="shared" si="20"/>
        <v>0</v>
      </c>
      <c r="X70" s="2954">
        <f t="shared" si="21"/>
        <v>0</v>
      </c>
      <c r="Y70" s="2954">
        <f t="shared" si="22"/>
        <v>0</v>
      </c>
      <c r="Z70" s="2979">
        <v>0</v>
      </c>
    </row>
    <row r="71" spans="1:26">
      <c r="H71" s="3259" t="s">
        <v>1247</v>
      </c>
      <c r="I71" s="3260">
        <v>430</v>
      </c>
      <c r="J71" s="2950" t="s">
        <v>120</v>
      </c>
      <c r="K71" s="2948" t="s">
        <v>966</v>
      </c>
      <c r="L71" s="2177">
        <v>468.01</v>
      </c>
      <c r="M71" s="2177">
        <v>468.01</v>
      </c>
      <c r="N71" s="2977">
        <v>1.7281871830886517E-2</v>
      </c>
      <c r="O71" s="2948">
        <v>20</v>
      </c>
      <c r="P71" s="2949" t="s">
        <v>1070</v>
      </c>
      <c r="Q71" s="3271">
        <v>0</v>
      </c>
      <c r="R71" s="3273">
        <v>0</v>
      </c>
      <c r="S71" s="2952">
        <f t="shared" si="16"/>
        <v>0</v>
      </c>
      <c r="T71" s="2952">
        <f t="shared" si="17"/>
        <v>0</v>
      </c>
      <c r="U71" s="2952">
        <f t="shared" si="18"/>
        <v>0</v>
      </c>
      <c r="V71" s="2952">
        <f t="shared" si="19"/>
        <v>0</v>
      </c>
      <c r="W71" s="2954">
        <f t="shared" si="20"/>
        <v>0</v>
      </c>
      <c r="X71" s="2954">
        <f t="shared" si="21"/>
        <v>0</v>
      </c>
      <c r="Y71" s="2954">
        <f t="shared" si="22"/>
        <v>0</v>
      </c>
      <c r="Z71" s="2979">
        <v>0</v>
      </c>
    </row>
    <row r="72" spans="1:26">
      <c r="H72" s="3259" t="s">
        <v>1248</v>
      </c>
      <c r="I72" s="3260">
        <v>77</v>
      </c>
      <c r="J72" s="2950" t="s">
        <v>120</v>
      </c>
      <c r="K72" s="2948" t="s">
        <v>909</v>
      </c>
      <c r="L72" s="2177">
        <v>2.1</v>
      </c>
      <c r="M72" s="2177">
        <v>2.1</v>
      </c>
      <c r="N72" s="2977">
        <v>1.237864307886755E-2</v>
      </c>
      <c r="O72" s="2948">
        <v>10</v>
      </c>
      <c r="P72" s="2949" t="s">
        <v>910</v>
      </c>
      <c r="Q72" s="3272">
        <v>4000</v>
      </c>
      <c r="R72" s="3274">
        <v>4000</v>
      </c>
      <c r="S72" s="2952">
        <f t="shared" si="16"/>
        <v>8000</v>
      </c>
      <c r="T72" s="2952">
        <f t="shared" si="17"/>
        <v>308000</v>
      </c>
      <c r="U72" s="2952">
        <f t="shared" si="18"/>
        <v>308000</v>
      </c>
      <c r="V72" s="2952">
        <f t="shared" si="19"/>
        <v>616000</v>
      </c>
      <c r="W72" s="2954">
        <f t="shared" si="20"/>
        <v>8400</v>
      </c>
      <c r="X72" s="2954">
        <f t="shared" si="21"/>
        <v>8400</v>
      </c>
      <c r="Y72" s="2954">
        <f t="shared" si="22"/>
        <v>16800</v>
      </c>
      <c r="Z72" s="2981">
        <v>8.33</v>
      </c>
    </row>
  </sheetData>
  <customSheetViews>
    <customSheetView guid="{074EB09C-6289-46D7-9513-012B68BCA7BF}" showGridLines="0">
      <pane xSplit="1" ySplit="1" topLeftCell="G32" activePane="bottomRight" state="frozen"/>
      <selection pane="bottomRight" activeCell="E24" sqref="E24"/>
      <pageMargins left="0.23" right="0.17" top="0.4" bottom="0.33" header="0.3" footer="0.3"/>
      <pageSetup paperSize="17" scale="43" orientation="landscape" r:id="rId1"/>
    </customSheetView>
    <customSheetView guid="{D9EFFE19-D14B-4C6F-BDF4-FF696F73968D}" showGridLines="0">
      <pane xSplit="1" ySplit="1" topLeftCell="G2" activePane="bottomRight" state="frozen"/>
      <selection pane="bottomRight" activeCell="F29" sqref="F29"/>
      <pageMargins left="0.23" right="0.17" top="0.4" bottom="0.33" header="0.3" footer="0.3"/>
      <pageSetup paperSize="17" scale="43" orientation="landscape" r:id="rId2"/>
    </customSheetView>
  </customSheetViews>
  <mergeCells count="8">
    <mergeCell ref="R2:S2"/>
    <mergeCell ref="T2:V2"/>
    <mergeCell ref="W2:W3"/>
    <mergeCell ref="H10:P10"/>
    <mergeCell ref="H12:P12"/>
    <mergeCell ref="Q12:S12"/>
    <mergeCell ref="T12:V12"/>
    <mergeCell ref="W12:Y12"/>
  </mergeCells>
  <pageMargins left="0.23" right="0.17" top="0.4" bottom="0.33" header="0.3" footer="0.3"/>
  <pageSetup paperSize="17" scale="43" orientation="landscape" r:id="rId3"/>
  <ignoredErrors>
    <ignoredError sqref="R7" formula="1"/>
  </ignoredError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8DB4E3"/>
  </sheetPr>
  <dimension ref="A1:Z69"/>
  <sheetViews>
    <sheetView showGridLines="0" workbookViewId="0">
      <pane xSplit="1" ySplit="1" topLeftCell="B2" activePane="bottomRight" state="frozen"/>
      <selection pane="topRight" activeCell="B1" sqref="B1"/>
      <selection pane="bottomLeft" activeCell="A2" sqref="A2"/>
      <selection pane="bottomRight" activeCell="G6" sqref="G5:G6"/>
    </sheetView>
  </sheetViews>
  <sheetFormatPr defaultRowHeight="12.75"/>
  <cols>
    <col min="1" max="1" width="18" style="1164" customWidth="1"/>
    <col min="2" max="2" width="16" style="1866" customWidth="1"/>
    <col min="3" max="3" width="28.7109375" customWidth="1"/>
    <col min="4" max="4" width="21.140625" customWidth="1"/>
    <col min="5" max="5" width="15.42578125" style="9" customWidth="1"/>
    <col min="6" max="6" width="15.42578125" customWidth="1"/>
    <col min="7" max="7" width="16.140625" customWidth="1"/>
    <col min="8" max="8" width="48"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7" bestFit="1" customWidth="1"/>
    <col min="17" max="17" width="16.28515625" bestFit="1" customWidth="1"/>
    <col min="18" max="18" width="16.140625" customWidth="1"/>
    <col min="19" max="19" width="17.7109375" bestFit="1" customWidth="1"/>
    <col min="20" max="20" width="16.28515625" bestFit="1" customWidth="1"/>
    <col min="21" max="21" width="15.5703125" bestFit="1" customWidth="1"/>
    <col min="22" max="22" width="16.42578125" bestFit="1" customWidth="1"/>
    <col min="23" max="25" width="16.140625" customWidth="1"/>
    <col min="26" max="26" width="13.7109375" style="2530" customWidth="1"/>
    <col min="249" max="249" width="24" bestFit="1" customWidth="1"/>
    <col min="250" max="250" width="45.7109375" bestFit="1" customWidth="1"/>
    <col min="251" max="251" width="19.85546875" bestFit="1" customWidth="1"/>
    <col min="252" max="252" width="16.28515625" bestFit="1" customWidth="1"/>
    <col min="253" max="253" width="20"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7" bestFit="1" customWidth="1"/>
    <col min="263" max="263" width="16.28515625" bestFit="1" customWidth="1"/>
    <col min="264" max="264" width="16.140625" customWidth="1"/>
    <col min="265" max="265" width="17.7109375" bestFit="1" customWidth="1"/>
    <col min="266" max="266" width="16.28515625" bestFit="1" customWidth="1"/>
    <col min="267"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85546875" bestFit="1" customWidth="1"/>
    <col min="508" max="508" width="16.28515625" bestFit="1" customWidth="1"/>
    <col min="509" max="509" width="20"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7" bestFit="1" customWidth="1"/>
    <col min="519" max="519" width="16.28515625" bestFit="1" customWidth="1"/>
    <col min="520" max="520" width="16.140625" customWidth="1"/>
    <col min="521" max="521" width="17.7109375" bestFit="1" customWidth="1"/>
    <col min="522" max="522" width="16.28515625" bestFit="1" customWidth="1"/>
    <col min="523"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85546875" bestFit="1" customWidth="1"/>
    <col min="764" max="764" width="16.28515625" bestFit="1" customWidth="1"/>
    <col min="765" max="765" width="20"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7" bestFit="1" customWidth="1"/>
    <col min="775" max="775" width="16.28515625" bestFit="1" customWidth="1"/>
    <col min="776" max="776" width="16.140625" customWidth="1"/>
    <col min="777" max="777" width="17.7109375" bestFit="1" customWidth="1"/>
    <col min="778" max="778" width="16.28515625" bestFit="1" customWidth="1"/>
    <col min="779"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85546875" bestFit="1" customWidth="1"/>
    <col min="1020" max="1020" width="16.28515625" bestFit="1" customWidth="1"/>
    <col min="1021" max="1021" width="20"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7" bestFit="1" customWidth="1"/>
    <col min="1031" max="1031" width="16.28515625" bestFit="1" customWidth="1"/>
    <col min="1032" max="1032" width="16.140625" customWidth="1"/>
    <col min="1033" max="1033" width="17.7109375" bestFit="1" customWidth="1"/>
    <col min="1034" max="1034" width="16.28515625" bestFit="1" customWidth="1"/>
    <col min="1035"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85546875" bestFit="1" customWidth="1"/>
    <col min="1276" max="1276" width="16.28515625" bestFit="1" customWidth="1"/>
    <col min="1277" max="1277" width="20"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7" bestFit="1" customWidth="1"/>
    <col min="1287" max="1287" width="16.28515625" bestFit="1" customWidth="1"/>
    <col min="1288" max="1288" width="16.140625" customWidth="1"/>
    <col min="1289" max="1289" width="17.7109375" bestFit="1" customWidth="1"/>
    <col min="1290" max="1290" width="16.28515625" bestFit="1" customWidth="1"/>
    <col min="1291"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85546875" bestFit="1" customWidth="1"/>
    <col min="1532" max="1532" width="16.28515625" bestFit="1" customWidth="1"/>
    <col min="1533" max="1533" width="20"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7" bestFit="1" customWidth="1"/>
    <col min="1543" max="1543" width="16.28515625" bestFit="1" customWidth="1"/>
    <col min="1544" max="1544" width="16.140625" customWidth="1"/>
    <col min="1545" max="1545" width="17.7109375" bestFit="1" customWidth="1"/>
    <col min="1546" max="1546" width="16.28515625" bestFit="1" customWidth="1"/>
    <col min="1547"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85546875" bestFit="1" customWidth="1"/>
    <col min="1788" max="1788" width="16.28515625" bestFit="1" customWidth="1"/>
    <col min="1789" max="1789" width="20"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7" bestFit="1" customWidth="1"/>
    <col min="1799" max="1799" width="16.28515625" bestFit="1" customWidth="1"/>
    <col min="1800" max="1800" width="16.140625" customWidth="1"/>
    <col min="1801" max="1801" width="17.7109375" bestFit="1" customWidth="1"/>
    <col min="1802" max="1802" width="16.28515625" bestFit="1" customWidth="1"/>
    <col min="1803"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85546875" bestFit="1" customWidth="1"/>
    <col min="2044" max="2044" width="16.28515625" bestFit="1" customWidth="1"/>
    <col min="2045" max="2045" width="20"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7" bestFit="1" customWidth="1"/>
    <col min="2055" max="2055" width="16.28515625" bestFit="1" customWidth="1"/>
    <col min="2056" max="2056" width="16.140625" customWidth="1"/>
    <col min="2057" max="2057" width="17.7109375" bestFit="1" customWidth="1"/>
    <col min="2058" max="2058" width="16.28515625" bestFit="1" customWidth="1"/>
    <col min="2059"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85546875" bestFit="1" customWidth="1"/>
    <col min="2300" max="2300" width="16.28515625" bestFit="1" customWidth="1"/>
    <col min="2301" max="2301" width="20"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7" bestFit="1" customWidth="1"/>
    <col min="2311" max="2311" width="16.28515625" bestFit="1" customWidth="1"/>
    <col min="2312" max="2312" width="16.140625" customWidth="1"/>
    <col min="2313" max="2313" width="17.7109375" bestFit="1" customWidth="1"/>
    <col min="2314" max="2314" width="16.28515625" bestFit="1" customWidth="1"/>
    <col min="2315"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85546875" bestFit="1" customWidth="1"/>
    <col min="2556" max="2556" width="16.28515625" bestFit="1" customWidth="1"/>
    <col min="2557" max="2557" width="20"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7" bestFit="1" customWidth="1"/>
    <col min="2567" max="2567" width="16.28515625" bestFit="1" customWidth="1"/>
    <col min="2568" max="2568" width="16.140625" customWidth="1"/>
    <col min="2569" max="2569" width="17.7109375" bestFit="1" customWidth="1"/>
    <col min="2570" max="2570" width="16.28515625" bestFit="1" customWidth="1"/>
    <col min="2571"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85546875" bestFit="1" customWidth="1"/>
    <col min="2812" max="2812" width="16.28515625" bestFit="1" customWidth="1"/>
    <col min="2813" max="2813" width="20"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7" bestFit="1" customWidth="1"/>
    <col min="2823" max="2823" width="16.28515625" bestFit="1" customWidth="1"/>
    <col min="2824" max="2824" width="16.140625" customWidth="1"/>
    <col min="2825" max="2825" width="17.7109375" bestFit="1" customWidth="1"/>
    <col min="2826" max="2826" width="16.28515625" bestFit="1" customWidth="1"/>
    <col min="2827"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85546875" bestFit="1" customWidth="1"/>
    <col min="3068" max="3068" width="16.28515625" bestFit="1" customWidth="1"/>
    <col min="3069" max="3069" width="20"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7" bestFit="1" customWidth="1"/>
    <col min="3079" max="3079" width="16.28515625" bestFit="1" customWidth="1"/>
    <col min="3080" max="3080" width="16.140625" customWidth="1"/>
    <col min="3081" max="3081" width="17.7109375" bestFit="1" customWidth="1"/>
    <col min="3082" max="3082" width="16.28515625" bestFit="1" customWidth="1"/>
    <col min="3083"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85546875" bestFit="1" customWidth="1"/>
    <col min="3324" max="3324" width="16.28515625" bestFit="1" customWidth="1"/>
    <col min="3325" max="3325" width="20"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7" bestFit="1" customWidth="1"/>
    <col min="3335" max="3335" width="16.28515625" bestFit="1" customWidth="1"/>
    <col min="3336" max="3336" width="16.140625" customWidth="1"/>
    <col min="3337" max="3337" width="17.7109375" bestFit="1" customWidth="1"/>
    <col min="3338" max="3338" width="16.28515625" bestFit="1" customWidth="1"/>
    <col min="3339"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85546875" bestFit="1" customWidth="1"/>
    <col min="3580" max="3580" width="16.28515625" bestFit="1" customWidth="1"/>
    <col min="3581" max="3581" width="20"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7" bestFit="1" customWidth="1"/>
    <col min="3591" max="3591" width="16.28515625" bestFit="1" customWidth="1"/>
    <col min="3592" max="3592" width="16.140625" customWidth="1"/>
    <col min="3593" max="3593" width="17.7109375" bestFit="1" customWidth="1"/>
    <col min="3594" max="3594" width="16.28515625" bestFit="1" customWidth="1"/>
    <col min="3595"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85546875" bestFit="1" customWidth="1"/>
    <col min="3836" max="3836" width="16.28515625" bestFit="1" customWidth="1"/>
    <col min="3837" max="3837" width="20"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7" bestFit="1" customWidth="1"/>
    <col min="3847" max="3847" width="16.28515625" bestFit="1" customWidth="1"/>
    <col min="3848" max="3848" width="16.140625" customWidth="1"/>
    <col min="3849" max="3849" width="17.7109375" bestFit="1" customWidth="1"/>
    <col min="3850" max="3850" width="16.28515625" bestFit="1" customWidth="1"/>
    <col min="3851"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85546875" bestFit="1" customWidth="1"/>
    <col min="4092" max="4092" width="16.28515625" bestFit="1" customWidth="1"/>
    <col min="4093" max="4093" width="20"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7" bestFit="1" customWidth="1"/>
    <col min="4103" max="4103" width="16.28515625" bestFit="1" customWidth="1"/>
    <col min="4104" max="4104" width="16.140625" customWidth="1"/>
    <col min="4105" max="4105" width="17.7109375" bestFit="1" customWidth="1"/>
    <col min="4106" max="4106" width="16.28515625" bestFit="1" customWidth="1"/>
    <col min="4107"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85546875" bestFit="1" customWidth="1"/>
    <col min="4348" max="4348" width="16.28515625" bestFit="1" customWidth="1"/>
    <col min="4349" max="4349" width="20"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7" bestFit="1" customWidth="1"/>
    <col min="4359" max="4359" width="16.28515625" bestFit="1" customWidth="1"/>
    <col min="4360" max="4360" width="16.140625" customWidth="1"/>
    <col min="4361" max="4361" width="17.7109375" bestFit="1" customWidth="1"/>
    <col min="4362" max="4362" width="16.28515625" bestFit="1" customWidth="1"/>
    <col min="4363"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85546875" bestFit="1" customWidth="1"/>
    <col min="4604" max="4604" width="16.28515625" bestFit="1" customWidth="1"/>
    <col min="4605" max="4605" width="20"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7" bestFit="1" customWidth="1"/>
    <col min="4615" max="4615" width="16.28515625" bestFit="1" customWidth="1"/>
    <col min="4616" max="4616" width="16.140625" customWidth="1"/>
    <col min="4617" max="4617" width="17.7109375" bestFit="1" customWidth="1"/>
    <col min="4618" max="4618" width="16.28515625" bestFit="1" customWidth="1"/>
    <col min="4619"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85546875" bestFit="1" customWidth="1"/>
    <col min="4860" max="4860" width="16.28515625" bestFit="1" customWidth="1"/>
    <col min="4861" max="4861" width="20"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7" bestFit="1" customWidth="1"/>
    <col min="4871" max="4871" width="16.28515625" bestFit="1" customWidth="1"/>
    <col min="4872" max="4872" width="16.140625" customWidth="1"/>
    <col min="4873" max="4873" width="17.7109375" bestFit="1" customWidth="1"/>
    <col min="4874" max="4874" width="16.28515625" bestFit="1" customWidth="1"/>
    <col min="4875"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85546875" bestFit="1" customWidth="1"/>
    <col min="5116" max="5116" width="16.28515625" bestFit="1" customWidth="1"/>
    <col min="5117" max="5117" width="20"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7" bestFit="1" customWidth="1"/>
    <col min="5127" max="5127" width="16.28515625" bestFit="1" customWidth="1"/>
    <col min="5128" max="5128" width="16.140625" customWidth="1"/>
    <col min="5129" max="5129" width="17.7109375" bestFit="1" customWidth="1"/>
    <col min="5130" max="5130" width="16.28515625" bestFit="1" customWidth="1"/>
    <col min="5131"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85546875" bestFit="1" customWidth="1"/>
    <col min="5372" max="5372" width="16.28515625" bestFit="1" customWidth="1"/>
    <col min="5373" max="5373" width="20"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7" bestFit="1" customWidth="1"/>
    <col min="5383" max="5383" width="16.28515625" bestFit="1" customWidth="1"/>
    <col min="5384" max="5384" width="16.140625" customWidth="1"/>
    <col min="5385" max="5385" width="17.7109375" bestFit="1" customWidth="1"/>
    <col min="5386" max="5386" width="16.28515625" bestFit="1" customWidth="1"/>
    <col min="5387"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85546875" bestFit="1" customWidth="1"/>
    <col min="5628" max="5628" width="16.28515625" bestFit="1" customWidth="1"/>
    <col min="5629" max="5629" width="20"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7" bestFit="1" customWidth="1"/>
    <col min="5639" max="5639" width="16.28515625" bestFit="1" customWidth="1"/>
    <col min="5640" max="5640" width="16.140625" customWidth="1"/>
    <col min="5641" max="5641" width="17.7109375" bestFit="1" customWidth="1"/>
    <col min="5642" max="5642" width="16.28515625" bestFit="1" customWidth="1"/>
    <col min="5643"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85546875" bestFit="1" customWidth="1"/>
    <col min="5884" max="5884" width="16.28515625" bestFit="1" customWidth="1"/>
    <col min="5885" max="5885" width="20"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7" bestFit="1" customWidth="1"/>
    <col min="5895" max="5895" width="16.28515625" bestFit="1" customWidth="1"/>
    <col min="5896" max="5896" width="16.140625" customWidth="1"/>
    <col min="5897" max="5897" width="17.7109375" bestFit="1" customWidth="1"/>
    <col min="5898" max="5898" width="16.28515625" bestFit="1" customWidth="1"/>
    <col min="5899"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85546875" bestFit="1" customWidth="1"/>
    <col min="6140" max="6140" width="16.28515625" bestFit="1" customWidth="1"/>
    <col min="6141" max="6141" width="20"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7" bestFit="1" customWidth="1"/>
    <col min="6151" max="6151" width="16.28515625" bestFit="1" customWidth="1"/>
    <col min="6152" max="6152" width="16.140625" customWidth="1"/>
    <col min="6153" max="6153" width="17.7109375" bestFit="1" customWidth="1"/>
    <col min="6154" max="6154" width="16.28515625" bestFit="1" customWidth="1"/>
    <col min="6155"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85546875" bestFit="1" customWidth="1"/>
    <col min="6396" max="6396" width="16.28515625" bestFit="1" customWidth="1"/>
    <col min="6397" max="6397" width="20"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7" bestFit="1" customWidth="1"/>
    <col min="6407" max="6407" width="16.28515625" bestFit="1" customWidth="1"/>
    <col min="6408" max="6408" width="16.140625" customWidth="1"/>
    <col min="6409" max="6409" width="17.7109375" bestFit="1" customWidth="1"/>
    <col min="6410" max="6410" width="16.28515625" bestFit="1" customWidth="1"/>
    <col min="6411"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85546875" bestFit="1" customWidth="1"/>
    <col min="6652" max="6652" width="16.28515625" bestFit="1" customWidth="1"/>
    <col min="6653" max="6653" width="20"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7" bestFit="1" customWidth="1"/>
    <col min="6663" max="6663" width="16.28515625" bestFit="1" customWidth="1"/>
    <col min="6664" max="6664" width="16.140625" customWidth="1"/>
    <col min="6665" max="6665" width="17.7109375" bestFit="1" customWidth="1"/>
    <col min="6666" max="6666" width="16.28515625" bestFit="1" customWidth="1"/>
    <col min="6667"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85546875" bestFit="1" customWidth="1"/>
    <col min="6908" max="6908" width="16.28515625" bestFit="1" customWidth="1"/>
    <col min="6909" max="6909" width="20"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7" bestFit="1" customWidth="1"/>
    <col min="6919" max="6919" width="16.28515625" bestFit="1" customWidth="1"/>
    <col min="6920" max="6920" width="16.140625" customWidth="1"/>
    <col min="6921" max="6921" width="17.7109375" bestFit="1" customWidth="1"/>
    <col min="6922" max="6922" width="16.28515625" bestFit="1" customWidth="1"/>
    <col min="6923"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85546875" bestFit="1" customWidth="1"/>
    <col min="7164" max="7164" width="16.28515625" bestFit="1" customWidth="1"/>
    <col min="7165" max="7165" width="20"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7" bestFit="1" customWidth="1"/>
    <col min="7175" max="7175" width="16.28515625" bestFit="1" customWidth="1"/>
    <col min="7176" max="7176" width="16.140625" customWidth="1"/>
    <col min="7177" max="7177" width="17.7109375" bestFit="1" customWidth="1"/>
    <col min="7178" max="7178" width="16.28515625" bestFit="1" customWidth="1"/>
    <col min="7179"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85546875" bestFit="1" customWidth="1"/>
    <col min="7420" max="7420" width="16.28515625" bestFit="1" customWidth="1"/>
    <col min="7421" max="7421" width="20"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7" bestFit="1" customWidth="1"/>
    <col min="7431" max="7431" width="16.28515625" bestFit="1" customWidth="1"/>
    <col min="7432" max="7432" width="16.140625" customWidth="1"/>
    <col min="7433" max="7433" width="17.7109375" bestFit="1" customWidth="1"/>
    <col min="7434" max="7434" width="16.28515625" bestFit="1" customWidth="1"/>
    <col min="7435"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85546875" bestFit="1" customWidth="1"/>
    <col min="7676" max="7676" width="16.28515625" bestFit="1" customWidth="1"/>
    <col min="7677" max="7677" width="20"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7" bestFit="1" customWidth="1"/>
    <col min="7687" max="7687" width="16.28515625" bestFit="1" customWidth="1"/>
    <col min="7688" max="7688" width="16.140625" customWidth="1"/>
    <col min="7689" max="7689" width="17.7109375" bestFit="1" customWidth="1"/>
    <col min="7690" max="7690" width="16.28515625" bestFit="1" customWidth="1"/>
    <col min="7691"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85546875" bestFit="1" customWidth="1"/>
    <col min="7932" max="7932" width="16.28515625" bestFit="1" customWidth="1"/>
    <col min="7933" max="7933" width="20"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7" bestFit="1" customWidth="1"/>
    <col min="7943" max="7943" width="16.28515625" bestFit="1" customWidth="1"/>
    <col min="7944" max="7944" width="16.140625" customWidth="1"/>
    <col min="7945" max="7945" width="17.7109375" bestFit="1" customWidth="1"/>
    <col min="7946" max="7946" width="16.28515625" bestFit="1" customWidth="1"/>
    <col min="7947"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85546875" bestFit="1" customWidth="1"/>
    <col min="8188" max="8188" width="16.28515625" bestFit="1" customWidth="1"/>
    <col min="8189" max="8189" width="20"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7" bestFit="1" customWidth="1"/>
    <col min="8199" max="8199" width="16.28515625" bestFit="1" customWidth="1"/>
    <col min="8200" max="8200" width="16.140625" customWidth="1"/>
    <col min="8201" max="8201" width="17.7109375" bestFit="1" customWidth="1"/>
    <col min="8202" max="8202" width="16.28515625" bestFit="1" customWidth="1"/>
    <col min="8203"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85546875" bestFit="1" customWidth="1"/>
    <col min="8444" max="8444" width="16.28515625" bestFit="1" customWidth="1"/>
    <col min="8445" max="8445" width="20"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7" bestFit="1" customWidth="1"/>
    <col min="8455" max="8455" width="16.28515625" bestFit="1" customWidth="1"/>
    <col min="8456" max="8456" width="16.140625" customWidth="1"/>
    <col min="8457" max="8457" width="17.7109375" bestFit="1" customWidth="1"/>
    <col min="8458" max="8458" width="16.28515625" bestFit="1" customWidth="1"/>
    <col min="8459"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85546875" bestFit="1" customWidth="1"/>
    <col min="8700" max="8700" width="16.28515625" bestFit="1" customWidth="1"/>
    <col min="8701" max="8701" width="20"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7" bestFit="1" customWidth="1"/>
    <col min="8711" max="8711" width="16.28515625" bestFit="1" customWidth="1"/>
    <col min="8712" max="8712" width="16.140625" customWidth="1"/>
    <col min="8713" max="8713" width="17.7109375" bestFit="1" customWidth="1"/>
    <col min="8714" max="8714" width="16.28515625" bestFit="1" customWidth="1"/>
    <col min="8715"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85546875" bestFit="1" customWidth="1"/>
    <col min="8956" max="8956" width="16.28515625" bestFit="1" customWidth="1"/>
    <col min="8957" max="8957" width="20"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7" bestFit="1" customWidth="1"/>
    <col min="8967" max="8967" width="16.28515625" bestFit="1" customWidth="1"/>
    <col min="8968" max="8968" width="16.140625" customWidth="1"/>
    <col min="8969" max="8969" width="17.7109375" bestFit="1" customWidth="1"/>
    <col min="8970" max="8970" width="16.28515625" bestFit="1" customWidth="1"/>
    <col min="8971"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85546875" bestFit="1" customWidth="1"/>
    <col min="9212" max="9212" width="16.28515625" bestFit="1" customWidth="1"/>
    <col min="9213" max="9213" width="20"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7" bestFit="1" customWidth="1"/>
    <col min="9223" max="9223" width="16.28515625" bestFit="1" customWidth="1"/>
    <col min="9224" max="9224" width="16.140625" customWidth="1"/>
    <col min="9225" max="9225" width="17.7109375" bestFit="1" customWidth="1"/>
    <col min="9226" max="9226" width="16.28515625" bestFit="1" customWidth="1"/>
    <col min="9227"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85546875" bestFit="1" customWidth="1"/>
    <col min="9468" max="9468" width="16.28515625" bestFit="1" customWidth="1"/>
    <col min="9469" max="9469" width="20"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7" bestFit="1" customWidth="1"/>
    <col min="9479" max="9479" width="16.28515625" bestFit="1" customWidth="1"/>
    <col min="9480" max="9480" width="16.140625" customWidth="1"/>
    <col min="9481" max="9481" width="17.7109375" bestFit="1" customWidth="1"/>
    <col min="9482" max="9482" width="16.28515625" bestFit="1" customWidth="1"/>
    <col min="9483"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85546875" bestFit="1" customWidth="1"/>
    <col min="9724" max="9724" width="16.28515625" bestFit="1" customWidth="1"/>
    <col min="9725" max="9725" width="20"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7" bestFit="1" customWidth="1"/>
    <col min="9735" max="9735" width="16.28515625" bestFit="1" customWidth="1"/>
    <col min="9736" max="9736" width="16.140625" customWidth="1"/>
    <col min="9737" max="9737" width="17.7109375" bestFit="1" customWidth="1"/>
    <col min="9738" max="9738" width="16.28515625" bestFit="1" customWidth="1"/>
    <col min="9739"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85546875" bestFit="1" customWidth="1"/>
    <col min="9980" max="9980" width="16.28515625" bestFit="1" customWidth="1"/>
    <col min="9981" max="9981" width="20"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7" bestFit="1" customWidth="1"/>
    <col min="9991" max="9991" width="16.28515625" bestFit="1" customWidth="1"/>
    <col min="9992" max="9992" width="16.140625" customWidth="1"/>
    <col min="9993" max="9993" width="17.7109375" bestFit="1" customWidth="1"/>
    <col min="9994" max="9994" width="16.28515625" bestFit="1" customWidth="1"/>
    <col min="9995"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85546875" bestFit="1" customWidth="1"/>
    <col min="10236" max="10236" width="16.28515625" bestFit="1" customWidth="1"/>
    <col min="10237" max="10237" width="20"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7" bestFit="1" customWidth="1"/>
    <col min="10247" max="10247" width="16.28515625" bestFit="1" customWidth="1"/>
    <col min="10248" max="10248" width="16.140625" customWidth="1"/>
    <col min="10249" max="10249" width="17.7109375" bestFit="1" customWidth="1"/>
    <col min="10250" max="10250" width="16.28515625" bestFit="1" customWidth="1"/>
    <col min="10251"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85546875" bestFit="1" customWidth="1"/>
    <col min="10492" max="10492" width="16.28515625" bestFit="1" customWidth="1"/>
    <col min="10493" max="10493" width="20"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7" bestFit="1" customWidth="1"/>
    <col min="10503" max="10503" width="16.28515625" bestFit="1" customWidth="1"/>
    <col min="10504" max="10504" width="16.140625" customWidth="1"/>
    <col min="10505" max="10505" width="17.7109375" bestFit="1" customWidth="1"/>
    <col min="10506" max="10506" width="16.28515625" bestFit="1" customWidth="1"/>
    <col min="10507"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85546875" bestFit="1" customWidth="1"/>
    <col min="10748" max="10748" width="16.28515625" bestFit="1" customWidth="1"/>
    <col min="10749" max="10749" width="20"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7" bestFit="1" customWidth="1"/>
    <col min="10759" max="10759" width="16.28515625" bestFit="1" customWidth="1"/>
    <col min="10760" max="10760" width="16.140625" customWidth="1"/>
    <col min="10761" max="10761" width="17.7109375" bestFit="1" customWidth="1"/>
    <col min="10762" max="10762" width="16.28515625" bestFit="1" customWidth="1"/>
    <col min="10763"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85546875" bestFit="1" customWidth="1"/>
    <col min="11004" max="11004" width="16.28515625" bestFit="1" customWidth="1"/>
    <col min="11005" max="11005" width="20"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7" bestFit="1" customWidth="1"/>
    <col min="11015" max="11015" width="16.28515625" bestFit="1" customWidth="1"/>
    <col min="11016" max="11016" width="16.140625" customWidth="1"/>
    <col min="11017" max="11017" width="17.7109375" bestFit="1" customWidth="1"/>
    <col min="11018" max="11018" width="16.28515625" bestFit="1" customWidth="1"/>
    <col min="11019"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85546875" bestFit="1" customWidth="1"/>
    <col min="11260" max="11260" width="16.28515625" bestFit="1" customWidth="1"/>
    <col min="11261" max="11261" width="20"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7" bestFit="1" customWidth="1"/>
    <col min="11271" max="11271" width="16.28515625" bestFit="1" customWidth="1"/>
    <col min="11272" max="11272" width="16.140625" customWidth="1"/>
    <col min="11273" max="11273" width="17.7109375" bestFit="1" customWidth="1"/>
    <col min="11274" max="11274" width="16.28515625" bestFit="1" customWidth="1"/>
    <col min="11275"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85546875" bestFit="1" customWidth="1"/>
    <col min="11516" max="11516" width="16.28515625" bestFit="1" customWidth="1"/>
    <col min="11517" max="11517" width="20"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7" bestFit="1" customWidth="1"/>
    <col min="11527" max="11527" width="16.28515625" bestFit="1" customWidth="1"/>
    <col min="11528" max="11528" width="16.140625" customWidth="1"/>
    <col min="11529" max="11529" width="17.7109375" bestFit="1" customWidth="1"/>
    <col min="11530" max="11530" width="16.28515625" bestFit="1" customWidth="1"/>
    <col min="11531"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85546875" bestFit="1" customWidth="1"/>
    <col min="11772" max="11772" width="16.28515625" bestFit="1" customWidth="1"/>
    <col min="11773" max="11773" width="20"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7" bestFit="1" customWidth="1"/>
    <col min="11783" max="11783" width="16.28515625" bestFit="1" customWidth="1"/>
    <col min="11784" max="11784" width="16.140625" customWidth="1"/>
    <col min="11785" max="11785" width="17.7109375" bestFit="1" customWidth="1"/>
    <col min="11786" max="11786" width="16.28515625" bestFit="1" customWidth="1"/>
    <col min="11787"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85546875" bestFit="1" customWidth="1"/>
    <col min="12028" max="12028" width="16.28515625" bestFit="1" customWidth="1"/>
    <col min="12029" max="12029" width="20"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7" bestFit="1" customWidth="1"/>
    <col min="12039" max="12039" width="16.28515625" bestFit="1" customWidth="1"/>
    <col min="12040" max="12040" width="16.140625" customWidth="1"/>
    <col min="12041" max="12041" width="17.7109375" bestFit="1" customWidth="1"/>
    <col min="12042" max="12042" width="16.28515625" bestFit="1" customWidth="1"/>
    <col min="12043"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85546875" bestFit="1" customWidth="1"/>
    <col min="12284" max="12284" width="16.28515625" bestFit="1" customWidth="1"/>
    <col min="12285" max="12285" width="20"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7" bestFit="1" customWidth="1"/>
    <col min="12295" max="12295" width="16.28515625" bestFit="1" customWidth="1"/>
    <col min="12296" max="12296" width="16.140625" customWidth="1"/>
    <col min="12297" max="12297" width="17.7109375" bestFit="1" customWidth="1"/>
    <col min="12298" max="12298" width="16.28515625" bestFit="1" customWidth="1"/>
    <col min="12299"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85546875" bestFit="1" customWidth="1"/>
    <col min="12540" max="12540" width="16.28515625" bestFit="1" customWidth="1"/>
    <col min="12541" max="12541" width="20"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7" bestFit="1" customWidth="1"/>
    <col min="12551" max="12551" width="16.28515625" bestFit="1" customWidth="1"/>
    <col min="12552" max="12552" width="16.140625" customWidth="1"/>
    <col min="12553" max="12553" width="17.7109375" bestFit="1" customWidth="1"/>
    <col min="12554" max="12554" width="16.28515625" bestFit="1" customWidth="1"/>
    <col min="12555"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85546875" bestFit="1" customWidth="1"/>
    <col min="12796" max="12796" width="16.28515625" bestFit="1" customWidth="1"/>
    <col min="12797" max="12797" width="20"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7" bestFit="1" customWidth="1"/>
    <col min="12807" max="12807" width="16.28515625" bestFit="1" customWidth="1"/>
    <col min="12808" max="12808" width="16.140625" customWidth="1"/>
    <col min="12809" max="12809" width="17.7109375" bestFit="1" customWidth="1"/>
    <col min="12810" max="12810" width="16.28515625" bestFit="1" customWidth="1"/>
    <col min="12811"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85546875" bestFit="1" customWidth="1"/>
    <col min="13052" max="13052" width="16.28515625" bestFit="1" customWidth="1"/>
    <col min="13053" max="13053" width="20"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7" bestFit="1" customWidth="1"/>
    <col min="13063" max="13063" width="16.28515625" bestFit="1" customWidth="1"/>
    <col min="13064" max="13064" width="16.140625" customWidth="1"/>
    <col min="13065" max="13065" width="17.7109375" bestFit="1" customWidth="1"/>
    <col min="13066" max="13066" width="16.28515625" bestFit="1" customWidth="1"/>
    <col min="13067"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85546875" bestFit="1" customWidth="1"/>
    <col min="13308" max="13308" width="16.28515625" bestFit="1" customWidth="1"/>
    <col min="13309" max="13309" width="20"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7" bestFit="1" customWidth="1"/>
    <col min="13319" max="13319" width="16.28515625" bestFit="1" customWidth="1"/>
    <col min="13320" max="13320" width="16.140625" customWidth="1"/>
    <col min="13321" max="13321" width="17.7109375" bestFit="1" customWidth="1"/>
    <col min="13322" max="13322" width="16.28515625" bestFit="1" customWidth="1"/>
    <col min="13323"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85546875" bestFit="1" customWidth="1"/>
    <col min="13564" max="13564" width="16.28515625" bestFit="1" customWidth="1"/>
    <col min="13565" max="13565" width="20"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7" bestFit="1" customWidth="1"/>
    <col min="13575" max="13575" width="16.28515625" bestFit="1" customWidth="1"/>
    <col min="13576" max="13576" width="16.140625" customWidth="1"/>
    <col min="13577" max="13577" width="17.7109375" bestFit="1" customWidth="1"/>
    <col min="13578" max="13578" width="16.28515625" bestFit="1" customWidth="1"/>
    <col min="13579"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85546875" bestFit="1" customWidth="1"/>
    <col min="13820" max="13820" width="16.28515625" bestFit="1" customWidth="1"/>
    <col min="13821" max="13821" width="20"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7" bestFit="1" customWidth="1"/>
    <col min="13831" max="13831" width="16.28515625" bestFit="1" customWidth="1"/>
    <col min="13832" max="13832" width="16.140625" customWidth="1"/>
    <col min="13833" max="13833" width="17.7109375" bestFit="1" customWidth="1"/>
    <col min="13834" max="13834" width="16.28515625" bestFit="1" customWidth="1"/>
    <col min="13835"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85546875" bestFit="1" customWidth="1"/>
    <col min="14076" max="14076" width="16.28515625" bestFit="1" customWidth="1"/>
    <col min="14077" max="14077" width="20"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7" bestFit="1" customWidth="1"/>
    <col min="14087" max="14087" width="16.28515625" bestFit="1" customWidth="1"/>
    <col min="14088" max="14088" width="16.140625" customWidth="1"/>
    <col min="14089" max="14089" width="17.7109375" bestFit="1" customWidth="1"/>
    <col min="14090" max="14090" width="16.28515625" bestFit="1" customWidth="1"/>
    <col min="14091"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85546875" bestFit="1" customWidth="1"/>
    <col min="14332" max="14332" width="16.28515625" bestFit="1" customWidth="1"/>
    <col min="14333" max="14333" width="20"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7" bestFit="1" customWidth="1"/>
    <col min="14343" max="14343" width="16.28515625" bestFit="1" customWidth="1"/>
    <col min="14344" max="14344" width="16.140625" customWidth="1"/>
    <col min="14345" max="14345" width="17.7109375" bestFit="1" customWidth="1"/>
    <col min="14346" max="14346" width="16.28515625" bestFit="1" customWidth="1"/>
    <col min="14347"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85546875" bestFit="1" customWidth="1"/>
    <col min="14588" max="14588" width="16.28515625" bestFit="1" customWidth="1"/>
    <col min="14589" max="14589" width="20"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7" bestFit="1" customWidth="1"/>
    <col min="14599" max="14599" width="16.28515625" bestFit="1" customWidth="1"/>
    <col min="14600" max="14600" width="16.140625" customWidth="1"/>
    <col min="14601" max="14601" width="17.7109375" bestFit="1" customWidth="1"/>
    <col min="14602" max="14602" width="16.28515625" bestFit="1" customWidth="1"/>
    <col min="14603"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85546875" bestFit="1" customWidth="1"/>
    <col min="14844" max="14844" width="16.28515625" bestFit="1" customWidth="1"/>
    <col min="14845" max="14845" width="20"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7" bestFit="1" customWidth="1"/>
    <col min="14855" max="14855" width="16.28515625" bestFit="1" customWidth="1"/>
    <col min="14856" max="14856" width="16.140625" customWidth="1"/>
    <col min="14857" max="14857" width="17.7109375" bestFit="1" customWidth="1"/>
    <col min="14858" max="14858" width="16.28515625" bestFit="1" customWidth="1"/>
    <col min="14859"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85546875" bestFit="1" customWidth="1"/>
    <col min="15100" max="15100" width="16.28515625" bestFit="1" customWidth="1"/>
    <col min="15101" max="15101" width="20"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7" bestFit="1" customWidth="1"/>
    <col min="15111" max="15111" width="16.28515625" bestFit="1" customWidth="1"/>
    <col min="15112" max="15112" width="16.140625" customWidth="1"/>
    <col min="15113" max="15113" width="17.7109375" bestFit="1" customWidth="1"/>
    <col min="15114" max="15114" width="16.28515625" bestFit="1" customWidth="1"/>
    <col min="15115"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85546875" bestFit="1" customWidth="1"/>
    <col min="15356" max="15356" width="16.28515625" bestFit="1" customWidth="1"/>
    <col min="15357" max="15357" width="20"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7" bestFit="1" customWidth="1"/>
    <col min="15367" max="15367" width="16.28515625" bestFit="1" customWidth="1"/>
    <col min="15368" max="15368" width="16.140625" customWidth="1"/>
    <col min="15369" max="15369" width="17.7109375" bestFit="1" customWidth="1"/>
    <col min="15370" max="15370" width="16.28515625" bestFit="1" customWidth="1"/>
    <col min="15371"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85546875" bestFit="1" customWidth="1"/>
    <col min="15612" max="15612" width="16.28515625" bestFit="1" customWidth="1"/>
    <col min="15613" max="15613" width="20"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7" bestFit="1" customWidth="1"/>
    <col min="15623" max="15623" width="16.28515625" bestFit="1" customWidth="1"/>
    <col min="15624" max="15624" width="16.140625" customWidth="1"/>
    <col min="15625" max="15625" width="17.7109375" bestFit="1" customWidth="1"/>
    <col min="15626" max="15626" width="16.28515625" bestFit="1" customWidth="1"/>
    <col min="15627"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85546875" bestFit="1" customWidth="1"/>
    <col min="15868" max="15868" width="16.28515625" bestFit="1" customWidth="1"/>
    <col min="15869" max="15869" width="20"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7" bestFit="1" customWidth="1"/>
    <col min="15879" max="15879" width="16.28515625" bestFit="1" customWidth="1"/>
    <col min="15880" max="15880" width="16.140625" customWidth="1"/>
    <col min="15881" max="15881" width="17.7109375" bestFit="1" customWidth="1"/>
    <col min="15882" max="15882" width="16.28515625" bestFit="1" customWidth="1"/>
    <col min="15883"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85546875" bestFit="1" customWidth="1"/>
    <col min="16124" max="16124" width="16.28515625" bestFit="1" customWidth="1"/>
    <col min="16125" max="16125" width="20"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7" bestFit="1" customWidth="1"/>
    <col min="16135" max="16135" width="16.28515625" bestFit="1" customWidth="1"/>
    <col min="16136" max="16136" width="16.140625" customWidth="1"/>
    <col min="16137" max="16137" width="17.7109375" bestFit="1" customWidth="1"/>
    <col min="16138" max="16138" width="16.28515625" bestFit="1" customWidth="1"/>
    <col min="16139"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301"/>
      <c r="D1" s="1853" t="s">
        <v>298</v>
      </c>
      <c r="E1" s="1812" t="s">
        <v>285</v>
      </c>
      <c r="F1" s="1853" t="s">
        <v>6</v>
      </c>
      <c r="G1" s="1853">
        <v>18230486</v>
      </c>
      <c r="H1" s="1853" t="s">
        <v>5</v>
      </c>
      <c r="J1" s="1812"/>
      <c r="K1" s="1812"/>
      <c r="L1" s="1812"/>
    </row>
    <row r="2" spans="1:26" ht="16.5" thickBot="1">
      <c r="C2" s="45"/>
      <c r="D2" s="46"/>
      <c r="H2" s="1576" t="s">
        <v>674</v>
      </c>
      <c r="R2" s="3596"/>
      <c r="S2" s="3596"/>
      <c r="T2" s="3597" t="s">
        <v>36</v>
      </c>
      <c r="U2" s="3598"/>
      <c r="V2" s="3599"/>
      <c r="W2" s="3594" t="s">
        <v>37</v>
      </c>
    </row>
    <row r="3" spans="1:26" ht="26.25" thickBot="1">
      <c r="A3" s="1852" t="s">
        <v>298</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285</v>
      </c>
      <c r="B4" s="1808"/>
      <c r="C4" s="46"/>
      <c r="G4" s="1704" t="s">
        <v>668</v>
      </c>
      <c r="H4" s="2003">
        <v>65000</v>
      </c>
      <c r="I4" s="2002">
        <v>3000</v>
      </c>
      <c r="J4" s="2002">
        <v>48076</v>
      </c>
      <c r="K4" s="2002">
        <v>10000</v>
      </c>
      <c r="L4" s="2002">
        <v>6000</v>
      </c>
      <c r="M4" s="2002">
        <v>0</v>
      </c>
      <c r="N4" s="2002">
        <v>800</v>
      </c>
      <c r="O4" s="2002">
        <v>0</v>
      </c>
      <c r="P4" s="2002">
        <v>279966</v>
      </c>
      <c r="Q4" s="2002">
        <v>0</v>
      </c>
      <c r="R4" s="2000">
        <v>412842</v>
      </c>
      <c r="S4" s="1998" t="s">
        <v>681</v>
      </c>
      <c r="T4" s="65">
        <f>P4/R4</f>
        <v>0.67814321217318008</v>
      </c>
      <c r="U4" s="65">
        <f>(K4+(I4*1.63))/R4</f>
        <v>3.6067066819751865E-2</v>
      </c>
      <c r="V4" s="65">
        <f>M4/R4</f>
        <v>0</v>
      </c>
      <c r="W4" s="52" t="e">
        <f>R4/S4</f>
        <v>#VALUE!</v>
      </c>
    </row>
    <row r="5" spans="1:26" ht="16.5" thickBot="1">
      <c r="A5" s="1852" t="s">
        <v>6</v>
      </c>
      <c r="B5" s="1852"/>
      <c r="C5" s="45"/>
      <c r="G5" s="45">
        <v>2016</v>
      </c>
      <c r="H5" s="1582">
        <f>D15</f>
        <v>179031</v>
      </c>
      <c r="I5" s="1549">
        <f>D22</f>
        <v>12000</v>
      </c>
      <c r="J5" s="1549">
        <f>D28</f>
        <v>127417.67700000001</v>
      </c>
      <c r="K5" s="1549">
        <f>D35</f>
        <v>30000</v>
      </c>
      <c r="L5" s="1549">
        <f>D41</f>
        <v>4000</v>
      </c>
      <c r="M5" s="1549">
        <f>D47</f>
        <v>0</v>
      </c>
      <c r="N5" s="1549">
        <f>D53</f>
        <v>500</v>
      </c>
      <c r="O5" s="1549">
        <f>D59</f>
        <v>500</v>
      </c>
      <c r="P5" s="1549">
        <f>D65</f>
        <v>366454.74</v>
      </c>
      <c r="Q5" s="1549">
        <f>D68</f>
        <v>0</v>
      </c>
      <c r="R5" s="2001">
        <f>SUM(H5:Q5)</f>
        <v>719903.41700000002</v>
      </c>
      <c r="S5" s="1999">
        <f>T15</f>
        <v>2000000.0788</v>
      </c>
      <c r="T5" s="66">
        <f>P5/R5</f>
        <v>0.50903319993548524</v>
      </c>
      <c r="U5" s="66">
        <f>(K5+(I5*1.63))/R5</f>
        <v>6.8842568085768649E-2</v>
      </c>
      <c r="V5" s="66">
        <f>M5/R5</f>
        <v>0</v>
      </c>
      <c r="W5" s="56">
        <f>R5/S5</f>
        <v>0.35995169431790325</v>
      </c>
    </row>
    <row r="6" spans="1:26" ht="16.5" thickBot="1">
      <c r="A6" s="1852">
        <v>18230486</v>
      </c>
      <c r="B6" s="1852"/>
      <c r="D6" s="45"/>
      <c r="G6" s="45">
        <v>2017</v>
      </c>
      <c r="H6" s="57">
        <f>E15</f>
        <v>179031</v>
      </c>
      <c r="I6" s="1990">
        <f>E22</f>
        <v>12000</v>
      </c>
      <c r="J6" s="1989">
        <f>E28</f>
        <v>129901.08</v>
      </c>
      <c r="K6" s="58">
        <f>E35</f>
        <v>30000</v>
      </c>
      <c r="L6" s="58">
        <f>E41</f>
        <v>4000</v>
      </c>
      <c r="M6" s="58">
        <f>E47</f>
        <v>0</v>
      </c>
      <c r="N6" s="58">
        <f>E53</f>
        <v>500</v>
      </c>
      <c r="O6" s="58">
        <f>E59</f>
        <v>500</v>
      </c>
      <c r="P6" s="58">
        <f>E65</f>
        <v>366454.74</v>
      </c>
      <c r="Q6" s="58">
        <f>E68</f>
        <v>0</v>
      </c>
      <c r="R6" s="1997">
        <f>SUM(H6:Q6)</f>
        <v>722386.82000000007</v>
      </c>
      <c r="S6" s="1996">
        <f>U15</f>
        <v>2000000.0788</v>
      </c>
      <c r="T6" s="66">
        <f>P6/R6</f>
        <v>0.50728325857329448</v>
      </c>
      <c r="U6" s="66">
        <f>(K6+(I6*1.63))/R6</f>
        <v>6.860590285963411E-2</v>
      </c>
      <c r="V6" s="66">
        <f>M6/R6</f>
        <v>0</v>
      </c>
      <c r="W6" s="56">
        <f>R6/S6</f>
        <v>0.36119339576898024</v>
      </c>
    </row>
    <row r="7" spans="1:26" ht="16.5" thickBot="1">
      <c r="A7" s="1852" t="s">
        <v>5</v>
      </c>
      <c r="B7" s="1808"/>
      <c r="C7" s="1866"/>
      <c r="D7" s="1592"/>
      <c r="E7" s="1867"/>
      <c r="F7" s="1866"/>
      <c r="G7" s="1608" t="s">
        <v>23</v>
      </c>
      <c r="H7" s="1564">
        <f>SUM(H5:H6)</f>
        <v>358062</v>
      </c>
      <c r="I7" s="1991">
        <f t="shared" ref="I7:Q7" si="0">SUM(I5:I6)</f>
        <v>24000</v>
      </c>
      <c r="J7" s="1992">
        <f t="shared" si="0"/>
        <v>257318.75700000001</v>
      </c>
      <c r="K7" s="1993">
        <f t="shared" si="0"/>
        <v>60000</v>
      </c>
      <c r="L7" s="1991">
        <f t="shared" si="0"/>
        <v>8000</v>
      </c>
      <c r="M7" s="1992">
        <f t="shared" si="0"/>
        <v>0</v>
      </c>
      <c r="N7" s="1991">
        <f t="shared" si="0"/>
        <v>1000</v>
      </c>
      <c r="O7" s="1992">
        <f t="shared" si="0"/>
        <v>1000</v>
      </c>
      <c r="P7" s="1993">
        <f t="shared" si="0"/>
        <v>732909.48</v>
      </c>
      <c r="Q7" s="1991">
        <f t="shared" si="0"/>
        <v>0</v>
      </c>
      <c r="R7" s="1993">
        <f>SUM(H7:Q7)</f>
        <v>1442290.237</v>
      </c>
      <c r="S7" s="1994">
        <f>SUM(S5:S6)</f>
        <v>4000000.1576</v>
      </c>
      <c r="T7" s="66">
        <f>P7/R7</f>
        <v>0.50815672268881895</v>
      </c>
      <c r="U7" s="66">
        <f>(K7+(I7*1.63))/R7</f>
        <v>6.8724031722056239E-2</v>
      </c>
      <c r="V7" s="66">
        <f>M7/R7</f>
        <v>0</v>
      </c>
      <c r="W7" s="56">
        <f>R7/S7</f>
        <v>0.36057254504344172</v>
      </c>
    </row>
    <row r="8" spans="1:26" ht="15.75">
      <c r="B8" s="1852"/>
      <c r="C8" s="1866"/>
      <c r="D8" s="1592"/>
      <c r="E8" s="1867"/>
      <c r="F8" s="1866"/>
    </row>
    <row r="9" spans="1:26" ht="20.25" customHeight="1">
      <c r="A9" s="1808"/>
      <c r="B9" s="1808"/>
      <c r="C9" s="1866"/>
      <c r="D9" s="1592"/>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28" t="s">
        <v>317</v>
      </c>
    </row>
    <row r="11" spans="1:26">
      <c r="A11" s="1808"/>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2546"/>
    </row>
    <row r="12" spans="1:26">
      <c r="B12" s="2177"/>
      <c r="C12" s="1887" t="s">
        <v>314</v>
      </c>
      <c r="D12" s="2157">
        <f>D15+D22+D28+D35+D41+D47+D53+D59+D65</f>
        <v>719903.41700000002</v>
      </c>
      <c r="E12" s="1948">
        <f>E15+E22+E28+E35+E41+E47+E53+E59+E65</f>
        <v>722386.82000000007</v>
      </c>
      <c r="F12" s="2157">
        <f>D12+E12</f>
        <v>1442290.2370000002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row>
    <row r="13" spans="1:26">
      <c r="B13" s="2177"/>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1" t="s">
        <v>1131</v>
      </c>
    </row>
    <row r="14" spans="1:26" ht="15.75">
      <c r="B14" s="2177"/>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2106" t="s">
        <v>46</v>
      </c>
      <c r="D15" s="2158">
        <f>SUM(D16:D20)</f>
        <v>179031</v>
      </c>
      <c r="E15" s="1926">
        <f>SUM(E16:E20)</f>
        <v>179031</v>
      </c>
      <c r="F15" s="2157">
        <f>D15+E15</f>
        <v>358062</v>
      </c>
      <c r="H15" s="1938" t="s">
        <v>327</v>
      </c>
      <c r="I15" s="1939"/>
      <c r="J15" s="1939"/>
      <c r="K15" s="1940"/>
      <c r="L15" s="1941">
        <f>SUMPRODUCT(L16:L23,S16:S23)</f>
        <v>1429577.18</v>
      </c>
      <c r="M15" s="1941">
        <f>SUM(M16:M27)</f>
        <v>255.322</v>
      </c>
      <c r="N15" s="1942"/>
      <c r="O15" s="1940">
        <v>15</v>
      </c>
      <c r="P15" s="1940"/>
      <c r="Q15" s="1940"/>
      <c r="R15" s="1940"/>
      <c r="S15" s="1940"/>
      <c r="T15" s="1943">
        <f t="shared" ref="T15:Y15" si="1">SUM(T16:T66)</f>
        <v>2000000.0788</v>
      </c>
      <c r="U15" s="1943">
        <f t="shared" si="1"/>
        <v>2000000.0788</v>
      </c>
      <c r="V15" s="1943">
        <f t="shared" si="1"/>
        <v>4000000.1576</v>
      </c>
      <c r="W15" s="1941">
        <f t="shared" si="1"/>
        <v>366454.74</v>
      </c>
      <c r="X15" s="1941">
        <f t="shared" si="1"/>
        <v>366454.74</v>
      </c>
      <c r="Y15" s="1941">
        <f t="shared" si="1"/>
        <v>732909.48</v>
      </c>
      <c r="Z15" s="2534">
        <v>0</v>
      </c>
    </row>
    <row r="16" spans="1:26">
      <c r="B16" s="2610">
        <v>0.25</v>
      </c>
      <c r="C16" s="2197" t="s">
        <v>791</v>
      </c>
      <c r="D16" s="2201">
        <v>22500</v>
      </c>
      <c r="E16" s="2200">
        <v>22500</v>
      </c>
      <c r="F16" s="1879">
        <f>SUM(D16:E16)</f>
        <v>45000</v>
      </c>
      <c r="H16" s="2569" t="s">
        <v>1250</v>
      </c>
      <c r="I16" s="2569">
        <v>71</v>
      </c>
      <c r="J16" s="1932" t="s">
        <v>120</v>
      </c>
      <c r="K16" s="2571" t="s">
        <v>909</v>
      </c>
      <c r="L16" s="2572">
        <v>75</v>
      </c>
      <c r="M16" s="2573">
        <v>75</v>
      </c>
      <c r="N16" s="1923" t="s">
        <v>241</v>
      </c>
      <c r="O16" s="1922">
        <v>14</v>
      </c>
      <c r="P16" s="2575" t="s">
        <v>1258</v>
      </c>
      <c r="Q16" s="2576">
        <v>1240</v>
      </c>
      <c r="R16" s="1928">
        <v>1240</v>
      </c>
      <c r="S16" s="1931">
        <f>SUM(Q16:R16)</f>
        <v>2480</v>
      </c>
      <c r="T16" s="1931">
        <f>Q16*I16</f>
        <v>88040</v>
      </c>
      <c r="U16" s="1931">
        <f>R16*I16</f>
        <v>88040</v>
      </c>
      <c r="V16" s="1931">
        <f>SUM(T16:U16)</f>
        <v>176080</v>
      </c>
      <c r="W16" s="1921">
        <f>Q16*M16</f>
        <v>93000</v>
      </c>
      <c r="X16" s="1921">
        <f>R16*M16</f>
        <v>93000</v>
      </c>
      <c r="Y16" s="1921">
        <f>SUM(W16:X16)</f>
        <v>186000</v>
      </c>
      <c r="Z16" s="2533"/>
    </row>
    <row r="17" spans="2:26" s="2177" customFormat="1">
      <c r="B17" s="2610">
        <v>0.7</v>
      </c>
      <c r="C17" s="2197" t="s">
        <v>792</v>
      </c>
      <c r="D17" s="2199">
        <v>63000</v>
      </c>
      <c r="E17" s="2198">
        <v>63000</v>
      </c>
      <c r="F17" s="1879">
        <f t="shared" ref="F17:F20" si="2">SUM(D17:E17)</f>
        <v>126000</v>
      </c>
      <c r="H17" s="2569" t="s">
        <v>1251</v>
      </c>
      <c r="I17" s="2569">
        <v>5.7799999999999997E-2</v>
      </c>
      <c r="J17" s="2557" t="s">
        <v>120</v>
      </c>
      <c r="K17" s="2571" t="s">
        <v>1067</v>
      </c>
      <c r="L17" s="2572">
        <v>1.7000000000000001E-2</v>
      </c>
      <c r="M17" s="2573">
        <v>1.7000000000000001E-2</v>
      </c>
      <c r="N17" s="2567" t="s">
        <v>241</v>
      </c>
      <c r="O17" s="2556">
        <v>12</v>
      </c>
      <c r="P17" s="2575" t="s">
        <v>1071</v>
      </c>
      <c r="Q17" s="2576">
        <v>5806500</v>
      </c>
      <c r="R17" s="2576">
        <v>5806500</v>
      </c>
      <c r="S17" s="1931">
        <f t="shared" ref="S17:S34" si="3">SUM(Q17:R17)</f>
        <v>11613000</v>
      </c>
      <c r="T17" s="1931">
        <f t="shared" ref="T17:T34" si="4">Q17*I17</f>
        <v>335615.7</v>
      </c>
      <c r="U17" s="1931">
        <f t="shared" ref="U17:U34" si="5">R17*I17</f>
        <v>335615.7</v>
      </c>
      <c r="V17" s="1931">
        <f t="shared" ref="V17:V34" si="6">SUM(T17:U17)</f>
        <v>671231.4</v>
      </c>
      <c r="W17" s="1921">
        <f t="shared" ref="W17:W34" si="7">Q17*M17</f>
        <v>98710.5</v>
      </c>
      <c r="X17" s="1921">
        <f t="shared" ref="X17:X34" si="8">R17*M17</f>
        <v>98710.5</v>
      </c>
      <c r="Y17" s="1921">
        <f t="shared" ref="Y17:Y34" si="9">SUM(W17:X17)</f>
        <v>197421</v>
      </c>
      <c r="Z17" s="2558"/>
    </row>
    <row r="18" spans="2:26" s="2177" customFormat="1">
      <c r="B18" s="2610">
        <v>0.6</v>
      </c>
      <c r="C18" s="2197" t="s">
        <v>793</v>
      </c>
      <c r="D18" s="2199">
        <v>54000</v>
      </c>
      <c r="E18" s="2198">
        <v>54000</v>
      </c>
      <c r="F18" s="1879"/>
      <c r="H18" s="2604" t="s">
        <v>1252</v>
      </c>
      <c r="I18" s="2604">
        <v>1.66E-2</v>
      </c>
      <c r="J18" s="2557" t="s">
        <v>120</v>
      </c>
      <c r="K18" s="2571" t="s">
        <v>1067</v>
      </c>
      <c r="L18" s="2644">
        <v>5.0000000000000001E-3</v>
      </c>
      <c r="M18" s="2644">
        <v>5.0000000000000001E-3</v>
      </c>
      <c r="N18" s="2607" t="s">
        <v>241</v>
      </c>
      <c r="O18" s="2556">
        <v>12</v>
      </c>
      <c r="P18" s="2575" t="s">
        <v>1071</v>
      </c>
      <c r="Q18" s="2611">
        <v>16048818</v>
      </c>
      <c r="R18" s="2611">
        <v>16048818</v>
      </c>
      <c r="S18" s="2580">
        <f>SUM(Q18:R18)</f>
        <v>32097636</v>
      </c>
      <c r="T18" s="2580">
        <f>Q18*I18</f>
        <v>266410.37880000001</v>
      </c>
      <c r="U18" s="2580">
        <f>R18*I18</f>
        <v>266410.37880000001</v>
      </c>
      <c r="V18" s="2580">
        <f>SUM(T18:U18)</f>
        <v>532820.75760000001</v>
      </c>
      <c r="W18" s="2643">
        <f>Q18*M18</f>
        <v>80244.09</v>
      </c>
      <c r="X18" s="2643">
        <f>R18*M18</f>
        <v>80244.09</v>
      </c>
      <c r="Y18" s="2643">
        <f>SUM(W18:X18)</f>
        <v>160488.18</v>
      </c>
      <c r="Z18" s="2558"/>
    </row>
    <row r="19" spans="2:26">
      <c r="B19" s="2610">
        <v>0.4</v>
      </c>
      <c r="C19" s="2197" t="s">
        <v>794</v>
      </c>
      <c r="D19" s="2199">
        <v>36000</v>
      </c>
      <c r="E19" s="2198">
        <v>36000</v>
      </c>
      <c r="F19" s="1879">
        <f t="shared" si="2"/>
        <v>72000</v>
      </c>
      <c r="H19" s="2569" t="s">
        <v>1253</v>
      </c>
      <c r="I19" s="2569">
        <v>307</v>
      </c>
      <c r="J19" s="1932" t="s">
        <v>120</v>
      </c>
      <c r="K19" s="2571" t="s">
        <v>909</v>
      </c>
      <c r="L19" s="2572">
        <v>31</v>
      </c>
      <c r="M19" s="2573">
        <v>25</v>
      </c>
      <c r="N19" s="1923" t="s">
        <v>241</v>
      </c>
      <c r="O19" s="1922">
        <v>30</v>
      </c>
      <c r="P19" s="2575" t="s">
        <v>954</v>
      </c>
      <c r="Q19" s="2576">
        <v>1400</v>
      </c>
      <c r="R19" s="1928">
        <v>1400</v>
      </c>
      <c r="S19" s="1931">
        <f t="shared" si="3"/>
        <v>2800</v>
      </c>
      <c r="T19" s="1931">
        <f t="shared" si="4"/>
        <v>429800</v>
      </c>
      <c r="U19" s="1931">
        <f t="shared" si="5"/>
        <v>429800</v>
      </c>
      <c r="V19" s="1931">
        <f t="shared" si="6"/>
        <v>859600</v>
      </c>
      <c r="W19" s="1921">
        <f t="shared" si="7"/>
        <v>35000</v>
      </c>
      <c r="X19" s="1921">
        <f t="shared" si="8"/>
        <v>35000</v>
      </c>
      <c r="Y19" s="1921">
        <f t="shared" si="9"/>
        <v>70000</v>
      </c>
      <c r="Z19" s="2533"/>
    </row>
    <row r="20" spans="2:26">
      <c r="B20" s="2610">
        <v>0.01</v>
      </c>
      <c r="C20" s="2197" t="s">
        <v>967</v>
      </c>
      <c r="D20" s="2199">
        <v>3531</v>
      </c>
      <c r="E20" s="2198">
        <v>3531</v>
      </c>
      <c r="F20" s="1879">
        <f t="shared" si="2"/>
        <v>7062</v>
      </c>
      <c r="H20" s="2569" t="s">
        <v>1254</v>
      </c>
      <c r="I20" s="2569">
        <v>222</v>
      </c>
      <c r="J20" s="1932" t="s">
        <v>120</v>
      </c>
      <c r="K20" s="2571" t="s">
        <v>909</v>
      </c>
      <c r="L20" s="2572">
        <v>31</v>
      </c>
      <c r="M20" s="2573">
        <v>15</v>
      </c>
      <c r="N20" s="1923" t="s">
        <v>241</v>
      </c>
      <c r="O20" s="1922">
        <v>10</v>
      </c>
      <c r="P20" s="2575" t="s">
        <v>910</v>
      </c>
      <c r="Q20" s="2576">
        <v>2100</v>
      </c>
      <c r="R20" s="1928">
        <v>2100</v>
      </c>
      <c r="S20" s="1931">
        <f t="shared" si="3"/>
        <v>4200</v>
      </c>
      <c r="T20" s="1931">
        <f t="shared" si="4"/>
        <v>466200</v>
      </c>
      <c r="U20" s="1931">
        <f t="shared" si="5"/>
        <v>466200</v>
      </c>
      <c r="V20" s="1931">
        <f t="shared" si="6"/>
        <v>932400</v>
      </c>
      <c r="W20" s="1921">
        <f t="shared" si="7"/>
        <v>31500</v>
      </c>
      <c r="X20" s="1921">
        <f t="shared" si="8"/>
        <v>31500</v>
      </c>
      <c r="Y20" s="1921">
        <f t="shared" si="9"/>
        <v>63000</v>
      </c>
      <c r="Z20" s="2533"/>
    </row>
    <row r="21" spans="2:26">
      <c r="B21" s="1908">
        <f>SUM(B16:B20)</f>
        <v>1.9599999999999997</v>
      </c>
      <c r="C21" s="1952"/>
      <c r="D21" s="1954"/>
      <c r="E21" s="1955"/>
      <c r="F21" s="1957"/>
      <c r="H21" s="2569" t="s">
        <v>1255</v>
      </c>
      <c r="I21" s="2569">
        <v>203</v>
      </c>
      <c r="J21" s="1932" t="s">
        <v>120</v>
      </c>
      <c r="K21" s="2571" t="s">
        <v>909</v>
      </c>
      <c r="L21" s="2572">
        <v>70</v>
      </c>
      <c r="M21" s="2573">
        <v>70</v>
      </c>
      <c r="N21" s="1923" t="s">
        <v>241</v>
      </c>
      <c r="O21" s="1922">
        <v>10</v>
      </c>
      <c r="P21" s="2575" t="s">
        <v>910</v>
      </c>
      <c r="Q21" s="2576">
        <v>250</v>
      </c>
      <c r="R21" s="1928">
        <v>250</v>
      </c>
      <c r="S21" s="1931">
        <f t="shared" si="3"/>
        <v>500</v>
      </c>
      <c r="T21" s="1931">
        <f t="shared" si="4"/>
        <v>50750</v>
      </c>
      <c r="U21" s="1931">
        <f t="shared" si="5"/>
        <v>50750</v>
      </c>
      <c r="V21" s="1931">
        <f t="shared" si="6"/>
        <v>101500</v>
      </c>
      <c r="W21" s="1921">
        <f t="shared" si="7"/>
        <v>17500</v>
      </c>
      <c r="X21" s="1921">
        <f t="shared" si="8"/>
        <v>17500</v>
      </c>
      <c r="Y21" s="1921">
        <f t="shared" si="9"/>
        <v>35000</v>
      </c>
      <c r="Z21" s="2533"/>
    </row>
    <row r="22" spans="2:26">
      <c r="B22" s="2177"/>
      <c r="C22" s="2106" t="s">
        <v>47</v>
      </c>
      <c r="D22" s="2158">
        <f>SUM(D23:D26)</f>
        <v>12000</v>
      </c>
      <c r="E22" s="1926">
        <f>SUM(E23:E26)</f>
        <v>12000</v>
      </c>
      <c r="F22" s="2157">
        <f>D22+E22</f>
        <v>24000</v>
      </c>
      <c r="H22" s="2569" t="s">
        <v>1256</v>
      </c>
      <c r="I22" s="2569">
        <v>379</v>
      </c>
      <c r="J22" s="1932" t="s">
        <v>120</v>
      </c>
      <c r="K22" s="2571" t="s">
        <v>909</v>
      </c>
      <c r="L22" s="2572">
        <v>70</v>
      </c>
      <c r="M22" s="2573">
        <v>70</v>
      </c>
      <c r="N22" s="1923" t="s">
        <v>241</v>
      </c>
      <c r="O22" s="1922">
        <v>12</v>
      </c>
      <c r="P22" s="2575" t="s">
        <v>1071</v>
      </c>
      <c r="Q22" s="2576">
        <v>150</v>
      </c>
      <c r="R22" s="1928">
        <v>150</v>
      </c>
      <c r="S22" s="1931">
        <f t="shared" si="3"/>
        <v>300</v>
      </c>
      <c r="T22" s="1931">
        <f t="shared" si="4"/>
        <v>56850</v>
      </c>
      <c r="U22" s="1931">
        <f t="shared" si="5"/>
        <v>56850</v>
      </c>
      <c r="V22" s="1931">
        <f t="shared" si="6"/>
        <v>113700</v>
      </c>
      <c r="W22" s="1921">
        <f t="shared" si="7"/>
        <v>10500</v>
      </c>
      <c r="X22" s="1921">
        <f t="shared" si="8"/>
        <v>10500</v>
      </c>
      <c r="Y22" s="1921">
        <f t="shared" si="9"/>
        <v>21000</v>
      </c>
      <c r="Z22" s="2533"/>
    </row>
    <row r="23" spans="2:26">
      <c r="B23" s="2177"/>
      <c r="C23" s="2197" t="s">
        <v>968</v>
      </c>
      <c r="D23" s="2201">
        <v>12000</v>
      </c>
      <c r="E23" s="2200">
        <v>12000</v>
      </c>
      <c r="F23" s="1879">
        <f t="shared" ref="F23:F26" si="10">SUM(D23:E23)</f>
        <v>24000</v>
      </c>
      <c r="H23" s="2569" t="s">
        <v>1257</v>
      </c>
      <c r="I23" s="2569">
        <v>612668</v>
      </c>
      <c r="J23" s="1932" t="s">
        <v>120</v>
      </c>
      <c r="K23" s="2571" t="s">
        <v>909</v>
      </c>
      <c r="L23" s="2572">
        <v>612668</v>
      </c>
      <c r="M23" s="2573">
        <v>0.3</v>
      </c>
      <c r="N23" s="1923" t="s">
        <v>241</v>
      </c>
      <c r="O23" s="1922">
        <v>12</v>
      </c>
      <c r="P23" s="2575" t="s">
        <v>1071</v>
      </c>
      <c r="Q23" s="2576">
        <v>0.5</v>
      </c>
      <c r="R23" s="1928">
        <v>0.5</v>
      </c>
      <c r="S23" s="1931">
        <f t="shared" si="3"/>
        <v>1</v>
      </c>
      <c r="T23" s="1931">
        <f t="shared" si="4"/>
        <v>306334</v>
      </c>
      <c r="U23" s="1931">
        <f t="shared" si="5"/>
        <v>306334</v>
      </c>
      <c r="V23" s="1931">
        <f t="shared" si="6"/>
        <v>612668</v>
      </c>
      <c r="W23" s="1921">
        <f t="shared" si="7"/>
        <v>0.15</v>
      </c>
      <c r="X23" s="1921">
        <f t="shared" si="8"/>
        <v>0.15</v>
      </c>
      <c r="Y23" s="1921">
        <f t="shared" si="9"/>
        <v>0.3</v>
      </c>
      <c r="Z23" s="2533"/>
    </row>
    <row r="24" spans="2:26">
      <c r="B24" s="2177"/>
      <c r="C24" s="2197"/>
      <c r="D24" s="1900"/>
      <c r="E24" s="1899"/>
      <c r="F24" s="1879">
        <f t="shared" si="10"/>
        <v>0</v>
      </c>
      <c r="H24" s="2569"/>
      <c r="I24" s="2569"/>
      <c r="J24" s="1932"/>
      <c r="K24" s="2571"/>
      <c r="L24" s="2572"/>
      <c r="M24" s="2573"/>
      <c r="N24" s="1923"/>
      <c r="O24" s="1922"/>
      <c r="P24" s="2575"/>
      <c r="Q24" s="2576"/>
      <c r="R24" s="1928"/>
      <c r="S24" s="1931">
        <f t="shared" si="3"/>
        <v>0</v>
      </c>
      <c r="T24" s="1931">
        <f t="shared" si="4"/>
        <v>0</v>
      </c>
      <c r="U24" s="1931">
        <f t="shared" si="5"/>
        <v>0</v>
      </c>
      <c r="V24" s="1931">
        <f t="shared" si="6"/>
        <v>0</v>
      </c>
      <c r="W24" s="1921">
        <f t="shared" si="7"/>
        <v>0</v>
      </c>
      <c r="X24" s="1921">
        <f t="shared" si="8"/>
        <v>0</v>
      </c>
      <c r="Y24" s="1921">
        <f t="shared" si="9"/>
        <v>0</v>
      </c>
      <c r="Z24" s="2533"/>
    </row>
    <row r="25" spans="2:26">
      <c r="B25" s="2177"/>
      <c r="C25" s="2197"/>
      <c r="D25" s="1898"/>
      <c r="E25" s="1897"/>
      <c r="F25" s="1879">
        <f t="shared" si="10"/>
        <v>0</v>
      </c>
      <c r="H25" s="2569"/>
      <c r="I25" s="2569"/>
      <c r="J25" s="1932"/>
      <c r="K25" s="2571"/>
      <c r="L25" s="2572"/>
      <c r="M25" s="2574"/>
      <c r="N25" s="1923"/>
      <c r="O25" s="1922"/>
      <c r="P25" s="2575"/>
      <c r="Q25" s="2576"/>
      <c r="R25" s="1928"/>
      <c r="S25" s="1931">
        <f t="shared" si="3"/>
        <v>0</v>
      </c>
      <c r="T25" s="1931">
        <f t="shared" si="4"/>
        <v>0</v>
      </c>
      <c r="U25" s="1931">
        <f t="shared" si="5"/>
        <v>0</v>
      </c>
      <c r="V25" s="1931">
        <f t="shared" si="6"/>
        <v>0</v>
      </c>
      <c r="W25" s="1921">
        <f t="shared" si="7"/>
        <v>0</v>
      </c>
      <c r="X25" s="1921">
        <f t="shared" si="8"/>
        <v>0</v>
      </c>
      <c r="Y25" s="1921">
        <f t="shared" si="9"/>
        <v>0</v>
      </c>
      <c r="Z25" s="2533"/>
    </row>
    <row r="26" spans="2:26">
      <c r="B26" s="2177"/>
      <c r="C26" s="2197"/>
      <c r="D26" s="1896"/>
      <c r="E26" s="1899"/>
      <c r="F26" s="1879">
        <f t="shared" si="10"/>
        <v>0</v>
      </c>
      <c r="H26" s="2569"/>
      <c r="I26" s="2569"/>
      <c r="J26" s="1932"/>
      <c r="K26" s="2571"/>
      <c r="L26" s="2572"/>
      <c r="M26" s="2573"/>
      <c r="N26" s="1923" t="s">
        <v>241</v>
      </c>
      <c r="O26" s="1922"/>
      <c r="P26" s="2575"/>
      <c r="Q26" s="2576"/>
      <c r="R26" s="1928"/>
      <c r="S26" s="1931">
        <f t="shared" si="3"/>
        <v>0</v>
      </c>
      <c r="T26" s="1931">
        <f t="shared" si="4"/>
        <v>0</v>
      </c>
      <c r="U26" s="1931">
        <f t="shared" si="5"/>
        <v>0</v>
      </c>
      <c r="V26" s="1931">
        <f t="shared" si="6"/>
        <v>0</v>
      </c>
      <c r="W26" s="1921">
        <f t="shared" si="7"/>
        <v>0</v>
      </c>
      <c r="X26" s="1921">
        <f t="shared" si="8"/>
        <v>0</v>
      </c>
      <c r="Y26" s="1921">
        <f t="shared" si="9"/>
        <v>0</v>
      </c>
      <c r="Z26" s="2533"/>
    </row>
    <row r="27" spans="2:26">
      <c r="B27" s="2177"/>
      <c r="C27" s="1877"/>
      <c r="D27" s="1892"/>
      <c r="E27" s="1884"/>
      <c r="F27" s="1892"/>
      <c r="H27" s="2569"/>
      <c r="I27" s="2966"/>
      <c r="J27" s="1932"/>
      <c r="K27" s="2571"/>
      <c r="L27" s="2572"/>
      <c r="M27" s="2573"/>
      <c r="N27" s="1923"/>
      <c r="O27" s="1922"/>
      <c r="P27" s="2575"/>
      <c r="Q27" s="2610"/>
      <c r="R27" s="2927"/>
      <c r="S27" s="1931">
        <f t="shared" si="3"/>
        <v>0</v>
      </c>
      <c r="T27" s="1931">
        <f t="shared" si="4"/>
        <v>0</v>
      </c>
      <c r="U27" s="1931">
        <f t="shared" si="5"/>
        <v>0</v>
      </c>
      <c r="V27" s="1931">
        <f t="shared" si="6"/>
        <v>0</v>
      </c>
      <c r="W27" s="1921">
        <f t="shared" si="7"/>
        <v>0</v>
      </c>
      <c r="X27" s="1921">
        <f t="shared" si="8"/>
        <v>0</v>
      </c>
      <c r="Y27" s="1921">
        <f t="shared" si="9"/>
        <v>0</v>
      </c>
      <c r="Z27" s="2533"/>
    </row>
    <row r="28" spans="2:26">
      <c r="B28" s="2177"/>
      <c r="C28" s="2106" t="s">
        <v>48</v>
      </c>
      <c r="D28" s="2158">
        <f>SUM(D30:D33)</f>
        <v>127417.67700000001</v>
      </c>
      <c r="E28" s="1926">
        <f>SUM(E30:E33)</f>
        <v>129901.08</v>
      </c>
      <c r="F28" s="2157">
        <f>D28+E28</f>
        <v>257318.75700000001</v>
      </c>
      <c r="H28" s="2569"/>
      <c r="I28" s="2570"/>
      <c r="J28" s="1932" t="s">
        <v>241</v>
      </c>
      <c r="K28" s="2571"/>
      <c r="L28" s="2572"/>
      <c r="M28" s="2573"/>
      <c r="N28" s="1923"/>
      <c r="O28" s="1922"/>
      <c r="P28" s="2575"/>
      <c r="Q28" s="2576"/>
      <c r="R28" s="1928"/>
      <c r="S28" s="1931">
        <f t="shared" si="3"/>
        <v>0</v>
      </c>
      <c r="T28" s="1931">
        <f t="shared" si="4"/>
        <v>0</v>
      </c>
      <c r="U28" s="1931">
        <f t="shared" si="5"/>
        <v>0</v>
      </c>
      <c r="V28" s="1931">
        <f t="shared" si="6"/>
        <v>0</v>
      </c>
      <c r="W28" s="1921">
        <f t="shared" si="7"/>
        <v>0</v>
      </c>
      <c r="X28" s="1921">
        <f t="shared" si="8"/>
        <v>0</v>
      </c>
      <c r="Y28" s="1921">
        <f t="shared" si="9"/>
        <v>0</v>
      </c>
      <c r="Z28" s="2533"/>
    </row>
    <row r="29" spans="2:26">
      <c r="B29" s="2177"/>
      <c r="C29" s="1909" t="s">
        <v>315</v>
      </c>
      <c r="D29" s="1912">
        <v>0.66700000000000004</v>
      </c>
      <c r="E29" s="1913">
        <v>0.68</v>
      </c>
      <c r="F29" s="1949"/>
      <c r="H29" s="2569"/>
      <c r="I29" s="2569"/>
      <c r="J29" s="1932" t="s">
        <v>241</v>
      </c>
      <c r="K29" s="2571"/>
      <c r="L29" s="2572"/>
      <c r="M29" s="2573"/>
      <c r="N29" s="1923"/>
      <c r="O29" s="1922"/>
      <c r="P29" s="2575"/>
      <c r="Q29" s="2576"/>
      <c r="R29" s="1928"/>
      <c r="S29" s="1931">
        <f t="shared" si="3"/>
        <v>0</v>
      </c>
      <c r="T29" s="1931">
        <f t="shared" si="4"/>
        <v>0</v>
      </c>
      <c r="U29" s="1931">
        <f t="shared" si="5"/>
        <v>0</v>
      </c>
      <c r="V29" s="1931">
        <f t="shared" si="6"/>
        <v>0</v>
      </c>
      <c r="W29" s="1921">
        <f t="shared" si="7"/>
        <v>0</v>
      </c>
      <c r="X29" s="1921">
        <f t="shared" si="8"/>
        <v>0</v>
      </c>
      <c r="Y29" s="1921">
        <f t="shared" si="9"/>
        <v>0</v>
      </c>
      <c r="Z29" s="2533"/>
    </row>
    <row r="30" spans="2:26">
      <c r="B30" s="2177"/>
      <c r="C30" s="2197" t="s">
        <v>778</v>
      </c>
      <c r="D30" s="2202">
        <f>D15*D29</f>
        <v>119413.67700000001</v>
      </c>
      <c r="E30" s="2163">
        <f>E15*E29</f>
        <v>121741.08</v>
      </c>
      <c r="F30" s="1879">
        <f t="shared" ref="F30:F33" si="11">SUM(D30:E30)</f>
        <v>241154.75700000001</v>
      </c>
      <c r="H30" s="2569"/>
      <c r="I30" s="2569"/>
      <c r="J30" s="1932" t="s">
        <v>241</v>
      </c>
      <c r="K30" s="2571"/>
      <c r="L30" s="2572"/>
      <c r="M30" s="2573"/>
      <c r="N30" s="1923"/>
      <c r="O30" s="1922"/>
      <c r="P30" s="2575"/>
      <c r="Q30" s="2576"/>
      <c r="R30" s="1928"/>
      <c r="S30" s="1931">
        <f t="shared" si="3"/>
        <v>0</v>
      </c>
      <c r="T30" s="1931">
        <f t="shared" si="4"/>
        <v>0</v>
      </c>
      <c r="U30" s="1931">
        <f t="shared" si="5"/>
        <v>0</v>
      </c>
      <c r="V30" s="1931">
        <f t="shared" si="6"/>
        <v>0</v>
      </c>
      <c r="W30" s="1921">
        <f t="shared" si="7"/>
        <v>0</v>
      </c>
      <c r="X30" s="1921">
        <f t="shared" si="8"/>
        <v>0</v>
      </c>
      <c r="Y30" s="1921">
        <f t="shared" si="9"/>
        <v>0</v>
      </c>
      <c r="Z30" s="2533"/>
    </row>
    <row r="31" spans="2:26">
      <c r="B31" s="2177"/>
      <c r="C31" s="2197" t="s">
        <v>779</v>
      </c>
      <c r="D31" s="1973">
        <f>D22*D29</f>
        <v>8004</v>
      </c>
      <c r="E31" s="2163">
        <f>E22*E29</f>
        <v>8160.0000000000009</v>
      </c>
      <c r="F31" s="1879">
        <f t="shared" si="11"/>
        <v>16164</v>
      </c>
      <c r="H31" s="2569"/>
      <c r="I31" s="2569"/>
      <c r="J31" s="1932" t="s">
        <v>241</v>
      </c>
      <c r="K31" s="2571"/>
      <c r="L31" s="2572"/>
      <c r="M31" s="2573"/>
      <c r="N31" s="1923"/>
      <c r="O31" s="1922"/>
      <c r="P31" s="2575"/>
      <c r="Q31" s="2576"/>
      <c r="R31" s="1928"/>
      <c r="S31" s="1931">
        <f t="shared" si="3"/>
        <v>0</v>
      </c>
      <c r="T31" s="1931">
        <f t="shared" si="4"/>
        <v>0</v>
      </c>
      <c r="U31" s="1931">
        <f t="shared" si="5"/>
        <v>0</v>
      </c>
      <c r="V31" s="1931">
        <f t="shared" si="6"/>
        <v>0</v>
      </c>
      <c r="W31" s="1921">
        <f t="shared" si="7"/>
        <v>0</v>
      </c>
      <c r="X31" s="1921">
        <f t="shared" si="8"/>
        <v>0</v>
      </c>
      <c r="Y31" s="1921">
        <f t="shared" si="9"/>
        <v>0</v>
      </c>
      <c r="Z31" s="2533"/>
    </row>
    <row r="32" spans="2:26">
      <c r="B32" s="2177"/>
      <c r="C32" s="1901"/>
      <c r="D32" s="1898"/>
      <c r="E32" s="1897"/>
      <c r="F32" s="1879">
        <f t="shared" si="11"/>
        <v>0</v>
      </c>
      <c r="H32" s="2569"/>
      <c r="I32" s="2568"/>
      <c r="J32" s="1932" t="s">
        <v>241</v>
      </c>
      <c r="K32" s="2571"/>
      <c r="L32" s="2572"/>
      <c r="M32" s="2573"/>
      <c r="N32" s="1923"/>
      <c r="O32" s="1922"/>
      <c r="P32" s="2575"/>
      <c r="Q32" s="2576"/>
      <c r="R32" s="1928"/>
      <c r="S32" s="1931">
        <f t="shared" si="3"/>
        <v>0</v>
      </c>
      <c r="T32" s="1931">
        <f t="shared" si="4"/>
        <v>0</v>
      </c>
      <c r="U32" s="1931">
        <f t="shared" si="5"/>
        <v>0</v>
      </c>
      <c r="V32" s="1931">
        <f t="shared" si="6"/>
        <v>0</v>
      </c>
      <c r="W32" s="1921">
        <f t="shared" si="7"/>
        <v>0</v>
      </c>
      <c r="X32" s="1921">
        <f t="shared" si="8"/>
        <v>0</v>
      </c>
      <c r="Y32" s="1921">
        <f t="shared" si="9"/>
        <v>0</v>
      </c>
      <c r="Z32" s="2533"/>
    </row>
    <row r="33" spans="1:26">
      <c r="B33" s="2177"/>
      <c r="C33" s="1901"/>
      <c r="D33" s="1896"/>
      <c r="E33" s="1899"/>
      <c r="F33" s="1879">
        <f t="shared" si="11"/>
        <v>0</v>
      </c>
      <c r="H33" s="2569"/>
      <c r="I33" s="2568"/>
      <c r="J33" s="1932" t="s">
        <v>241</v>
      </c>
      <c r="K33" s="2571"/>
      <c r="L33" s="2572"/>
      <c r="M33" s="2573"/>
      <c r="N33" s="1923"/>
      <c r="O33" s="1922"/>
      <c r="P33" s="2575"/>
      <c r="Q33" s="2576"/>
      <c r="R33" s="1928"/>
      <c r="S33" s="1931">
        <f t="shared" si="3"/>
        <v>0</v>
      </c>
      <c r="T33" s="1931">
        <f t="shared" si="4"/>
        <v>0</v>
      </c>
      <c r="U33" s="1931">
        <f t="shared" si="5"/>
        <v>0</v>
      </c>
      <c r="V33" s="1931">
        <f t="shared" si="6"/>
        <v>0</v>
      </c>
      <c r="W33" s="1921">
        <f t="shared" si="7"/>
        <v>0</v>
      </c>
      <c r="X33" s="1921">
        <f t="shared" si="8"/>
        <v>0</v>
      </c>
      <c r="Y33" s="1921">
        <f t="shared" si="9"/>
        <v>0</v>
      </c>
      <c r="Z33" s="2533"/>
    </row>
    <row r="34" spans="1:26">
      <c r="B34" s="2177"/>
      <c r="C34" s="1952"/>
      <c r="D34" s="1958"/>
      <c r="E34" s="1955"/>
      <c r="F34" s="1958"/>
      <c r="H34" s="2569"/>
      <c r="I34" s="2568"/>
      <c r="J34" s="1932" t="s">
        <v>241</v>
      </c>
      <c r="K34" s="2571"/>
      <c r="L34" s="2572"/>
      <c r="M34" s="2573"/>
      <c r="N34" s="1923"/>
      <c r="O34" s="1922"/>
      <c r="P34" s="2575"/>
      <c r="Q34" s="2576"/>
      <c r="R34" s="1928"/>
      <c r="S34" s="1931">
        <f t="shared" si="3"/>
        <v>0</v>
      </c>
      <c r="T34" s="1931">
        <f t="shared" si="4"/>
        <v>0</v>
      </c>
      <c r="U34" s="1931">
        <f t="shared" si="5"/>
        <v>0</v>
      </c>
      <c r="V34" s="1931">
        <f t="shared" si="6"/>
        <v>0</v>
      </c>
      <c r="W34" s="1921">
        <f t="shared" si="7"/>
        <v>0</v>
      </c>
      <c r="X34" s="1921">
        <f t="shared" si="8"/>
        <v>0</v>
      </c>
      <c r="Y34" s="1921">
        <f t="shared" si="9"/>
        <v>0</v>
      </c>
      <c r="Z34" s="2533"/>
    </row>
    <row r="35" spans="1:26" ht="25.5">
      <c r="A35" s="1852" t="s">
        <v>298</v>
      </c>
      <c r="B35" s="2177"/>
      <c r="C35" s="2106" t="s">
        <v>49</v>
      </c>
      <c r="D35" s="2158">
        <f>SUM(D36:D39)</f>
        <v>30000</v>
      </c>
      <c r="E35" s="1926">
        <f>SUM(E36:E39)</f>
        <v>30000</v>
      </c>
      <c r="F35" s="2157">
        <f>D35+E35</f>
        <v>60000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c r="A36" s="1808" t="s">
        <v>285</v>
      </c>
      <c r="B36" s="2177"/>
      <c r="C36" s="2197" t="s">
        <v>13</v>
      </c>
      <c r="D36" s="2202">
        <v>30000</v>
      </c>
      <c r="E36" s="2203">
        <v>30000</v>
      </c>
      <c r="F36" s="1879">
        <f t="shared" ref="F36:F39" si="12">SUM(D36:E36)</f>
        <v>60000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52" t="s">
        <v>6</v>
      </c>
      <c r="B37" s="2177"/>
      <c r="C37" s="2197"/>
      <c r="D37" s="2202"/>
      <c r="E37" s="2203"/>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2">
        <v>18230486</v>
      </c>
      <c r="B38" s="2177"/>
      <c r="C38" s="2197"/>
      <c r="D38" s="2202"/>
      <c r="E38" s="2203"/>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2" t="s">
        <v>5</v>
      </c>
      <c r="B39" s="2177"/>
      <c r="C39" s="2197"/>
      <c r="D39" s="2202"/>
      <c r="E39" s="2203"/>
      <c r="F39" s="1879">
        <f t="shared" si="12"/>
        <v>0</v>
      </c>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B40" s="2177"/>
      <c r="C40" s="1952"/>
      <c r="D40" s="1958"/>
      <c r="E40" s="1955"/>
      <c r="F40" s="1958"/>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B41" s="2177"/>
      <c r="C41" s="2106" t="s">
        <v>506</v>
      </c>
      <c r="D41" s="2158">
        <f>SUM(D42:D45)</f>
        <v>4000</v>
      </c>
      <c r="E41" s="1926">
        <f>SUM(E42:E45)</f>
        <v>4000</v>
      </c>
      <c r="F41" s="2157">
        <f>D41+E41</f>
        <v>8000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B42" s="2177"/>
      <c r="C42" s="2197" t="s">
        <v>774</v>
      </c>
      <c r="D42" s="2202">
        <v>4000</v>
      </c>
      <c r="E42" s="2203">
        <v>4000</v>
      </c>
      <c r="F42" s="1879">
        <f t="shared" ref="F42:F45" si="13">SUM(D42:E42)</f>
        <v>8000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B43" s="2177"/>
      <c r="C43" s="2197"/>
      <c r="D43" s="2202"/>
      <c r="E43" s="2203"/>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B44" s="2177"/>
      <c r="C44" s="2197"/>
      <c r="D44" s="2202"/>
      <c r="E44" s="2203"/>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B45" s="2177"/>
      <c r="C45" s="2197"/>
      <c r="D45" s="2202"/>
      <c r="E45" s="2203"/>
      <c r="F45" s="1879">
        <f t="shared" si="13"/>
        <v>0</v>
      </c>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B46" s="2177"/>
      <c r="C46" s="1952"/>
      <c r="D46" s="1958"/>
      <c r="E46" s="1955"/>
      <c r="F46" s="1958"/>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B47" s="2177"/>
      <c r="C47" s="2106" t="s">
        <v>50</v>
      </c>
      <c r="D47" s="2158">
        <f>SUM(D48:D51)</f>
        <v>0</v>
      </c>
      <c r="E47" s="1926">
        <f>SUM(E48:E51)</f>
        <v>0</v>
      </c>
      <c r="F47" s="2157">
        <f>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B48" s="2177"/>
      <c r="C48" s="2197"/>
      <c r="D48" s="2202"/>
      <c r="E48" s="2203"/>
      <c r="F48" s="1879">
        <f t="shared" ref="F48:F51" si="14">SUM(D48:E48)</f>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2:26">
      <c r="B49" s="2177"/>
      <c r="C49" s="2197"/>
      <c r="D49" s="2202"/>
      <c r="E49" s="2203"/>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2:26">
      <c r="B50" s="2177"/>
      <c r="C50" s="2197"/>
      <c r="D50" s="2202"/>
      <c r="E50" s="2203"/>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2:26">
      <c r="B51" s="2177"/>
      <c r="C51" s="2197"/>
      <c r="D51" s="2202"/>
      <c r="E51" s="2203"/>
      <c r="F51" s="1879">
        <f t="shared" si="14"/>
        <v>0</v>
      </c>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2:26">
      <c r="B52" s="2177"/>
      <c r="C52" s="1952"/>
      <c r="D52" s="1958"/>
      <c r="E52" s="1955"/>
      <c r="F52" s="1958"/>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2:26">
      <c r="B53" s="2177"/>
      <c r="C53" s="2106" t="s">
        <v>51</v>
      </c>
      <c r="D53" s="2158">
        <f>SUM(D54:D57)</f>
        <v>500</v>
      </c>
      <c r="E53" s="1926">
        <f>SUM(E54:E57)</f>
        <v>500</v>
      </c>
      <c r="F53" s="2157">
        <f>D53+E53</f>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2:26">
      <c r="B54" s="2177"/>
      <c r="C54" s="2197"/>
      <c r="D54" s="2202">
        <v>500</v>
      </c>
      <c r="E54" s="2163">
        <v>500</v>
      </c>
      <c r="F54" s="1879">
        <f t="shared" ref="F54:F57" si="15">SUM(D54:E54)</f>
        <v>1000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2:26">
      <c r="B55" s="2177"/>
      <c r="C55" s="2197"/>
      <c r="D55" s="2202"/>
      <c r="E55" s="2163"/>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2:26">
      <c r="B56" s="2177"/>
      <c r="C56" s="2197"/>
      <c r="D56" s="2202"/>
      <c r="E56" s="2163"/>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2:26">
      <c r="B57" s="2177"/>
      <c r="C57" s="2197"/>
      <c r="D57" s="2202"/>
      <c r="E57" s="2163"/>
      <c r="F57" s="1879">
        <f t="shared" si="15"/>
        <v>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2:26">
      <c r="B58" s="2177"/>
      <c r="C58" s="1952"/>
      <c r="D58" s="1958"/>
      <c r="E58" s="1955"/>
      <c r="F58" s="1958"/>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2:26">
      <c r="B59" s="2177"/>
      <c r="C59" s="2106" t="s">
        <v>52</v>
      </c>
      <c r="D59" s="2158">
        <f>SUM(D60:D63)</f>
        <v>500</v>
      </c>
      <c r="E59" s="1926">
        <f>SUM(E60:E63)</f>
        <v>500</v>
      </c>
      <c r="F59" s="2157">
        <f>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2:26">
      <c r="B60" s="2177"/>
      <c r="C60" s="2197"/>
      <c r="D60" s="2202">
        <v>500</v>
      </c>
      <c r="E60" s="2203">
        <v>500</v>
      </c>
      <c r="F60" s="1879">
        <f t="shared" ref="F60:F63" si="16">SUM(D60:E60)</f>
        <v>1000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2:26">
      <c r="B61" s="2177"/>
      <c r="C61" s="2197"/>
      <c r="D61" s="2202"/>
      <c r="E61" s="2203"/>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2:26">
      <c r="B62" s="2177"/>
      <c r="C62" s="2197"/>
      <c r="D62" s="2202"/>
      <c r="E62" s="2203"/>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2:26">
      <c r="B63" s="2177"/>
      <c r="C63" s="2197"/>
      <c r="D63" s="2202"/>
      <c r="E63" s="2203"/>
      <c r="F63" s="1879">
        <f t="shared" si="16"/>
        <v>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2:26">
      <c r="B64" s="2177"/>
      <c r="C64" s="1952"/>
      <c r="D64" s="1958"/>
      <c r="E64" s="1955"/>
      <c r="F64" s="1958"/>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ht="25.5">
      <c r="A65" s="1852" t="s">
        <v>298</v>
      </c>
      <c r="B65" s="2177"/>
      <c r="C65" s="2106" t="s">
        <v>53</v>
      </c>
      <c r="D65" s="2158">
        <f>W15</f>
        <v>366454.74</v>
      </c>
      <c r="E65" s="1926">
        <f>X15</f>
        <v>366454.74</v>
      </c>
      <c r="F65" s="2157">
        <f>D65+E65</f>
        <v>732909.48</v>
      </c>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1808" t="s">
        <v>285</v>
      </c>
      <c r="B66" s="2177"/>
      <c r="C66" s="1967" t="s">
        <v>313</v>
      </c>
      <c r="D66" s="2615">
        <f>D65/D12</f>
        <v>0.50903319993548524</v>
      </c>
      <c r="E66" s="2616">
        <f>E65/E12</f>
        <v>0.50728325857329448</v>
      </c>
      <c r="F66" s="1966"/>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2533"/>
    </row>
    <row r="67" spans="1:26">
      <c r="A67" s="1852" t="s">
        <v>6</v>
      </c>
      <c r="B67" s="2177"/>
      <c r="C67" s="1968"/>
      <c r="D67" s="1963"/>
      <c r="E67" s="1964"/>
      <c r="F67" s="1965"/>
    </row>
    <row r="68" spans="1:26">
      <c r="A68" s="1852">
        <v>18230486</v>
      </c>
      <c r="B68" s="2177"/>
      <c r="C68" s="1959" t="s">
        <v>54</v>
      </c>
      <c r="D68" s="2202">
        <v>0</v>
      </c>
      <c r="E68" s="2202">
        <v>0</v>
      </c>
      <c r="F68" s="1956">
        <v>0</v>
      </c>
    </row>
    <row r="69" spans="1:26">
      <c r="A69" s="1852" t="s">
        <v>5</v>
      </c>
    </row>
  </sheetData>
  <customSheetViews>
    <customSheetView guid="{074EB09C-6289-46D7-9513-012B68BCA7BF}" showGridLines="0">
      <pane xSplit="1" ySplit="1" topLeftCell="F2" activePane="bottomRight" state="frozen"/>
      <selection pane="bottomRight" activeCell="C49" sqref="C49"/>
      <pageMargins left="0.17" right="0.17" top="0.35" bottom="0.31" header="0.3" footer="0.3"/>
      <pageSetup paperSize="17" scale="46" orientation="landscape" r:id="rId1"/>
    </customSheetView>
    <customSheetView guid="{D9EFFE19-D14B-4C6F-BDF4-FF696F73968D}" showGridLines="0">
      <pane xSplit="1" ySplit="1" topLeftCell="H2" activePane="bottomRight" state="frozen"/>
      <selection pane="bottomRight" activeCell="L15" sqref="L15:M15"/>
      <pageMargins left="0.17" right="0.17" top="0.35" bottom="0.31"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17" right="0.17" top="0.35" bottom="0.31" header="0.3" footer="0.3"/>
  <pageSetup paperSize="17" scale="46" orientation="landscape" r:id="rId3"/>
  <ignoredErrors>
    <ignoredError sqref="R7" formula="1"/>
  </ignoredError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0497B"/>
  </sheetPr>
  <dimension ref="A1:AE165"/>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28515625" style="1164" customWidth="1"/>
    <col min="2" max="2" width="15.140625" style="1866" customWidth="1"/>
    <col min="3" max="3" width="32.28515625" customWidth="1"/>
    <col min="4" max="4" width="21" customWidth="1"/>
    <col min="5" max="5" width="15.85546875" style="9" customWidth="1"/>
    <col min="6" max="6" width="15.85546875" customWidth="1"/>
    <col min="7" max="7" width="16.7109375" bestFit="1" customWidth="1"/>
    <col min="8" max="8" width="50.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20.85546875" bestFit="1" customWidth="1"/>
    <col min="18" max="18" width="23.42578125" bestFit="1" customWidth="1"/>
    <col min="19" max="19" width="23.28515625" bestFit="1" customWidth="1"/>
    <col min="20" max="20" width="15.5703125" bestFit="1" customWidth="1"/>
    <col min="21" max="21" width="20.5703125" bestFit="1" customWidth="1"/>
    <col min="22" max="22" width="18.28515625" customWidth="1"/>
    <col min="23" max="23" width="14.28515625" customWidth="1"/>
    <col min="24" max="24" width="13.85546875" customWidth="1"/>
    <col min="25" max="25" width="15.28515625" customWidth="1"/>
    <col min="26" max="30" width="15.28515625" style="2177" customWidth="1"/>
    <col min="31" max="31" width="12.5703125" bestFit="1" customWidth="1"/>
    <col min="254" max="254" width="20" customWidth="1"/>
    <col min="255" max="255" width="36.85546875" customWidth="1"/>
    <col min="256" max="256" width="19.7109375" bestFit="1" customWidth="1"/>
    <col min="257" max="257" width="21" customWidth="1"/>
    <col min="258" max="258" width="16.7109375" bestFit="1" customWidth="1"/>
    <col min="259" max="259" width="15" customWidth="1"/>
    <col min="260" max="260" width="15.28515625" bestFit="1" customWidth="1"/>
    <col min="261" max="261" width="14.140625" bestFit="1" customWidth="1"/>
    <col min="262" max="262" width="15.28515625" customWidth="1"/>
    <col min="263" max="263" width="15.85546875" customWidth="1"/>
    <col min="264" max="264" width="17" bestFit="1" customWidth="1"/>
    <col min="265" max="265" width="12.7109375" customWidth="1"/>
    <col min="266" max="266" width="13.7109375" customWidth="1"/>
    <col min="267" max="267" width="13.85546875" bestFit="1" customWidth="1"/>
    <col min="268" max="268" width="20.85546875" bestFit="1" customWidth="1"/>
    <col min="269" max="269" width="23.42578125" bestFit="1" customWidth="1"/>
    <col min="270" max="270" width="23.28515625" bestFit="1" customWidth="1"/>
    <col min="271" max="271" width="15.5703125" bestFit="1" customWidth="1"/>
    <col min="272" max="272" width="20.5703125" bestFit="1" customWidth="1"/>
    <col min="273" max="273" width="18.28515625"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0" customWidth="1"/>
    <col min="511" max="511" width="36.85546875" customWidth="1"/>
    <col min="512" max="512" width="19.7109375" bestFit="1" customWidth="1"/>
    <col min="513" max="513" width="21" customWidth="1"/>
    <col min="514" max="514" width="16.7109375" bestFit="1" customWidth="1"/>
    <col min="515" max="515" width="15" customWidth="1"/>
    <col min="516" max="516" width="15.28515625" bestFit="1" customWidth="1"/>
    <col min="517" max="517" width="14.140625" bestFit="1" customWidth="1"/>
    <col min="518" max="518" width="15.28515625" customWidth="1"/>
    <col min="519" max="519" width="15.85546875" customWidth="1"/>
    <col min="520" max="520" width="17" bestFit="1" customWidth="1"/>
    <col min="521" max="521" width="12.7109375" customWidth="1"/>
    <col min="522" max="522" width="13.7109375" customWidth="1"/>
    <col min="523" max="523" width="13.85546875" bestFit="1" customWidth="1"/>
    <col min="524" max="524" width="20.85546875" bestFit="1" customWidth="1"/>
    <col min="525" max="525" width="23.42578125" bestFit="1" customWidth="1"/>
    <col min="526" max="526" width="23.28515625" bestFit="1" customWidth="1"/>
    <col min="527" max="527" width="15.5703125" bestFit="1" customWidth="1"/>
    <col min="528" max="528" width="20.5703125" bestFit="1" customWidth="1"/>
    <col min="529" max="529" width="18.28515625"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0" customWidth="1"/>
    <col min="767" max="767" width="36.85546875" customWidth="1"/>
    <col min="768" max="768" width="19.7109375" bestFit="1" customWidth="1"/>
    <col min="769" max="769" width="21" customWidth="1"/>
    <col min="770" max="770" width="16.7109375" bestFit="1" customWidth="1"/>
    <col min="771" max="771" width="15" customWidth="1"/>
    <col min="772" max="772" width="15.28515625" bestFit="1" customWidth="1"/>
    <col min="773" max="773" width="14.140625" bestFit="1" customWidth="1"/>
    <col min="774" max="774" width="15.28515625" customWidth="1"/>
    <col min="775" max="775" width="15.85546875" customWidth="1"/>
    <col min="776" max="776" width="17" bestFit="1" customWidth="1"/>
    <col min="777" max="777" width="12.7109375" customWidth="1"/>
    <col min="778" max="778" width="13.7109375" customWidth="1"/>
    <col min="779" max="779" width="13.85546875" bestFit="1" customWidth="1"/>
    <col min="780" max="780" width="20.85546875" bestFit="1" customWidth="1"/>
    <col min="781" max="781" width="23.42578125" bestFit="1" customWidth="1"/>
    <col min="782" max="782" width="23.28515625" bestFit="1" customWidth="1"/>
    <col min="783" max="783" width="15.5703125" bestFit="1" customWidth="1"/>
    <col min="784" max="784" width="20.5703125" bestFit="1" customWidth="1"/>
    <col min="785" max="785" width="18.28515625"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0" customWidth="1"/>
    <col min="1023" max="1023" width="36.85546875" customWidth="1"/>
    <col min="1024" max="1024" width="19.7109375" bestFit="1" customWidth="1"/>
    <col min="1025" max="1025" width="21" customWidth="1"/>
    <col min="1026" max="1026" width="16.7109375" bestFit="1" customWidth="1"/>
    <col min="1027" max="1027" width="15" customWidth="1"/>
    <col min="1028" max="1028" width="15.28515625" bestFit="1" customWidth="1"/>
    <col min="1029" max="1029" width="14.140625" bestFit="1" customWidth="1"/>
    <col min="1030" max="1030" width="15.28515625" customWidth="1"/>
    <col min="1031" max="1031" width="15.85546875" customWidth="1"/>
    <col min="1032" max="1032" width="17" bestFit="1" customWidth="1"/>
    <col min="1033" max="1033" width="12.7109375" customWidth="1"/>
    <col min="1034" max="1034" width="13.7109375" customWidth="1"/>
    <col min="1035" max="1035" width="13.85546875" bestFit="1" customWidth="1"/>
    <col min="1036" max="1036" width="20.85546875" bestFit="1" customWidth="1"/>
    <col min="1037" max="1037" width="23.42578125" bestFit="1" customWidth="1"/>
    <col min="1038" max="1038" width="23.28515625" bestFit="1" customWidth="1"/>
    <col min="1039" max="1039" width="15.5703125" bestFit="1" customWidth="1"/>
    <col min="1040" max="1040" width="20.5703125" bestFit="1" customWidth="1"/>
    <col min="1041" max="1041" width="18.28515625"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0" customWidth="1"/>
    <col min="1279" max="1279" width="36.85546875" customWidth="1"/>
    <col min="1280" max="1280" width="19.7109375" bestFit="1" customWidth="1"/>
    <col min="1281" max="1281" width="21" customWidth="1"/>
    <col min="1282" max="1282" width="16.7109375" bestFit="1" customWidth="1"/>
    <col min="1283" max="1283" width="15" customWidth="1"/>
    <col min="1284" max="1284" width="15.28515625" bestFit="1" customWidth="1"/>
    <col min="1285" max="1285" width="14.140625" bestFit="1" customWidth="1"/>
    <col min="1286" max="1286" width="15.28515625" customWidth="1"/>
    <col min="1287" max="1287" width="15.85546875" customWidth="1"/>
    <col min="1288" max="1288" width="17" bestFit="1" customWidth="1"/>
    <col min="1289" max="1289" width="12.7109375" customWidth="1"/>
    <col min="1290" max="1290" width="13.7109375" customWidth="1"/>
    <col min="1291" max="1291" width="13.85546875" bestFit="1" customWidth="1"/>
    <col min="1292" max="1292" width="20.85546875" bestFit="1" customWidth="1"/>
    <col min="1293" max="1293" width="23.42578125" bestFit="1" customWidth="1"/>
    <col min="1294" max="1294" width="23.28515625" bestFit="1" customWidth="1"/>
    <col min="1295" max="1295" width="15.5703125" bestFit="1" customWidth="1"/>
    <col min="1296" max="1296" width="20.5703125" bestFit="1" customWidth="1"/>
    <col min="1297" max="1297" width="18.28515625"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0" customWidth="1"/>
    <col min="1535" max="1535" width="36.85546875" customWidth="1"/>
    <col min="1536" max="1536" width="19.7109375" bestFit="1" customWidth="1"/>
    <col min="1537" max="1537" width="21" customWidth="1"/>
    <col min="1538" max="1538" width="16.7109375" bestFit="1" customWidth="1"/>
    <col min="1539" max="1539" width="15" customWidth="1"/>
    <col min="1540" max="1540" width="15.28515625" bestFit="1" customWidth="1"/>
    <col min="1541" max="1541" width="14.140625" bestFit="1" customWidth="1"/>
    <col min="1542" max="1542" width="15.28515625" customWidth="1"/>
    <col min="1543" max="1543" width="15.85546875" customWidth="1"/>
    <col min="1544" max="1544" width="17" bestFit="1" customWidth="1"/>
    <col min="1545" max="1545" width="12.7109375" customWidth="1"/>
    <col min="1546" max="1546" width="13.7109375" customWidth="1"/>
    <col min="1547" max="1547" width="13.85546875" bestFit="1" customWidth="1"/>
    <col min="1548" max="1548" width="20.85546875" bestFit="1" customWidth="1"/>
    <col min="1549" max="1549" width="23.42578125" bestFit="1" customWidth="1"/>
    <col min="1550" max="1550" width="23.28515625" bestFit="1" customWidth="1"/>
    <col min="1551" max="1551" width="15.5703125" bestFit="1" customWidth="1"/>
    <col min="1552" max="1552" width="20.5703125" bestFit="1" customWidth="1"/>
    <col min="1553" max="1553" width="18.28515625"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0" customWidth="1"/>
    <col min="1791" max="1791" width="36.85546875" customWidth="1"/>
    <col min="1792" max="1792" width="19.7109375" bestFit="1" customWidth="1"/>
    <col min="1793" max="1793" width="21" customWidth="1"/>
    <col min="1794" max="1794" width="16.7109375" bestFit="1" customWidth="1"/>
    <col min="1795" max="1795" width="15" customWidth="1"/>
    <col min="1796" max="1796" width="15.28515625" bestFit="1" customWidth="1"/>
    <col min="1797" max="1797" width="14.140625" bestFit="1" customWidth="1"/>
    <col min="1798" max="1798" width="15.28515625" customWidth="1"/>
    <col min="1799" max="1799" width="15.85546875" customWidth="1"/>
    <col min="1800" max="1800" width="17" bestFit="1" customWidth="1"/>
    <col min="1801" max="1801" width="12.7109375" customWidth="1"/>
    <col min="1802" max="1802" width="13.7109375" customWidth="1"/>
    <col min="1803" max="1803" width="13.85546875" bestFit="1" customWidth="1"/>
    <col min="1804" max="1804" width="20.85546875" bestFit="1" customWidth="1"/>
    <col min="1805" max="1805" width="23.42578125" bestFit="1" customWidth="1"/>
    <col min="1806" max="1806" width="23.28515625" bestFit="1" customWidth="1"/>
    <col min="1807" max="1807" width="15.5703125" bestFit="1" customWidth="1"/>
    <col min="1808" max="1808" width="20.5703125" bestFit="1" customWidth="1"/>
    <col min="1809" max="1809" width="18.28515625"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0" customWidth="1"/>
    <col min="2047" max="2047" width="36.85546875" customWidth="1"/>
    <col min="2048" max="2048" width="19.7109375" bestFit="1" customWidth="1"/>
    <col min="2049" max="2049" width="21" customWidth="1"/>
    <col min="2050" max="2050" width="16.7109375" bestFit="1" customWidth="1"/>
    <col min="2051" max="2051" width="15" customWidth="1"/>
    <col min="2052" max="2052" width="15.28515625" bestFit="1" customWidth="1"/>
    <col min="2053" max="2053" width="14.140625" bestFit="1" customWidth="1"/>
    <col min="2054" max="2054" width="15.28515625" customWidth="1"/>
    <col min="2055" max="2055" width="15.85546875" customWidth="1"/>
    <col min="2056" max="2056" width="17" bestFit="1" customWidth="1"/>
    <col min="2057" max="2057" width="12.7109375" customWidth="1"/>
    <col min="2058" max="2058" width="13.7109375" customWidth="1"/>
    <col min="2059" max="2059" width="13.85546875" bestFit="1" customWidth="1"/>
    <col min="2060" max="2060" width="20.85546875" bestFit="1" customWidth="1"/>
    <col min="2061" max="2061" width="23.42578125" bestFit="1" customWidth="1"/>
    <col min="2062" max="2062" width="23.28515625" bestFit="1" customWidth="1"/>
    <col min="2063" max="2063" width="15.5703125" bestFit="1" customWidth="1"/>
    <col min="2064" max="2064" width="20.5703125" bestFit="1" customWidth="1"/>
    <col min="2065" max="2065" width="18.28515625"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0" customWidth="1"/>
    <col min="2303" max="2303" width="36.85546875" customWidth="1"/>
    <col min="2304" max="2304" width="19.7109375" bestFit="1" customWidth="1"/>
    <col min="2305" max="2305" width="21" customWidth="1"/>
    <col min="2306" max="2306" width="16.7109375" bestFit="1" customWidth="1"/>
    <col min="2307" max="2307" width="15" customWidth="1"/>
    <col min="2308" max="2308" width="15.28515625" bestFit="1" customWidth="1"/>
    <col min="2309" max="2309" width="14.140625" bestFit="1" customWidth="1"/>
    <col min="2310" max="2310" width="15.28515625" customWidth="1"/>
    <col min="2311" max="2311" width="15.85546875" customWidth="1"/>
    <col min="2312" max="2312" width="17" bestFit="1" customWidth="1"/>
    <col min="2313" max="2313" width="12.7109375" customWidth="1"/>
    <col min="2314" max="2314" width="13.7109375" customWidth="1"/>
    <col min="2315" max="2315" width="13.85546875" bestFit="1" customWidth="1"/>
    <col min="2316" max="2316" width="20.85546875" bestFit="1" customWidth="1"/>
    <col min="2317" max="2317" width="23.42578125" bestFit="1" customWidth="1"/>
    <col min="2318" max="2318" width="23.28515625" bestFit="1" customWidth="1"/>
    <col min="2319" max="2319" width="15.5703125" bestFit="1" customWidth="1"/>
    <col min="2320" max="2320" width="20.5703125" bestFit="1" customWidth="1"/>
    <col min="2321" max="2321" width="18.28515625"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0" customWidth="1"/>
    <col min="2559" max="2559" width="36.85546875" customWidth="1"/>
    <col min="2560" max="2560" width="19.7109375" bestFit="1" customWidth="1"/>
    <col min="2561" max="2561" width="21" customWidth="1"/>
    <col min="2562" max="2562" width="16.7109375" bestFit="1" customWidth="1"/>
    <col min="2563" max="2563" width="15" customWidth="1"/>
    <col min="2564" max="2564" width="15.28515625" bestFit="1" customWidth="1"/>
    <col min="2565" max="2565" width="14.140625" bestFit="1" customWidth="1"/>
    <col min="2566" max="2566" width="15.28515625" customWidth="1"/>
    <col min="2567" max="2567" width="15.85546875" customWidth="1"/>
    <col min="2568" max="2568" width="17" bestFit="1" customWidth="1"/>
    <col min="2569" max="2569" width="12.7109375" customWidth="1"/>
    <col min="2570" max="2570" width="13.7109375" customWidth="1"/>
    <col min="2571" max="2571" width="13.85546875" bestFit="1" customWidth="1"/>
    <col min="2572" max="2572" width="20.85546875" bestFit="1" customWidth="1"/>
    <col min="2573" max="2573" width="23.42578125" bestFit="1" customWidth="1"/>
    <col min="2574" max="2574" width="23.28515625" bestFit="1" customWidth="1"/>
    <col min="2575" max="2575" width="15.5703125" bestFit="1" customWidth="1"/>
    <col min="2576" max="2576" width="20.5703125" bestFit="1" customWidth="1"/>
    <col min="2577" max="2577" width="18.28515625"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0" customWidth="1"/>
    <col min="2815" max="2815" width="36.85546875" customWidth="1"/>
    <col min="2816" max="2816" width="19.7109375" bestFit="1" customWidth="1"/>
    <col min="2817" max="2817" width="21" customWidth="1"/>
    <col min="2818" max="2818" width="16.7109375" bestFit="1" customWidth="1"/>
    <col min="2819" max="2819" width="15" customWidth="1"/>
    <col min="2820" max="2820" width="15.28515625" bestFit="1" customWidth="1"/>
    <col min="2821" max="2821" width="14.140625" bestFit="1" customWidth="1"/>
    <col min="2822" max="2822" width="15.28515625" customWidth="1"/>
    <col min="2823" max="2823" width="15.85546875" customWidth="1"/>
    <col min="2824" max="2824" width="17" bestFit="1" customWidth="1"/>
    <col min="2825" max="2825" width="12.7109375" customWidth="1"/>
    <col min="2826" max="2826" width="13.7109375" customWidth="1"/>
    <col min="2827" max="2827" width="13.85546875" bestFit="1" customWidth="1"/>
    <col min="2828" max="2828" width="20.85546875" bestFit="1" customWidth="1"/>
    <col min="2829" max="2829" width="23.42578125" bestFit="1" customWidth="1"/>
    <col min="2830" max="2830" width="23.28515625" bestFit="1" customWidth="1"/>
    <col min="2831" max="2831" width="15.5703125" bestFit="1" customWidth="1"/>
    <col min="2832" max="2832" width="20.5703125" bestFit="1" customWidth="1"/>
    <col min="2833" max="2833" width="18.28515625"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0" customWidth="1"/>
    <col min="3071" max="3071" width="36.85546875" customWidth="1"/>
    <col min="3072" max="3072" width="19.7109375" bestFit="1" customWidth="1"/>
    <col min="3073" max="3073" width="21" customWidth="1"/>
    <col min="3074" max="3074" width="16.7109375" bestFit="1" customWidth="1"/>
    <col min="3075" max="3075" width="15" customWidth="1"/>
    <col min="3076" max="3076" width="15.28515625" bestFit="1" customWidth="1"/>
    <col min="3077" max="3077" width="14.140625" bestFit="1" customWidth="1"/>
    <col min="3078" max="3078" width="15.28515625" customWidth="1"/>
    <col min="3079" max="3079" width="15.85546875" customWidth="1"/>
    <col min="3080" max="3080" width="17" bestFit="1" customWidth="1"/>
    <col min="3081" max="3081" width="12.7109375" customWidth="1"/>
    <col min="3082" max="3082" width="13.7109375" customWidth="1"/>
    <col min="3083" max="3083" width="13.85546875" bestFit="1" customWidth="1"/>
    <col min="3084" max="3084" width="20.85546875" bestFit="1" customWidth="1"/>
    <col min="3085" max="3085" width="23.42578125" bestFit="1" customWidth="1"/>
    <col min="3086" max="3086" width="23.28515625" bestFit="1" customWidth="1"/>
    <col min="3087" max="3087" width="15.5703125" bestFit="1" customWidth="1"/>
    <col min="3088" max="3088" width="20.5703125" bestFit="1" customWidth="1"/>
    <col min="3089" max="3089" width="18.28515625"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0" customWidth="1"/>
    <col min="3327" max="3327" width="36.85546875" customWidth="1"/>
    <col min="3328" max="3328" width="19.7109375" bestFit="1" customWidth="1"/>
    <col min="3329" max="3329" width="21" customWidth="1"/>
    <col min="3330" max="3330" width="16.7109375" bestFit="1" customWidth="1"/>
    <col min="3331" max="3331" width="15" customWidth="1"/>
    <col min="3332" max="3332" width="15.28515625" bestFit="1" customWidth="1"/>
    <col min="3333" max="3333" width="14.140625" bestFit="1" customWidth="1"/>
    <col min="3334" max="3334" width="15.28515625" customWidth="1"/>
    <col min="3335" max="3335" width="15.85546875" customWidth="1"/>
    <col min="3336" max="3336" width="17" bestFit="1" customWidth="1"/>
    <col min="3337" max="3337" width="12.7109375" customWidth="1"/>
    <col min="3338" max="3338" width="13.7109375" customWidth="1"/>
    <col min="3339" max="3339" width="13.85546875" bestFit="1" customWidth="1"/>
    <col min="3340" max="3340" width="20.85546875" bestFit="1" customWidth="1"/>
    <col min="3341" max="3341" width="23.42578125" bestFit="1" customWidth="1"/>
    <col min="3342" max="3342" width="23.28515625" bestFit="1" customWidth="1"/>
    <col min="3343" max="3343" width="15.5703125" bestFit="1" customWidth="1"/>
    <col min="3344" max="3344" width="20.5703125" bestFit="1" customWidth="1"/>
    <col min="3345" max="3345" width="18.28515625"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0" customWidth="1"/>
    <col min="3583" max="3583" width="36.85546875" customWidth="1"/>
    <col min="3584" max="3584" width="19.7109375" bestFit="1" customWidth="1"/>
    <col min="3585" max="3585" width="21" customWidth="1"/>
    <col min="3586" max="3586" width="16.7109375" bestFit="1" customWidth="1"/>
    <col min="3587" max="3587" width="15" customWidth="1"/>
    <col min="3588" max="3588" width="15.28515625" bestFit="1" customWidth="1"/>
    <col min="3589" max="3589" width="14.140625" bestFit="1" customWidth="1"/>
    <col min="3590" max="3590" width="15.28515625" customWidth="1"/>
    <col min="3591" max="3591" width="15.85546875" customWidth="1"/>
    <col min="3592" max="3592" width="17" bestFit="1" customWidth="1"/>
    <col min="3593" max="3593" width="12.7109375" customWidth="1"/>
    <col min="3594" max="3594" width="13.7109375" customWidth="1"/>
    <col min="3595" max="3595" width="13.85546875" bestFit="1" customWidth="1"/>
    <col min="3596" max="3596" width="20.85546875" bestFit="1" customWidth="1"/>
    <col min="3597" max="3597" width="23.42578125" bestFit="1" customWidth="1"/>
    <col min="3598" max="3598" width="23.28515625" bestFit="1" customWidth="1"/>
    <col min="3599" max="3599" width="15.5703125" bestFit="1" customWidth="1"/>
    <col min="3600" max="3600" width="20.5703125" bestFit="1" customWidth="1"/>
    <col min="3601" max="3601" width="18.28515625"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0" customWidth="1"/>
    <col min="3839" max="3839" width="36.85546875" customWidth="1"/>
    <col min="3840" max="3840" width="19.7109375" bestFit="1" customWidth="1"/>
    <col min="3841" max="3841" width="21" customWidth="1"/>
    <col min="3842" max="3842" width="16.7109375" bestFit="1" customWidth="1"/>
    <col min="3843" max="3843" width="15" customWidth="1"/>
    <col min="3844" max="3844" width="15.28515625" bestFit="1" customWidth="1"/>
    <col min="3845" max="3845" width="14.140625" bestFit="1" customWidth="1"/>
    <col min="3846" max="3846" width="15.28515625" customWidth="1"/>
    <col min="3847" max="3847" width="15.85546875" customWidth="1"/>
    <col min="3848" max="3848" width="17" bestFit="1" customWidth="1"/>
    <col min="3849" max="3849" width="12.7109375" customWidth="1"/>
    <col min="3850" max="3850" width="13.7109375" customWidth="1"/>
    <col min="3851" max="3851" width="13.85546875" bestFit="1" customWidth="1"/>
    <col min="3852" max="3852" width="20.85546875" bestFit="1" customWidth="1"/>
    <col min="3853" max="3853" width="23.42578125" bestFit="1" customWidth="1"/>
    <col min="3854" max="3854" width="23.28515625" bestFit="1" customWidth="1"/>
    <col min="3855" max="3855" width="15.5703125" bestFit="1" customWidth="1"/>
    <col min="3856" max="3856" width="20.5703125" bestFit="1" customWidth="1"/>
    <col min="3857" max="3857" width="18.28515625"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0" customWidth="1"/>
    <col min="4095" max="4095" width="36.85546875" customWidth="1"/>
    <col min="4096" max="4096" width="19.7109375" bestFit="1" customWidth="1"/>
    <col min="4097" max="4097" width="21" customWidth="1"/>
    <col min="4098" max="4098" width="16.7109375" bestFit="1" customWidth="1"/>
    <col min="4099" max="4099" width="15" customWidth="1"/>
    <col min="4100" max="4100" width="15.28515625" bestFit="1" customWidth="1"/>
    <col min="4101" max="4101" width="14.140625" bestFit="1" customWidth="1"/>
    <col min="4102" max="4102" width="15.28515625" customWidth="1"/>
    <col min="4103" max="4103" width="15.85546875" customWidth="1"/>
    <col min="4104" max="4104" width="17" bestFit="1" customWidth="1"/>
    <col min="4105" max="4105" width="12.7109375" customWidth="1"/>
    <col min="4106" max="4106" width="13.7109375" customWidth="1"/>
    <col min="4107" max="4107" width="13.85546875" bestFit="1" customWidth="1"/>
    <col min="4108" max="4108" width="20.85546875" bestFit="1" customWidth="1"/>
    <col min="4109" max="4109" width="23.42578125" bestFit="1" customWidth="1"/>
    <col min="4110" max="4110" width="23.28515625" bestFit="1" customWidth="1"/>
    <col min="4111" max="4111" width="15.5703125" bestFit="1" customWidth="1"/>
    <col min="4112" max="4112" width="20.5703125" bestFit="1" customWidth="1"/>
    <col min="4113" max="4113" width="18.28515625"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0" customWidth="1"/>
    <col min="4351" max="4351" width="36.85546875" customWidth="1"/>
    <col min="4352" max="4352" width="19.7109375" bestFit="1" customWidth="1"/>
    <col min="4353" max="4353" width="21" customWidth="1"/>
    <col min="4354" max="4354" width="16.7109375" bestFit="1" customWidth="1"/>
    <col min="4355" max="4355" width="15" customWidth="1"/>
    <col min="4356" max="4356" width="15.28515625" bestFit="1" customWidth="1"/>
    <col min="4357" max="4357" width="14.140625" bestFit="1" customWidth="1"/>
    <col min="4358" max="4358" width="15.28515625" customWidth="1"/>
    <col min="4359" max="4359" width="15.85546875" customWidth="1"/>
    <col min="4360" max="4360" width="17" bestFit="1" customWidth="1"/>
    <col min="4361" max="4361" width="12.7109375" customWidth="1"/>
    <col min="4362" max="4362" width="13.7109375" customWidth="1"/>
    <col min="4363" max="4363" width="13.85546875" bestFit="1" customWidth="1"/>
    <col min="4364" max="4364" width="20.85546875" bestFit="1" customWidth="1"/>
    <col min="4365" max="4365" width="23.42578125" bestFit="1" customWidth="1"/>
    <col min="4366" max="4366" width="23.28515625" bestFit="1" customWidth="1"/>
    <col min="4367" max="4367" width="15.5703125" bestFit="1" customWidth="1"/>
    <col min="4368" max="4368" width="20.5703125" bestFit="1" customWidth="1"/>
    <col min="4369" max="4369" width="18.28515625"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0" customWidth="1"/>
    <col min="4607" max="4607" width="36.85546875" customWidth="1"/>
    <col min="4608" max="4608" width="19.7109375" bestFit="1" customWidth="1"/>
    <col min="4609" max="4609" width="21" customWidth="1"/>
    <col min="4610" max="4610" width="16.7109375" bestFit="1" customWidth="1"/>
    <col min="4611" max="4611" width="15" customWidth="1"/>
    <col min="4612" max="4612" width="15.28515625" bestFit="1" customWidth="1"/>
    <col min="4613" max="4613" width="14.140625" bestFit="1" customWidth="1"/>
    <col min="4614" max="4614" width="15.28515625" customWidth="1"/>
    <col min="4615" max="4615" width="15.85546875" customWidth="1"/>
    <col min="4616" max="4616" width="17" bestFit="1" customWidth="1"/>
    <col min="4617" max="4617" width="12.7109375" customWidth="1"/>
    <col min="4618" max="4618" width="13.7109375" customWidth="1"/>
    <col min="4619" max="4619" width="13.85546875" bestFit="1" customWidth="1"/>
    <col min="4620" max="4620" width="20.85546875" bestFit="1" customWidth="1"/>
    <col min="4621" max="4621" width="23.42578125" bestFit="1" customWidth="1"/>
    <col min="4622" max="4622" width="23.28515625" bestFit="1" customWidth="1"/>
    <col min="4623" max="4623" width="15.5703125" bestFit="1" customWidth="1"/>
    <col min="4624" max="4624" width="20.5703125" bestFit="1" customWidth="1"/>
    <col min="4625" max="4625" width="18.28515625"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0" customWidth="1"/>
    <col min="4863" max="4863" width="36.85546875" customWidth="1"/>
    <col min="4864" max="4864" width="19.7109375" bestFit="1" customWidth="1"/>
    <col min="4865" max="4865" width="21" customWidth="1"/>
    <col min="4866" max="4866" width="16.7109375" bestFit="1" customWidth="1"/>
    <col min="4867" max="4867" width="15" customWidth="1"/>
    <col min="4868" max="4868" width="15.28515625" bestFit="1" customWidth="1"/>
    <col min="4869" max="4869" width="14.140625" bestFit="1" customWidth="1"/>
    <col min="4870" max="4870" width="15.28515625" customWidth="1"/>
    <col min="4871" max="4871" width="15.85546875" customWidth="1"/>
    <col min="4872" max="4872" width="17" bestFit="1" customWidth="1"/>
    <col min="4873" max="4873" width="12.7109375" customWidth="1"/>
    <col min="4874" max="4874" width="13.7109375" customWidth="1"/>
    <col min="4875" max="4875" width="13.85546875" bestFit="1" customWidth="1"/>
    <col min="4876" max="4876" width="20.85546875" bestFit="1" customWidth="1"/>
    <col min="4877" max="4877" width="23.42578125" bestFit="1" customWidth="1"/>
    <col min="4878" max="4878" width="23.28515625" bestFit="1" customWidth="1"/>
    <col min="4879" max="4879" width="15.5703125" bestFit="1" customWidth="1"/>
    <col min="4880" max="4880" width="20.5703125" bestFit="1" customWidth="1"/>
    <col min="4881" max="4881" width="18.28515625"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0" customWidth="1"/>
    <col min="5119" max="5119" width="36.85546875" customWidth="1"/>
    <col min="5120" max="5120" width="19.7109375" bestFit="1" customWidth="1"/>
    <col min="5121" max="5121" width="21" customWidth="1"/>
    <col min="5122" max="5122" width="16.7109375" bestFit="1" customWidth="1"/>
    <col min="5123" max="5123" width="15" customWidth="1"/>
    <col min="5124" max="5124" width="15.28515625" bestFit="1" customWidth="1"/>
    <col min="5125" max="5125" width="14.140625" bestFit="1" customWidth="1"/>
    <col min="5126" max="5126" width="15.28515625" customWidth="1"/>
    <col min="5127" max="5127" width="15.85546875" customWidth="1"/>
    <col min="5128" max="5128" width="17" bestFit="1" customWidth="1"/>
    <col min="5129" max="5129" width="12.7109375" customWidth="1"/>
    <col min="5130" max="5130" width="13.7109375" customWidth="1"/>
    <col min="5131" max="5131" width="13.85546875" bestFit="1" customWidth="1"/>
    <col min="5132" max="5132" width="20.85546875" bestFit="1" customWidth="1"/>
    <col min="5133" max="5133" width="23.42578125" bestFit="1" customWidth="1"/>
    <col min="5134" max="5134" width="23.28515625" bestFit="1" customWidth="1"/>
    <col min="5135" max="5135" width="15.5703125" bestFit="1" customWidth="1"/>
    <col min="5136" max="5136" width="20.5703125" bestFit="1" customWidth="1"/>
    <col min="5137" max="5137" width="18.28515625"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0" customWidth="1"/>
    <col min="5375" max="5375" width="36.85546875" customWidth="1"/>
    <col min="5376" max="5376" width="19.7109375" bestFit="1" customWidth="1"/>
    <col min="5377" max="5377" width="21" customWidth="1"/>
    <col min="5378" max="5378" width="16.7109375" bestFit="1" customWidth="1"/>
    <col min="5379" max="5379" width="15" customWidth="1"/>
    <col min="5380" max="5380" width="15.28515625" bestFit="1" customWidth="1"/>
    <col min="5381" max="5381" width="14.140625" bestFit="1" customWidth="1"/>
    <col min="5382" max="5382" width="15.28515625" customWidth="1"/>
    <col min="5383" max="5383" width="15.85546875" customWidth="1"/>
    <col min="5384" max="5384" width="17" bestFit="1" customWidth="1"/>
    <col min="5385" max="5385" width="12.7109375" customWidth="1"/>
    <col min="5386" max="5386" width="13.7109375" customWidth="1"/>
    <col min="5387" max="5387" width="13.85546875" bestFit="1" customWidth="1"/>
    <col min="5388" max="5388" width="20.85546875" bestFit="1" customWidth="1"/>
    <col min="5389" max="5389" width="23.42578125" bestFit="1" customWidth="1"/>
    <col min="5390" max="5390" width="23.28515625" bestFit="1" customWidth="1"/>
    <col min="5391" max="5391" width="15.5703125" bestFit="1" customWidth="1"/>
    <col min="5392" max="5392" width="20.5703125" bestFit="1" customWidth="1"/>
    <col min="5393" max="5393" width="18.28515625"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0" customWidth="1"/>
    <col min="5631" max="5631" width="36.85546875" customWidth="1"/>
    <col min="5632" max="5632" width="19.7109375" bestFit="1" customWidth="1"/>
    <col min="5633" max="5633" width="21" customWidth="1"/>
    <col min="5634" max="5634" width="16.7109375" bestFit="1" customWidth="1"/>
    <col min="5635" max="5635" width="15" customWidth="1"/>
    <col min="5636" max="5636" width="15.28515625" bestFit="1" customWidth="1"/>
    <col min="5637" max="5637" width="14.140625" bestFit="1" customWidth="1"/>
    <col min="5638" max="5638" width="15.28515625" customWidth="1"/>
    <col min="5639" max="5639" width="15.85546875" customWidth="1"/>
    <col min="5640" max="5640" width="17" bestFit="1" customWidth="1"/>
    <col min="5641" max="5641" width="12.7109375" customWidth="1"/>
    <col min="5642" max="5642" width="13.7109375" customWidth="1"/>
    <col min="5643" max="5643" width="13.85546875" bestFit="1" customWidth="1"/>
    <col min="5644" max="5644" width="20.85546875" bestFit="1" customWidth="1"/>
    <col min="5645" max="5645" width="23.42578125" bestFit="1" customWidth="1"/>
    <col min="5646" max="5646" width="23.28515625" bestFit="1" customWidth="1"/>
    <col min="5647" max="5647" width="15.5703125" bestFit="1" customWidth="1"/>
    <col min="5648" max="5648" width="20.5703125" bestFit="1" customWidth="1"/>
    <col min="5649" max="5649" width="18.28515625"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0" customWidth="1"/>
    <col min="5887" max="5887" width="36.85546875" customWidth="1"/>
    <col min="5888" max="5888" width="19.7109375" bestFit="1" customWidth="1"/>
    <col min="5889" max="5889" width="21" customWidth="1"/>
    <col min="5890" max="5890" width="16.7109375" bestFit="1" customWidth="1"/>
    <col min="5891" max="5891" width="15" customWidth="1"/>
    <col min="5892" max="5892" width="15.28515625" bestFit="1" customWidth="1"/>
    <col min="5893" max="5893" width="14.140625" bestFit="1" customWidth="1"/>
    <col min="5894" max="5894" width="15.28515625" customWidth="1"/>
    <col min="5895" max="5895" width="15.85546875" customWidth="1"/>
    <col min="5896" max="5896" width="17" bestFit="1" customWidth="1"/>
    <col min="5897" max="5897" width="12.7109375" customWidth="1"/>
    <col min="5898" max="5898" width="13.7109375" customWidth="1"/>
    <col min="5899" max="5899" width="13.85546875" bestFit="1" customWidth="1"/>
    <col min="5900" max="5900" width="20.85546875" bestFit="1" customWidth="1"/>
    <col min="5901" max="5901" width="23.42578125" bestFit="1" customWidth="1"/>
    <col min="5902" max="5902" width="23.28515625" bestFit="1" customWidth="1"/>
    <col min="5903" max="5903" width="15.5703125" bestFit="1" customWidth="1"/>
    <col min="5904" max="5904" width="20.5703125" bestFit="1" customWidth="1"/>
    <col min="5905" max="5905" width="18.28515625"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0" customWidth="1"/>
    <col min="6143" max="6143" width="36.85546875" customWidth="1"/>
    <col min="6144" max="6144" width="19.7109375" bestFit="1" customWidth="1"/>
    <col min="6145" max="6145" width="21" customWidth="1"/>
    <col min="6146" max="6146" width="16.7109375" bestFit="1" customWidth="1"/>
    <col min="6147" max="6147" width="15" customWidth="1"/>
    <col min="6148" max="6148" width="15.28515625" bestFit="1" customWidth="1"/>
    <col min="6149" max="6149" width="14.140625" bestFit="1" customWidth="1"/>
    <col min="6150" max="6150" width="15.28515625" customWidth="1"/>
    <col min="6151" max="6151" width="15.85546875" customWidth="1"/>
    <col min="6152" max="6152" width="17" bestFit="1" customWidth="1"/>
    <col min="6153" max="6153" width="12.7109375" customWidth="1"/>
    <col min="6154" max="6154" width="13.7109375" customWidth="1"/>
    <col min="6155" max="6155" width="13.85546875" bestFit="1" customWidth="1"/>
    <col min="6156" max="6156" width="20.85546875" bestFit="1" customWidth="1"/>
    <col min="6157" max="6157" width="23.42578125" bestFit="1" customWidth="1"/>
    <col min="6158" max="6158" width="23.28515625" bestFit="1" customWidth="1"/>
    <col min="6159" max="6159" width="15.5703125" bestFit="1" customWidth="1"/>
    <col min="6160" max="6160" width="20.5703125" bestFit="1" customWidth="1"/>
    <col min="6161" max="6161" width="18.28515625"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0" customWidth="1"/>
    <col min="6399" max="6399" width="36.85546875" customWidth="1"/>
    <col min="6400" max="6400" width="19.7109375" bestFit="1" customWidth="1"/>
    <col min="6401" max="6401" width="21" customWidth="1"/>
    <col min="6402" max="6402" width="16.7109375" bestFit="1" customWidth="1"/>
    <col min="6403" max="6403" width="15" customWidth="1"/>
    <col min="6404" max="6404" width="15.28515625" bestFit="1" customWidth="1"/>
    <col min="6405" max="6405" width="14.140625" bestFit="1" customWidth="1"/>
    <col min="6406" max="6406" width="15.28515625" customWidth="1"/>
    <col min="6407" max="6407" width="15.85546875" customWidth="1"/>
    <col min="6408" max="6408" width="17" bestFit="1" customWidth="1"/>
    <col min="6409" max="6409" width="12.7109375" customWidth="1"/>
    <col min="6410" max="6410" width="13.7109375" customWidth="1"/>
    <col min="6411" max="6411" width="13.85546875" bestFit="1" customWidth="1"/>
    <col min="6412" max="6412" width="20.85546875" bestFit="1" customWidth="1"/>
    <col min="6413" max="6413" width="23.42578125" bestFit="1" customWidth="1"/>
    <col min="6414" max="6414" width="23.28515625" bestFit="1" customWidth="1"/>
    <col min="6415" max="6415" width="15.5703125" bestFit="1" customWidth="1"/>
    <col min="6416" max="6416" width="20.5703125" bestFit="1" customWidth="1"/>
    <col min="6417" max="6417" width="18.28515625"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0" customWidth="1"/>
    <col min="6655" max="6655" width="36.85546875" customWidth="1"/>
    <col min="6656" max="6656" width="19.7109375" bestFit="1" customWidth="1"/>
    <col min="6657" max="6657" width="21" customWidth="1"/>
    <col min="6658" max="6658" width="16.7109375" bestFit="1" customWidth="1"/>
    <col min="6659" max="6659" width="15" customWidth="1"/>
    <col min="6660" max="6660" width="15.28515625" bestFit="1" customWidth="1"/>
    <col min="6661" max="6661" width="14.140625" bestFit="1" customWidth="1"/>
    <col min="6662" max="6662" width="15.28515625" customWidth="1"/>
    <col min="6663" max="6663" width="15.85546875" customWidth="1"/>
    <col min="6664" max="6664" width="17" bestFit="1" customWidth="1"/>
    <col min="6665" max="6665" width="12.7109375" customWidth="1"/>
    <col min="6666" max="6666" width="13.7109375" customWidth="1"/>
    <col min="6667" max="6667" width="13.85546875" bestFit="1" customWidth="1"/>
    <col min="6668" max="6668" width="20.85546875" bestFit="1" customWidth="1"/>
    <col min="6669" max="6669" width="23.42578125" bestFit="1" customWidth="1"/>
    <col min="6670" max="6670" width="23.28515625" bestFit="1" customWidth="1"/>
    <col min="6671" max="6671" width="15.5703125" bestFit="1" customWidth="1"/>
    <col min="6672" max="6672" width="20.5703125" bestFit="1" customWidth="1"/>
    <col min="6673" max="6673" width="18.28515625"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0" customWidth="1"/>
    <col min="6911" max="6911" width="36.85546875" customWidth="1"/>
    <col min="6912" max="6912" width="19.7109375" bestFit="1" customWidth="1"/>
    <col min="6913" max="6913" width="21" customWidth="1"/>
    <col min="6914" max="6914" width="16.7109375" bestFit="1" customWidth="1"/>
    <col min="6915" max="6915" width="15" customWidth="1"/>
    <col min="6916" max="6916" width="15.28515625" bestFit="1" customWidth="1"/>
    <col min="6917" max="6917" width="14.140625" bestFit="1" customWidth="1"/>
    <col min="6918" max="6918" width="15.28515625" customWidth="1"/>
    <col min="6919" max="6919" width="15.85546875" customWidth="1"/>
    <col min="6920" max="6920" width="17" bestFit="1" customWidth="1"/>
    <col min="6921" max="6921" width="12.7109375" customWidth="1"/>
    <col min="6922" max="6922" width="13.7109375" customWidth="1"/>
    <col min="6923" max="6923" width="13.85546875" bestFit="1" customWidth="1"/>
    <col min="6924" max="6924" width="20.85546875" bestFit="1" customWidth="1"/>
    <col min="6925" max="6925" width="23.42578125" bestFit="1" customWidth="1"/>
    <col min="6926" max="6926" width="23.28515625" bestFit="1" customWidth="1"/>
    <col min="6927" max="6927" width="15.5703125" bestFit="1" customWidth="1"/>
    <col min="6928" max="6928" width="20.5703125" bestFit="1" customWidth="1"/>
    <col min="6929" max="6929" width="18.28515625"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0" customWidth="1"/>
    <col min="7167" max="7167" width="36.85546875" customWidth="1"/>
    <col min="7168" max="7168" width="19.7109375" bestFit="1" customWidth="1"/>
    <col min="7169" max="7169" width="21" customWidth="1"/>
    <col min="7170" max="7170" width="16.7109375" bestFit="1" customWidth="1"/>
    <col min="7171" max="7171" width="15" customWidth="1"/>
    <col min="7172" max="7172" width="15.28515625" bestFit="1" customWidth="1"/>
    <col min="7173" max="7173" width="14.140625" bestFit="1" customWidth="1"/>
    <col min="7174" max="7174" width="15.28515625" customWidth="1"/>
    <col min="7175" max="7175" width="15.85546875" customWidth="1"/>
    <col min="7176" max="7176" width="17" bestFit="1" customWidth="1"/>
    <col min="7177" max="7177" width="12.7109375" customWidth="1"/>
    <col min="7178" max="7178" width="13.7109375" customWidth="1"/>
    <col min="7179" max="7179" width="13.85546875" bestFit="1" customWidth="1"/>
    <col min="7180" max="7180" width="20.85546875" bestFit="1" customWidth="1"/>
    <col min="7181" max="7181" width="23.42578125" bestFit="1" customWidth="1"/>
    <col min="7182" max="7182" width="23.28515625" bestFit="1" customWidth="1"/>
    <col min="7183" max="7183" width="15.5703125" bestFit="1" customWidth="1"/>
    <col min="7184" max="7184" width="20.5703125" bestFit="1" customWidth="1"/>
    <col min="7185" max="7185" width="18.28515625"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0" customWidth="1"/>
    <col min="7423" max="7423" width="36.85546875" customWidth="1"/>
    <col min="7424" max="7424" width="19.7109375" bestFit="1" customWidth="1"/>
    <col min="7425" max="7425" width="21" customWidth="1"/>
    <col min="7426" max="7426" width="16.7109375" bestFit="1" customWidth="1"/>
    <col min="7427" max="7427" width="15" customWidth="1"/>
    <col min="7428" max="7428" width="15.28515625" bestFit="1" customWidth="1"/>
    <col min="7429" max="7429" width="14.140625" bestFit="1" customWidth="1"/>
    <col min="7430" max="7430" width="15.28515625" customWidth="1"/>
    <col min="7431" max="7431" width="15.85546875" customWidth="1"/>
    <col min="7432" max="7432" width="17" bestFit="1" customWidth="1"/>
    <col min="7433" max="7433" width="12.7109375" customWidth="1"/>
    <col min="7434" max="7434" width="13.7109375" customWidth="1"/>
    <col min="7435" max="7435" width="13.85546875" bestFit="1" customWidth="1"/>
    <col min="7436" max="7436" width="20.85546875" bestFit="1" customWidth="1"/>
    <col min="7437" max="7437" width="23.42578125" bestFit="1" customWidth="1"/>
    <col min="7438" max="7438" width="23.28515625" bestFit="1" customWidth="1"/>
    <col min="7439" max="7439" width="15.5703125" bestFit="1" customWidth="1"/>
    <col min="7440" max="7440" width="20.5703125" bestFit="1" customWidth="1"/>
    <col min="7441" max="7441" width="18.28515625"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0" customWidth="1"/>
    <col min="7679" max="7679" width="36.85546875" customWidth="1"/>
    <col min="7680" max="7680" width="19.7109375" bestFit="1" customWidth="1"/>
    <col min="7681" max="7681" width="21" customWidth="1"/>
    <col min="7682" max="7682" width="16.7109375" bestFit="1" customWidth="1"/>
    <col min="7683" max="7683" width="15" customWidth="1"/>
    <col min="7684" max="7684" width="15.28515625" bestFit="1" customWidth="1"/>
    <col min="7685" max="7685" width="14.140625" bestFit="1" customWidth="1"/>
    <col min="7686" max="7686" width="15.28515625" customWidth="1"/>
    <col min="7687" max="7687" width="15.85546875" customWidth="1"/>
    <col min="7688" max="7688" width="17" bestFit="1" customWidth="1"/>
    <col min="7689" max="7689" width="12.7109375" customWidth="1"/>
    <col min="7690" max="7690" width="13.7109375" customWidth="1"/>
    <col min="7691" max="7691" width="13.85546875" bestFit="1" customWidth="1"/>
    <col min="7692" max="7692" width="20.85546875" bestFit="1" customWidth="1"/>
    <col min="7693" max="7693" width="23.42578125" bestFit="1" customWidth="1"/>
    <col min="7694" max="7694" width="23.28515625" bestFit="1" customWidth="1"/>
    <col min="7695" max="7695" width="15.5703125" bestFit="1" customWidth="1"/>
    <col min="7696" max="7696" width="20.5703125" bestFit="1" customWidth="1"/>
    <col min="7697" max="7697" width="18.28515625"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0" customWidth="1"/>
    <col min="7935" max="7935" width="36.85546875" customWidth="1"/>
    <col min="7936" max="7936" width="19.7109375" bestFit="1" customWidth="1"/>
    <col min="7937" max="7937" width="21" customWidth="1"/>
    <col min="7938" max="7938" width="16.7109375" bestFit="1" customWidth="1"/>
    <col min="7939" max="7939" width="15" customWidth="1"/>
    <col min="7940" max="7940" width="15.28515625" bestFit="1" customWidth="1"/>
    <col min="7941" max="7941" width="14.140625" bestFit="1" customWidth="1"/>
    <col min="7942" max="7942" width="15.28515625" customWidth="1"/>
    <col min="7943" max="7943" width="15.85546875" customWidth="1"/>
    <col min="7944" max="7944" width="17" bestFit="1" customWidth="1"/>
    <col min="7945" max="7945" width="12.7109375" customWidth="1"/>
    <col min="7946" max="7946" width="13.7109375" customWidth="1"/>
    <col min="7947" max="7947" width="13.85546875" bestFit="1" customWidth="1"/>
    <col min="7948" max="7948" width="20.85546875" bestFit="1" customWidth="1"/>
    <col min="7949" max="7949" width="23.42578125" bestFit="1" customWidth="1"/>
    <col min="7950" max="7950" width="23.28515625" bestFit="1" customWidth="1"/>
    <col min="7951" max="7951" width="15.5703125" bestFit="1" customWidth="1"/>
    <col min="7952" max="7952" width="20.5703125" bestFit="1" customWidth="1"/>
    <col min="7953" max="7953" width="18.28515625"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0" customWidth="1"/>
    <col min="8191" max="8191" width="36.85546875" customWidth="1"/>
    <col min="8192" max="8192" width="19.7109375" bestFit="1" customWidth="1"/>
    <col min="8193" max="8193" width="21" customWidth="1"/>
    <col min="8194" max="8194" width="16.7109375" bestFit="1" customWidth="1"/>
    <col min="8195" max="8195" width="15" customWidth="1"/>
    <col min="8196" max="8196" width="15.28515625" bestFit="1" customWidth="1"/>
    <col min="8197" max="8197" width="14.140625" bestFit="1" customWidth="1"/>
    <col min="8198" max="8198" width="15.28515625" customWidth="1"/>
    <col min="8199" max="8199" width="15.85546875" customWidth="1"/>
    <col min="8200" max="8200" width="17" bestFit="1" customWidth="1"/>
    <col min="8201" max="8201" width="12.7109375" customWidth="1"/>
    <col min="8202" max="8202" width="13.7109375" customWidth="1"/>
    <col min="8203" max="8203" width="13.85546875" bestFit="1" customWidth="1"/>
    <col min="8204" max="8204" width="20.85546875" bestFit="1" customWidth="1"/>
    <col min="8205" max="8205" width="23.42578125" bestFit="1" customWidth="1"/>
    <col min="8206" max="8206" width="23.28515625" bestFit="1" customWidth="1"/>
    <col min="8207" max="8207" width="15.5703125" bestFit="1" customWidth="1"/>
    <col min="8208" max="8208" width="20.5703125" bestFit="1" customWidth="1"/>
    <col min="8209" max="8209" width="18.28515625"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0" customWidth="1"/>
    <col min="8447" max="8447" width="36.85546875" customWidth="1"/>
    <col min="8448" max="8448" width="19.7109375" bestFit="1" customWidth="1"/>
    <col min="8449" max="8449" width="21" customWidth="1"/>
    <col min="8450" max="8450" width="16.7109375" bestFit="1" customWidth="1"/>
    <col min="8451" max="8451" width="15" customWidth="1"/>
    <col min="8452" max="8452" width="15.28515625" bestFit="1" customWidth="1"/>
    <col min="8453" max="8453" width="14.140625" bestFit="1" customWidth="1"/>
    <col min="8454" max="8454" width="15.28515625" customWidth="1"/>
    <col min="8455" max="8455" width="15.85546875" customWidth="1"/>
    <col min="8456" max="8456" width="17" bestFit="1" customWidth="1"/>
    <col min="8457" max="8457" width="12.7109375" customWidth="1"/>
    <col min="8458" max="8458" width="13.7109375" customWidth="1"/>
    <col min="8459" max="8459" width="13.85546875" bestFit="1" customWidth="1"/>
    <col min="8460" max="8460" width="20.85546875" bestFit="1" customWidth="1"/>
    <col min="8461" max="8461" width="23.42578125" bestFit="1" customWidth="1"/>
    <col min="8462" max="8462" width="23.28515625" bestFit="1" customWidth="1"/>
    <col min="8463" max="8463" width="15.5703125" bestFit="1" customWidth="1"/>
    <col min="8464" max="8464" width="20.5703125" bestFit="1" customWidth="1"/>
    <col min="8465" max="8465" width="18.28515625"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0" customWidth="1"/>
    <col min="8703" max="8703" width="36.85546875" customWidth="1"/>
    <col min="8704" max="8704" width="19.7109375" bestFit="1" customWidth="1"/>
    <col min="8705" max="8705" width="21" customWidth="1"/>
    <col min="8706" max="8706" width="16.7109375" bestFit="1" customWidth="1"/>
    <col min="8707" max="8707" width="15" customWidth="1"/>
    <col min="8708" max="8708" width="15.28515625" bestFit="1" customWidth="1"/>
    <col min="8709" max="8709" width="14.140625" bestFit="1" customWidth="1"/>
    <col min="8710" max="8710" width="15.28515625" customWidth="1"/>
    <col min="8711" max="8711" width="15.85546875" customWidth="1"/>
    <col min="8712" max="8712" width="17" bestFit="1" customWidth="1"/>
    <col min="8713" max="8713" width="12.7109375" customWidth="1"/>
    <col min="8714" max="8714" width="13.7109375" customWidth="1"/>
    <col min="8715" max="8715" width="13.85546875" bestFit="1" customWidth="1"/>
    <col min="8716" max="8716" width="20.85546875" bestFit="1" customWidth="1"/>
    <col min="8717" max="8717" width="23.42578125" bestFit="1" customWidth="1"/>
    <col min="8718" max="8718" width="23.28515625" bestFit="1" customWidth="1"/>
    <col min="8719" max="8719" width="15.5703125" bestFit="1" customWidth="1"/>
    <col min="8720" max="8720" width="20.5703125" bestFit="1" customWidth="1"/>
    <col min="8721" max="8721" width="18.28515625"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0" customWidth="1"/>
    <col min="8959" max="8959" width="36.85546875" customWidth="1"/>
    <col min="8960" max="8960" width="19.7109375" bestFit="1" customWidth="1"/>
    <col min="8961" max="8961" width="21" customWidth="1"/>
    <col min="8962" max="8962" width="16.7109375" bestFit="1" customWidth="1"/>
    <col min="8963" max="8963" width="15" customWidth="1"/>
    <col min="8964" max="8964" width="15.28515625" bestFit="1" customWidth="1"/>
    <col min="8965" max="8965" width="14.140625" bestFit="1" customWidth="1"/>
    <col min="8966" max="8966" width="15.28515625" customWidth="1"/>
    <col min="8967" max="8967" width="15.85546875" customWidth="1"/>
    <col min="8968" max="8968" width="17" bestFit="1" customWidth="1"/>
    <col min="8969" max="8969" width="12.7109375" customWidth="1"/>
    <col min="8970" max="8970" width="13.7109375" customWidth="1"/>
    <col min="8971" max="8971" width="13.85546875" bestFit="1" customWidth="1"/>
    <col min="8972" max="8972" width="20.85546875" bestFit="1" customWidth="1"/>
    <col min="8973" max="8973" width="23.42578125" bestFit="1" customWidth="1"/>
    <col min="8974" max="8974" width="23.28515625" bestFit="1" customWidth="1"/>
    <col min="8975" max="8975" width="15.5703125" bestFit="1" customWidth="1"/>
    <col min="8976" max="8976" width="20.5703125" bestFit="1" customWidth="1"/>
    <col min="8977" max="8977" width="18.28515625"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0" customWidth="1"/>
    <col min="9215" max="9215" width="36.85546875" customWidth="1"/>
    <col min="9216" max="9216" width="19.7109375" bestFit="1" customWidth="1"/>
    <col min="9217" max="9217" width="21" customWidth="1"/>
    <col min="9218" max="9218" width="16.7109375" bestFit="1" customWidth="1"/>
    <col min="9219" max="9219" width="15" customWidth="1"/>
    <col min="9220" max="9220" width="15.28515625" bestFit="1" customWidth="1"/>
    <col min="9221" max="9221" width="14.140625" bestFit="1" customWidth="1"/>
    <col min="9222" max="9222" width="15.28515625" customWidth="1"/>
    <col min="9223" max="9223" width="15.85546875" customWidth="1"/>
    <col min="9224" max="9224" width="17" bestFit="1" customWidth="1"/>
    <col min="9225" max="9225" width="12.7109375" customWidth="1"/>
    <col min="9226" max="9226" width="13.7109375" customWidth="1"/>
    <col min="9227" max="9227" width="13.85546875" bestFit="1" customWidth="1"/>
    <col min="9228" max="9228" width="20.85546875" bestFit="1" customWidth="1"/>
    <col min="9229" max="9229" width="23.42578125" bestFit="1" customWidth="1"/>
    <col min="9230" max="9230" width="23.28515625" bestFit="1" customWidth="1"/>
    <col min="9231" max="9231" width="15.5703125" bestFit="1" customWidth="1"/>
    <col min="9232" max="9232" width="20.5703125" bestFit="1" customWidth="1"/>
    <col min="9233" max="9233" width="18.28515625"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0" customWidth="1"/>
    <col min="9471" max="9471" width="36.85546875" customWidth="1"/>
    <col min="9472" max="9472" width="19.7109375" bestFit="1" customWidth="1"/>
    <col min="9473" max="9473" width="21" customWidth="1"/>
    <col min="9474" max="9474" width="16.7109375" bestFit="1" customWidth="1"/>
    <col min="9475" max="9475" width="15" customWidth="1"/>
    <col min="9476" max="9476" width="15.28515625" bestFit="1" customWidth="1"/>
    <col min="9477" max="9477" width="14.140625" bestFit="1" customWidth="1"/>
    <col min="9478" max="9478" width="15.28515625" customWidth="1"/>
    <col min="9479" max="9479" width="15.85546875" customWidth="1"/>
    <col min="9480" max="9480" width="17" bestFit="1" customWidth="1"/>
    <col min="9481" max="9481" width="12.7109375" customWidth="1"/>
    <col min="9482" max="9482" width="13.7109375" customWidth="1"/>
    <col min="9483" max="9483" width="13.85546875" bestFit="1" customWidth="1"/>
    <col min="9484" max="9484" width="20.85546875" bestFit="1" customWidth="1"/>
    <col min="9485" max="9485" width="23.42578125" bestFit="1" customWidth="1"/>
    <col min="9486" max="9486" width="23.28515625" bestFit="1" customWidth="1"/>
    <col min="9487" max="9487" width="15.5703125" bestFit="1" customWidth="1"/>
    <col min="9488" max="9488" width="20.5703125" bestFit="1" customWidth="1"/>
    <col min="9489" max="9489" width="18.28515625"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0" customWidth="1"/>
    <col min="9727" max="9727" width="36.85546875" customWidth="1"/>
    <col min="9728" max="9728" width="19.7109375" bestFit="1" customWidth="1"/>
    <col min="9729" max="9729" width="21" customWidth="1"/>
    <col min="9730" max="9730" width="16.7109375" bestFit="1" customWidth="1"/>
    <col min="9731" max="9731" width="15" customWidth="1"/>
    <col min="9732" max="9732" width="15.28515625" bestFit="1" customWidth="1"/>
    <col min="9733" max="9733" width="14.140625" bestFit="1" customWidth="1"/>
    <col min="9734" max="9734" width="15.28515625" customWidth="1"/>
    <col min="9735" max="9735" width="15.85546875" customWidth="1"/>
    <col min="9736" max="9736" width="17" bestFit="1" customWidth="1"/>
    <col min="9737" max="9737" width="12.7109375" customWidth="1"/>
    <col min="9738" max="9738" width="13.7109375" customWidth="1"/>
    <col min="9739" max="9739" width="13.85546875" bestFit="1" customWidth="1"/>
    <col min="9740" max="9740" width="20.85546875" bestFit="1" customWidth="1"/>
    <col min="9741" max="9741" width="23.42578125" bestFit="1" customWidth="1"/>
    <col min="9742" max="9742" width="23.28515625" bestFit="1" customWidth="1"/>
    <col min="9743" max="9743" width="15.5703125" bestFit="1" customWidth="1"/>
    <col min="9744" max="9744" width="20.5703125" bestFit="1" customWidth="1"/>
    <col min="9745" max="9745" width="18.28515625"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0" customWidth="1"/>
    <col min="9983" max="9983" width="36.85546875" customWidth="1"/>
    <col min="9984" max="9984" width="19.7109375" bestFit="1" customWidth="1"/>
    <col min="9985" max="9985" width="21" customWidth="1"/>
    <col min="9986" max="9986" width="16.7109375" bestFit="1" customWidth="1"/>
    <col min="9987" max="9987" width="15" customWidth="1"/>
    <col min="9988" max="9988" width="15.28515625" bestFit="1" customWidth="1"/>
    <col min="9989" max="9989" width="14.140625" bestFit="1" customWidth="1"/>
    <col min="9990" max="9990" width="15.28515625" customWidth="1"/>
    <col min="9991" max="9991" width="15.85546875" customWidth="1"/>
    <col min="9992" max="9992" width="17" bestFit="1" customWidth="1"/>
    <col min="9993" max="9993" width="12.7109375" customWidth="1"/>
    <col min="9994" max="9994" width="13.7109375" customWidth="1"/>
    <col min="9995" max="9995" width="13.85546875" bestFit="1" customWidth="1"/>
    <col min="9996" max="9996" width="20.85546875" bestFit="1" customWidth="1"/>
    <col min="9997" max="9997" width="23.42578125" bestFit="1" customWidth="1"/>
    <col min="9998" max="9998" width="23.28515625" bestFit="1" customWidth="1"/>
    <col min="9999" max="9999" width="15.5703125" bestFit="1" customWidth="1"/>
    <col min="10000" max="10000" width="20.5703125" bestFit="1" customWidth="1"/>
    <col min="10001" max="10001" width="18.28515625"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0" customWidth="1"/>
    <col min="10239" max="10239" width="36.85546875" customWidth="1"/>
    <col min="10240" max="10240" width="19.7109375" bestFit="1" customWidth="1"/>
    <col min="10241" max="10241" width="21" customWidth="1"/>
    <col min="10242" max="10242" width="16.7109375" bestFit="1" customWidth="1"/>
    <col min="10243" max="10243" width="15" customWidth="1"/>
    <col min="10244" max="10244" width="15.28515625" bestFit="1" customWidth="1"/>
    <col min="10245" max="10245" width="14.140625" bestFit="1" customWidth="1"/>
    <col min="10246" max="10246" width="15.28515625" customWidth="1"/>
    <col min="10247" max="10247" width="15.85546875" customWidth="1"/>
    <col min="10248" max="10248" width="17" bestFit="1" customWidth="1"/>
    <col min="10249" max="10249" width="12.7109375" customWidth="1"/>
    <col min="10250" max="10250" width="13.7109375" customWidth="1"/>
    <col min="10251" max="10251" width="13.85546875" bestFit="1" customWidth="1"/>
    <col min="10252" max="10252" width="20.85546875" bestFit="1" customWidth="1"/>
    <col min="10253" max="10253" width="23.42578125" bestFit="1" customWidth="1"/>
    <col min="10254" max="10254" width="23.28515625" bestFit="1" customWidth="1"/>
    <col min="10255" max="10255" width="15.5703125" bestFit="1" customWidth="1"/>
    <col min="10256" max="10256" width="20.5703125" bestFit="1" customWidth="1"/>
    <col min="10257" max="10257" width="18.28515625"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0" customWidth="1"/>
    <col min="10495" max="10495" width="36.85546875" customWidth="1"/>
    <col min="10496" max="10496" width="19.7109375" bestFit="1" customWidth="1"/>
    <col min="10497" max="10497" width="21" customWidth="1"/>
    <col min="10498" max="10498" width="16.7109375" bestFit="1" customWidth="1"/>
    <col min="10499" max="10499" width="15" customWidth="1"/>
    <col min="10500" max="10500" width="15.28515625" bestFit="1" customWidth="1"/>
    <col min="10501" max="10501" width="14.140625" bestFit="1" customWidth="1"/>
    <col min="10502" max="10502" width="15.28515625" customWidth="1"/>
    <col min="10503" max="10503" width="15.85546875" customWidth="1"/>
    <col min="10504" max="10504" width="17" bestFit="1" customWidth="1"/>
    <col min="10505" max="10505" width="12.7109375" customWidth="1"/>
    <col min="10506" max="10506" width="13.7109375" customWidth="1"/>
    <col min="10507" max="10507" width="13.85546875" bestFit="1" customWidth="1"/>
    <col min="10508" max="10508" width="20.85546875" bestFit="1" customWidth="1"/>
    <col min="10509" max="10509" width="23.42578125" bestFit="1" customWidth="1"/>
    <col min="10510" max="10510" width="23.28515625" bestFit="1" customWidth="1"/>
    <col min="10511" max="10511" width="15.5703125" bestFit="1" customWidth="1"/>
    <col min="10512" max="10512" width="20.5703125" bestFit="1" customWidth="1"/>
    <col min="10513" max="10513" width="18.28515625"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0" customWidth="1"/>
    <col min="10751" max="10751" width="36.85546875" customWidth="1"/>
    <col min="10752" max="10752" width="19.7109375" bestFit="1" customWidth="1"/>
    <col min="10753" max="10753" width="21" customWidth="1"/>
    <col min="10754" max="10754" width="16.7109375" bestFit="1" customWidth="1"/>
    <col min="10755" max="10755" width="15" customWidth="1"/>
    <col min="10756" max="10756" width="15.28515625" bestFit="1" customWidth="1"/>
    <col min="10757" max="10757" width="14.140625" bestFit="1" customWidth="1"/>
    <col min="10758" max="10758" width="15.28515625" customWidth="1"/>
    <col min="10759" max="10759" width="15.85546875" customWidth="1"/>
    <col min="10760" max="10760" width="17" bestFit="1" customWidth="1"/>
    <col min="10761" max="10761" width="12.7109375" customWidth="1"/>
    <col min="10762" max="10762" width="13.7109375" customWidth="1"/>
    <col min="10763" max="10763" width="13.85546875" bestFit="1" customWidth="1"/>
    <col min="10764" max="10764" width="20.85546875" bestFit="1" customWidth="1"/>
    <col min="10765" max="10765" width="23.42578125" bestFit="1" customWidth="1"/>
    <col min="10766" max="10766" width="23.28515625" bestFit="1" customWidth="1"/>
    <col min="10767" max="10767" width="15.5703125" bestFit="1" customWidth="1"/>
    <col min="10768" max="10768" width="20.5703125" bestFit="1" customWidth="1"/>
    <col min="10769" max="10769" width="18.28515625"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0" customWidth="1"/>
    <col min="11007" max="11007" width="36.85546875" customWidth="1"/>
    <col min="11008" max="11008" width="19.7109375" bestFit="1" customWidth="1"/>
    <col min="11009" max="11009" width="21" customWidth="1"/>
    <col min="11010" max="11010" width="16.7109375" bestFit="1" customWidth="1"/>
    <col min="11011" max="11011" width="15" customWidth="1"/>
    <col min="11012" max="11012" width="15.28515625" bestFit="1" customWidth="1"/>
    <col min="11013" max="11013" width="14.140625" bestFit="1" customWidth="1"/>
    <col min="11014" max="11014" width="15.28515625" customWidth="1"/>
    <col min="11015" max="11015" width="15.85546875" customWidth="1"/>
    <col min="11016" max="11016" width="17" bestFit="1" customWidth="1"/>
    <col min="11017" max="11017" width="12.7109375" customWidth="1"/>
    <col min="11018" max="11018" width="13.7109375" customWidth="1"/>
    <col min="11019" max="11019" width="13.85546875" bestFit="1" customWidth="1"/>
    <col min="11020" max="11020" width="20.85546875" bestFit="1" customWidth="1"/>
    <col min="11021" max="11021" width="23.42578125" bestFit="1" customWidth="1"/>
    <col min="11022" max="11022" width="23.28515625" bestFit="1" customWidth="1"/>
    <col min="11023" max="11023" width="15.5703125" bestFit="1" customWidth="1"/>
    <col min="11024" max="11024" width="20.5703125" bestFit="1" customWidth="1"/>
    <col min="11025" max="11025" width="18.28515625"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0" customWidth="1"/>
    <col min="11263" max="11263" width="36.85546875" customWidth="1"/>
    <col min="11264" max="11264" width="19.7109375" bestFit="1" customWidth="1"/>
    <col min="11265" max="11265" width="21" customWidth="1"/>
    <col min="11266" max="11266" width="16.7109375" bestFit="1" customWidth="1"/>
    <col min="11267" max="11267" width="15" customWidth="1"/>
    <col min="11268" max="11268" width="15.28515625" bestFit="1" customWidth="1"/>
    <col min="11269" max="11269" width="14.140625" bestFit="1" customWidth="1"/>
    <col min="11270" max="11270" width="15.28515625" customWidth="1"/>
    <col min="11271" max="11271" width="15.85546875" customWidth="1"/>
    <col min="11272" max="11272" width="17" bestFit="1" customWidth="1"/>
    <col min="11273" max="11273" width="12.7109375" customWidth="1"/>
    <col min="11274" max="11274" width="13.7109375" customWidth="1"/>
    <col min="11275" max="11275" width="13.85546875" bestFit="1" customWidth="1"/>
    <col min="11276" max="11276" width="20.85546875" bestFit="1" customWidth="1"/>
    <col min="11277" max="11277" width="23.42578125" bestFit="1" customWidth="1"/>
    <col min="11278" max="11278" width="23.28515625" bestFit="1" customWidth="1"/>
    <col min="11279" max="11279" width="15.5703125" bestFit="1" customWidth="1"/>
    <col min="11280" max="11280" width="20.5703125" bestFit="1" customWidth="1"/>
    <col min="11281" max="11281" width="18.28515625"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0" customWidth="1"/>
    <col min="11519" max="11519" width="36.85546875" customWidth="1"/>
    <col min="11520" max="11520" width="19.7109375" bestFit="1" customWidth="1"/>
    <col min="11521" max="11521" width="21" customWidth="1"/>
    <col min="11522" max="11522" width="16.7109375" bestFit="1" customWidth="1"/>
    <col min="11523" max="11523" width="15" customWidth="1"/>
    <col min="11524" max="11524" width="15.28515625" bestFit="1" customWidth="1"/>
    <col min="11525" max="11525" width="14.140625" bestFit="1" customWidth="1"/>
    <col min="11526" max="11526" width="15.28515625" customWidth="1"/>
    <col min="11527" max="11527" width="15.85546875" customWidth="1"/>
    <col min="11528" max="11528" width="17" bestFit="1" customWidth="1"/>
    <col min="11529" max="11529" width="12.7109375" customWidth="1"/>
    <col min="11530" max="11530" width="13.7109375" customWidth="1"/>
    <col min="11531" max="11531" width="13.85546875" bestFit="1" customWidth="1"/>
    <col min="11532" max="11532" width="20.85546875" bestFit="1" customWidth="1"/>
    <col min="11533" max="11533" width="23.42578125" bestFit="1" customWidth="1"/>
    <col min="11534" max="11534" width="23.28515625" bestFit="1" customWidth="1"/>
    <col min="11535" max="11535" width="15.5703125" bestFit="1" customWidth="1"/>
    <col min="11536" max="11536" width="20.5703125" bestFit="1" customWidth="1"/>
    <col min="11537" max="11537" width="18.28515625"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0" customWidth="1"/>
    <col min="11775" max="11775" width="36.85546875" customWidth="1"/>
    <col min="11776" max="11776" width="19.7109375" bestFit="1" customWidth="1"/>
    <col min="11777" max="11777" width="21" customWidth="1"/>
    <col min="11778" max="11778" width="16.7109375" bestFit="1" customWidth="1"/>
    <col min="11779" max="11779" width="15" customWidth="1"/>
    <col min="11780" max="11780" width="15.28515625" bestFit="1" customWidth="1"/>
    <col min="11781" max="11781" width="14.140625" bestFit="1" customWidth="1"/>
    <col min="11782" max="11782" width="15.28515625" customWidth="1"/>
    <col min="11783" max="11783" width="15.85546875" customWidth="1"/>
    <col min="11784" max="11784" width="17" bestFit="1" customWidth="1"/>
    <col min="11785" max="11785" width="12.7109375" customWidth="1"/>
    <col min="11786" max="11786" width="13.7109375" customWidth="1"/>
    <col min="11787" max="11787" width="13.85546875" bestFit="1" customWidth="1"/>
    <col min="11788" max="11788" width="20.85546875" bestFit="1" customWidth="1"/>
    <col min="11789" max="11789" width="23.42578125" bestFit="1" customWidth="1"/>
    <col min="11790" max="11790" width="23.28515625" bestFit="1" customWidth="1"/>
    <col min="11791" max="11791" width="15.5703125" bestFit="1" customWidth="1"/>
    <col min="11792" max="11792" width="20.5703125" bestFit="1" customWidth="1"/>
    <col min="11793" max="11793" width="18.28515625"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0" customWidth="1"/>
    <col min="12031" max="12031" width="36.85546875" customWidth="1"/>
    <col min="12032" max="12032" width="19.7109375" bestFit="1" customWidth="1"/>
    <col min="12033" max="12033" width="21" customWidth="1"/>
    <col min="12034" max="12034" width="16.7109375" bestFit="1" customWidth="1"/>
    <col min="12035" max="12035" width="15" customWidth="1"/>
    <col min="12036" max="12036" width="15.28515625" bestFit="1" customWidth="1"/>
    <col min="12037" max="12037" width="14.140625" bestFit="1" customWidth="1"/>
    <col min="12038" max="12038" width="15.28515625" customWidth="1"/>
    <col min="12039" max="12039" width="15.85546875" customWidth="1"/>
    <col min="12040" max="12040" width="17" bestFit="1" customWidth="1"/>
    <col min="12041" max="12041" width="12.7109375" customWidth="1"/>
    <col min="12042" max="12042" width="13.7109375" customWidth="1"/>
    <col min="12043" max="12043" width="13.85546875" bestFit="1" customWidth="1"/>
    <col min="12044" max="12044" width="20.85546875" bestFit="1" customWidth="1"/>
    <col min="12045" max="12045" width="23.42578125" bestFit="1" customWidth="1"/>
    <col min="12046" max="12046" width="23.28515625" bestFit="1" customWidth="1"/>
    <col min="12047" max="12047" width="15.5703125" bestFit="1" customWidth="1"/>
    <col min="12048" max="12048" width="20.5703125" bestFit="1" customWidth="1"/>
    <col min="12049" max="12049" width="18.28515625"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0" customWidth="1"/>
    <col min="12287" max="12287" width="36.85546875" customWidth="1"/>
    <col min="12288" max="12288" width="19.7109375" bestFit="1" customWidth="1"/>
    <col min="12289" max="12289" width="21" customWidth="1"/>
    <col min="12290" max="12290" width="16.7109375" bestFit="1" customWidth="1"/>
    <col min="12291" max="12291" width="15" customWidth="1"/>
    <col min="12292" max="12292" width="15.28515625" bestFit="1" customWidth="1"/>
    <col min="12293" max="12293" width="14.140625" bestFit="1" customWidth="1"/>
    <col min="12294" max="12294" width="15.28515625" customWidth="1"/>
    <col min="12295" max="12295" width="15.85546875" customWidth="1"/>
    <col min="12296" max="12296" width="17" bestFit="1" customWidth="1"/>
    <col min="12297" max="12297" width="12.7109375" customWidth="1"/>
    <col min="12298" max="12298" width="13.7109375" customWidth="1"/>
    <col min="12299" max="12299" width="13.85546875" bestFit="1" customWidth="1"/>
    <col min="12300" max="12300" width="20.85546875" bestFit="1" customWidth="1"/>
    <col min="12301" max="12301" width="23.42578125" bestFit="1" customWidth="1"/>
    <col min="12302" max="12302" width="23.28515625" bestFit="1" customWidth="1"/>
    <col min="12303" max="12303" width="15.5703125" bestFit="1" customWidth="1"/>
    <col min="12304" max="12304" width="20.5703125" bestFit="1" customWidth="1"/>
    <col min="12305" max="12305" width="18.28515625"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0" customWidth="1"/>
    <col min="12543" max="12543" width="36.85546875" customWidth="1"/>
    <col min="12544" max="12544" width="19.7109375" bestFit="1" customWidth="1"/>
    <col min="12545" max="12545" width="21" customWidth="1"/>
    <col min="12546" max="12546" width="16.7109375" bestFit="1" customWidth="1"/>
    <col min="12547" max="12547" width="15" customWidth="1"/>
    <col min="12548" max="12548" width="15.28515625" bestFit="1" customWidth="1"/>
    <col min="12549" max="12549" width="14.140625" bestFit="1" customWidth="1"/>
    <col min="12550" max="12550" width="15.28515625" customWidth="1"/>
    <col min="12551" max="12551" width="15.85546875" customWidth="1"/>
    <col min="12552" max="12552" width="17" bestFit="1" customWidth="1"/>
    <col min="12553" max="12553" width="12.7109375" customWidth="1"/>
    <col min="12554" max="12554" width="13.7109375" customWidth="1"/>
    <col min="12555" max="12555" width="13.85546875" bestFit="1" customWidth="1"/>
    <col min="12556" max="12556" width="20.85546875" bestFit="1" customWidth="1"/>
    <col min="12557" max="12557" width="23.42578125" bestFit="1" customWidth="1"/>
    <col min="12558" max="12558" width="23.28515625" bestFit="1" customWidth="1"/>
    <col min="12559" max="12559" width="15.5703125" bestFit="1" customWidth="1"/>
    <col min="12560" max="12560" width="20.5703125" bestFit="1" customWidth="1"/>
    <col min="12561" max="12561" width="18.28515625"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0" customWidth="1"/>
    <col min="12799" max="12799" width="36.85546875" customWidth="1"/>
    <col min="12800" max="12800" width="19.7109375" bestFit="1" customWidth="1"/>
    <col min="12801" max="12801" width="21" customWidth="1"/>
    <col min="12802" max="12802" width="16.7109375" bestFit="1" customWidth="1"/>
    <col min="12803" max="12803" width="15" customWidth="1"/>
    <col min="12804" max="12804" width="15.28515625" bestFit="1" customWidth="1"/>
    <col min="12805" max="12805" width="14.140625" bestFit="1" customWidth="1"/>
    <col min="12806" max="12806" width="15.28515625" customWidth="1"/>
    <col min="12807" max="12807" width="15.85546875" customWidth="1"/>
    <col min="12808" max="12808" width="17" bestFit="1" customWidth="1"/>
    <col min="12809" max="12809" width="12.7109375" customWidth="1"/>
    <col min="12810" max="12810" width="13.7109375" customWidth="1"/>
    <col min="12811" max="12811" width="13.85546875" bestFit="1" customWidth="1"/>
    <col min="12812" max="12812" width="20.85546875" bestFit="1" customWidth="1"/>
    <col min="12813" max="12813" width="23.42578125" bestFit="1" customWidth="1"/>
    <col min="12814" max="12814" width="23.28515625" bestFit="1" customWidth="1"/>
    <col min="12815" max="12815" width="15.5703125" bestFit="1" customWidth="1"/>
    <col min="12816" max="12816" width="20.5703125" bestFit="1" customWidth="1"/>
    <col min="12817" max="12817" width="18.28515625"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0" customWidth="1"/>
    <col min="13055" max="13055" width="36.85546875" customWidth="1"/>
    <col min="13056" max="13056" width="19.7109375" bestFit="1" customWidth="1"/>
    <col min="13057" max="13057" width="21" customWidth="1"/>
    <col min="13058" max="13058" width="16.7109375" bestFit="1" customWidth="1"/>
    <col min="13059" max="13059" width="15" customWidth="1"/>
    <col min="13060" max="13060" width="15.28515625" bestFit="1" customWidth="1"/>
    <col min="13061" max="13061" width="14.140625" bestFit="1" customWidth="1"/>
    <col min="13062" max="13062" width="15.28515625" customWidth="1"/>
    <col min="13063" max="13063" width="15.85546875" customWidth="1"/>
    <col min="13064" max="13064" width="17" bestFit="1" customWidth="1"/>
    <col min="13065" max="13065" width="12.7109375" customWidth="1"/>
    <col min="13066" max="13066" width="13.7109375" customWidth="1"/>
    <col min="13067" max="13067" width="13.85546875" bestFit="1" customWidth="1"/>
    <col min="13068" max="13068" width="20.85546875" bestFit="1" customWidth="1"/>
    <col min="13069" max="13069" width="23.42578125" bestFit="1" customWidth="1"/>
    <col min="13070" max="13070" width="23.28515625" bestFit="1" customWidth="1"/>
    <col min="13071" max="13071" width="15.5703125" bestFit="1" customWidth="1"/>
    <col min="13072" max="13072" width="20.5703125" bestFit="1" customWidth="1"/>
    <col min="13073" max="13073" width="18.28515625"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0" customWidth="1"/>
    <col min="13311" max="13311" width="36.85546875" customWidth="1"/>
    <col min="13312" max="13312" width="19.7109375" bestFit="1" customWidth="1"/>
    <col min="13313" max="13313" width="21" customWidth="1"/>
    <col min="13314" max="13314" width="16.7109375" bestFit="1" customWidth="1"/>
    <col min="13315" max="13315" width="15" customWidth="1"/>
    <col min="13316" max="13316" width="15.28515625" bestFit="1" customWidth="1"/>
    <col min="13317" max="13317" width="14.140625" bestFit="1" customWidth="1"/>
    <col min="13318" max="13318" width="15.28515625" customWidth="1"/>
    <col min="13319" max="13319" width="15.85546875" customWidth="1"/>
    <col min="13320" max="13320" width="17" bestFit="1" customWidth="1"/>
    <col min="13321" max="13321" width="12.7109375" customWidth="1"/>
    <col min="13322" max="13322" width="13.7109375" customWidth="1"/>
    <col min="13323" max="13323" width="13.85546875" bestFit="1" customWidth="1"/>
    <col min="13324" max="13324" width="20.85546875" bestFit="1" customWidth="1"/>
    <col min="13325" max="13325" width="23.42578125" bestFit="1" customWidth="1"/>
    <col min="13326" max="13326" width="23.28515625" bestFit="1" customWidth="1"/>
    <col min="13327" max="13327" width="15.5703125" bestFit="1" customWidth="1"/>
    <col min="13328" max="13328" width="20.5703125" bestFit="1" customWidth="1"/>
    <col min="13329" max="13329" width="18.28515625"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0" customWidth="1"/>
    <col min="13567" max="13567" width="36.85546875" customWidth="1"/>
    <col min="13568" max="13568" width="19.7109375" bestFit="1" customWidth="1"/>
    <col min="13569" max="13569" width="21" customWidth="1"/>
    <col min="13570" max="13570" width="16.7109375" bestFit="1" customWidth="1"/>
    <col min="13571" max="13571" width="15" customWidth="1"/>
    <col min="13572" max="13572" width="15.28515625" bestFit="1" customWidth="1"/>
    <col min="13573" max="13573" width="14.140625" bestFit="1" customWidth="1"/>
    <col min="13574" max="13574" width="15.28515625" customWidth="1"/>
    <col min="13575" max="13575" width="15.85546875" customWidth="1"/>
    <col min="13576" max="13576" width="17" bestFit="1" customWidth="1"/>
    <col min="13577" max="13577" width="12.7109375" customWidth="1"/>
    <col min="13578" max="13578" width="13.7109375" customWidth="1"/>
    <col min="13579" max="13579" width="13.85546875" bestFit="1" customWidth="1"/>
    <col min="13580" max="13580" width="20.85546875" bestFit="1" customWidth="1"/>
    <col min="13581" max="13581" width="23.42578125" bestFit="1" customWidth="1"/>
    <col min="13582" max="13582" width="23.28515625" bestFit="1" customWidth="1"/>
    <col min="13583" max="13583" width="15.5703125" bestFit="1" customWidth="1"/>
    <col min="13584" max="13584" width="20.5703125" bestFit="1" customWidth="1"/>
    <col min="13585" max="13585" width="18.28515625"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0" customWidth="1"/>
    <col min="13823" max="13823" width="36.85546875" customWidth="1"/>
    <col min="13824" max="13824" width="19.7109375" bestFit="1" customWidth="1"/>
    <col min="13825" max="13825" width="21" customWidth="1"/>
    <col min="13826" max="13826" width="16.7109375" bestFit="1" customWidth="1"/>
    <col min="13827" max="13827" width="15" customWidth="1"/>
    <col min="13828" max="13828" width="15.28515625" bestFit="1" customWidth="1"/>
    <col min="13829" max="13829" width="14.140625" bestFit="1" customWidth="1"/>
    <col min="13830" max="13830" width="15.28515625" customWidth="1"/>
    <col min="13831" max="13831" width="15.85546875" customWidth="1"/>
    <col min="13832" max="13832" width="17" bestFit="1" customWidth="1"/>
    <col min="13833" max="13833" width="12.7109375" customWidth="1"/>
    <col min="13834" max="13834" width="13.7109375" customWidth="1"/>
    <col min="13835" max="13835" width="13.85546875" bestFit="1" customWidth="1"/>
    <col min="13836" max="13836" width="20.85546875" bestFit="1" customWidth="1"/>
    <col min="13837" max="13837" width="23.42578125" bestFit="1" customWidth="1"/>
    <col min="13838" max="13838" width="23.28515625" bestFit="1" customWidth="1"/>
    <col min="13839" max="13839" width="15.5703125" bestFit="1" customWidth="1"/>
    <col min="13840" max="13840" width="20.5703125" bestFit="1" customWidth="1"/>
    <col min="13841" max="13841" width="18.28515625"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0" customWidth="1"/>
    <col min="14079" max="14079" width="36.85546875" customWidth="1"/>
    <col min="14080" max="14080" width="19.7109375" bestFit="1" customWidth="1"/>
    <col min="14081" max="14081" width="21" customWidth="1"/>
    <col min="14082" max="14082" width="16.7109375" bestFit="1" customWidth="1"/>
    <col min="14083" max="14083" width="15" customWidth="1"/>
    <col min="14084" max="14084" width="15.28515625" bestFit="1" customWidth="1"/>
    <col min="14085" max="14085" width="14.140625" bestFit="1" customWidth="1"/>
    <col min="14086" max="14086" width="15.28515625" customWidth="1"/>
    <col min="14087" max="14087" width="15.85546875" customWidth="1"/>
    <col min="14088" max="14088" width="17" bestFit="1" customWidth="1"/>
    <col min="14089" max="14089" width="12.7109375" customWidth="1"/>
    <col min="14090" max="14090" width="13.7109375" customWidth="1"/>
    <col min="14091" max="14091" width="13.85546875" bestFit="1" customWidth="1"/>
    <col min="14092" max="14092" width="20.85546875" bestFit="1" customWidth="1"/>
    <col min="14093" max="14093" width="23.42578125" bestFit="1" customWidth="1"/>
    <col min="14094" max="14094" width="23.28515625" bestFit="1" customWidth="1"/>
    <col min="14095" max="14095" width="15.5703125" bestFit="1" customWidth="1"/>
    <col min="14096" max="14096" width="20.5703125" bestFit="1" customWidth="1"/>
    <col min="14097" max="14097" width="18.28515625"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0" customWidth="1"/>
    <col min="14335" max="14335" width="36.85546875" customWidth="1"/>
    <col min="14336" max="14336" width="19.7109375" bestFit="1" customWidth="1"/>
    <col min="14337" max="14337" width="21" customWidth="1"/>
    <col min="14338" max="14338" width="16.7109375" bestFit="1" customWidth="1"/>
    <col min="14339" max="14339" width="15" customWidth="1"/>
    <col min="14340" max="14340" width="15.28515625" bestFit="1" customWidth="1"/>
    <col min="14341" max="14341" width="14.140625" bestFit="1" customWidth="1"/>
    <col min="14342" max="14342" width="15.28515625" customWidth="1"/>
    <col min="14343" max="14343" width="15.85546875" customWidth="1"/>
    <col min="14344" max="14344" width="17" bestFit="1" customWidth="1"/>
    <col min="14345" max="14345" width="12.7109375" customWidth="1"/>
    <col min="14346" max="14346" width="13.7109375" customWidth="1"/>
    <col min="14347" max="14347" width="13.85546875" bestFit="1" customWidth="1"/>
    <col min="14348" max="14348" width="20.85546875" bestFit="1" customWidth="1"/>
    <col min="14349" max="14349" width="23.42578125" bestFit="1" customWidth="1"/>
    <col min="14350" max="14350" width="23.28515625" bestFit="1" customWidth="1"/>
    <col min="14351" max="14351" width="15.5703125" bestFit="1" customWidth="1"/>
    <col min="14352" max="14352" width="20.5703125" bestFit="1" customWidth="1"/>
    <col min="14353" max="14353" width="18.28515625"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0" customWidth="1"/>
    <col min="14591" max="14591" width="36.85546875" customWidth="1"/>
    <col min="14592" max="14592" width="19.7109375" bestFit="1" customWidth="1"/>
    <col min="14593" max="14593" width="21" customWidth="1"/>
    <col min="14594" max="14594" width="16.7109375" bestFit="1" customWidth="1"/>
    <col min="14595" max="14595" width="15" customWidth="1"/>
    <col min="14596" max="14596" width="15.28515625" bestFit="1" customWidth="1"/>
    <col min="14597" max="14597" width="14.140625" bestFit="1" customWidth="1"/>
    <col min="14598" max="14598" width="15.28515625" customWidth="1"/>
    <col min="14599" max="14599" width="15.85546875" customWidth="1"/>
    <col min="14600" max="14600" width="17" bestFit="1" customWidth="1"/>
    <col min="14601" max="14601" width="12.7109375" customWidth="1"/>
    <col min="14602" max="14602" width="13.7109375" customWidth="1"/>
    <col min="14603" max="14603" width="13.85546875" bestFit="1" customWidth="1"/>
    <col min="14604" max="14604" width="20.85546875" bestFit="1" customWidth="1"/>
    <col min="14605" max="14605" width="23.42578125" bestFit="1" customWidth="1"/>
    <col min="14606" max="14606" width="23.28515625" bestFit="1" customWidth="1"/>
    <col min="14607" max="14607" width="15.5703125" bestFit="1" customWidth="1"/>
    <col min="14608" max="14608" width="20.5703125" bestFit="1" customWidth="1"/>
    <col min="14609" max="14609" width="18.28515625"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0" customWidth="1"/>
    <col min="14847" max="14847" width="36.85546875" customWidth="1"/>
    <col min="14848" max="14848" width="19.7109375" bestFit="1" customWidth="1"/>
    <col min="14849" max="14849" width="21" customWidth="1"/>
    <col min="14850" max="14850" width="16.7109375" bestFit="1" customWidth="1"/>
    <col min="14851" max="14851" width="15" customWidth="1"/>
    <col min="14852" max="14852" width="15.28515625" bestFit="1" customWidth="1"/>
    <col min="14853" max="14853" width="14.140625" bestFit="1" customWidth="1"/>
    <col min="14854" max="14854" width="15.28515625" customWidth="1"/>
    <col min="14855" max="14855" width="15.85546875" customWidth="1"/>
    <col min="14856" max="14856" width="17" bestFit="1" customWidth="1"/>
    <col min="14857" max="14857" width="12.7109375" customWidth="1"/>
    <col min="14858" max="14858" width="13.7109375" customWidth="1"/>
    <col min="14859" max="14859" width="13.85546875" bestFit="1" customWidth="1"/>
    <col min="14860" max="14860" width="20.85546875" bestFit="1" customWidth="1"/>
    <col min="14861" max="14861" width="23.42578125" bestFit="1" customWidth="1"/>
    <col min="14862" max="14862" width="23.28515625" bestFit="1" customWidth="1"/>
    <col min="14863" max="14863" width="15.5703125" bestFit="1" customWidth="1"/>
    <col min="14864" max="14864" width="20.5703125" bestFit="1" customWidth="1"/>
    <col min="14865" max="14865" width="18.28515625"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0" customWidth="1"/>
    <col min="15103" max="15103" width="36.85546875" customWidth="1"/>
    <col min="15104" max="15104" width="19.7109375" bestFit="1" customWidth="1"/>
    <col min="15105" max="15105" width="21" customWidth="1"/>
    <col min="15106" max="15106" width="16.7109375" bestFit="1" customWidth="1"/>
    <col min="15107" max="15107" width="15" customWidth="1"/>
    <col min="15108" max="15108" width="15.28515625" bestFit="1" customWidth="1"/>
    <col min="15109" max="15109" width="14.140625" bestFit="1" customWidth="1"/>
    <col min="15110" max="15110" width="15.28515625" customWidth="1"/>
    <col min="15111" max="15111" width="15.85546875" customWidth="1"/>
    <col min="15112" max="15112" width="17" bestFit="1" customWidth="1"/>
    <col min="15113" max="15113" width="12.7109375" customWidth="1"/>
    <col min="15114" max="15114" width="13.7109375" customWidth="1"/>
    <col min="15115" max="15115" width="13.85546875" bestFit="1" customWidth="1"/>
    <col min="15116" max="15116" width="20.85546875" bestFit="1" customWidth="1"/>
    <col min="15117" max="15117" width="23.42578125" bestFit="1" customWidth="1"/>
    <col min="15118" max="15118" width="23.28515625" bestFit="1" customWidth="1"/>
    <col min="15119" max="15119" width="15.5703125" bestFit="1" customWidth="1"/>
    <col min="15120" max="15120" width="20.5703125" bestFit="1" customWidth="1"/>
    <col min="15121" max="15121" width="18.28515625"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0" customWidth="1"/>
    <col min="15359" max="15359" width="36.85546875" customWidth="1"/>
    <col min="15360" max="15360" width="19.7109375" bestFit="1" customWidth="1"/>
    <col min="15361" max="15361" width="21" customWidth="1"/>
    <col min="15362" max="15362" width="16.7109375" bestFit="1" customWidth="1"/>
    <col min="15363" max="15363" width="15" customWidth="1"/>
    <col min="15364" max="15364" width="15.28515625" bestFit="1" customWidth="1"/>
    <col min="15365" max="15365" width="14.140625" bestFit="1" customWidth="1"/>
    <col min="15366" max="15366" width="15.28515625" customWidth="1"/>
    <col min="15367" max="15367" width="15.85546875" customWidth="1"/>
    <col min="15368" max="15368" width="17" bestFit="1" customWidth="1"/>
    <col min="15369" max="15369" width="12.7109375" customWidth="1"/>
    <col min="15370" max="15370" width="13.7109375" customWidth="1"/>
    <col min="15371" max="15371" width="13.85546875" bestFit="1" customWidth="1"/>
    <col min="15372" max="15372" width="20.85546875" bestFit="1" customWidth="1"/>
    <col min="15373" max="15373" width="23.42578125" bestFit="1" customWidth="1"/>
    <col min="15374" max="15374" width="23.28515625" bestFit="1" customWidth="1"/>
    <col min="15375" max="15375" width="15.5703125" bestFit="1" customWidth="1"/>
    <col min="15376" max="15376" width="20.5703125" bestFit="1" customWidth="1"/>
    <col min="15377" max="15377" width="18.28515625"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0" customWidth="1"/>
    <col min="15615" max="15615" width="36.85546875" customWidth="1"/>
    <col min="15616" max="15616" width="19.7109375" bestFit="1" customWidth="1"/>
    <col min="15617" max="15617" width="21" customWidth="1"/>
    <col min="15618" max="15618" width="16.7109375" bestFit="1" customWidth="1"/>
    <col min="15619" max="15619" width="15" customWidth="1"/>
    <col min="15620" max="15620" width="15.28515625" bestFit="1" customWidth="1"/>
    <col min="15621" max="15621" width="14.140625" bestFit="1" customWidth="1"/>
    <col min="15622" max="15622" width="15.28515625" customWidth="1"/>
    <col min="15623" max="15623" width="15.85546875" customWidth="1"/>
    <col min="15624" max="15624" width="17" bestFit="1" customWidth="1"/>
    <col min="15625" max="15625" width="12.7109375" customWidth="1"/>
    <col min="15626" max="15626" width="13.7109375" customWidth="1"/>
    <col min="15627" max="15627" width="13.85546875" bestFit="1" customWidth="1"/>
    <col min="15628" max="15628" width="20.85546875" bestFit="1" customWidth="1"/>
    <col min="15629" max="15629" width="23.42578125" bestFit="1" customWidth="1"/>
    <col min="15630" max="15630" width="23.28515625" bestFit="1" customWidth="1"/>
    <col min="15631" max="15631" width="15.5703125" bestFit="1" customWidth="1"/>
    <col min="15632" max="15632" width="20.5703125" bestFit="1" customWidth="1"/>
    <col min="15633" max="15633" width="18.28515625"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0" customWidth="1"/>
    <col min="15871" max="15871" width="36.85546875" customWidth="1"/>
    <col min="15872" max="15872" width="19.7109375" bestFit="1" customWidth="1"/>
    <col min="15873" max="15873" width="21" customWidth="1"/>
    <col min="15874" max="15874" width="16.7109375" bestFit="1" customWidth="1"/>
    <col min="15875" max="15875" width="15" customWidth="1"/>
    <col min="15876" max="15876" width="15.28515625" bestFit="1" customWidth="1"/>
    <col min="15877" max="15877" width="14.140625" bestFit="1" customWidth="1"/>
    <col min="15878" max="15878" width="15.28515625" customWidth="1"/>
    <col min="15879" max="15879" width="15.85546875" customWidth="1"/>
    <col min="15880" max="15880" width="17" bestFit="1" customWidth="1"/>
    <col min="15881" max="15881" width="12.7109375" customWidth="1"/>
    <col min="15882" max="15882" width="13.7109375" customWidth="1"/>
    <col min="15883" max="15883" width="13.85546875" bestFit="1" customWidth="1"/>
    <col min="15884" max="15884" width="20.85546875" bestFit="1" customWidth="1"/>
    <col min="15885" max="15885" width="23.42578125" bestFit="1" customWidth="1"/>
    <col min="15886" max="15886" width="23.28515625" bestFit="1" customWidth="1"/>
    <col min="15887" max="15887" width="15.5703125" bestFit="1" customWidth="1"/>
    <col min="15888" max="15888" width="20.5703125" bestFit="1" customWidth="1"/>
    <col min="15889" max="15889" width="18.28515625"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0" customWidth="1"/>
    <col min="16127" max="16127" width="36.85546875" customWidth="1"/>
    <col min="16128" max="16128" width="19.7109375" bestFit="1" customWidth="1"/>
    <col min="16129" max="16129" width="21" customWidth="1"/>
    <col min="16130" max="16130" width="16.7109375" bestFit="1" customWidth="1"/>
    <col min="16131" max="16131" width="15" customWidth="1"/>
    <col min="16132" max="16132" width="15.28515625" bestFit="1" customWidth="1"/>
    <col min="16133" max="16133" width="14.140625" bestFit="1" customWidth="1"/>
    <col min="16134" max="16134" width="15.28515625" customWidth="1"/>
    <col min="16135" max="16135" width="15.85546875" customWidth="1"/>
    <col min="16136" max="16136" width="17" bestFit="1" customWidth="1"/>
    <col min="16137" max="16137" width="12.7109375" customWidth="1"/>
    <col min="16138" max="16138" width="13.7109375" customWidth="1"/>
    <col min="16139" max="16139" width="13.85546875" bestFit="1" customWidth="1"/>
    <col min="16140" max="16140" width="20.85546875" bestFit="1" customWidth="1"/>
    <col min="16141" max="16141" width="23.42578125" bestFit="1" customWidth="1"/>
    <col min="16142" max="16142" width="23.28515625" bestFit="1" customWidth="1"/>
    <col min="16143" max="16143" width="15.5703125" bestFit="1" customWidth="1"/>
    <col min="16144" max="16144" width="20.5703125" bestFit="1" customWidth="1"/>
    <col min="16145" max="16145" width="18.28515625"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C1" s="1853" t="s">
        <v>175</v>
      </c>
      <c r="D1" s="1812" t="s">
        <v>297</v>
      </c>
      <c r="E1" s="1853" t="s">
        <v>6</v>
      </c>
      <c r="F1" s="1853">
        <v>18230661</v>
      </c>
      <c r="G1" s="1853" t="s">
        <v>31</v>
      </c>
      <c r="J1" s="1812"/>
      <c r="K1" s="1812"/>
      <c r="L1" s="1812"/>
      <c r="M1" s="1853" t="s">
        <v>175</v>
      </c>
      <c r="N1" s="1812" t="s">
        <v>297</v>
      </c>
      <c r="O1" s="1853" t="s">
        <v>6</v>
      </c>
      <c r="P1" s="1853">
        <v>18230661</v>
      </c>
      <c r="Q1" s="1853" t="s">
        <v>31</v>
      </c>
      <c r="V1" s="1853" t="s">
        <v>175</v>
      </c>
      <c r="W1" s="1812" t="s">
        <v>297</v>
      </c>
      <c r="X1" s="1853" t="s">
        <v>6</v>
      </c>
      <c r="Y1" s="1853">
        <v>18230661</v>
      </c>
      <c r="Z1" s="1853" t="s">
        <v>31</v>
      </c>
      <c r="AA1" s="1853"/>
      <c r="AB1" s="1853"/>
      <c r="AC1" s="1853"/>
      <c r="AD1" s="1853"/>
    </row>
    <row r="2" spans="1:31" ht="16.5" thickBot="1">
      <c r="C2" s="45"/>
      <c r="D2" s="46"/>
      <c r="H2" s="1576" t="s">
        <v>674</v>
      </c>
      <c r="R2" s="3596"/>
      <c r="S2" s="3596"/>
      <c r="T2" s="3597" t="s">
        <v>36</v>
      </c>
      <c r="U2" s="3598"/>
      <c r="V2" s="3599"/>
      <c r="W2" s="3594" t="s">
        <v>37</v>
      </c>
    </row>
    <row r="3" spans="1:31" ht="26.25" thickBot="1">
      <c r="A3" s="1853" t="s">
        <v>175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1" ht="16.5" thickBot="1">
      <c r="A4" s="1808" t="s">
        <v>297</v>
      </c>
      <c r="B4" s="1808"/>
      <c r="C4" s="46"/>
      <c r="G4" s="1704" t="s">
        <v>668</v>
      </c>
      <c r="H4" s="2003">
        <v>15426</v>
      </c>
      <c r="I4" s="2002">
        <v>1300</v>
      </c>
      <c r="J4" s="2002">
        <v>11825</v>
      </c>
      <c r="K4" s="2002">
        <v>5000</v>
      </c>
      <c r="L4" s="2002">
        <v>900</v>
      </c>
      <c r="M4" s="2002">
        <v>2000</v>
      </c>
      <c r="N4" s="2002">
        <v>0</v>
      </c>
      <c r="O4" s="2002">
        <v>0</v>
      </c>
      <c r="P4" s="2002">
        <v>231646</v>
      </c>
      <c r="Q4" s="2002">
        <v>0</v>
      </c>
      <c r="R4" s="2000">
        <v>268098</v>
      </c>
      <c r="S4" s="2041" t="s">
        <v>682</v>
      </c>
      <c r="T4" s="65">
        <f>P4/R4</f>
        <v>0.86403479324724541</v>
      </c>
      <c r="U4" s="65">
        <f>(K4+(I4*1.63))/R4</f>
        <v>2.6553722892375176E-2</v>
      </c>
      <c r="V4" s="65">
        <f>M4/R4</f>
        <v>7.459958671828958E-3</v>
      </c>
      <c r="W4" s="52" t="e">
        <f>R4/S4</f>
        <v>#VALUE!</v>
      </c>
    </row>
    <row r="5" spans="1:31" ht="16.5" thickBot="1">
      <c r="A5" s="1852" t="s">
        <v>6</v>
      </c>
      <c r="B5" s="1852"/>
      <c r="C5" s="45"/>
      <c r="G5" s="45">
        <v>2016</v>
      </c>
      <c r="H5" s="1582">
        <f>D15</f>
        <v>20220.79</v>
      </c>
      <c r="I5" s="1549">
        <f>D27</f>
        <v>1600</v>
      </c>
      <c r="J5" s="1549">
        <f>D33</f>
        <v>14554.466930000002</v>
      </c>
      <c r="K5" s="1549">
        <f>D40</f>
        <v>5000</v>
      </c>
      <c r="L5" s="1549">
        <f>D46</f>
        <v>1000</v>
      </c>
      <c r="M5" s="1549">
        <f>D52</f>
        <v>1000</v>
      </c>
      <c r="N5" s="1549">
        <f>D58</f>
        <v>500</v>
      </c>
      <c r="O5" s="1549">
        <f>D64</f>
        <v>500</v>
      </c>
      <c r="P5" s="1549">
        <f>D70+D21</f>
        <v>239103.35999999999</v>
      </c>
      <c r="Q5" s="1549">
        <f>D73</f>
        <v>0</v>
      </c>
      <c r="R5" s="2001">
        <f>SUM(H5:Q5)</f>
        <v>283478.61693000002</v>
      </c>
      <c r="S5" s="2042">
        <f>S15</f>
        <v>18641.260000000002</v>
      </c>
      <c r="T5" s="66">
        <f>P5/R5</f>
        <v>0.84346171358329403</v>
      </c>
      <c r="U5" s="66">
        <f>(K5+(I5*1.63))/R5</f>
        <v>2.6838003100172664E-2</v>
      </c>
      <c r="V5" s="66">
        <f>M5/R5</f>
        <v>3.5276029311478267E-3</v>
      </c>
      <c r="W5" s="56">
        <f>R5/S5</f>
        <v>15.207052362876757</v>
      </c>
    </row>
    <row r="6" spans="1:31" ht="16.5" thickBot="1">
      <c r="A6" s="1852">
        <v>18230661</v>
      </c>
      <c r="B6" s="1852"/>
      <c r="C6" s="1592"/>
      <c r="D6" s="1866"/>
      <c r="E6" s="1867"/>
      <c r="F6" s="1866"/>
      <c r="G6" s="45">
        <v>2017</v>
      </c>
      <c r="H6" s="57">
        <f>E15</f>
        <v>20726.320000000003</v>
      </c>
      <c r="I6" s="1990">
        <f>E27</f>
        <v>1600</v>
      </c>
      <c r="J6" s="1989">
        <f>E33</f>
        <v>15181.897600000004</v>
      </c>
      <c r="K6" s="58">
        <f>E40</f>
        <v>5000</v>
      </c>
      <c r="L6" s="58">
        <f>E46</f>
        <v>1000</v>
      </c>
      <c r="M6" s="58">
        <f>E52</f>
        <v>1000</v>
      </c>
      <c r="N6" s="58">
        <f>E58</f>
        <v>500</v>
      </c>
      <c r="O6" s="58">
        <f>E64</f>
        <v>500</v>
      </c>
      <c r="P6" s="58">
        <f>E70+E21</f>
        <v>239103.35999999999</v>
      </c>
      <c r="Q6" s="58">
        <f>E73</f>
        <v>0</v>
      </c>
      <c r="R6" s="1997">
        <f>SUM(H6:Q6)</f>
        <v>284611.57759999996</v>
      </c>
      <c r="S6" s="2043">
        <f>T15</f>
        <v>18641.260000000002</v>
      </c>
      <c r="T6" s="66">
        <f>P6/R6</f>
        <v>0.84010412371924548</v>
      </c>
      <c r="U6" s="66">
        <f>(K6+(I6*1.63))/R6</f>
        <v>2.6731168366918891E-2</v>
      </c>
      <c r="V6" s="66">
        <f>M6/R6</f>
        <v>3.5135605108989076E-3</v>
      </c>
      <c r="W6" s="56">
        <f>R6/S6</f>
        <v>15.267829406381324</v>
      </c>
    </row>
    <row r="7" spans="1:31" ht="16.5" thickBot="1">
      <c r="A7" s="1852" t="s">
        <v>31</v>
      </c>
      <c r="B7" s="1808"/>
      <c r="C7" s="1592"/>
      <c r="D7" s="1866"/>
      <c r="E7" s="1867"/>
      <c r="F7" s="1866"/>
      <c r="G7" s="1608" t="s">
        <v>23</v>
      </c>
      <c r="H7" s="1564">
        <f>SUM(H5:H6)</f>
        <v>40947.11</v>
      </c>
      <c r="I7" s="1991">
        <f t="shared" ref="I7:Q7" si="0">SUM(I5:I6)</f>
        <v>3200</v>
      </c>
      <c r="J7" s="1992">
        <f t="shared" si="0"/>
        <v>29736.364530000006</v>
      </c>
      <c r="K7" s="1993">
        <f t="shared" si="0"/>
        <v>10000</v>
      </c>
      <c r="L7" s="1991">
        <f t="shared" si="0"/>
        <v>2000</v>
      </c>
      <c r="M7" s="1992">
        <f t="shared" si="0"/>
        <v>2000</v>
      </c>
      <c r="N7" s="1991">
        <f t="shared" si="0"/>
        <v>1000</v>
      </c>
      <c r="O7" s="1992">
        <f t="shared" si="0"/>
        <v>1000</v>
      </c>
      <c r="P7" s="1993">
        <f t="shared" si="0"/>
        <v>478206.71999999997</v>
      </c>
      <c r="Q7" s="1991">
        <f t="shared" si="0"/>
        <v>0</v>
      </c>
      <c r="R7" s="1993">
        <f>SUM(H7:Q7)</f>
        <v>568090.19452999998</v>
      </c>
      <c r="S7" s="2600">
        <f>SUM(S5:S6)</f>
        <v>37282.520000000004</v>
      </c>
      <c r="T7" s="66">
        <f>P7/R7</f>
        <v>0.84177957057617658</v>
      </c>
      <c r="U7" s="66">
        <f>(K7+(I7*1.63))/R7</f>
        <v>2.6784479201561833E-2</v>
      </c>
      <c r="V7" s="66">
        <f>M7/R7</f>
        <v>3.5205677183966656E-3</v>
      </c>
      <c r="W7" s="56">
        <f>R7/S7</f>
        <v>15.237440884629041</v>
      </c>
    </row>
    <row r="8" spans="1:31" ht="15.75">
      <c r="B8" s="1852"/>
      <c r="C8" s="1592"/>
      <c r="D8" s="1866"/>
      <c r="E8" s="1867"/>
      <c r="F8" s="1866"/>
    </row>
    <row r="9" spans="1:31" ht="20.25" customHeight="1">
      <c r="A9" s="1808"/>
      <c r="B9" s="1808"/>
      <c r="C9" s="1592"/>
      <c r="D9" s="1866"/>
      <c r="E9" s="1867"/>
      <c r="F9" s="1866"/>
    </row>
    <row r="10" spans="1:31">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1927"/>
      <c r="AA10" s="1927"/>
      <c r="AB10" s="1927"/>
      <c r="AC10" s="1927"/>
      <c r="AD10" s="1927"/>
      <c r="AE10" s="3239"/>
    </row>
    <row r="11" spans="1:31">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646">
        <v>0.15755704322888814</v>
      </c>
      <c r="AA11" s="2652" t="s">
        <v>584</v>
      </c>
      <c r="AB11" s="2641"/>
      <c r="AC11" s="2641"/>
      <c r="AD11" s="2641"/>
      <c r="AE11" s="3240"/>
    </row>
    <row r="12" spans="1:31">
      <c r="C12" s="1887" t="s">
        <v>314</v>
      </c>
      <c r="D12" s="1924">
        <f>D15+D21+D27+D33+D40+D46+D52+D58+D64+D70</f>
        <v>283478.61693000002</v>
      </c>
      <c r="E12" s="2157">
        <f>E15+E21+E27+E33+E40+E46+E52+E58+E64+E70</f>
        <v>284611.57759999996</v>
      </c>
      <c r="F12" s="1924">
        <f>D12+E12</f>
        <v>568090.19452999998</v>
      </c>
      <c r="H12" s="3602" t="s">
        <v>318</v>
      </c>
      <c r="I12" s="3602"/>
      <c r="J12" s="3602"/>
      <c r="K12" s="3602"/>
      <c r="L12" s="3602"/>
      <c r="M12" s="3602"/>
      <c r="N12" s="3602"/>
      <c r="O12" s="3602"/>
      <c r="P12" s="3604" t="s">
        <v>43</v>
      </c>
      <c r="Q12" s="3604"/>
      <c r="R12" s="3604"/>
      <c r="S12" s="3600" t="s">
        <v>44</v>
      </c>
      <c r="T12" s="3600"/>
      <c r="U12" s="3600"/>
      <c r="V12" s="3603" t="s">
        <v>56</v>
      </c>
      <c r="W12" s="3603"/>
      <c r="X12" s="3603"/>
      <c r="Y12" s="3603"/>
      <c r="Z12" s="3611" t="s">
        <v>569</v>
      </c>
      <c r="AA12" s="3611"/>
      <c r="AB12" s="3611"/>
      <c r="AC12" s="3611"/>
      <c r="AD12" s="3611"/>
      <c r="AE12" s="3241"/>
    </row>
    <row r="13" spans="1:31">
      <c r="C13" s="1947"/>
      <c r="D13" s="1866"/>
      <c r="E13" s="1787"/>
      <c r="F13" s="1866"/>
      <c r="H13" s="1933" t="s">
        <v>320</v>
      </c>
      <c r="I13" s="1933" t="s">
        <v>240</v>
      </c>
      <c r="J13" s="1933" t="s">
        <v>321</v>
      </c>
      <c r="K13" s="1933" t="s">
        <v>322</v>
      </c>
      <c r="L13" s="1933" t="s">
        <v>57</v>
      </c>
      <c r="M13" s="1933" t="s">
        <v>58</v>
      </c>
      <c r="N13" s="1933" t="s">
        <v>59</v>
      </c>
      <c r="O13" s="1933" t="s">
        <v>60</v>
      </c>
      <c r="P13" s="1934">
        <v>2016</v>
      </c>
      <c r="Q13" s="1934">
        <v>2017</v>
      </c>
      <c r="R13" s="1934" t="s">
        <v>324</v>
      </c>
      <c r="S13" s="1935">
        <v>2016</v>
      </c>
      <c r="T13" s="1935">
        <v>2017</v>
      </c>
      <c r="U13" s="1935" t="s">
        <v>324</v>
      </c>
      <c r="V13" s="1937">
        <v>2016</v>
      </c>
      <c r="W13" s="1937">
        <v>2017</v>
      </c>
      <c r="X13" s="1937" t="s">
        <v>324</v>
      </c>
      <c r="Y13" s="2647" t="s">
        <v>570</v>
      </c>
      <c r="Z13" s="2647" t="s">
        <v>571</v>
      </c>
      <c r="AA13" s="2647" t="s">
        <v>571</v>
      </c>
      <c r="AB13" s="2647" t="s">
        <v>571</v>
      </c>
      <c r="AC13" s="2647" t="s">
        <v>572</v>
      </c>
      <c r="AD13" s="1936" t="s">
        <v>262</v>
      </c>
    </row>
    <row r="14" spans="1:31"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34"/>
      <c r="S14" s="1935"/>
      <c r="T14" s="1935"/>
      <c r="U14" s="1935"/>
      <c r="V14" s="1937"/>
      <c r="W14" s="1937"/>
      <c r="X14" s="1937"/>
      <c r="Y14" s="2642" t="s">
        <v>326</v>
      </c>
      <c r="Z14" s="2647" t="s">
        <v>573</v>
      </c>
      <c r="AA14" s="2647" t="s">
        <v>574</v>
      </c>
      <c r="AB14" s="2647" t="s">
        <v>324</v>
      </c>
      <c r="AC14" s="2642" t="s">
        <v>326</v>
      </c>
      <c r="AD14" s="1919" t="s">
        <v>326</v>
      </c>
    </row>
    <row r="15" spans="1:31">
      <c r="B15" s="1886" t="s">
        <v>312</v>
      </c>
      <c r="C15" s="1910" t="s">
        <v>46</v>
      </c>
      <c r="D15" s="1911">
        <f>SUM(D16:D19)</f>
        <v>20220.79</v>
      </c>
      <c r="E15" s="1926">
        <f>SUM(E16:E19)</f>
        <v>20726.320000000003</v>
      </c>
      <c r="F15" s="1924">
        <f>D15+E15</f>
        <v>40947.11</v>
      </c>
      <c r="H15" s="1938" t="s">
        <v>327</v>
      </c>
      <c r="I15" s="1939"/>
      <c r="J15" s="1939"/>
      <c r="K15" s="1940"/>
      <c r="L15" s="1941">
        <f>SUMPRODUCT(L16:L127,R16:R127)</f>
        <v>398505.6</v>
      </c>
      <c r="M15" s="1941">
        <f>SUM(M16:M127)</f>
        <v>24772.300000000003</v>
      </c>
      <c r="N15" s="1940">
        <v>22</v>
      </c>
      <c r="O15" s="1940"/>
      <c r="P15" s="1940"/>
      <c r="Q15" s="1940"/>
      <c r="R15" s="1940"/>
      <c r="S15" s="1943">
        <f>SUM(S16:S65)</f>
        <v>18641.260000000002</v>
      </c>
      <c r="T15" s="1943">
        <f t="shared" ref="T15:X15" si="1">SUM(T16:T147)</f>
        <v>18641.260000000002</v>
      </c>
      <c r="U15" s="1943">
        <f t="shared" si="1"/>
        <v>37466.520000000004</v>
      </c>
      <c r="V15" s="1941">
        <f t="shared" si="1"/>
        <v>199252.8</v>
      </c>
      <c r="W15" s="1941">
        <f t="shared" si="1"/>
        <v>199252.8</v>
      </c>
      <c r="X15" s="1941">
        <f t="shared" si="1"/>
        <v>398505.6</v>
      </c>
      <c r="Y15" s="2645"/>
      <c r="Z15" s="2645">
        <f>SUM(Z17:Z165)</f>
        <v>79701.119999999995</v>
      </c>
      <c r="AA15" s="2645">
        <f>SUM(AA17:AA165)</f>
        <v>89883.474529999992</v>
      </c>
      <c r="AB15" s="2645">
        <f>SUM(AB17:AB165)</f>
        <v>169584.59453000003</v>
      </c>
      <c r="AC15" s="2645">
        <v>0</v>
      </c>
      <c r="AD15" s="1945">
        <v>0</v>
      </c>
    </row>
    <row r="16" spans="1:31">
      <c r="B16" s="1885">
        <v>0.1</v>
      </c>
      <c r="C16" s="1876" t="s">
        <v>792</v>
      </c>
      <c r="D16" s="1907">
        <f>B16*98638</f>
        <v>9863.8000000000011</v>
      </c>
      <c r="E16" s="1906">
        <f>B16*101104</f>
        <v>10110.400000000001</v>
      </c>
      <c r="F16" s="1879">
        <f>SUM(D16:E16)</f>
        <v>19974.200000000004</v>
      </c>
      <c r="H16" s="2579" t="s">
        <v>969</v>
      </c>
      <c r="I16" s="2947">
        <v>0</v>
      </c>
      <c r="J16" s="1932" t="s">
        <v>81</v>
      </c>
      <c r="K16" s="2582"/>
      <c r="L16" s="2584"/>
      <c r="M16" s="2586"/>
      <c r="N16" s="2586"/>
      <c r="O16" s="2588"/>
      <c r="P16" s="2589"/>
      <c r="Q16" s="2590"/>
      <c r="R16" s="1931" t="s">
        <v>241</v>
      </c>
      <c r="S16" s="1931" t="s">
        <v>241</v>
      </c>
      <c r="T16" s="1931" t="s">
        <v>241</v>
      </c>
      <c r="U16" s="1931" t="s">
        <v>241</v>
      </c>
      <c r="V16" s="1921" t="s">
        <v>241</v>
      </c>
      <c r="W16" s="1921" t="s">
        <v>241</v>
      </c>
      <c r="X16" s="1921" t="s">
        <v>241</v>
      </c>
      <c r="Y16" s="2649"/>
      <c r="Z16" s="2648" t="s">
        <v>241</v>
      </c>
      <c r="AA16" s="2648" t="s">
        <v>241</v>
      </c>
      <c r="AB16" s="2648" t="s">
        <v>241</v>
      </c>
      <c r="AC16" s="2644"/>
      <c r="AD16" s="1946"/>
    </row>
    <row r="17" spans="2:30">
      <c r="B17" s="1885">
        <v>0.05</v>
      </c>
      <c r="C17" s="1876" t="s">
        <v>793</v>
      </c>
      <c r="D17" s="1905">
        <f>B17*98638</f>
        <v>4931.9000000000005</v>
      </c>
      <c r="E17" s="1904">
        <f>B17*101104</f>
        <v>5055.2000000000007</v>
      </c>
      <c r="F17" s="1891">
        <f t="shared" ref="F17:F36" si="2">SUM(D17:E17)</f>
        <v>9987.1000000000022</v>
      </c>
      <c r="H17" s="2579" t="s">
        <v>970</v>
      </c>
      <c r="I17" s="2947">
        <v>0</v>
      </c>
      <c r="J17" s="1932" t="s">
        <v>81</v>
      </c>
      <c r="K17" s="2582" t="s">
        <v>1066</v>
      </c>
      <c r="L17" s="2583"/>
      <c r="M17" s="2585"/>
      <c r="N17" s="1922">
        <v>1</v>
      </c>
      <c r="O17" s="2587"/>
      <c r="P17" s="3237">
        <v>0.5</v>
      </c>
      <c r="Q17" s="3237">
        <v>0.5</v>
      </c>
      <c r="R17" s="1931">
        <f>P17+Q17</f>
        <v>1</v>
      </c>
      <c r="S17" s="1931" t="s">
        <v>241</v>
      </c>
      <c r="T17" s="1931" t="s">
        <v>241</v>
      </c>
      <c r="U17" s="1931" t="s">
        <v>241</v>
      </c>
      <c r="V17" s="1921" t="s">
        <v>241</v>
      </c>
      <c r="W17" s="1921" t="s">
        <v>241</v>
      </c>
      <c r="X17" s="1921" t="s">
        <v>241</v>
      </c>
      <c r="Y17" s="2650">
        <v>0.15</v>
      </c>
      <c r="Z17" s="2643" t="s">
        <v>241</v>
      </c>
      <c r="AA17" s="2643" t="s">
        <v>241</v>
      </c>
      <c r="AB17" s="2643" t="s">
        <v>241</v>
      </c>
      <c r="AC17" s="2651"/>
      <c r="AD17" s="1946"/>
    </row>
    <row r="18" spans="2:30">
      <c r="B18" s="1885">
        <v>0.05</v>
      </c>
      <c r="C18" s="1876" t="s">
        <v>791</v>
      </c>
      <c r="D18" s="1905">
        <f>B18*98638</f>
        <v>4931.9000000000005</v>
      </c>
      <c r="E18" s="1904">
        <f>B18*101104</f>
        <v>5055.2000000000007</v>
      </c>
      <c r="F18" s="1891">
        <f t="shared" si="2"/>
        <v>9987.1000000000022</v>
      </c>
      <c r="H18" s="3236" t="s">
        <v>1572</v>
      </c>
      <c r="I18" s="3232">
        <v>66</v>
      </c>
      <c r="J18" s="1932" t="s">
        <v>81</v>
      </c>
      <c r="K18" s="2581" t="s">
        <v>909</v>
      </c>
      <c r="L18" s="2583">
        <v>600</v>
      </c>
      <c r="M18" s="2585">
        <v>600</v>
      </c>
      <c r="N18" s="1922">
        <v>18</v>
      </c>
      <c r="O18" s="2587" t="s">
        <v>1084</v>
      </c>
      <c r="P18" s="3238">
        <v>30</v>
      </c>
      <c r="Q18" s="3238">
        <v>30</v>
      </c>
      <c r="R18" s="1931">
        <f t="shared" ref="R18:R56" si="3">P18+Q18</f>
        <v>60</v>
      </c>
      <c r="S18" s="1931">
        <f>I18*P18</f>
        <v>1980</v>
      </c>
      <c r="T18" s="1931">
        <f>I18*Q18</f>
        <v>1980</v>
      </c>
      <c r="U18" s="1931">
        <v>3960</v>
      </c>
      <c r="V18" s="1921">
        <v>18000</v>
      </c>
      <c r="W18" s="1921">
        <v>18000</v>
      </c>
      <c r="X18" s="1921">
        <v>36000</v>
      </c>
      <c r="Y18" s="2650">
        <v>0.2</v>
      </c>
      <c r="Z18" s="2643">
        <v>7200</v>
      </c>
      <c r="AA18" s="3234">
        <v>8119.8484615523612</v>
      </c>
      <c r="AB18" s="2643">
        <f>Z18+AA18</f>
        <v>15319.848461552361</v>
      </c>
      <c r="AC18" s="2644"/>
      <c r="AD18" s="1946">
        <v>0</v>
      </c>
    </row>
    <row r="19" spans="2:30">
      <c r="B19" s="1885">
        <v>5.0000000000000001E-3</v>
      </c>
      <c r="C19" s="2197" t="s">
        <v>967</v>
      </c>
      <c r="D19" s="2242">
        <f>B19*98638</f>
        <v>493.19</v>
      </c>
      <c r="E19" s="2079">
        <f>B19*101104</f>
        <v>505.52000000000004</v>
      </c>
      <c r="F19" s="1891">
        <f t="shared" si="2"/>
        <v>998.71</v>
      </c>
      <c r="H19" s="3236" t="s">
        <v>1573</v>
      </c>
      <c r="I19" s="3232">
        <v>89</v>
      </c>
      <c r="J19" s="1932" t="s">
        <v>81</v>
      </c>
      <c r="K19" s="2581" t="s">
        <v>909</v>
      </c>
      <c r="L19" s="2583">
        <v>692</v>
      </c>
      <c r="M19" s="2585">
        <v>692</v>
      </c>
      <c r="N19" s="1922">
        <v>18</v>
      </c>
      <c r="O19" s="2587" t="s">
        <v>1084</v>
      </c>
      <c r="P19" s="3238">
        <v>0</v>
      </c>
      <c r="Q19" s="3238">
        <v>0</v>
      </c>
      <c r="R19" s="1931">
        <f t="shared" si="3"/>
        <v>0</v>
      </c>
      <c r="S19" s="1931">
        <f t="shared" ref="S19:S55" si="4">I19*P19</f>
        <v>0</v>
      </c>
      <c r="T19" s="1931">
        <f t="shared" ref="T19:T55" si="5">I19*Q19</f>
        <v>0</v>
      </c>
      <c r="U19" s="1931">
        <v>0</v>
      </c>
      <c r="V19" s="1921">
        <v>0</v>
      </c>
      <c r="W19" s="1921">
        <v>0</v>
      </c>
      <c r="X19" s="1921">
        <v>0</v>
      </c>
      <c r="Y19" s="2650">
        <v>0.2</v>
      </c>
      <c r="Z19" s="2643">
        <v>0</v>
      </c>
      <c r="AA19" s="3234">
        <v>0</v>
      </c>
      <c r="AB19" s="2643">
        <f t="shared" ref="AB19:AB56" si="6">Z19+AA19</f>
        <v>0</v>
      </c>
      <c r="AC19" s="2644"/>
      <c r="AD19" s="1946">
        <v>0</v>
      </c>
    </row>
    <row r="20" spans="2:30">
      <c r="B20" s="1908">
        <f>SUM(B16:B19)</f>
        <v>0.20500000000000002</v>
      </c>
      <c r="C20" s="1952"/>
      <c r="D20" s="1954"/>
      <c r="E20" s="1955"/>
      <c r="F20" s="1957"/>
      <c r="H20" s="3236" t="s">
        <v>1574</v>
      </c>
      <c r="I20" s="3232">
        <v>89</v>
      </c>
      <c r="J20" s="1932" t="s">
        <v>81</v>
      </c>
      <c r="K20" s="2581" t="s">
        <v>909</v>
      </c>
      <c r="L20" s="2583">
        <v>692</v>
      </c>
      <c r="M20" s="2585">
        <v>692</v>
      </c>
      <c r="N20" s="1922">
        <v>18</v>
      </c>
      <c r="O20" s="2587" t="s">
        <v>1084</v>
      </c>
      <c r="P20" s="3238">
        <v>7</v>
      </c>
      <c r="Q20" s="3238">
        <v>7</v>
      </c>
      <c r="R20" s="1931">
        <f t="shared" si="3"/>
        <v>14</v>
      </c>
      <c r="S20" s="1931">
        <f t="shared" si="4"/>
        <v>623</v>
      </c>
      <c r="T20" s="1931">
        <f t="shared" si="5"/>
        <v>623</v>
      </c>
      <c r="U20" s="1931">
        <v>1246</v>
      </c>
      <c r="V20" s="1921">
        <v>4844</v>
      </c>
      <c r="W20" s="1921">
        <v>4844</v>
      </c>
      <c r="X20" s="1921">
        <v>9688</v>
      </c>
      <c r="Y20" s="2650">
        <v>0.2</v>
      </c>
      <c r="Z20" s="2643">
        <v>1937.6000000000001</v>
      </c>
      <c r="AA20" s="3234">
        <v>2185.1414415422023</v>
      </c>
      <c r="AB20" s="2643">
        <f t="shared" si="6"/>
        <v>4122.7414415422027</v>
      </c>
      <c r="AC20" s="2644"/>
      <c r="AD20" s="1946">
        <v>0</v>
      </c>
    </row>
    <row r="21" spans="2:30">
      <c r="B21" s="2177"/>
      <c r="C21" s="2106" t="s">
        <v>1570</v>
      </c>
      <c r="D21" s="2158">
        <f>SUM(D22:D25)</f>
        <v>39850.559999999998</v>
      </c>
      <c r="E21" s="1926">
        <f>SUM(E22:E25)</f>
        <v>39850.559999999998</v>
      </c>
      <c r="F21" s="2157">
        <f>D21+E21</f>
        <v>79701.119999999995</v>
      </c>
      <c r="H21" s="3236" t="s">
        <v>1575</v>
      </c>
      <c r="I21" s="3232">
        <v>0.01</v>
      </c>
      <c r="J21" s="1932" t="s">
        <v>81</v>
      </c>
      <c r="K21" s="2581" t="s">
        <v>1067</v>
      </c>
      <c r="L21" s="2583">
        <v>0.7</v>
      </c>
      <c r="M21" s="2585">
        <v>0.7</v>
      </c>
      <c r="N21" s="1922">
        <v>25</v>
      </c>
      <c r="O21" s="2587" t="s">
        <v>1084</v>
      </c>
      <c r="P21" s="3238">
        <v>0</v>
      </c>
      <c r="Q21" s="3238">
        <v>0</v>
      </c>
      <c r="R21" s="1931">
        <f t="shared" si="3"/>
        <v>0</v>
      </c>
      <c r="S21" s="1931">
        <f t="shared" si="4"/>
        <v>0</v>
      </c>
      <c r="T21" s="1931">
        <f t="shared" si="5"/>
        <v>0</v>
      </c>
      <c r="U21" s="1931">
        <v>0</v>
      </c>
      <c r="V21" s="1921">
        <v>0</v>
      </c>
      <c r="W21" s="1921">
        <v>0</v>
      </c>
      <c r="X21" s="1921">
        <v>0</v>
      </c>
      <c r="Y21" s="2650">
        <v>0.2</v>
      </c>
      <c r="Z21" s="2643">
        <v>0</v>
      </c>
      <c r="AA21" s="3234">
        <v>0</v>
      </c>
      <c r="AB21" s="2643">
        <f t="shared" si="6"/>
        <v>0</v>
      </c>
      <c r="AC21" s="2644"/>
      <c r="AD21" s="1946">
        <v>2E-3</v>
      </c>
    </row>
    <row r="22" spans="2:30">
      <c r="B22" s="2177"/>
      <c r="C22" s="2197" t="s">
        <v>1571</v>
      </c>
      <c r="D22" s="2201">
        <v>39850.559999999998</v>
      </c>
      <c r="E22" s="2200">
        <v>39850.559999999998</v>
      </c>
      <c r="F22" s="1879">
        <f t="shared" ref="F22:F25" si="7">SUM(D22:E22)</f>
        <v>79701.119999999995</v>
      </c>
      <c r="H22" s="3236" t="s">
        <v>1576</v>
      </c>
      <c r="I22" s="3232">
        <v>0.09</v>
      </c>
      <c r="J22" s="1932" t="s">
        <v>81</v>
      </c>
      <c r="K22" s="2581" t="s">
        <v>1067</v>
      </c>
      <c r="L22" s="2583">
        <v>0.95</v>
      </c>
      <c r="M22" s="2585">
        <v>0.95</v>
      </c>
      <c r="N22" s="1922">
        <v>30</v>
      </c>
      <c r="O22" s="2587" t="s">
        <v>1084</v>
      </c>
      <c r="P22" s="3238">
        <v>250</v>
      </c>
      <c r="Q22" s="3238">
        <v>250</v>
      </c>
      <c r="R22" s="1931">
        <f t="shared" si="3"/>
        <v>500</v>
      </c>
      <c r="S22" s="1931">
        <f t="shared" si="4"/>
        <v>22.5</v>
      </c>
      <c r="T22" s="1931">
        <f t="shared" si="5"/>
        <v>22.5</v>
      </c>
      <c r="U22" s="1931">
        <v>45</v>
      </c>
      <c r="V22" s="1921">
        <v>237.5</v>
      </c>
      <c r="W22" s="1921">
        <v>237.5</v>
      </c>
      <c r="X22" s="1921">
        <v>475</v>
      </c>
      <c r="Y22" s="2650">
        <v>0.2</v>
      </c>
      <c r="Z22" s="2643">
        <v>95</v>
      </c>
      <c r="AA22" s="3234">
        <v>107.13688942326031</v>
      </c>
      <c r="AB22" s="2643">
        <f t="shared" si="6"/>
        <v>202.1368894232603</v>
      </c>
      <c r="AC22" s="2644"/>
      <c r="AD22" s="1946">
        <v>0</v>
      </c>
    </row>
    <row r="23" spans="2:30">
      <c r="B23" s="2177"/>
      <c r="C23" s="3114" t="s">
        <v>1607</v>
      </c>
      <c r="D23" s="1900"/>
      <c r="E23" s="1899"/>
      <c r="F23" s="2191">
        <f t="shared" si="7"/>
        <v>0</v>
      </c>
      <c r="H23" s="3236" t="s">
        <v>1577</v>
      </c>
      <c r="I23" s="3232">
        <v>0.09</v>
      </c>
      <c r="J23" s="1932" t="s">
        <v>81</v>
      </c>
      <c r="K23" s="2581" t="s">
        <v>1067</v>
      </c>
      <c r="L23" s="2583">
        <v>0.95</v>
      </c>
      <c r="M23" s="2585">
        <v>0.95</v>
      </c>
      <c r="N23" s="1922">
        <v>30</v>
      </c>
      <c r="O23" s="2587" t="s">
        <v>1084</v>
      </c>
      <c r="P23" s="3238">
        <v>5833</v>
      </c>
      <c r="Q23" s="3238">
        <v>5833</v>
      </c>
      <c r="R23" s="1931">
        <f t="shared" si="3"/>
        <v>11666</v>
      </c>
      <c r="S23" s="1931">
        <f t="shared" si="4"/>
        <v>524.97</v>
      </c>
      <c r="T23" s="1931">
        <f t="shared" si="5"/>
        <v>524.97</v>
      </c>
      <c r="U23" s="1931">
        <v>1049.94</v>
      </c>
      <c r="V23" s="1921">
        <v>5541.3499999999995</v>
      </c>
      <c r="W23" s="1921">
        <v>5541.3499999999995</v>
      </c>
      <c r="X23" s="1921">
        <v>11082.699999999999</v>
      </c>
      <c r="Y23" s="2650">
        <v>0.2</v>
      </c>
      <c r="Z23" s="2643">
        <v>2216.54</v>
      </c>
      <c r="AA23" s="3234">
        <v>2499.7179040235096</v>
      </c>
      <c r="AB23" s="2643">
        <f t="shared" si="6"/>
        <v>4716.2579040235096</v>
      </c>
      <c r="AC23" s="2644"/>
      <c r="AD23" s="1946">
        <v>3.1249629526816258E-2</v>
      </c>
    </row>
    <row r="24" spans="2:30">
      <c r="B24" s="2177"/>
      <c r="C24" s="2197"/>
      <c r="D24" s="1898"/>
      <c r="E24" s="1897"/>
      <c r="F24" s="2191">
        <f t="shared" si="7"/>
        <v>0</v>
      </c>
      <c r="H24" s="3236" t="s">
        <v>1578</v>
      </c>
      <c r="I24" s="3232">
        <v>0.06</v>
      </c>
      <c r="J24" s="1932" t="s">
        <v>81</v>
      </c>
      <c r="K24" s="2581" t="s">
        <v>1067</v>
      </c>
      <c r="L24" s="2583">
        <v>0.7</v>
      </c>
      <c r="M24" s="2585">
        <v>0.7</v>
      </c>
      <c r="N24" s="1922">
        <v>30</v>
      </c>
      <c r="O24" s="2587" t="s">
        <v>1084</v>
      </c>
      <c r="P24" s="3238">
        <v>5500</v>
      </c>
      <c r="Q24" s="3238">
        <v>5500</v>
      </c>
      <c r="R24" s="1931">
        <f t="shared" si="3"/>
        <v>11000</v>
      </c>
      <c r="S24" s="1931">
        <f t="shared" si="4"/>
        <v>330</v>
      </c>
      <c r="T24" s="1931">
        <f t="shared" si="5"/>
        <v>330</v>
      </c>
      <c r="U24" s="1931">
        <v>660</v>
      </c>
      <c r="V24" s="1921">
        <v>3849.9999999999995</v>
      </c>
      <c r="W24" s="1921">
        <v>3849.9999999999995</v>
      </c>
      <c r="X24" s="1921">
        <v>7699.9999999999991</v>
      </c>
      <c r="Y24" s="2650">
        <v>0.2</v>
      </c>
      <c r="Z24" s="2643">
        <v>1540</v>
      </c>
      <c r="AA24" s="3234">
        <v>1736.7453653875884</v>
      </c>
      <c r="AB24" s="2643">
        <f t="shared" si="6"/>
        <v>3276.7453653875882</v>
      </c>
      <c r="AC24" s="2644"/>
      <c r="AD24" s="1946">
        <v>0</v>
      </c>
    </row>
    <row r="25" spans="2:30">
      <c r="B25" s="2177"/>
      <c r="C25" s="2197"/>
      <c r="D25" s="1896"/>
      <c r="E25" s="1899"/>
      <c r="F25" s="2191">
        <f t="shared" si="7"/>
        <v>0</v>
      </c>
      <c r="H25" s="3236" t="s">
        <v>1579</v>
      </c>
      <c r="I25" s="3232">
        <v>0.02</v>
      </c>
      <c r="J25" s="1932" t="s">
        <v>81</v>
      </c>
      <c r="K25" s="2581" t="s">
        <v>1067</v>
      </c>
      <c r="L25" s="2583">
        <v>0.7</v>
      </c>
      <c r="M25" s="2585">
        <v>0.7</v>
      </c>
      <c r="N25" s="1922">
        <v>30</v>
      </c>
      <c r="O25" s="2587" t="s">
        <v>1084</v>
      </c>
      <c r="P25" s="3238">
        <v>11698</v>
      </c>
      <c r="Q25" s="3238">
        <v>11698</v>
      </c>
      <c r="R25" s="1931">
        <f t="shared" si="3"/>
        <v>23396</v>
      </c>
      <c r="S25" s="1931">
        <f t="shared" si="4"/>
        <v>233.96</v>
      </c>
      <c r="T25" s="1931">
        <f t="shared" si="5"/>
        <v>233.96</v>
      </c>
      <c r="U25" s="1931">
        <v>467.92</v>
      </c>
      <c r="V25" s="1921">
        <v>8188.5999999999995</v>
      </c>
      <c r="W25" s="1921">
        <v>8188.5999999999995</v>
      </c>
      <c r="X25" s="1921">
        <v>16377.199999999999</v>
      </c>
      <c r="Y25" s="2650">
        <v>0.2</v>
      </c>
      <c r="Z25" s="2643">
        <v>3275.4399999999996</v>
      </c>
      <c r="AA25" s="3234">
        <v>3693.8995062370918</v>
      </c>
      <c r="AB25" s="2643">
        <f t="shared" si="6"/>
        <v>6969.339506237091</v>
      </c>
      <c r="AC25" s="2644"/>
      <c r="AD25" s="1946">
        <v>6.7142655073156934E-3</v>
      </c>
    </row>
    <row r="26" spans="2:30">
      <c r="B26" s="2177"/>
      <c r="C26" s="1877"/>
      <c r="D26" s="1892"/>
      <c r="E26" s="1884"/>
      <c r="F26" s="1892"/>
      <c r="H26" s="3236" t="s">
        <v>1580</v>
      </c>
      <c r="I26" s="3232">
        <v>0.2</v>
      </c>
      <c r="J26" s="1932" t="s">
        <v>81</v>
      </c>
      <c r="K26" s="2581" t="s">
        <v>1068</v>
      </c>
      <c r="L26" s="2583">
        <v>2.5</v>
      </c>
      <c r="M26" s="2585">
        <v>2.5</v>
      </c>
      <c r="N26" s="1922">
        <v>30</v>
      </c>
      <c r="O26" s="2587" t="s">
        <v>1084</v>
      </c>
      <c r="P26" s="3238">
        <v>0</v>
      </c>
      <c r="Q26" s="3238">
        <v>0</v>
      </c>
      <c r="R26" s="1931">
        <f t="shared" si="3"/>
        <v>0</v>
      </c>
      <c r="S26" s="1931">
        <f t="shared" si="4"/>
        <v>0</v>
      </c>
      <c r="T26" s="1931">
        <f t="shared" si="5"/>
        <v>0</v>
      </c>
      <c r="U26" s="1931">
        <v>0</v>
      </c>
      <c r="V26" s="1921">
        <v>0</v>
      </c>
      <c r="W26" s="1921">
        <v>0</v>
      </c>
      <c r="X26" s="1921">
        <v>0</v>
      </c>
      <c r="Y26" s="2650">
        <v>0.2</v>
      </c>
      <c r="Z26" s="2643">
        <v>0</v>
      </c>
      <c r="AA26" s="3234">
        <v>0</v>
      </c>
      <c r="AB26" s="2643">
        <f t="shared" si="6"/>
        <v>0</v>
      </c>
      <c r="AC26" s="2644"/>
      <c r="AD26" s="1946">
        <v>0</v>
      </c>
    </row>
    <row r="27" spans="2:30">
      <c r="C27" s="1910" t="s">
        <v>47</v>
      </c>
      <c r="D27" s="1911">
        <f>SUM(D28:D31)</f>
        <v>1600</v>
      </c>
      <c r="E27" s="1926">
        <f>SUM(E28:E31)</f>
        <v>1600</v>
      </c>
      <c r="F27" s="1924">
        <f>D27+E27</f>
        <v>3200</v>
      </c>
      <c r="H27" s="3236" t="s">
        <v>1581</v>
      </c>
      <c r="I27" s="3232">
        <v>0.2</v>
      </c>
      <c r="J27" s="1932" t="s">
        <v>81</v>
      </c>
      <c r="K27" s="2581" t="s">
        <v>1068</v>
      </c>
      <c r="L27" s="2583">
        <v>2.5</v>
      </c>
      <c r="M27" s="2585">
        <v>2.5</v>
      </c>
      <c r="N27" s="1922">
        <v>30</v>
      </c>
      <c r="O27" s="2587" t="s">
        <v>1084</v>
      </c>
      <c r="P27" s="3238">
        <v>8392</v>
      </c>
      <c r="Q27" s="3238">
        <v>8392</v>
      </c>
      <c r="R27" s="1931">
        <f t="shared" si="3"/>
        <v>16784</v>
      </c>
      <c r="S27" s="1931">
        <f t="shared" si="4"/>
        <v>1678.4</v>
      </c>
      <c r="T27" s="1931">
        <f t="shared" si="5"/>
        <v>1678.4</v>
      </c>
      <c r="U27" s="1931">
        <v>3356.8</v>
      </c>
      <c r="V27" s="1921">
        <v>20980</v>
      </c>
      <c r="W27" s="1921">
        <v>20980</v>
      </c>
      <c r="X27" s="1921">
        <v>41960</v>
      </c>
      <c r="Y27" s="2650">
        <v>0.2</v>
      </c>
      <c r="Z27" s="2643">
        <v>8392</v>
      </c>
      <c r="AA27" s="3234">
        <v>9464.1344846315842</v>
      </c>
      <c r="AB27" s="2643">
        <f t="shared" si="6"/>
        <v>17856.134484631584</v>
      </c>
      <c r="AC27" s="2644"/>
      <c r="AD27" s="1946">
        <v>0</v>
      </c>
    </row>
    <row r="28" spans="2:30">
      <c r="C28" s="1876" t="s">
        <v>968</v>
      </c>
      <c r="D28" s="1907">
        <v>1600</v>
      </c>
      <c r="E28" s="1906">
        <v>1600</v>
      </c>
      <c r="F28" s="1879">
        <f t="shared" si="2"/>
        <v>3200</v>
      </c>
      <c r="H28" s="3236" t="s">
        <v>1582</v>
      </c>
      <c r="I28" s="3232">
        <v>0.02</v>
      </c>
      <c r="J28" s="1932" t="s">
        <v>81</v>
      </c>
      <c r="K28" s="2581" t="s">
        <v>1067</v>
      </c>
      <c r="L28" s="2583">
        <v>0.7</v>
      </c>
      <c r="M28" s="2585">
        <v>0.7</v>
      </c>
      <c r="N28" s="1922">
        <v>25</v>
      </c>
      <c r="O28" s="2587" t="s">
        <v>1084</v>
      </c>
      <c r="P28" s="3238">
        <v>0</v>
      </c>
      <c r="Q28" s="3238">
        <v>0</v>
      </c>
      <c r="R28" s="1931">
        <f t="shared" si="3"/>
        <v>0</v>
      </c>
      <c r="S28" s="1931">
        <f t="shared" si="4"/>
        <v>0</v>
      </c>
      <c r="T28" s="1931">
        <f t="shared" si="5"/>
        <v>0</v>
      </c>
      <c r="U28" s="1931">
        <v>0</v>
      </c>
      <c r="V28" s="1921">
        <v>0</v>
      </c>
      <c r="W28" s="1921">
        <v>0</v>
      </c>
      <c r="X28" s="1921">
        <v>0</v>
      </c>
      <c r="Y28" s="2650">
        <v>0.2</v>
      </c>
      <c r="Z28" s="2643">
        <v>0</v>
      </c>
      <c r="AA28" s="3234">
        <v>0</v>
      </c>
      <c r="AB28" s="2643">
        <f t="shared" si="6"/>
        <v>0</v>
      </c>
      <c r="AC28" s="2644"/>
      <c r="AD28" s="1946">
        <v>3.0000000000000001E-3</v>
      </c>
    </row>
    <row r="29" spans="2:30">
      <c r="C29" s="1876" t="s">
        <v>1193</v>
      </c>
      <c r="D29" s="1900"/>
      <c r="E29" s="1899"/>
      <c r="F29" s="1891">
        <f t="shared" si="2"/>
        <v>0</v>
      </c>
      <c r="H29" s="3236" t="s">
        <v>1583</v>
      </c>
      <c r="I29" s="3232">
        <v>0.06</v>
      </c>
      <c r="J29" s="1932" t="s">
        <v>81</v>
      </c>
      <c r="K29" s="2581" t="s">
        <v>1067</v>
      </c>
      <c r="L29" s="2583">
        <v>0.85</v>
      </c>
      <c r="M29" s="2585">
        <v>0.85</v>
      </c>
      <c r="N29" s="1922">
        <v>30</v>
      </c>
      <c r="O29" s="2587" t="s">
        <v>1084</v>
      </c>
      <c r="P29" s="3238">
        <v>0</v>
      </c>
      <c r="Q29" s="3238">
        <v>0</v>
      </c>
      <c r="R29" s="1931">
        <f t="shared" si="3"/>
        <v>0</v>
      </c>
      <c r="S29" s="1931">
        <f t="shared" si="4"/>
        <v>0</v>
      </c>
      <c r="T29" s="1931">
        <f t="shared" si="5"/>
        <v>0</v>
      </c>
      <c r="U29" s="1931">
        <v>0</v>
      </c>
      <c r="V29" s="1921">
        <v>0</v>
      </c>
      <c r="W29" s="1921">
        <v>0</v>
      </c>
      <c r="X29" s="1921">
        <v>0</v>
      </c>
      <c r="Y29" s="2650">
        <v>0.2</v>
      </c>
      <c r="Z29" s="2643">
        <v>0</v>
      </c>
      <c r="AA29" s="3234">
        <v>0</v>
      </c>
      <c r="AB29" s="2643">
        <f t="shared" si="6"/>
        <v>0</v>
      </c>
      <c r="AC29" s="2644"/>
      <c r="AD29" s="1946">
        <v>0</v>
      </c>
    </row>
    <row r="30" spans="2:30">
      <c r="C30" s="1876"/>
      <c r="D30" s="1898"/>
      <c r="E30" s="1897"/>
      <c r="F30" s="1891">
        <f t="shared" si="2"/>
        <v>0</v>
      </c>
      <c r="H30" s="3236" t="s">
        <v>1584</v>
      </c>
      <c r="I30" s="3232">
        <v>0.06</v>
      </c>
      <c r="J30" s="1932" t="s">
        <v>81</v>
      </c>
      <c r="K30" s="2581" t="s">
        <v>1067</v>
      </c>
      <c r="L30" s="2583">
        <v>0.8</v>
      </c>
      <c r="M30" s="2585">
        <v>0.8</v>
      </c>
      <c r="N30" s="1922">
        <v>25</v>
      </c>
      <c r="O30" s="2587" t="s">
        <v>1084</v>
      </c>
      <c r="P30" s="3238">
        <v>0</v>
      </c>
      <c r="Q30" s="3238">
        <v>0</v>
      </c>
      <c r="R30" s="1931">
        <f t="shared" si="3"/>
        <v>0</v>
      </c>
      <c r="S30" s="1931">
        <f t="shared" si="4"/>
        <v>0</v>
      </c>
      <c r="T30" s="1931">
        <f t="shared" si="5"/>
        <v>0</v>
      </c>
      <c r="U30" s="1931">
        <v>0</v>
      </c>
      <c r="V30" s="1921">
        <v>0</v>
      </c>
      <c r="W30" s="1921">
        <v>0</v>
      </c>
      <c r="X30" s="1921">
        <v>0</v>
      </c>
      <c r="Y30" s="2650">
        <v>0.2</v>
      </c>
      <c r="Z30" s="2643">
        <v>0</v>
      </c>
      <c r="AA30" s="3234">
        <v>0</v>
      </c>
      <c r="AB30" s="2643">
        <f t="shared" si="6"/>
        <v>0</v>
      </c>
      <c r="AC30" s="2644"/>
      <c r="AD30" s="1946">
        <v>0</v>
      </c>
    </row>
    <row r="31" spans="2:30">
      <c r="C31" s="1876"/>
      <c r="D31" s="1896"/>
      <c r="E31" s="1899"/>
      <c r="F31" s="1891">
        <f t="shared" si="2"/>
        <v>0</v>
      </c>
      <c r="H31" s="3236" t="s">
        <v>1585</v>
      </c>
      <c r="I31" s="3232">
        <v>0.04</v>
      </c>
      <c r="J31" s="1932" t="s">
        <v>81</v>
      </c>
      <c r="K31" s="2581" t="s">
        <v>1067</v>
      </c>
      <c r="L31" s="2583">
        <v>0.85</v>
      </c>
      <c r="M31" s="2585">
        <v>0.85</v>
      </c>
      <c r="N31" s="1922">
        <v>30</v>
      </c>
      <c r="O31" s="2587" t="s">
        <v>1084</v>
      </c>
      <c r="P31" s="3238">
        <v>27561</v>
      </c>
      <c r="Q31" s="3238">
        <v>27561</v>
      </c>
      <c r="R31" s="1931">
        <f t="shared" si="3"/>
        <v>55122</v>
      </c>
      <c r="S31" s="1931">
        <f t="shared" si="4"/>
        <v>1102.44</v>
      </c>
      <c r="T31" s="1931">
        <f t="shared" si="5"/>
        <v>1102.44</v>
      </c>
      <c r="U31" s="1931">
        <v>2204.88</v>
      </c>
      <c r="V31" s="1921">
        <v>23426.85</v>
      </c>
      <c r="W31" s="1921">
        <v>23426.85</v>
      </c>
      <c r="X31" s="1921">
        <v>46853.7</v>
      </c>
      <c r="Y31" s="2650">
        <v>0.2</v>
      </c>
      <c r="Z31" s="2643">
        <v>9370.7400000000016</v>
      </c>
      <c r="AA31" s="3234">
        <v>10567.915107306551</v>
      </c>
      <c r="AB31" s="2643">
        <f t="shared" si="6"/>
        <v>19938.655107306553</v>
      </c>
      <c r="AC31" s="2644"/>
      <c r="AD31" s="1946">
        <v>1.5838437054840622E-2</v>
      </c>
    </row>
    <row r="32" spans="2:30">
      <c r="C32" s="1877"/>
      <c r="D32" s="1892"/>
      <c r="E32" s="1884"/>
      <c r="F32" s="1892"/>
      <c r="H32" s="3236" t="s">
        <v>1586</v>
      </c>
      <c r="I32" s="3232">
        <v>0.06</v>
      </c>
      <c r="J32" s="1932" t="s">
        <v>81</v>
      </c>
      <c r="K32" s="2581" t="s">
        <v>1067</v>
      </c>
      <c r="L32" s="2583">
        <v>0.85</v>
      </c>
      <c r="M32" s="2585">
        <v>0.85</v>
      </c>
      <c r="N32" s="1922">
        <v>30</v>
      </c>
      <c r="O32" s="2587" t="s">
        <v>1084</v>
      </c>
      <c r="P32" s="3238">
        <v>479</v>
      </c>
      <c r="Q32" s="3238">
        <v>479</v>
      </c>
      <c r="R32" s="1931">
        <f t="shared" si="3"/>
        <v>958</v>
      </c>
      <c r="S32" s="1931">
        <f t="shared" si="4"/>
        <v>28.74</v>
      </c>
      <c r="T32" s="1931">
        <f t="shared" si="5"/>
        <v>28.74</v>
      </c>
      <c r="U32" s="1931">
        <v>57.48</v>
      </c>
      <c r="V32" s="1921">
        <v>407.15</v>
      </c>
      <c r="W32" s="1921">
        <v>407.15</v>
      </c>
      <c r="X32" s="1921">
        <v>814.3</v>
      </c>
      <c r="Y32" s="2650">
        <v>0.2</v>
      </c>
      <c r="Z32" s="2643">
        <v>162.86000000000001</v>
      </c>
      <c r="AA32" s="3234">
        <v>183.66646117339133</v>
      </c>
      <c r="AB32" s="2643">
        <f t="shared" si="6"/>
        <v>346.52646117339134</v>
      </c>
      <c r="AC32" s="2644"/>
      <c r="AD32" s="1946">
        <v>0</v>
      </c>
    </row>
    <row r="33" spans="1:30">
      <c r="C33" s="1910" t="s">
        <v>48</v>
      </c>
      <c r="D33" s="1911">
        <f>SUM(D35:D38)</f>
        <v>14554.466930000002</v>
      </c>
      <c r="E33" s="1926">
        <f>SUM(E35:E38)</f>
        <v>15181.897600000004</v>
      </c>
      <c r="F33" s="1924">
        <f>D33+E33</f>
        <v>29736.364530000006</v>
      </c>
      <c r="H33" s="3236" t="s">
        <v>1587</v>
      </c>
      <c r="I33" s="3232">
        <v>0.08</v>
      </c>
      <c r="J33" s="1932" t="s">
        <v>81</v>
      </c>
      <c r="K33" s="2581" t="s">
        <v>1067</v>
      </c>
      <c r="L33" s="2583">
        <v>0.8</v>
      </c>
      <c r="M33" s="2585">
        <v>0.8</v>
      </c>
      <c r="N33" s="1922">
        <v>25</v>
      </c>
      <c r="O33" s="2587" t="s">
        <v>1084</v>
      </c>
      <c r="P33" s="3238">
        <v>0</v>
      </c>
      <c r="Q33" s="3238">
        <v>0</v>
      </c>
      <c r="R33" s="1931">
        <f t="shared" si="3"/>
        <v>0</v>
      </c>
      <c r="S33" s="1931">
        <f t="shared" si="4"/>
        <v>0</v>
      </c>
      <c r="T33" s="1931">
        <f t="shared" si="5"/>
        <v>0</v>
      </c>
      <c r="U33" s="1931">
        <v>0</v>
      </c>
      <c r="V33" s="1921">
        <v>0</v>
      </c>
      <c r="W33" s="1921">
        <v>0</v>
      </c>
      <c r="X33" s="1921">
        <v>0</v>
      </c>
      <c r="Y33" s="2650">
        <v>0.2</v>
      </c>
      <c r="Z33" s="2643">
        <v>0</v>
      </c>
      <c r="AA33" s="3234">
        <v>0</v>
      </c>
      <c r="AB33" s="2643">
        <f t="shared" si="6"/>
        <v>0</v>
      </c>
      <c r="AC33" s="2644"/>
      <c r="AD33" s="1946">
        <v>0</v>
      </c>
    </row>
    <row r="34" spans="1:30" ht="25.5">
      <c r="A34" s="1853" t="s">
        <v>175</v>
      </c>
      <c r="C34" s="1909" t="s">
        <v>315</v>
      </c>
      <c r="D34" s="1912">
        <v>0.66700000000000004</v>
      </c>
      <c r="E34" s="1913">
        <v>0.68</v>
      </c>
      <c r="F34" s="1949"/>
      <c r="H34" s="3236" t="s">
        <v>1588</v>
      </c>
      <c r="I34" s="3232">
        <v>7.0000000000000007E-2</v>
      </c>
      <c r="J34" s="1932" t="s">
        <v>81</v>
      </c>
      <c r="K34" s="2581" t="s">
        <v>1067</v>
      </c>
      <c r="L34" s="2583">
        <v>0.85</v>
      </c>
      <c r="M34" s="2585">
        <v>0.85</v>
      </c>
      <c r="N34" s="1922">
        <v>30</v>
      </c>
      <c r="O34" s="2587" t="s">
        <v>1084</v>
      </c>
      <c r="P34" s="3238">
        <v>20863</v>
      </c>
      <c r="Q34" s="3238">
        <v>20863</v>
      </c>
      <c r="R34" s="1931">
        <f t="shared" si="3"/>
        <v>41726</v>
      </c>
      <c r="S34" s="1931">
        <f t="shared" si="4"/>
        <v>1460.41</v>
      </c>
      <c r="T34" s="1931">
        <f t="shared" si="5"/>
        <v>1460.41</v>
      </c>
      <c r="U34" s="1931">
        <v>2920.82</v>
      </c>
      <c r="V34" s="1921">
        <v>17733.55</v>
      </c>
      <c r="W34" s="1921">
        <v>17733.55</v>
      </c>
      <c r="X34" s="1921">
        <v>35467.1</v>
      </c>
      <c r="Y34" s="2650">
        <v>0.2</v>
      </c>
      <c r="Z34" s="2643">
        <v>7093.42</v>
      </c>
      <c r="AA34" s="3234">
        <v>7999.6521491867707</v>
      </c>
      <c r="AB34" s="2643">
        <f t="shared" si="6"/>
        <v>15093.07214918677</v>
      </c>
      <c r="AC34" s="2644"/>
      <c r="AD34" s="1946">
        <v>2.7619390344973307E-2</v>
      </c>
    </row>
    <row r="35" spans="1:30">
      <c r="A35" s="1808" t="s">
        <v>297</v>
      </c>
      <c r="C35" s="1876" t="s">
        <v>778</v>
      </c>
      <c r="D35" s="1971">
        <f>D15*D34</f>
        <v>13487.266930000002</v>
      </c>
      <c r="E35" s="1972">
        <f>E15*E34</f>
        <v>14093.897600000004</v>
      </c>
      <c r="F35" s="1891">
        <f t="shared" si="2"/>
        <v>27581.164530000005</v>
      </c>
      <c r="H35" s="3236" t="s">
        <v>1589</v>
      </c>
      <c r="I35" s="3232">
        <v>6</v>
      </c>
      <c r="J35" s="1932" t="s">
        <v>81</v>
      </c>
      <c r="K35" s="2581" t="s">
        <v>909</v>
      </c>
      <c r="L35" s="2583">
        <v>25</v>
      </c>
      <c r="M35" s="2585">
        <v>25</v>
      </c>
      <c r="N35" s="1922">
        <v>30</v>
      </c>
      <c r="O35" s="2587" t="s">
        <v>910</v>
      </c>
      <c r="P35" s="3238">
        <v>50</v>
      </c>
      <c r="Q35" s="3238">
        <v>50</v>
      </c>
      <c r="R35" s="1931">
        <f t="shared" si="3"/>
        <v>100</v>
      </c>
      <c r="S35" s="1931">
        <f t="shared" si="4"/>
        <v>300</v>
      </c>
      <c r="T35" s="1931">
        <f t="shared" si="5"/>
        <v>300</v>
      </c>
      <c r="U35" s="1931">
        <v>600</v>
      </c>
      <c r="V35" s="1921">
        <v>1250</v>
      </c>
      <c r="W35" s="1921">
        <v>1250</v>
      </c>
      <c r="X35" s="1921">
        <v>2500</v>
      </c>
      <c r="Y35" s="2650">
        <v>0.2</v>
      </c>
      <c r="Z35" s="2643">
        <v>500</v>
      </c>
      <c r="AA35" s="3234">
        <v>563.87836538558065</v>
      </c>
      <c r="AB35" s="2643">
        <f t="shared" si="6"/>
        <v>1063.8783653855808</v>
      </c>
      <c r="AC35" s="2644"/>
      <c r="AD35" s="1946">
        <v>11.4</v>
      </c>
    </row>
    <row r="36" spans="1:30">
      <c r="A36" s="1852" t="s">
        <v>6</v>
      </c>
      <c r="C36" s="1876" t="s">
        <v>779</v>
      </c>
      <c r="D36" s="1973">
        <f>D27*D34</f>
        <v>1067.2</v>
      </c>
      <c r="E36" s="1972">
        <f>E27*E34</f>
        <v>1088</v>
      </c>
      <c r="F36" s="1891">
        <f t="shared" si="2"/>
        <v>2155.1999999999998</v>
      </c>
      <c r="H36" s="3236" t="s">
        <v>1590</v>
      </c>
      <c r="I36" s="3232">
        <v>6</v>
      </c>
      <c r="J36" s="1932" t="s">
        <v>81</v>
      </c>
      <c r="K36" s="2581" t="s">
        <v>909</v>
      </c>
      <c r="L36" s="2583">
        <v>25</v>
      </c>
      <c r="M36" s="2585">
        <v>25</v>
      </c>
      <c r="N36" s="1922">
        <v>25</v>
      </c>
      <c r="O36" s="2587" t="s">
        <v>910</v>
      </c>
      <c r="P36" s="3238">
        <v>10</v>
      </c>
      <c r="Q36" s="3238">
        <v>10</v>
      </c>
      <c r="R36" s="1931">
        <f t="shared" si="3"/>
        <v>20</v>
      </c>
      <c r="S36" s="1931">
        <f t="shared" si="4"/>
        <v>60</v>
      </c>
      <c r="T36" s="1931">
        <f t="shared" si="5"/>
        <v>60</v>
      </c>
      <c r="U36" s="1931">
        <v>120</v>
      </c>
      <c r="V36" s="1921">
        <v>250</v>
      </c>
      <c r="W36" s="1921">
        <v>250</v>
      </c>
      <c r="X36" s="1921">
        <v>500</v>
      </c>
      <c r="Y36" s="2650">
        <v>0.2</v>
      </c>
      <c r="Z36" s="2643">
        <v>100</v>
      </c>
      <c r="AA36" s="3234">
        <v>112.77567307711614</v>
      </c>
      <c r="AB36" s="2643">
        <f t="shared" si="6"/>
        <v>212.77567307711615</v>
      </c>
      <c r="AC36" s="2644"/>
      <c r="AD36" s="1946">
        <v>11.4</v>
      </c>
    </row>
    <row r="37" spans="1:30">
      <c r="A37" s="1852">
        <v>18230661</v>
      </c>
      <c r="C37" s="1901"/>
      <c r="D37" s="1898"/>
      <c r="E37" s="1897"/>
      <c r="F37" s="1889"/>
      <c r="H37" s="3236" t="s">
        <v>1591</v>
      </c>
      <c r="I37" s="3232">
        <v>6</v>
      </c>
      <c r="J37" s="1932" t="s">
        <v>81</v>
      </c>
      <c r="K37" s="2581" t="s">
        <v>909</v>
      </c>
      <c r="L37" s="2583">
        <v>25</v>
      </c>
      <c r="M37" s="2585">
        <v>25</v>
      </c>
      <c r="N37" s="1922">
        <v>30</v>
      </c>
      <c r="O37" s="2587" t="s">
        <v>910</v>
      </c>
      <c r="P37" s="3238">
        <v>50</v>
      </c>
      <c r="Q37" s="3238">
        <v>50</v>
      </c>
      <c r="R37" s="1931">
        <f t="shared" si="3"/>
        <v>100</v>
      </c>
      <c r="S37" s="1931">
        <f t="shared" si="4"/>
        <v>300</v>
      </c>
      <c r="T37" s="1931">
        <f t="shared" si="5"/>
        <v>300</v>
      </c>
      <c r="U37" s="1931">
        <v>600</v>
      </c>
      <c r="V37" s="1921">
        <v>1250</v>
      </c>
      <c r="W37" s="1921">
        <v>1250</v>
      </c>
      <c r="X37" s="1921">
        <v>2500</v>
      </c>
      <c r="Y37" s="2650">
        <v>0.2</v>
      </c>
      <c r="Z37" s="2643">
        <v>500</v>
      </c>
      <c r="AA37" s="3234">
        <v>563.87836538558065</v>
      </c>
      <c r="AB37" s="2643">
        <f t="shared" si="6"/>
        <v>1063.8783653855808</v>
      </c>
      <c r="AC37" s="2644"/>
      <c r="AD37" s="1946">
        <v>11.4</v>
      </c>
    </row>
    <row r="38" spans="1:30">
      <c r="A38" s="1852" t="s">
        <v>31</v>
      </c>
      <c r="C38" s="1901"/>
      <c r="D38" s="1896"/>
      <c r="E38" s="1899"/>
      <c r="F38" s="1890"/>
      <c r="H38" s="3236" t="s">
        <v>1592</v>
      </c>
      <c r="I38" s="3232">
        <v>39.4</v>
      </c>
      <c r="J38" s="1932" t="s">
        <v>81</v>
      </c>
      <c r="K38" s="2581" t="s">
        <v>909</v>
      </c>
      <c r="L38" s="2583">
        <v>350</v>
      </c>
      <c r="M38" s="2585">
        <v>350</v>
      </c>
      <c r="N38" s="1922">
        <v>20</v>
      </c>
      <c r="O38" s="2587" t="s">
        <v>1084</v>
      </c>
      <c r="P38" s="3238">
        <v>20</v>
      </c>
      <c r="Q38" s="3238">
        <v>20</v>
      </c>
      <c r="R38" s="1931">
        <f t="shared" si="3"/>
        <v>40</v>
      </c>
      <c r="S38" s="1931">
        <f t="shared" si="4"/>
        <v>788</v>
      </c>
      <c r="T38" s="1931">
        <f t="shared" si="5"/>
        <v>788</v>
      </c>
      <c r="U38" s="1931">
        <v>1760</v>
      </c>
      <c r="V38" s="1921">
        <v>7000</v>
      </c>
      <c r="W38" s="1921">
        <v>7000</v>
      </c>
      <c r="X38" s="1921">
        <v>14000</v>
      </c>
      <c r="Y38" s="2650">
        <v>0.2</v>
      </c>
      <c r="Z38" s="2643">
        <v>2800</v>
      </c>
      <c r="AA38" s="3234">
        <v>3157.7188461592518</v>
      </c>
      <c r="AB38" s="2643">
        <f t="shared" si="6"/>
        <v>5957.7188461592523</v>
      </c>
      <c r="AC38" s="2644"/>
      <c r="AD38" s="1946">
        <v>0</v>
      </c>
    </row>
    <row r="39" spans="1:30">
      <c r="C39" s="1952"/>
      <c r="D39" s="1958"/>
      <c r="E39" s="1955"/>
      <c r="F39" s="1958"/>
      <c r="H39" s="3236" t="s">
        <v>1593</v>
      </c>
      <c r="I39" s="3232">
        <v>30</v>
      </c>
      <c r="J39" s="1932" t="s">
        <v>81</v>
      </c>
      <c r="K39" s="2581" t="s">
        <v>909</v>
      </c>
      <c r="L39" s="2583">
        <v>350</v>
      </c>
      <c r="M39" s="2585">
        <v>350</v>
      </c>
      <c r="N39" s="1922">
        <v>20</v>
      </c>
      <c r="O39" s="2587" t="s">
        <v>1084</v>
      </c>
      <c r="P39" s="3238">
        <v>30</v>
      </c>
      <c r="Q39" s="3238">
        <v>30</v>
      </c>
      <c r="R39" s="1931">
        <f t="shared" si="3"/>
        <v>60</v>
      </c>
      <c r="S39" s="1931">
        <f t="shared" si="4"/>
        <v>900</v>
      </c>
      <c r="T39" s="1931">
        <f t="shared" si="5"/>
        <v>900</v>
      </c>
      <c r="U39" s="1931">
        <v>1800</v>
      </c>
      <c r="V39" s="1921">
        <v>10500</v>
      </c>
      <c r="W39" s="1921">
        <v>10500</v>
      </c>
      <c r="X39" s="1921">
        <v>21000</v>
      </c>
      <c r="Y39" s="2650">
        <v>0.2</v>
      </c>
      <c r="Z39" s="2643">
        <v>4200</v>
      </c>
      <c r="AA39" s="3234">
        <v>4736.5782692388775</v>
      </c>
      <c r="AB39" s="2643">
        <f t="shared" si="6"/>
        <v>8936.5782692388784</v>
      </c>
      <c r="AC39" s="2644"/>
      <c r="AD39" s="1946">
        <v>11</v>
      </c>
    </row>
    <row r="40" spans="1:30">
      <c r="C40" s="1910" t="s">
        <v>49</v>
      </c>
      <c r="D40" s="1911">
        <f>SUM(D41:D44)</f>
        <v>5000</v>
      </c>
      <c r="E40" s="1926">
        <f>SUM(E41:E44)</f>
        <v>5000</v>
      </c>
      <c r="F40" s="1924">
        <f>D40+E40</f>
        <v>10000</v>
      </c>
      <c r="H40" s="3236" t="s">
        <v>1594</v>
      </c>
      <c r="I40" s="3232">
        <v>0.01</v>
      </c>
      <c r="J40" s="1932" t="s">
        <v>81</v>
      </c>
      <c r="K40" s="2581" t="s">
        <v>1067</v>
      </c>
      <c r="L40" s="2583">
        <v>0.4</v>
      </c>
      <c r="M40" s="2585">
        <v>0.4</v>
      </c>
      <c r="N40" s="1922">
        <v>25</v>
      </c>
      <c r="O40" s="2587" t="s">
        <v>1084</v>
      </c>
      <c r="P40" s="3238">
        <v>25000</v>
      </c>
      <c r="Q40" s="3238">
        <v>25000</v>
      </c>
      <c r="R40" s="1931">
        <f t="shared" si="3"/>
        <v>50000</v>
      </c>
      <c r="S40" s="1931">
        <f t="shared" si="4"/>
        <v>250</v>
      </c>
      <c r="T40" s="1931">
        <f t="shared" si="5"/>
        <v>250</v>
      </c>
      <c r="U40" s="1931">
        <v>500</v>
      </c>
      <c r="V40" s="1921">
        <v>10000</v>
      </c>
      <c r="W40" s="1921">
        <v>10000</v>
      </c>
      <c r="X40" s="1921">
        <v>20000</v>
      </c>
      <c r="Y40" s="2650">
        <v>0.2</v>
      </c>
      <c r="Z40" s="2643">
        <v>4000</v>
      </c>
      <c r="AA40" s="3234">
        <v>4511.0269230846452</v>
      </c>
      <c r="AB40" s="2643">
        <f t="shared" si="6"/>
        <v>8511.0269230846461</v>
      </c>
      <c r="AC40" s="2644"/>
      <c r="AD40" s="1946">
        <v>2E-3</v>
      </c>
    </row>
    <row r="41" spans="1:30">
      <c r="C41" s="1876" t="s">
        <v>13</v>
      </c>
      <c r="D41" s="1971">
        <v>5000</v>
      </c>
      <c r="E41" s="1988">
        <v>5000</v>
      </c>
      <c r="F41" s="1891">
        <f t="shared" ref="F41:F50" si="8">SUM(D41:E41)</f>
        <v>10000</v>
      </c>
      <c r="H41" s="3236" t="s">
        <v>1595</v>
      </c>
      <c r="I41" s="3232">
        <v>0.02</v>
      </c>
      <c r="J41" s="1932" t="s">
        <v>81</v>
      </c>
      <c r="K41" s="2581" t="s">
        <v>1067</v>
      </c>
      <c r="L41" s="2583">
        <v>0.4</v>
      </c>
      <c r="M41" s="2585">
        <v>0.4</v>
      </c>
      <c r="N41" s="1922">
        <v>15</v>
      </c>
      <c r="O41" s="2587" t="s">
        <v>1084</v>
      </c>
      <c r="P41" s="3238">
        <v>37197</v>
      </c>
      <c r="Q41" s="3238">
        <v>37197</v>
      </c>
      <c r="R41" s="1931">
        <f t="shared" si="3"/>
        <v>74394</v>
      </c>
      <c r="S41" s="1931">
        <f t="shared" si="4"/>
        <v>743.94</v>
      </c>
      <c r="T41" s="1931">
        <f t="shared" si="5"/>
        <v>743.94</v>
      </c>
      <c r="U41" s="1931">
        <v>1487.88</v>
      </c>
      <c r="V41" s="1921">
        <v>14878.800000000001</v>
      </c>
      <c r="W41" s="1921">
        <v>14878.800000000001</v>
      </c>
      <c r="X41" s="1921">
        <v>29757.600000000002</v>
      </c>
      <c r="Y41" s="2650">
        <v>0.2</v>
      </c>
      <c r="Z41" s="2643">
        <v>5951.52</v>
      </c>
      <c r="AA41" s="3234">
        <v>6711.8667383191823</v>
      </c>
      <c r="AB41" s="2643">
        <f t="shared" si="6"/>
        <v>12663.386738319183</v>
      </c>
      <c r="AC41" s="2644"/>
      <c r="AD41" s="1946">
        <v>0.01</v>
      </c>
    </row>
    <row r="42" spans="1:30">
      <c r="C42" s="1876"/>
      <c r="D42" s="1971"/>
      <c r="E42" s="1988"/>
      <c r="F42" s="1891">
        <f t="shared" si="8"/>
        <v>0</v>
      </c>
      <c r="H42" s="3236" t="s">
        <v>1596</v>
      </c>
      <c r="I42" s="3232">
        <v>0.9</v>
      </c>
      <c r="J42" s="1932" t="s">
        <v>81</v>
      </c>
      <c r="K42" s="2581" t="s">
        <v>1068</v>
      </c>
      <c r="L42" s="2583">
        <v>5.5</v>
      </c>
      <c r="M42" s="2585">
        <v>5.5</v>
      </c>
      <c r="N42" s="1922">
        <v>15</v>
      </c>
      <c r="O42" s="2587" t="s">
        <v>910</v>
      </c>
      <c r="P42" s="3238">
        <v>12</v>
      </c>
      <c r="Q42" s="3238">
        <v>12</v>
      </c>
      <c r="R42" s="1931">
        <f t="shared" si="3"/>
        <v>24</v>
      </c>
      <c r="S42" s="1931">
        <f t="shared" si="4"/>
        <v>10.8</v>
      </c>
      <c r="T42" s="1931">
        <f t="shared" si="5"/>
        <v>10.8</v>
      </c>
      <c r="U42" s="1931">
        <v>21.6</v>
      </c>
      <c r="V42" s="1921">
        <v>66</v>
      </c>
      <c r="W42" s="1921">
        <v>66</v>
      </c>
      <c r="X42" s="1921">
        <v>132</v>
      </c>
      <c r="Y42" s="2650">
        <v>0.2</v>
      </c>
      <c r="Z42" s="2643">
        <v>26.400000000000006</v>
      </c>
      <c r="AA42" s="3234">
        <v>29.772777692358659</v>
      </c>
      <c r="AB42" s="2643">
        <f t="shared" si="6"/>
        <v>56.172777692358665</v>
      </c>
      <c r="AC42" s="2644"/>
      <c r="AD42" s="1946">
        <v>0</v>
      </c>
    </row>
    <row r="43" spans="1:30">
      <c r="C43" s="1876"/>
      <c r="D43" s="1971"/>
      <c r="E43" s="1988"/>
      <c r="F43" s="1891">
        <f t="shared" si="8"/>
        <v>0</v>
      </c>
      <c r="H43" s="3236" t="s">
        <v>1597</v>
      </c>
      <c r="I43" s="3232">
        <v>0.9</v>
      </c>
      <c r="J43" s="1932" t="s">
        <v>81</v>
      </c>
      <c r="K43" s="2581" t="s">
        <v>1068</v>
      </c>
      <c r="L43" s="2583">
        <v>5.5</v>
      </c>
      <c r="M43" s="2585">
        <v>5.5</v>
      </c>
      <c r="N43" s="1922">
        <v>15</v>
      </c>
      <c r="O43" s="2587" t="s">
        <v>910</v>
      </c>
      <c r="P43" s="3238">
        <v>10</v>
      </c>
      <c r="Q43" s="3238">
        <v>10</v>
      </c>
      <c r="R43" s="1931">
        <f t="shared" si="3"/>
        <v>20</v>
      </c>
      <c r="S43" s="1931">
        <f t="shared" si="4"/>
        <v>9</v>
      </c>
      <c r="T43" s="1931">
        <f t="shared" si="5"/>
        <v>9</v>
      </c>
      <c r="U43" s="1931">
        <v>18</v>
      </c>
      <c r="V43" s="1921">
        <v>55</v>
      </c>
      <c r="W43" s="1921">
        <v>55</v>
      </c>
      <c r="X43" s="1921">
        <v>110</v>
      </c>
      <c r="Y43" s="2650">
        <v>0.2</v>
      </c>
      <c r="Z43" s="2643">
        <v>22</v>
      </c>
      <c r="AA43" s="3234">
        <v>24.810648076965549</v>
      </c>
      <c r="AB43" s="2643">
        <f t="shared" si="6"/>
        <v>46.810648076965549</v>
      </c>
      <c r="AC43" s="2644"/>
      <c r="AD43" s="1946">
        <v>0</v>
      </c>
    </row>
    <row r="44" spans="1:30">
      <c r="C44" s="1876"/>
      <c r="D44" s="1971"/>
      <c r="E44" s="1988"/>
      <c r="F44" s="1891">
        <f t="shared" si="8"/>
        <v>0</v>
      </c>
      <c r="H44" s="3236" t="s">
        <v>1598</v>
      </c>
      <c r="I44" s="3232">
        <v>0.9</v>
      </c>
      <c r="J44" s="1932" t="s">
        <v>81</v>
      </c>
      <c r="K44" s="2581" t="s">
        <v>1068</v>
      </c>
      <c r="L44" s="2583">
        <v>5.5</v>
      </c>
      <c r="M44" s="2585">
        <v>5.5</v>
      </c>
      <c r="N44" s="1922">
        <v>15</v>
      </c>
      <c r="O44" s="2587" t="s">
        <v>910</v>
      </c>
      <c r="P44" s="3238">
        <v>9</v>
      </c>
      <c r="Q44" s="3238">
        <v>9</v>
      </c>
      <c r="R44" s="1931">
        <f t="shared" si="3"/>
        <v>18</v>
      </c>
      <c r="S44" s="1931">
        <f t="shared" si="4"/>
        <v>8.1</v>
      </c>
      <c r="T44" s="1931">
        <f t="shared" si="5"/>
        <v>8.1</v>
      </c>
      <c r="U44" s="1931">
        <v>16.2</v>
      </c>
      <c r="V44" s="1921">
        <v>49.5</v>
      </c>
      <c r="W44" s="1921">
        <v>49.5</v>
      </c>
      <c r="X44" s="1921">
        <v>99</v>
      </c>
      <c r="Y44" s="2650">
        <v>0.2</v>
      </c>
      <c r="Z44" s="2643">
        <v>19.8</v>
      </c>
      <c r="AA44" s="3234">
        <v>22.329583269268994</v>
      </c>
      <c r="AB44" s="2643">
        <f t="shared" si="6"/>
        <v>42.129583269268991</v>
      </c>
      <c r="AC44" s="2644"/>
      <c r="AD44" s="1946">
        <v>0</v>
      </c>
    </row>
    <row r="45" spans="1:30">
      <c r="C45" s="1952"/>
      <c r="D45" s="1958"/>
      <c r="E45" s="1955"/>
      <c r="F45" s="1958"/>
      <c r="H45" s="3236" t="s">
        <v>1599</v>
      </c>
      <c r="I45" s="3232">
        <v>734</v>
      </c>
      <c r="J45" s="1932" t="s">
        <v>81</v>
      </c>
      <c r="K45" s="2581" t="s">
        <v>1066</v>
      </c>
      <c r="L45" s="2583">
        <v>4152</v>
      </c>
      <c r="M45" s="2585">
        <v>4152</v>
      </c>
      <c r="N45" s="1922">
        <v>24</v>
      </c>
      <c r="O45" s="2587" t="s">
        <v>1249</v>
      </c>
      <c r="P45" s="3238">
        <v>1</v>
      </c>
      <c r="Q45" s="3238">
        <v>1</v>
      </c>
      <c r="R45" s="1931">
        <f t="shared" si="3"/>
        <v>2</v>
      </c>
      <c r="S45" s="1931">
        <f t="shared" si="4"/>
        <v>734</v>
      </c>
      <c r="T45" s="1931">
        <f t="shared" si="5"/>
        <v>734</v>
      </c>
      <c r="U45" s="1931">
        <v>1468</v>
      </c>
      <c r="V45" s="1921">
        <v>4152</v>
      </c>
      <c r="W45" s="1921">
        <v>4152</v>
      </c>
      <c r="X45" s="1921">
        <v>8304</v>
      </c>
      <c r="Y45" s="2650">
        <v>0.2</v>
      </c>
      <c r="Z45" s="2643">
        <v>1660.8000000000002</v>
      </c>
      <c r="AA45" s="3234">
        <v>1872.9783784647445</v>
      </c>
      <c r="AB45" s="2643">
        <f t="shared" si="6"/>
        <v>3533.7783784647445</v>
      </c>
      <c r="AC45" s="2644"/>
      <c r="AD45" s="1946">
        <v>0</v>
      </c>
    </row>
    <row r="46" spans="1:30">
      <c r="C46" s="2106" t="s">
        <v>506</v>
      </c>
      <c r="D46" s="1911">
        <f>SUM(D47:D50)</f>
        <v>1000</v>
      </c>
      <c r="E46" s="1926">
        <f>SUM(E47:E50)</f>
        <v>1000</v>
      </c>
      <c r="F46" s="1924">
        <f>D46+E46</f>
        <v>2000</v>
      </c>
      <c r="H46" s="3236" t="s">
        <v>1600</v>
      </c>
      <c r="I46" s="3232">
        <v>1100</v>
      </c>
      <c r="J46" s="1932" t="s">
        <v>81</v>
      </c>
      <c r="K46" s="2581" t="s">
        <v>1066</v>
      </c>
      <c r="L46" s="2583">
        <v>6150</v>
      </c>
      <c r="M46" s="2585">
        <v>6150</v>
      </c>
      <c r="N46" s="1922">
        <v>15</v>
      </c>
      <c r="O46" s="2587" t="s">
        <v>1072</v>
      </c>
      <c r="P46" s="3238">
        <v>2</v>
      </c>
      <c r="Q46" s="3238">
        <v>2</v>
      </c>
      <c r="R46" s="1931">
        <f t="shared" si="3"/>
        <v>4</v>
      </c>
      <c r="S46" s="1931">
        <f t="shared" si="4"/>
        <v>2200</v>
      </c>
      <c r="T46" s="1931">
        <f t="shared" si="5"/>
        <v>2200</v>
      </c>
      <c r="U46" s="1931">
        <v>4400</v>
      </c>
      <c r="V46" s="1921">
        <v>12300</v>
      </c>
      <c r="W46" s="1921">
        <v>12300</v>
      </c>
      <c r="X46" s="1921">
        <v>24600</v>
      </c>
      <c r="Y46" s="2650">
        <v>0.2</v>
      </c>
      <c r="Z46" s="2643">
        <v>4920</v>
      </c>
      <c r="AA46" s="3234">
        <v>5548.5631153941131</v>
      </c>
      <c r="AB46" s="2643">
        <f t="shared" si="6"/>
        <v>10468.563115394114</v>
      </c>
      <c r="AC46" s="2644"/>
      <c r="AD46" s="1946">
        <v>0</v>
      </c>
    </row>
    <row r="47" spans="1:30">
      <c r="C47" s="2197"/>
      <c r="D47" s="1971">
        <v>1000</v>
      </c>
      <c r="E47" s="1988">
        <v>1000</v>
      </c>
      <c r="F47" s="1891">
        <f t="shared" si="8"/>
        <v>2000</v>
      </c>
      <c r="H47" s="3236" t="s">
        <v>1601</v>
      </c>
      <c r="I47" s="3232">
        <v>1923</v>
      </c>
      <c r="J47" s="1932" t="s">
        <v>81</v>
      </c>
      <c r="K47" s="2581" t="s">
        <v>1066</v>
      </c>
      <c r="L47" s="2583">
        <v>9000</v>
      </c>
      <c r="M47" s="2585">
        <v>9000</v>
      </c>
      <c r="N47" s="1922">
        <v>19</v>
      </c>
      <c r="O47" s="2587" t="s">
        <v>1249</v>
      </c>
      <c r="P47" s="3238">
        <v>1</v>
      </c>
      <c r="Q47" s="3238">
        <v>1</v>
      </c>
      <c r="R47" s="1931">
        <f t="shared" si="3"/>
        <v>2</v>
      </c>
      <c r="S47" s="1931">
        <f t="shared" si="4"/>
        <v>1923</v>
      </c>
      <c r="T47" s="1931">
        <f t="shared" si="5"/>
        <v>1923</v>
      </c>
      <c r="U47" s="1931">
        <v>3846</v>
      </c>
      <c r="V47" s="1921">
        <v>9000</v>
      </c>
      <c r="W47" s="1921">
        <v>9000</v>
      </c>
      <c r="X47" s="1921">
        <v>18000</v>
      </c>
      <c r="Y47" s="2650">
        <v>0.2</v>
      </c>
      <c r="Z47" s="2643">
        <v>3600</v>
      </c>
      <c r="AA47" s="3234">
        <v>4059.9242307761806</v>
      </c>
      <c r="AB47" s="2643">
        <f t="shared" si="6"/>
        <v>7659.9242307761806</v>
      </c>
      <c r="AC47" s="2644"/>
      <c r="AD47" s="1946">
        <v>0</v>
      </c>
    </row>
    <row r="48" spans="1:30">
      <c r="C48" s="1876"/>
      <c r="D48" s="1971"/>
      <c r="E48" s="1988"/>
      <c r="F48" s="1891">
        <f t="shared" si="8"/>
        <v>0</v>
      </c>
      <c r="H48" s="3236" t="s">
        <v>1602</v>
      </c>
      <c r="I48" s="3232">
        <v>173</v>
      </c>
      <c r="J48" s="1932" t="s">
        <v>81</v>
      </c>
      <c r="K48" s="1922" t="s">
        <v>909</v>
      </c>
      <c r="L48" s="1929">
        <v>1526</v>
      </c>
      <c r="M48" s="1929">
        <v>1526</v>
      </c>
      <c r="N48" s="1922">
        <v>18</v>
      </c>
      <c r="O48" s="1925" t="s">
        <v>1084</v>
      </c>
      <c r="P48" s="3238">
        <v>5</v>
      </c>
      <c r="Q48" s="3238">
        <v>5</v>
      </c>
      <c r="R48" s="1931">
        <f t="shared" si="3"/>
        <v>10</v>
      </c>
      <c r="S48" s="1931">
        <f t="shared" si="4"/>
        <v>865</v>
      </c>
      <c r="T48" s="1931">
        <f t="shared" si="5"/>
        <v>865</v>
      </c>
      <c r="U48" s="1931">
        <v>1730</v>
      </c>
      <c r="V48" s="1921">
        <v>7630</v>
      </c>
      <c r="W48" s="1921">
        <v>7630</v>
      </c>
      <c r="X48" s="1921">
        <v>15260</v>
      </c>
      <c r="Y48" s="2650">
        <v>0.2</v>
      </c>
      <c r="Z48" s="2643">
        <v>3052</v>
      </c>
      <c r="AA48" s="3234">
        <v>3441.9135423135845</v>
      </c>
      <c r="AB48" s="2643">
        <f t="shared" si="6"/>
        <v>6493.9135423135849</v>
      </c>
      <c r="AC48" s="2644"/>
      <c r="AD48" s="1946">
        <v>0</v>
      </c>
    </row>
    <row r="49" spans="1:30">
      <c r="C49" s="1876"/>
      <c r="D49" s="1971"/>
      <c r="E49" s="1988"/>
      <c r="F49" s="1891">
        <f t="shared" si="8"/>
        <v>0</v>
      </c>
      <c r="H49" s="3236" t="s">
        <v>1603</v>
      </c>
      <c r="I49" s="3232">
        <v>129.5</v>
      </c>
      <c r="J49" s="1932" t="s">
        <v>81</v>
      </c>
      <c r="K49" s="1922" t="s">
        <v>909</v>
      </c>
      <c r="L49" s="1929">
        <v>1144</v>
      </c>
      <c r="M49" s="1929">
        <v>1144</v>
      </c>
      <c r="N49" s="1922">
        <v>18</v>
      </c>
      <c r="O49" s="1925" t="s">
        <v>1084</v>
      </c>
      <c r="P49" s="3238">
        <v>5</v>
      </c>
      <c r="Q49" s="3238">
        <v>5</v>
      </c>
      <c r="R49" s="1931">
        <f t="shared" si="3"/>
        <v>10</v>
      </c>
      <c r="S49" s="1931">
        <f t="shared" si="4"/>
        <v>647.5</v>
      </c>
      <c r="T49" s="1931">
        <f t="shared" si="5"/>
        <v>647.5</v>
      </c>
      <c r="U49" s="1931">
        <v>1295</v>
      </c>
      <c r="V49" s="1921">
        <v>5720</v>
      </c>
      <c r="W49" s="1921">
        <v>5720</v>
      </c>
      <c r="X49" s="1921">
        <v>11440</v>
      </c>
      <c r="Y49" s="2650">
        <v>0.2</v>
      </c>
      <c r="Z49" s="2643">
        <v>2288</v>
      </c>
      <c r="AA49" s="3234">
        <v>2580.3074000044171</v>
      </c>
      <c r="AB49" s="2643">
        <f t="shared" si="6"/>
        <v>4868.3074000044171</v>
      </c>
      <c r="AC49" s="2644"/>
      <c r="AD49" s="1946">
        <v>0</v>
      </c>
    </row>
    <row r="50" spans="1:30">
      <c r="C50" s="1876"/>
      <c r="D50" s="1971"/>
      <c r="E50" s="1988"/>
      <c r="F50" s="1891">
        <f t="shared" si="8"/>
        <v>0</v>
      </c>
      <c r="H50" s="3236" t="s">
        <v>1604</v>
      </c>
      <c r="I50" s="3232">
        <v>1.64</v>
      </c>
      <c r="J50" s="1932" t="s">
        <v>81</v>
      </c>
      <c r="K50" s="1922" t="s">
        <v>909</v>
      </c>
      <c r="L50" s="1929">
        <v>2</v>
      </c>
      <c r="M50" s="1929">
        <v>2</v>
      </c>
      <c r="N50" s="1922">
        <v>10</v>
      </c>
      <c r="O50" s="1925" t="s">
        <v>910</v>
      </c>
      <c r="P50" s="3238">
        <v>50</v>
      </c>
      <c r="Q50" s="3238">
        <v>50</v>
      </c>
      <c r="R50" s="1931">
        <f t="shared" si="3"/>
        <v>100</v>
      </c>
      <c r="S50" s="1931">
        <f t="shared" si="4"/>
        <v>82</v>
      </c>
      <c r="T50" s="1931">
        <f t="shared" si="5"/>
        <v>82</v>
      </c>
      <c r="U50" s="1931">
        <v>164</v>
      </c>
      <c r="V50" s="1921">
        <v>100</v>
      </c>
      <c r="W50" s="1921">
        <v>100</v>
      </c>
      <c r="X50" s="1921">
        <v>200</v>
      </c>
      <c r="Y50" s="2650">
        <v>0.2</v>
      </c>
      <c r="Z50" s="2643">
        <v>40</v>
      </c>
      <c r="AA50" s="3234">
        <v>45.110269230846448</v>
      </c>
      <c r="AB50" s="2643">
        <f t="shared" si="6"/>
        <v>85.110269230846455</v>
      </c>
      <c r="AC50" s="2644"/>
      <c r="AD50" s="1946">
        <v>3.97</v>
      </c>
    </row>
    <row r="51" spans="1:30">
      <c r="C51" s="1952"/>
      <c r="D51" s="1958"/>
      <c r="E51" s="1955"/>
      <c r="F51" s="1958"/>
      <c r="H51" s="3236" t="s">
        <v>1605</v>
      </c>
      <c r="I51" s="3232">
        <v>2</v>
      </c>
      <c r="J51" s="1932" t="s">
        <v>81</v>
      </c>
      <c r="K51" s="1922" t="s">
        <v>909</v>
      </c>
      <c r="L51" s="1929">
        <v>2</v>
      </c>
      <c r="M51" s="1929">
        <v>2</v>
      </c>
      <c r="N51" s="1922">
        <v>10</v>
      </c>
      <c r="O51" s="1925" t="s">
        <v>910</v>
      </c>
      <c r="P51" s="3238">
        <v>50</v>
      </c>
      <c r="Q51" s="3238">
        <v>50</v>
      </c>
      <c r="R51" s="1931">
        <f t="shared" si="3"/>
        <v>100</v>
      </c>
      <c r="S51" s="1931">
        <f t="shared" si="4"/>
        <v>100</v>
      </c>
      <c r="T51" s="1931">
        <f t="shared" si="5"/>
        <v>100</v>
      </c>
      <c r="U51" s="1931">
        <v>200</v>
      </c>
      <c r="V51" s="1921">
        <v>100</v>
      </c>
      <c r="W51" s="1921">
        <v>100</v>
      </c>
      <c r="X51" s="1921">
        <v>200</v>
      </c>
      <c r="Y51" s="2650">
        <v>0.2</v>
      </c>
      <c r="Z51" s="2643">
        <v>40</v>
      </c>
      <c r="AA51" s="3234">
        <v>45.110269230846448</v>
      </c>
      <c r="AB51" s="2643">
        <f t="shared" si="6"/>
        <v>85.110269230846455</v>
      </c>
      <c r="AC51" s="2644"/>
      <c r="AD51" s="1946">
        <v>4.8499999999999996</v>
      </c>
    </row>
    <row r="52" spans="1:30">
      <c r="C52" s="1910" t="s">
        <v>50</v>
      </c>
      <c r="D52" s="1911">
        <f>SUM(D53:D56)</f>
        <v>1000</v>
      </c>
      <c r="E52" s="1926">
        <f>SUM(E53:E56)</f>
        <v>1000</v>
      </c>
      <c r="F52" s="1924">
        <f>D52+E52</f>
        <v>2000</v>
      </c>
      <c r="H52" s="3236" t="s">
        <v>1606</v>
      </c>
      <c r="I52" s="3232">
        <v>1.64</v>
      </c>
      <c r="J52" s="1932" t="s">
        <v>81</v>
      </c>
      <c r="K52" s="1922" t="s">
        <v>909</v>
      </c>
      <c r="L52" s="1929">
        <v>2</v>
      </c>
      <c r="M52" s="1929">
        <v>2</v>
      </c>
      <c r="N52" s="1922">
        <v>10</v>
      </c>
      <c r="O52" s="1925" t="s">
        <v>910</v>
      </c>
      <c r="P52" s="3238">
        <v>50</v>
      </c>
      <c r="Q52" s="3238">
        <v>50</v>
      </c>
      <c r="R52" s="1931">
        <f t="shared" si="3"/>
        <v>100</v>
      </c>
      <c r="S52" s="1931">
        <f t="shared" si="4"/>
        <v>82</v>
      </c>
      <c r="T52" s="1931">
        <f t="shared" si="5"/>
        <v>82</v>
      </c>
      <c r="U52" s="1931">
        <v>164</v>
      </c>
      <c r="V52" s="1921">
        <v>100</v>
      </c>
      <c r="W52" s="1921">
        <v>100</v>
      </c>
      <c r="X52" s="1921">
        <v>200</v>
      </c>
      <c r="Y52" s="2650">
        <v>0.2</v>
      </c>
      <c r="Z52" s="2643">
        <v>40</v>
      </c>
      <c r="AA52" s="3234">
        <v>45.110269230846448</v>
      </c>
      <c r="AB52" s="2643">
        <f t="shared" si="6"/>
        <v>85.110269230846455</v>
      </c>
      <c r="AC52" s="2644"/>
      <c r="AD52" s="1946">
        <v>3.97</v>
      </c>
    </row>
    <row r="53" spans="1:30">
      <c r="C53" s="2197"/>
      <c r="D53" s="1971">
        <v>1000</v>
      </c>
      <c r="E53" s="1988">
        <v>1000</v>
      </c>
      <c r="F53" s="1891">
        <f t="shared" ref="F53:F68" si="9">SUM(D53:E53)</f>
        <v>2000</v>
      </c>
      <c r="H53" s="3236" t="s">
        <v>1059</v>
      </c>
      <c r="I53" s="3232">
        <v>0.09</v>
      </c>
      <c r="J53" s="1932" t="s">
        <v>81</v>
      </c>
      <c r="K53" s="1922" t="s">
        <v>1067</v>
      </c>
      <c r="L53" s="1929">
        <v>0.95</v>
      </c>
      <c r="M53" s="1929">
        <v>0.95</v>
      </c>
      <c r="N53" s="1922">
        <v>30</v>
      </c>
      <c r="O53" s="1925" t="s">
        <v>1084</v>
      </c>
      <c r="P53" s="3238">
        <v>3400</v>
      </c>
      <c r="Q53" s="3238">
        <v>3400</v>
      </c>
      <c r="R53" s="1931">
        <f t="shared" si="3"/>
        <v>6800</v>
      </c>
      <c r="S53" s="1931">
        <f t="shared" si="4"/>
        <v>306</v>
      </c>
      <c r="T53" s="1931">
        <f t="shared" si="5"/>
        <v>306</v>
      </c>
      <c r="U53" s="1931">
        <v>612</v>
      </c>
      <c r="V53" s="1921">
        <v>3230</v>
      </c>
      <c r="W53" s="1921">
        <v>3230</v>
      </c>
      <c r="X53" s="1921">
        <v>6460</v>
      </c>
      <c r="Y53" s="2650">
        <v>0.2</v>
      </c>
      <c r="Z53" s="2643">
        <v>1292</v>
      </c>
      <c r="AA53" s="3234">
        <v>1457.0616961563403</v>
      </c>
      <c r="AB53" s="2643">
        <f t="shared" si="6"/>
        <v>2749.0616961563401</v>
      </c>
      <c r="AC53" s="2644"/>
      <c r="AD53" s="1946">
        <v>3.1919350594928661E-2</v>
      </c>
    </row>
    <row r="54" spans="1:30">
      <c r="C54" s="1876"/>
      <c r="D54" s="1971"/>
      <c r="E54" s="1988"/>
      <c r="F54" s="1891">
        <f t="shared" si="9"/>
        <v>0</v>
      </c>
      <c r="H54" s="3236" t="s">
        <v>1060</v>
      </c>
      <c r="I54" s="3232">
        <v>0.09</v>
      </c>
      <c r="J54" s="1932" t="s">
        <v>81</v>
      </c>
      <c r="K54" s="1922" t="s">
        <v>1067</v>
      </c>
      <c r="L54" s="1929">
        <v>0.95</v>
      </c>
      <c r="M54" s="1929">
        <v>0.95</v>
      </c>
      <c r="N54" s="1922">
        <v>30</v>
      </c>
      <c r="O54" s="1925" t="s">
        <v>1084</v>
      </c>
      <c r="P54" s="3238">
        <v>750</v>
      </c>
      <c r="Q54" s="3238">
        <v>750</v>
      </c>
      <c r="R54" s="1931">
        <f t="shared" si="3"/>
        <v>1500</v>
      </c>
      <c r="S54" s="1931">
        <f t="shared" si="4"/>
        <v>67.5</v>
      </c>
      <c r="T54" s="1931">
        <f t="shared" si="5"/>
        <v>67.5</v>
      </c>
      <c r="U54" s="1931">
        <v>135</v>
      </c>
      <c r="V54" s="1921">
        <v>712.5</v>
      </c>
      <c r="W54" s="1921">
        <v>712.5</v>
      </c>
      <c r="X54" s="1921">
        <v>1425</v>
      </c>
      <c r="Y54" s="2650">
        <v>0.2</v>
      </c>
      <c r="Z54" s="2643">
        <v>285</v>
      </c>
      <c r="AA54" s="3234">
        <v>321.41066826978096</v>
      </c>
      <c r="AB54" s="2643">
        <f t="shared" si="6"/>
        <v>606.4106682697809</v>
      </c>
      <c r="AC54" s="2644"/>
      <c r="AD54" s="1946">
        <v>0</v>
      </c>
    </row>
    <row r="55" spans="1:30">
      <c r="C55" s="1876"/>
      <c r="D55" s="1971"/>
      <c r="E55" s="1988"/>
      <c r="F55" s="1891">
        <f t="shared" si="9"/>
        <v>0</v>
      </c>
      <c r="H55" s="3236" t="s">
        <v>1061</v>
      </c>
      <c r="I55" s="3232">
        <v>0.02</v>
      </c>
      <c r="J55" s="1932" t="s">
        <v>81</v>
      </c>
      <c r="K55" s="1922" t="s">
        <v>1067</v>
      </c>
      <c r="L55" s="1929">
        <v>0.7</v>
      </c>
      <c r="M55" s="1929">
        <v>0.7</v>
      </c>
      <c r="N55" s="1922">
        <v>30</v>
      </c>
      <c r="O55" s="1925" t="s">
        <v>1084</v>
      </c>
      <c r="P55" s="3238">
        <v>5000</v>
      </c>
      <c r="Q55" s="3238">
        <v>5000</v>
      </c>
      <c r="R55" s="1931">
        <f t="shared" si="3"/>
        <v>10000</v>
      </c>
      <c r="S55" s="1931">
        <f t="shared" si="4"/>
        <v>100</v>
      </c>
      <c r="T55" s="1931">
        <f t="shared" si="5"/>
        <v>100</v>
      </c>
      <c r="U55" s="1931">
        <v>200</v>
      </c>
      <c r="V55" s="1921">
        <v>3500</v>
      </c>
      <c r="W55" s="1921">
        <v>3500</v>
      </c>
      <c r="X55" s="1921">
        <v>7000</v>
      </c>
      <c r="Y55" s="2650">
        <v>0.2</v>
      </c>
      <c r="Z55" s="2643">
        <v>1400</v>
      </c>
      <c r="AA55" s="3234">
        <v>1578.8594230796257</v>
      </c>
      <c r="AB55" s="2643">
        <f t="shared" si="6"/>
        <v>2978.8594230796257</v>
      </c>
      <c r="AC55" s="2644"/>
      <c r="AD55" s="1946">
        <v>7.4153226467526482E-3</v>
      </c>
    </row>
    <row r="56" spans="1:30">
      <c r="C56" s="1876"/>
      <c r="D56" s="1971"/>
      <c r="E56" s="1988"/>
      <c r="F56" s="1891">
        <f t="shared" si="9"/>
        <v>0</v>
      </c>
      <c r="H56" s="3236" t="s">
        <v>1062</v>
      </c>
      <c r="I56" s="3232">
        <v>0.03</v>
      </c>
      <c r="J56" s="1932" t="s">
        <v>81</v>
      </c>
      <c r="K56" s="1922" t="s">
        <v>1067</v>
      </c>
      <c r="L56" s="1929">
        <v>0.7</v>
      </c>
      <c r="M56" s="1929">
        <v>0.7</v>
      </c>
      <c r="N56" s="1922">
        <v>30</v>
      </c>
      <c r="O56" s="1925" t="s">
        <v>1084</v>
      </c>
      <c r="P56" s="3238">
        <v>6000</v>
      </c>
      <c r="Q56" s="3238">
        <v>6000</v>
      </c>
      <c r="R56" s="1931">
        <f t="shared" si="3"/>
        <v>12000</v>
      </c>
      <c r="S56" s="1931">
        <f t="shared" ref="S56" si="10">I56*P56</f>
        <v>180</v>
      </c>
      <c r="T56" s="1931">
        <f t="shared" ref="T56" si="11">I56*Q56</f>
        <v>180</v>
      </c>
      <c r="U56" s="1931">
        <v>360</v>
      </c>
      <c r="V56" s="1921">
        <v>4200</v>
      </c>
      <c r="W56" s="1921">
        <v>4200</v>
      </c>
      <c r="X56" s="1921">
        <v>8400</v>
      </c>
      <c r="Y56" s="2650">
        <v>0.2</v>
      </c>
      <c r="Z56" s="2643">
        <v>1680</v>
      </c>
      <c r="AA56" s="3234">
        <v>1894.631307695551</v>
      </c>
      <c r="AB56" s="2643">
        <f t="shared" si="6"/>
        <v>3574.6313076955512</v>
      </c>
      <c r="AC56" s="2644"/>
      <c r="AD56" s="1946">
        <v>0</v>
      </c>
    </row>
    <row r="57" spans="1:30">
      <c r="C57" s="1952"/>
      <c r="D57" s="1958"/>
      <c r="E57" s="1955"/>
      <c r="F57" s="1958"/>
      <c r="H57" s="1922"/>
      <c r="I57" s="1928"/>
      <c r="J57" s="1932" t="s">
        <v>241</v>
      </c>
      <c r="K57" s="1922"/>
      <c r="L57" s="1929"/>
      <c r="M57" s="1929"/>
      <c r="N57" s="1922"/>
      <c r="O57" s="1925"/>
      <c r="P57" s="1928"/>
      <c r="Q57" s="1928"/>
      <c r="R57" s="1931" t="s">
        <v>241</v>
      </c>
      <c r="S57" s="1931" t="s">
        <v>241</v>
      </c>
      <c r="T57" s="1931" t="s">
        <v>241</v>
      </c>
      <c r="U57" s="1931" t="s">
        <v>241</v>
      </c>
      <c r="V57" s="1921" t="s">
        <v>241</v>
      </c>
      <c r="W57" s="1921" t="s">
        <v>241</v>
      </c>
      <c r="X57" s="1921" t="s">
        <v>241</v>
      </c>
      <c r="Y57" s="2650"/>
      <c r="Z57" s="2643" t="s">
        <v>241</v>
      </c>
      <c r="AA57" s="2643" t="s">
        <v>241</v>
      </c>
      <c r="AB57" s="2643"/>
      <c r="AC57" s="2644"/>
      <c r="AD57" s="1946"/>
    </row>
    <row r="58" spans="1:30">
      <c r="C58" s="1910" t="s">
        <v>51</v>
      </c>
      <c r="D58" s="1911">
        <f>SUM(D59:D62)</f>
        <v>500</v>
      </c>
      <c r="E58" s="1926">
        <f>SUM(E59:E62)</f>
        <v>500</v>
      </c>
      <c r="F58" s="1924">
        <f>D58+E58</f>
        <v>1000</v>
      </c>
      <c r="H58" s="1922"/>
      <c r="I58" s="1928"/>
      <c r="J58" s="1932" t="s">
        <v>241</v>
      </c>
      <c r="K58" s="1922"/>
      <c r="L58" s="1929"/>
      <c r="M58" s="1929"/>
      <c r="N58" s="1922"/>
      <c r="O58" s="1925"/>
      <c r="P58" s="1928"/>
      <c r="Q58" s="1928"/>
      <c r="R58" s="1931" t="s">
        <v>241</v>
      </c>
      <c r="S58" s="1931" t="s">
        <v>241</v>
      </c>
      <c r="T58" s="1931" t="s">
        <v>241</v>
      </c>
      <c r="U58" s="1931" t="s">
        <v>241</v>
      </c>
      <c r="V58" s="1921" t="s">
        <v>241</v>
      </c>
      <c r="W58" s="1921" t="s">
        <v>241</v>
      </c>
      <c r="X58" s="1921" t="s">
        <v>241</v>
      </c>
      <c r="Y58" s="2650"/>
      <c r="Z58" s="2643" t="s">
        <v>241</v>
      </c>
      <c r="AA58" s="2643" t="s">
        <v>241</v>
      </c>
      <c r="AB58" s="2643"/>
      <c r="AC58" s="2644"/>
      <c r="AD58" s="1946"/>
    </row>
    <row r="59" spans="1:30">
      <c r="C59" s="1876"/>
      <c r="D59" s="1971">
        <v>500</v>
      </c>
      <c r="E59" s="1972">
        <v>500</v>
      </c>
      <c r="F59" s="1891">
        <f t="shared" si="9"/>
        <v>1000</v>
      </c>
      <c r="H59" s="1922"/>
      <c r="I59" s="1928"/>
      <c r="J59" s="1932" t="s">
        <v>241</v>
      </c>
      <c r="K59" s="1922"/>
      <c r="L59" s="1929"/>
      <c r="M59" s="1929"/>
      <c r="N59" s="1922"/>
      <c r="O59" s="1925"/>
      <c r="P59" s="1928"/>
      <c r="Q59" s="1928"/>
      <c r="R59" s="1931" t="s">
        <v>241</v>
      </c>
      <c r="S59" s="1931" t="s">
        <v>241</v>
      </c>
      <c r="T59" s="1931" t="s">
        <v>241</v>
      </c>
      <c r="U59" s="1931" t="s">
        <v>241</v>
      </c>
      <c r="V59" s="1921" t="s">
        <v>241</v>
      </c>
      <c r="W59" s="1921" t="s">
        <v>241</v>
      </c>
      <c r="X59" s="1921" t="s">
        <v>241</v>
      </c>
      <c r="Y59" s="2650"/>
      <c r="Z59" s="2643" t="s">
        <v>241</v>
      </c>
      <c r="AA59" s="2643" t="s">
        <v>241</v>
      </c>
      <c r="AB59" s="2643"/>
      <c r="AC59" s="2644"/>
      <c r="AD59" s="1946"/>
    </row>
    <row r="60" spans="1:30">
      <c r="C60" s="1876"/>
      <c r="D60" s="1971"/>
      <c r="E60" s="1972"/>
      <c r="F60" s="1891">
        <f t="shared" si="9"/>
        <v>0</v>
      </c>
      <c r="H60" s="1922"/>
      <c r="I60" s="1928"/>
      <c r="J60" s="1932" t="s">
        <v>241</v>
      </c>
      <c r="K60" s="1922"/>
      <c r="L60" s="1929"/>
      <c r="M60" s="1929"/>
      <c r="N60" s="1922"/>
      <c r="O60" s="1925"/>
      <c r="P60" s="1928"/>
      <c r="Q60" s="1928"/>
      <c r="R60" s="1931" t="s">
        <v>241</v>
      </c>
      <c r="S60" s="1931" t="s">
        <v>241</v>
      </c>
      <c r="T60" s="1931" t="s">
        <v>241</v>
      </c>
      <c r="U60" s="1931" t="s">
        <v>241</v>
      </c>
      <c r="V60" s="1921" t="s">
        <v>241</v>
      </c>
      <c r="W60" s="1921" t="s">
        <v>241</v>
      </c>
      <c r="X60" s="1921" t="s">
        <v>241</v>
      </c>
      <c r="Y60" s="2650"/>
      <c r="Z60" s="2643" t="s">
        <v>241</v>
      </c>
      <c r="AA60" s="2643" t="s">
        <v>241</v>
      </c>
      <c r="AB60" s="2643"/>
      <c r="AC60" s="2644"/>
      <c r="AD60" s="1946"/>
    </row>
    <row r="61" spans="1:30">
      <c r="C61" s="1876"/>
      <c r="D61" s="1971"/>
      <c r="E61" s="1972"/>
      <c r="F61" s="1891">
        <f t="shared" si="9"/>
        <v>0</v>
      </c>
      <c r="H61" s="1922"/>
      <c r="I61" s="1928"/>
      <c r="J61" s="1932" t="s">
        <v>241</v>
      </c>
      <c r="K61" s="1922"/>
      <c r="L61" s="1929"/>
      <c r="M61" s="1929"/>
      <c r="N61" s="1922"/>
      <c r="O61" s="1925"/>
      <c r="P61" s="1928"/>
      <c r="Q61" s="1928"/>
      <c r="R61" s="1931" t="s">
        <v>241</v>
      </c>
      <c r="S61" s="1931" t="s">
        <v>241</v>
      </c>
      <c r="T61" s="1931" t="s">
        <v>241</v>
      </c>
      <c r="U61" s="1931" t="s">
        <v>241</v>
      </c>
      <c r="V61" s="1921" t="s">
        <v>241</v>
      </c>
      <c r="W61" s="1921" t="s">
        <v>241</v>
      </c>
      <c r="X61" s="1921" t="s">
        <v>241</v>
      </c>
      <c r="Y61" s="2650"/>
      <c r="Z61" s="2643" t="s">
        <v>241</v>
      </c>
      <c r="AA61" s="2643" t="s">
        <v>241</v>
      </c>
      <c r="AB61" s="2643"/>
      <c r="AC61" s="2644"/>
      <c r="AD61" s="1946"/>
    </row>
    <row r="62" spans="1:30">
      <c r="C62" s="1876"/>
      <c r="D62" s="1971"/>
      <c r="E62" s="1972"/>
      <c r="F62" s="1891">
        <f t="shared" si="9"/>
        <v>0</v>
      </c>
      <c r="H62" s="1922"/>
      <c r="I62" s="1928"/>
      <c r="J62" s="1932" t="s">
        <v>241</v>
      </c>
      <c r="K62" s="1922"/>
      <c r="L62" s="1929"/>
      <c r="M62" s="1929"/>
      <c r="N62" s="1922"/>
      <c r="O62" s="1925"/>
      <c r="P62" s="1928"/>
      <c r="Q62" s="1928"/>
      <c r="R62" s="1931" t="s">
        <v>241</v>
      </c>
      <c r="S62" s="1931" t="s">
        <v>241</v>
      </c>
      <c r="T62" s="1931" t="s">
        <v>241</v>
      </c>
      <c r="U62" s="1931" t="s">
        <v>241</v>
      </c>
      <c r="V62" s="1921" t="s">
        <v>241</v>
      </c>
      <c r="W62" s="1921" t="s">
        <v>241</v>
      </c>
      <c r="X62" s="1921" t="s">
        <v>241</v>
      </c>
      <c r="Y62" s="2650"/>
      <c r="Z62" s="2643" t="s">
        <v>241</v>
      </c>
      <c r="AA62" s="2643" t="s">
        <v>241</v>
      </c>
      <c r="AB62" s="2643"/>
      <c r="AC62" s="2644"/>
      <c r="AD62" s="1946"/>
    </row>
    <row r="63" spans="1:30">
      <c r="C63" s="1952"/>
      <c r="D63" s="1958"/>
      <c r="E63" s="1955"/>
      <c r="F63" s="1958"/>
      <c r="H63" s="1922"/>
      <c r="I63" s="1928"/>
      <c r="J63" s="1932" t="s">
        <v>241</v>
      </c>
      <c r="K63" s="1922"/>
      <c r="L63" s="1929"/>
      <c r="M63" s="1929"/>
      <c r="N63" s="1922"/>
      <c r="O63" s="1925"/>
      <c r="P63" s="1928"/>
      <c r="Q63" s="1928"/>
      <c r="R63" s="1931" t="s">
        <v>241</v>
      </c>
      <c r="S63" s="1931" t="s">
        <v>241</v>
      </c>
      <c r="T63" s="1931" t="s">
        <v>241</v>
      </c>
      <c r="U63" s="1931" t="s">
        <v>241</v>
      </c>
      <c r="V63" s="1921" t="s">
        <v>241</v>
      </c>
      <c r="W63" s="1921" t="s">
        <v>241</v>
      </c>
      <c r="X63" s="1921" t="s">
        <v>241</v>
      </c>
      <c r="Y63" s="2650"/>
      <c r="Z63" s="2643" t="s">
        <v>241</v>
      </c>
      <c r="AA63" s="2643" t="s">
        <v>241</v>
      </c>
      <c r="AB63" s="2643"/>
      <c r="AC63" s="2644"/>
      <c r="AD63" s="1946"/>
    </row>
    <row r="64" spans="1:30" ht="25.5">
      <c r="A64" s="1853" t="s">
        <v>175</v>
      </c>
      <c r="C64" s="1910" t="s">
        <v>52</v>
      </c>
      <c r="D64" s="1911">
        <f>SUM(D65:D68)</f>
        <v>500</v>
      </c>
      <c r="E64" s="1926">
        <f>SUM(E65:E68)</f>
        <v>500</v>
      </c>
      <c r="F64" s="1924">
        <f>D64+E64</f>
        <v>1000</v>
      </c>
      <c r="H64" s="1922"/>
      <c r="I64" s="1928"/>
      <c r="J64" s="1932" t="s">
        <v>241</v>
      </c>
      <c r="K64" s="1922"/>
      <c r="L64" s="1929"/>
      <c r="M64" s="1929"/>
      <c r="N64" s="1922"/>
      <c r="O64" s="1925"/>
      <c r="P64" s="1928"/>
      <c r="Q64" s="1928"/>
      <c r="R64" s="1931" t="s">
        <v>241</v>
      </c>
      <c r="S64" s="1931" t="s">
        <v>241</v>
      </c>
      <c r="T64" s="1931" t="s">
        <v>241</v>
      </c>
      <c r="U64" s="1931" t="s">
        <v>241</v>
      </c>
      <c r="V64" s="1921" t="s">
        <v>241</v>
      </c>
      <c r="W64" s="1921" t="s">
        <v>241</v>
      </c>
      <c r="X64" s="1921" t="s">
        <v>241</v>
      </c>
      <c r="Y64" s="2650"/>
      <c r="Z64" s="2643" t="s">
        <v>241</v>
      </c>
      <c r="AA64" s="2643" t="s">
        <v>241</v>
      </c>
      <c r="AB64" s="2643"/>
      <c r="AC64" s="2644"/>
      <c r="AD64" s="1946"/>
    </row>
    <row r="65" spans="1:30">
      <c r="A65" s="1808" t="s">
        <v>297</v>
      </c>
      <c r="C65" s="1876"/>
      <c r="D65" s="1971">
        <v>500</v>
      </c>
      <c r="E65" s="1988">
        <v>500</v>
      </c>
      <c r="F65" s="1891">
        <f t="shared" si="9"/>
        <v>1000</v>
      </c>
      <c r="H65" s="1922"/>
      <c r="I65" s="1928"/>
      <c r="J65" s="1932" t="s">
        <v>241</v>
      </c>
      <c r="K65" s="1922"/>
      <c r="L65" s="1929"/>
      <c r="M65" s="1929"/>
      <c r="N65" s="1922"/>
      <c r="O65" s="1925"/>
      <c r="P65" s="1928"/>
      <c r="Q65" s="1928"/>
      <c r="R65" s="1931" t="s">
        <v>241</v>
      </c>
      <c r="S65" s="1931" t="s">
        <v>241</v>
      </c>
      <c r="T65" s="1931" t="s">
        <v>241</v>
      </c>
      <c r="U65" s="1931" t="s">
        <v>241</v>
      </c>
      <c r="V65" s="1921" t="s">
        <v>241</v>
      </c>
      <c r="W65" s="1921" t="s">
        <v>241</v>
      </c>
      <c r="X65" s="1921" t="s">
        <v>241</v>
      </c>
      <c r="Y65" s="2640"/>
      <c r="Z65" s="2639" t="s">
        <v>241</v>
      </c>
      <c r="AA65" s="2639" t="s">
        <v>241</v>
      </c>
      <c r="AB65" s="2639"/>
      <c r="AC65" s="2638"/>
      <c r="AD65" s="1946"/>
    </row>
    <row r="66" spans="1:30">
      <c r="A66" s="1852" t="s">
        <v>6</v>
      </c>
      <c r="C66" s="1876"/>
      <c r="D66" s="1971"/>
      <c r="E66" s="1988"/>
      <c r="F66" s="1891">
        <f t="shared" si="9"/>
        <v>0</v>
      </c>
      <c r="Z66" s="2637"/>
      <c r="AA66" s="2334" t="s">
        <v>241</v>
      </c>
      <c r="AB66" s="2334" t="s">
        <v>241</v>
      </c>
      <c r="AC66" s="2334"/>
      <c r="AD66" s="2332"/>
    </row>
    <row r="67" spans="1:30">
      <c r="A67" s="1852">
        <v>18230661</v>
      </c>
      <c r="C67" s="1876"/>
      <c r="D67" s="1971"/>
      <c r="E67" s="1988"/>
      <c r="F67" s="1890">
        <f t="shared" si="9"/>
        <v>0</v>
      </c>
      <c r="Z67" s="2637"/>
      <c r="AA67" s="2334" t="s">
        <v>241</v>
      </c>
      <c r="AB67" s="2334" t="s">
        <v>241</v>
      </c>
      <c r="AC67" s="2334"/>
      <c r="AD67" s="2332"/>
    </row>
    <row r="68" spans="1:30">
      <c r="A68" s="1852" t="s">
        <v>31</v>
      </c>
      <c r="C68" s="1876"/>
      <c r="D68" s="1971"/>
      <c r="E68" s="1988"/>
      <c r="F68" s="1891">
        <f t="shared" si="9"/>
        <v>0</v>
      </c>
      <c r="Z68" s="2637"/>
      <c r="AA68" s="2334" t="s">
        <v>241</v>
      </c>
      <c r="AB68" s="2334" t="s">
        <v>241</v>
      </c>
      <c r="AC68" s="2334"/>
      <c r="AD68" s="2332"/>
    </row>
    <row r="69" spans="1:30">
      <c r="C69" s="1952"/>
      <c r="D69" s="1958"/>
      <c r="E69" s="1955"/>
      <c r="F69" s="1958"/>
      <c r="Z69" s="2637"/>
      <c r="AA69" s="2334" t="s">
        <v>241</v>
      </c>
      <c r="AB69" s="2334" t="s">
        <v>241</v>
      </c>
      <c r="AC69" s="2334"/>
      <c r="AD69" s="2332"/>
    </row>
    <row r="70" spans="1:30">
      <c r="C70" s="1910" t="s">
        <v>53</v>
      </c>
      <c r="D70" s="1911">
        <f>V15</f>
        <v>199252.8</v>
      </c>
      <c r="E70" s="1926">
        <f>W15</f>
        <v>199252.8</v>
      </c>
      <c r="F70" s="1924">
        <f>D70+E70</f>
        <v>398505.6</v>
      </c>
      <c r="Z70" s="2637"/>
      <c r="AA70" s="2334" t="s">
        <v>241</v>
      </c>
      <c r="AB70" s="2334" t="s">
        <v>241</v>
      </c>
      <c r="AC70" s="2334"/>
      <c r="AD70" s="2332"/>
    </row>
    <row r="71" spans="1:30">
      <c r="C71" s="1967" t="s">
        <v>313</v>
      </c>
      <c r="D71" s="2615">
        <f>D70/D12</f>
        <v>0.70288476131941169</v>
      </c>
      <c r="E71" s="2616">
        <f>E70/E12</f>
        <v>0.7000867697660379</v>
      </c>
      <c r="F71" s="1966"/>
      <c r="Z71" s="2637"/>
      <c r="AA71" s="2334" t="s">
        <v>241</v>
      </c>
      <c r="AB71" s="2334" t="s">
        <v>241</v>
      </c>
      <c r="AC71" s="2334"/>
      <c r="AD71" s="2332"/>
    </row>
    <row r="72" spans="1:30">
      <c r="C72" s="1968"/>
      <c r="D72" s="1963"/>
      <c r="E72" s="1964"/>
      <c r="F72" s="1965"/>
      <c r="Z72" s="2637"/>
      <c r="AA72" s="2334" t="s">
        <v>241</v>
      </c>
      <c r="AB72" s="2334" t="s">
        <v>241</v>
      </c>
      <c r="AC72" s="2334"/>
      <c r="AD72" s="2332"/>
    </row>
    <row r="73" spans="1:30">
      <c r="C73" s="1959" t="s">
        <v>54</v>
      </c>
      <c r="D73" s="1971">
        <v>0</v>
      </c>
      <c r="E73" s="1971">
        <v>0</v>
      </c>
      <c r="F73" s="1956">
        <v>0</v>
      </c>
      <c r="Z73" s="2637"/>
      <c r="AA73" s="2334" t="s">
        <v>241</v>
      </c>
      <c r="AB73" s="2334" t="s">
        <v>241</v>
      </c>
      <c r="AC73" s="2334"/>
      <c r="AD73" s="2332"/>
    </row>
    <row r="74" spans="1:30">
      <c r="Z74" s="2637"/>
      <c r="AA74" s="2334" t="s">
        <v>241</v>
      </c>
      <c r="AB74" s="2334" t="s">
        <v>241</v>
      </c>
      <c r="AC74" s="2334"/>
      <c r="AD74" s="2332"/>
    </row>
    <row r="75" spans="1:30">
      <c r="Z75" s="2637"/>
      <c r="AA75" s="2334" t="s">
        <v>241</v>
      </c>
      <c r="AB75" s="2334" t="s">
        <v>241</v>
      </c>
      <c r="AC75" s="2334"/>
      <c r="AD75" s="2332"/>
    </row>
    <row r="76" spans="1:30">
      <c r="Z76" s="2637"/>
      <c r="AA76" s="2334" t="s">
        <v>241</v>
      </c>
      <c r="AB76" s="2334" t="s">
        <v>241</v>
      </c>
      <c r="AC76" s="2334"/>
      <c r="AD76" s="2332"/>
    </row>
    <row r="77" spans="1:30">
      <c r="Z77" s="2637"/>
      <c r="AA77" s="2334" t="s">
        <v>241</v>
      </c>
      <c r="AB77" s="2334" t="s">
        <v>241</v>
      </c>
      <c r="AC77" s="2334"/>
      <c r="AD77" s="2332"/>
    </row>
    <row r="78" spans="1:30">
      <c r="Z78" s="2637"/>
      <c r="AA78" s="2334" t="s">
        <v>241</v>
      </c>
      <c r="AB78" s="2334" t="s">
        <v>241</v>
      </c>
      <c r="AC78" s="2334"/>
      <c r="AD78" s="2332"/>
    </row>
    <row r="79" spans="1:30">
      <c r="Z79" s="2637"/>
      <c r="AA79" s="2334" t="s">
        <v>241</v>
      </c>
      <c r="AB79" s="2334" t="s">
        <v>241</v>
      </c>
      <c r="AC79" s="2334"/>
      <c r="AD79" s="2332"/>
    </row>
    <row r="80" spans="1:30">
      <c r="Z80" s="2637"/>
      <c r="AA80" s="2334" t="s">
        <v>241</v>
      </c>
      <c r="AB80" s="2334" t="s">
        <v>241</v>
      </c>
      <c r="AC80" s="2334"/>
      <c r="AD80" s="2332"/>
    </row>
    <row r="81" spans="26:30">
      <c r="Z81" s="2637"/>
      <c r="AA81" s="2334" t="s">
        <v>241</v>
      </c>
      <c r="AB81" s="2334" t="s">
        <v>241</v>
      </c>
      <c r="AC81" s="2334"/>
      <c r="AD81" s="2332"/>
    </row>
    <row r="82" spans="26:30">
      <c r="Z82" s="2637"/>
      <c r="AA82" s="2334" t="s">
        <v>241</v>
      </c>
      <c r="AB82" s="2334" t="s">
        <v>241</v>
      </c>
      <c r="AC82" s="2334"/>
      <c r="AD82" s="2332"/>
    </row>
    <row r="83" spans="26:30">
      <c r="Z83" s="2637"/>
      <c r="AA83" s="2334" t="s">
        <v>241</v>
      </c>
      <c r="AB83" s="2334" t="s">
        <v>241</v>
      </c>
      <c r="AC83" s="2334"/>
      <c r="AD83" s="2332"/>
    </row>
    <row r="84" spans="26:30">
      <c r="Z84" s="2637"/>
      <c r="AA84" s="2334" t="s">
        <v>241</v>
      </c>
      <c r="AB84" s="2334" t="s">
        <v>241</v>
      </c>
      <c r="AC84" s="2334"/>
      <c r="AD84" s="2332"/>
    </row>
    <row r="85" spans="26:30">
      <c r="Z85" s="2637"/>
      <c r="AA85" s="2334" t="s">
        <v>241</v>
      </c>
      <c r="AB85" s="2334" t="s">
        <v>241</v>
      </c>
      <c r="AC85" s="2334"/>
      <c r="AD85" s="2332"/>
    </row>
    <row r="86" spans="26:30">
      <c r="Z86" s="2637"/>
      <c r="AA86" s="2334" t="s">
        <v>241</v>
      </c>
      <c r="AB86" s="2334" t="s">
        <v>241</v>
      </c>
      <c r="AC86" s="2334"/>
      <c r="AD86" s="2332"/>
    </row>
    <row r="87" spans="26:30">
      <c r="Z87" s="2637"/>
      <c r="AA87" s="2334" t="s">
        <v>241</v>
      </c>
      <c r="AB87" s="2334" t="s">
        <v>241</v>
      </c>
      <c r="AC87" s="2334"/>
      <c r="AD87" s="2332"/>
    </row>
    <row r="88" spans="26:30">
      <c r="Z88" s="2637"/>
      <c r="AA88" s="2334" t="s">
        <v>241</v>
      </c>
      <c r="AB88" s="2334" t="s">
        <v>241</v>
      </c>
      <c r="AC88" s="2334"/>
      <c r="AD88" s="2332"/>
    </row>
    <row r="89" spans="26:30">
      <c r="Z89" s="2637"/>
      <c r="AA89" s="2334" t="s">
        <v>241</v>
      </c>
      <c r="AB89" s="2334" t="s">
        <v>241</v>
      </c>
      <c r="AC89" s="2334"/>
      <c r="AD89" s="2332"/>
    </row>
    <row r="90" spans="26:30">
      <c r="Z90" s="2637"/>
      <c r="AA90" s="2334" t="s">
        <v>241</v>
      </c>
      <c r="AB90" s="2334" t="s">
        <v>241</v>
      </c>
      <c r="AC90" s="2334"/>
      <c r="AD90" s="2332"/>
    </row>
    <row r="91" spans="26:30">
      <c r="Z91" s="2637"/>
      <c r="AA91" s="2334" t="s">
        <v>241</v>
      </c>
      <c r="AB91" s="2334" t="s">
        <v>241</v>
      </c>
      <c r="AC91" s="2334"/>
      <c r="AD91" s="2332"/>
    </row>
    <row r="92" spans="26:30">
      <c r="Z92" s="2637"/>
      <c r="AA92" s="2334" t="s">
        <v>241</v>
      </c>
      <c r="AB92" s="2334" t="s">
        <v>241</v>
      </c>
      <c r="AC92" s="2334"/>
      <c r="AD92" s="2332"/>
    </row>
    <row r="93" spans="26:30">
      <c r="Z93" s="2637"/>
      <c r="AA93" s="2334" t="s">
        <v>241</v>
      </c>
      <c r="AB93" s="2334" t="s">
        <v>241</v>
      </c>
      <c r="AC93" s="2334"/>
      <c r="AD93" s="2332"/>
    </row>
    <row r="94" spans="26:30">
      <c r="Z94" s="2637"/>
      <c r="AA94" s="2334" t="s">
        <v>241</v>
      </c>
      <c r="AB94" s="2334" t="s">
        <v>241</v>
      </c>
      <c r="AC94" s="2334"/>
      <c r="AD94" s="2332"/>
    </row>
    <row r="95" spans="26:30">
      <c r="Z95" s="2637"/>
      <c r="AA95" s="2334" t="s">
        <v>241</v>
      </c>
      <c r="AB95" s="2334" t="s">
        <v>241</v>
      </c>
      <c r="AC95" s="2334"/>
      <c r="AD95" s="2332"/>
    </row>
    <row r="96" spans="26:30">
      <c r="Z96" s="2637"/>
      <c r="AA96" s="2334" t="s">
        <v>241</v>
      </c>
      <c r="AB96" s="2334" t="s">
        <v>241</v>
      </c>
      <c r="AC96" s="2334"/>
      <c r="AD96" s="2332"/>
    </row>
    <row r="97" spans="26:30">
      <c r="Z97" s="2637"/>
      <c r="AA97" s="2334" t="s">
        <v>241</v>
      </c>
      <c r="AB97" s="2334" t="s">
        <v>241</v>
      </c>
      <c r="AC97" s="2334"/>
      <c r="AD97" s="2332"/>
    </row>
    <row r="98" spans="26:30">
      <c r="Z98" s="2637"/>
      <c r="AA98" s="2334" t="s">
        <v>241</v>
      </c>
      <c r="AB98" s="2334" t="s">
        <v>241</v>
      </c>
      <c r="AC98" s="2334"/>
      <c r="AD98" s="2332"/>
    </row>
    <row r="99" spans="26:30">
      <c r="Z99" s="2637"/>
      <c r="AA99" s="2334" t="s">
        <v>241</v>
      </c>
      <c r="AB99" s="2334" t="s">
        <v>241</v>
      </c>
      <c r="AC99" s="2334"/>
      <c r="AD99" s="2332"/>
    </row>
    <row r="100" spans="26:30">
      <c r="Z100" s="2637"/>
      <c r="AA100" s="2334" t="s">
        <v>241</v>
      </c>
      <c r="AB100" s="2334" t="s">
        <v>241</v>
      </c>
      <c r="AC100" s="2334"/>
      <c r="AD100" s="2332"/>
    </row>
    <row r="101" spans="26:30">
      <c r="Z101" s="2637"/>
      <c r="AA101" s="2334" t="s">
        <v>241</v>
      </c>
      <c r="AB101" s="2334" t="s">
        <v>241</v>
      </c>
      <c r="AC101" s="2334"/>
      <c r="AD101" s="2332"/>
    </row>
    <row r="102" spans="26:30">
      <c r="Z102" s="2637"/>
      <c r="AA102" s="2334" t="s">
        <v>241</v>
      </c>
      <c r="AB102" s="2334" t="s">
        <v>241</v>
      </c>
      <c r="AC102" s="2334"/>
      <c r="AD102" s="2332"/>
    </row>
    <row r="103" spans="26:30">
      <c r="Z103" s="2637"/>
      <c r="AA103" s="2334" t="s">
        <v>241</v>
      </c>
      <c r="AB103" s="2334" t="s">
        <v>241</v>
      </c>
      <c r="AC103" s="2334"/>
      <c r="AD103" s="2332"/>
    </row>
    <row r="104" spans="26:30">
      <c r="Z104" s="2637"/>
      <c r="AA104" s="2334" t="s">
        <v>241</v>
      </c>
      <c r="AB104" s="2334" t="s">
        <v>241</v>
      </c>
      <c r="AC104" s="2334"/>
      <c r="AD104" s="2332"/>
    </row>
    <row r="105" spans="26:30">
      <c r="Z105" s="2637"/>
      <c r="AA105" s="2334" t="s">
        <v>241</v>
      </c>
      <c r="AB105" s="2334" t="s">
        <v>241</v>
      </c>
      <c r="AC105" s="2334"/>
      <c r="AD105" s="2332"/>
    </row>
    <row r="106" spans="26:30">
      <c r="Z106" s="2637"/>
      <c r="AA106" s="2334" t="s">
        <v>241</v>
      </c>
      <c r="AB106" s="2334" t="s">
        <v>241</v>
      </c>
      <c r="AC106" s="2334"/>
      <c r="AD106" s="2332"/>
    </row>
    <row r="107" spans="26:30">
      <c r="Z107" s="2637"/>
      <c r="AA107" s="2334" t="s">
        <v>241</v>
      </c>
      <c r="AB107" s="2334" t="s">
        <v>241</v>
      </c>
      <c r="AC107" s="2334"/>
      <c r="AD107" s="2332"/>
    </row>
    <row r="108" spans="26:30">
      <c r="Z108" s="2637"/>
      <c r="AA108" s="2334" t="s">
        <v>241</v>
      </c>
      <c r="AB108" s="2334" t="s">
        <v>241</v>
      </c>
      <c r="AC108" s="2334"/>
      <c r="AD108" s="2332"/>
    </row>
    <row r="109" spans="26:30">
      <c r="Z109" s="2637"/>
      <c r="AA109" s="2334" t="s">
        <v>241</v>
      </c>
      <c r="AB109" s="2334" t="s">
        <v>241</v>
      </c>
      <c r="AC109" s="2334"/>
      <c r="AD109" s="2332"/>
    </row>
    <row r="110" spans="26:30">
      <c r="Z110" s="2637"/>
      <c r="AA110" s="2334" t="s">
        <v>241</v>
      </c>
      <c r="AB110" s="2334" t="s">
        <v>241</v>
      </c>
      <c r="AC110" s="2334"/>
      <c r="AD110" s="2332"/>
    </row>
    <row r="111" spans="26:30">
      <c r="Z111" s="2637"/>
      <c r="AA111" s="2334" t="s">
        <v>241</v>
      </c>
      <c r="AB111" s="2334" t="s">
        <v>241</v>
      </c>
      <c r="AC111" s="2334"/>
      <c r="AD111" s="2332"/>
    </row>
    <row r="112" spans="26:30">
      <c r="Z112" s="2637"/>
      <c r="AA112" s="2334" t="s">
        <v>241</v>
      </c>
      <c r="AB112" s="2334" t="s">
        <v>241</v>
      </c>
      <c r="AC112" s="2334"/>
      <c r="AD112" s="2332"/>
    </row>
    <row r="113" spans="26:30">
      <c r="Z113" s="2637"/>
      <c r="AA113" s="2334" t="s">
        <v>241</v>
      </c>
      <c r="AB113" s="2334" t="s">
        <v>241</v>
      </c>
      <c r="AC113" s="2334"/>
      <c r="AD113" s="2332"/>
    </row>
    <row r="114" spans="26:30">
      <c r="Z114" s="2637"/>
      <c r="AA114" s="2334" t="s">
        <v>241</v>
      </c>
      <c r="AB114" s="2334" t="s">
        <v>241</v>
      </c>
      <c r="AC114" s="2334"/>
      <c r="AD114" s="2332"/>
    </row>
    <row r="115" spans="26:30">
      <c r="Z115" s="2637"/>
      <c r="AA115" s="2334" t="s">
        <v>241</v>
      </c>
      <c r="AB115" s="2334" t="s">
        <v>241</v>
      </c>
      <c r="AC115" s="2334"/>
      <c r="AD115" s="2332"/>
    </row>
    <row r="116" spans="26:30">
      <c r="Z116" s="2637"/>
      <c r="AA116" s="2334" t="s">
        <v>241</v>
      </c>
      <c r="AB116" s="2334" t="s">
        <v>241</v>
      </c>
      <c r="AC116" s="2334"/>
      <c r="AD116" s="2332"/>
    </row>
    <row r="117" spans="26:30">
      <c r="Z117" s="2637"/>
      <c r="AA117" s="2334" t="s">
        <v>241</v>
      </c>
      <c r="AB117" s="2334" t="s">
        <v>241</v>
      </c>
      <c r="AC117" s="2334"/>
      <c r="AD117" s="2332"/>
    </row>
    <row r="118" spans="26:30">
      <c r="Z118" s="2637"/>
      <c r="AA118" s="2334" t="s">
        <v>241</v>
      </c>
      <c r="AB118" s="2334" t="s">
        <v>241</v>
      </c>
      <c r="AC118" s="2334"/>
      <c r="AD118" s="2332"/>
    </row>
    <row r="119" spans="26:30">
      <c r="Z119" s="2637"/>
      <c r="AA119" s="2334" t="s">
        <v>241</v>
      </c>
      <c r="AB119" s="2334" t="s">
        <v>241</v>
      </c>
      <c r="AC119" s="2334"/>
      <c r="AD119" s="2332"/>
    </row>
    <row r="120" spans="26:30">
      <c r="Z120" s="2637"/>
      <c r="AA120" s="2334" t="s">
        <v>241</v>
      </c>
      <c r="AB120" s="2334" t="s">
        <v>241</v>
      </c>
      <c r="AC120" s="2334"/>
      <c r="AD120" s="2332"/>
    </row>
    <row r="121" spans="26:30">
      <c r="Z121" s="2637"/>
      <c r="AA121" s="2334" t="s">
        <v>241</v>
      </c>
      <c r="AB121" s="2334" t="s">
        <v>241</v>
      </c>
      <c r="AC121" s="2334"/>
      <c r="AD121" s="2332"/>
    </row>
    <row r="122" spans="26:30">
      <c r="Z122" s="2637"/>
      <c r="AA122" s="2334" t="s">
        <v>241</v>
      </c>
      <c r="AB122" s="2334" t="s">
        <v>241</v>
      </c>
      <c r="AC122" s="2334"/>
      <c r="AD122" s="2332"/>
    </row>
    <row r="123" spans="26:30">
      <c r="Z123" s="2637"/>
      <c r="AA123" s="2334" t="s">
        <v>241</v>
      </c>
      <c r="AB123" s="2334" t="s">
        <v>241</v>
      </c>
      <c r="AC123" s="2334"/>
      <c r="AD123" s="2332"/>
    </row>
    <row r="124" spans="26:30">
      <c r="Z124" s="2637"/>
      <c r="AA124" s="2334" t="s">
        <v>241</v>
      </c>
      <c r="AB124" s="2334" t="s">
        <v>241</v>
      </c>
      <c r="AC124" s="2334"/>
      <c r="AD124" s="2332"/>
    </row>
    <row r="125" spans="26:30">
      <c r="Z125" s="2637"/>
      <c r="AA125" s="2334" t="s">
        <v>241</v>
      </c>
      <c r="AB125" s="2334" t="s">
        <v>241</v>
      </c>
      <c r="AC125" s="2334"/>
      <c r="AD125" s="2332"/>
    </row>
    <row r="126" spans="26:30">
      <c r="Z126" s="2637"/>
      <c r="AA126" s="2334" t="s">
        <v>241</v>
      </c>
      <c r="AB126" s="2334" t="s">
        <v>241</v>
      </c>
      <c r="AC126" s="2334"/>
      <c r="AD126" s="2332"/>
    </row>
    <row r="127" spans="26:30">
      <c r="Z127" s="2637"/>
      <c r="AA127" s="2334" t="s">
        <v>241</v>
      </c>
      <c r="AB127" s="2334" t="s">
        <v>241</v>
      </c>
      <c r="AC127" s="2334"/>
      <c r="AD127" s="2332"/>
    </row>
    <row r="128" spans="26:30">
      <c r="Z128" s="2637"/>
      <c r="AA128" s="2334" t="s">
        <v>241</v>
      </c>
      <c r="AB128" s="2334" t="s">
        <v>241</v>
      </c>
      <c r="AC128" s="2334"/>
      <c r="AD128" s="2332"/>
    </row>
    <row r="129" spans="26:30">
      <c r="Z129" s="2637"/>
      <c r="AA129" s="2334" t="s">
        <v>241</v>
      </c>
      <c r="AB129" s="2334" t="s">
        <v>241</v>
      </c>
      <c r="AC129" s="2334"/>
      <c r="AD129" s="2332"/>
    </row>
    <row r="130" spans="26:30">
      <c r="Z130" s="2637"/>
      <c r="AA130" s="2334" t="s">
        <v>241</v>
      </c>
      <c r="AB130" s="2334" t="s">
        <v>241</v>
      </c>
      <c r="AC130" s="2334"/>
      <c r="AD130" s="2332"/>
    </row>
    <row r="131" spans="26:30">
      <c r="Z131" s="2637"/>
      <c r="AA131" s="2334" t="s">
        <v>241</v>
      </c>
      <c r="AB131" s="2334" t="s">
        <v>241</v>
      </c>
      <c r="AC131" s="2334"/>
      <c r="AD131" s="2332"/>
    </row>
    <row r="132" spans="26:30">
      <c r="Z132" s="2637"/>
      <c r="AA132" s="2334" t="s">
        <v>241</v>
      </c>
      <c r="AB132" s="2334" t="s">
        <v>241</v>
      </c>
      <c r="AC132" s="2334"/>
      <c r="AD132" s="2332"/>
    </row>
    <row r="133" spans="26:30">
      <c r="Z133" s="2637"/>
      <c r="AA133" s="2334" t="s">
        <v>241</v>
      </c>
      <c r="AB133" s="2334" t="s">
        <v>241</v>
      </c>
      <c r="AC133" s="2334"/>
      <c r="AD133" s="2332"/>
    </row>
    <row r="134" spans="26:30">
      <c r="Z134" s="2637"/>
      <c r="AA134" s="2334" t="s">
        <v>241</v>
      </c>
      <c r="AB134" s="2334" t="s">
        <v>241</v>
      </c>
      <c r="AC134" s="2334"/>
      <c r="AD134" s="2332"/>
    </row>
    <row r="135" spans="26:30">
      <c r="Z135" s="2637"/>
      <c r="AA135" s="2334" t="s">
        <v>241</v>
      </c>
      <c r="AB135" s="2334" t="s">
        <v>241</v>
      </c>
      <c r="AC135" s="2334"/>
      <c r="AD135" s="2332"/>
    </row>
    <row r="136" spans="26:30">
      <c r="Z136" s="2637"/>
      <c r="AA136" s="2334" t="s">
        <v>241</v>
      </c>
      <c r="AB136" s="2334" t="s">
        <v>241</v>
      </c>
      <c r="AC136" s="2334"/>
      <c r="AD136" s="2332"/>
    </row>
    <row r="137" spans="26:30">
      <c r="Z137" s="2637"/>
      <c r="AA137" s="2334" t="s">
        <v>241</v>
      </c>
      <c r="AB137" s="2334" t="s">
        <v>241</v>
      </c>
      <c r="AC137" s="2334"/>
      <c r="AD137" s="2332"/>
    </row>
    <row r="138" spans="26:30">
      <c r="Z138" s="2637"/>
      <c r="AA138" s="2334" t="s">
        <v>241</v>
      </c>
      <c r="AB138" s="2334" t="s">
        <v>241</v>
      </c>
      <c r="AC138" s="2334"/>
      <c r="AD138" s="2332"/>
    </row>
    <row r="139" spans="26:30">
      <c r="Z139" s="2637"/>
      <c r="AA139" s="2334" t="s">
        <v>241</v>
      </c>
      <c r="AB139" s="2334" t="s">
        <v>241</v>
      </c>
      <c r="AC139" s="2334"/>
      <c r="AD139" s="2332"/>
    </row>
    <row r="140" spans="26:30">
      <c r="Z140" s="2637"/>
      <c r="AA140" s="2334" t="s">
        <v>241</v>
      </c>
      <c r="AB140" s="2334" t="s">
        <v>241</v>
      </c>
      <c r="AC140" s="2334"/>
      <c r="AD140" s="2332"/>
    </row>
    <row r="141" spans="26:30">
      <c r="Z141" s="2637"/>
      <c r="AA141" s="2334" t="s">
        <v>241</v>
      </c>
      <c r="AB141" s="2334" t="s">
        <v>241</v>
      </c>
      <c r="AC141" s="2334"/>
      <c r="AD141" s="2332"/>
    </row>
    <row r="142" spans="26:30">
      <c r="Z142" s="2637"/>
      <c r="AA142" s="2334" t="s">
        <v>241</v>
      </c>
      <c r="AB142" s="2334" t="s">
        <v>241</v>
      </c>
      <c r="AC142" s="2334"/>
      <c r="AD142" s="2332"/>
    </row>
    <row r="143" spans="26:30">
      <c r="Z143" s="2637"/>
      <c r="AA143" s="2334" t="s">
        <v>241</v>
      </c>
      <c r="AB143" s="2334" t="s">
        <v>241</v>
      </c>
      <c r="AC143" s="2334"/>
      <c r="AD143" s="2332"/>
    </row>
    <row r="144" spans="26:30">
      <c r="Z144" s="2637"/>
      <c r="AA144" s="2334" t="s">
        <v>241</v>
      </c>
      <c r="AB144" s="2334" t="s">
        <v>241</v>
      </c>
      <c r="AC144" s="2334"/>
      <c r="AD144" s="2332"/>
    </row>
    <row r="145" spans="26:30">
      <c r="Z145" s="2637"/>
      <c r="AA145" s="2334" t="s">
        <v>241</v>
      </c>
      <c r="AB145" s="2334" t="s">
        <v>241</v>
      </c>
      <c r="AC145" s="2334"/>
      <c r="AD145" s="2332"/>
    </row>
    <row r="146" spans="26:30">
      <c r="Z146" s="2637"/>
      <c r="AA146" s="2334" t="s">
        <v>241</v>
      </c>
      <c r="AB146" s="2334" t="s">
        <v>241</v>
      </c>
      <c r="AC146" s="2334"/>
      <c r="AD146" s="2332"/>
    </row>
    <row r="147" spans="26:30">
      <c r="Z147" s="2637"/>
      <c r="AA147" s="2334" t="s">
        <v>241</v>
      </c>
      <c r="AB147" s="2334" t="s">
        <v>241</v>
      </c>
      <c r="AC147" s="2334"/>
      <c r="AD147" s="2332"/>
    </row>
    <row r="148" spans="26:30">
      <c r="Z148" s="2637"/>
      <c r="AA148" s="2334" t="s">
        <v>241</v>
      </c>
      <c r="AB148" s="2334" t="s">
        <v>241</v>
      </c>
      <c r="AC148" s="2334"/>
      <c r="AD148" s="2332"/>
    </row>
    <row r="149" spans="26:30">
      <c r="Z149" s="2637"/>
      <c r="AA149" s="2334" t="s">
        <v>241</v>
      </c>
      <c r="AB149" s="2334" t="s">
        <v>241</v>
      </c>
      <c r="AC149" s="2334"/>
      <c r="AD149" s="2332"/>
    </row>
    <row r="150" spans="26:30">
      <c r="Z150" s="2637"/>
      <c r="AA150" s="2334" t="s">
        <v>241</v>
      </c>
      <c r="AB150" s="2334" t="s">
        <v>241</v>
      </c>
      <c r="AC150" s="2334"/>
      <c r="AD150" s="2332"/>
    </row>
    <row r="151" spans="26:30">
      <c r="Z151" s="2637"/>
      <c r="AA151" s="2334" t="s">
        <v>241</v>
      </c>
      <c r="AB151" s="2334" t="s">
        <v>241</v>
      </c>
      <c r="AC151" s="2334"/>
      <c r="AD151" s="2332"/>
    </row>
    <row r="152" spans="26:30">
      <c r="Z152" s="2637"/>
      <c r="AA152" s="2334" t="s">
        <v>241</v>
      </c>
      <c r="AB152" s="2334" t="s">
        <v>241</v>
      </c>
      <c r="AC152" s="2334"/>
      <c r="AD152" s="2332"/>
    </row>
    <row r="153" spans="26:30">
      <c r="Z153" s="2637"/>
      <c r="AA153" s="2334" t="s">
        <v>241</v>
      </c>
      <c r="AB153" s="2334" t="s">
        <v>241</v>
      </c>
      <c r="AC153" s="2334"/>
      <c r="AD153" s="2332"/>
    </row>
    <row r="154" spans="26:30">
      <c r="Z154" s="2637"/>
      <c r="AA154" s="2334" t="s">
        <v>241</v>
      </c>
      <c r="AB154" s="2334" t="s">
        <v>241</v>
      </c>
      <c r="AC154" s="2334"/>
      <c r="AD154" s="2332"/>
    </row>
    <row r="155" spans="26:30">
      <c r="Z155" s="2637"/>
      <c r="AA155" s="2334" t="s">
        <v>241</v>
      </c>
      <c r="AB155" s="2334" t="s">
        <v>241</v>
      </c>
      <c r="AC155" s="2334"/>
      <c r="AD155" s="2332"/>
    </row>
    <row r="156" spans="26:30">
      <c r="Z156" s="2637"/>
      <c r="AA156" s="2334" t="s">
        <v>241</v>
      </c>
      <c r="AB156" s="2334" t="s">
        <v>241</v>
      </c>
      <c r="AC156" s="2334"/>
      <c r="AD156" s="2332"/>
    </row>
    <row r="157" spans="26:30">
      <c r="Z157" s="2637"/>
      <c r="AA157" s="2334" t="s">
        <v>241</v>
      </c>
      <c r="AB157" s="2334" t="s">
        <v>241</v>
      </c>
      <c r="AC157" s="2334"/>
      <c r="AD157" s="2332"/>
    </row>
    <row r="158" spans="26:30">
      <c r="Z158" s="2637"/>
      <c r="AA158" s="2334" t="s">
        <v>241</v>
      </c>
      <c r="AB158" s="2334" t="s">
        <v>241</v>
      </c>
      <c r="AC158" s="2334"/>
      <c r="AD158" s="2332"/>
    </row>
    <row r="159" spans="26:30">
      <c r="Z159" s="2637"/>
      <c r="AA159" s="2334" t="s">
        <v>241</v>
      </c>
      <c r="AB159" s="2334" t="s">
        <v>241</v>
      </c>
      <c r="AC159" s="2334"/>
      <c r="AD159" s="2332"/>
    </row>
    <row r="160" spans="26:30">
      <c r="Z160" s="2637"/>
      <c r="AA160" s="2334" t="s">
        <v>241</v>
      </c>
      <c r="AB160" s="2334" t="s">
        <v>241</v>
      </c>
      <c r="AC160" s="2334"/>
      <c r="AD160" s="2332"/>
    </row>
    <row r="161" spans="26:30">
      <c r="Z161" s="2637"/>
      <c r="AA161" s="2334" t="s">
        <v>241</v>
      </c>
      <c r="AB161" s="2334" t="s">
        <v>241</v>
      </c>
      <c r="AC161" s="2334"/>
      <c r="AD161" s="2332"/>
    </row>
    <row r="162" spans="26:30">
      <c r="Z162" s="2637"/>
      <c r="AA162" s="2334" t="s">
        <v>241</v>
      </c>
      <c r="AB162" s="2334" t="s">
        <v>241</v>
      </c>
      <c r="AC162" s="2334"/>
      <c r="AD162" s="2332"/>
    </row>
    <row r="163" spans="26:30">
      <c r="Z163" s="2637"/>
      <c r="AA163" s="2334" t="s">
        <v>241</v>
      </c>
      <c r="AB163" s="2334" t="s">
        <v>241</v>
      </c>
      <c r="AC163" s="2334"/>
      <c r="AD163" s="2332"/>
    </row>
    <row r="164" spans="26:30">
      <c r="Z164" s="2637"/>
      <c r="AA164" s="2334" t="s">
        <v>241</v>
      </c>
      <c r="AB164" s="2334" t="s">
        <v>241</v>
      </c>
      <c r="AC164" s="2334"/>
      <c r="AD164" s="2332"/>
    </row>
    <row r="165" spans="26:30">
      <c r="Z165" s="2637"/>
      <c r="AA165" s="2334" t="s">
        <v>241</v>
      </c>
      <c r="AB165" s="2334" t="s">
        <v>241</v>
      </c>
      <c r="AC165" s="2334"/>
      <c r="AD165" s="2332"/>
    </row>
  </sheetData>
  <customSheetViews>
    <customSheetView guid="{074EB09C-6289-46D7-9513-012B68BCA7BF}" showGridLines="0">
      <pane xSplit="1" ySplit="1" topLeftCell="B2" activePane="bottomRight" state="frozen"/>
      <selection pane="bottomRight" activeCell="AH24" sqref="AH24"/>
      <pageMargins left="0.17" right="0.23" top="0.34" bottom="0.34" header="0.3" footer="0.3"/>
      <pageSetup paperSize="17" scale="37" orientation="landscape" r:id="rId1"/>
    </customSheetView>
    <customSheetView guid="{D9EFFE19-D14B-4C6F-BDF4-FF696F73968D}" showGridLines="0">
      <pane xSplit="1" ySplit="1" topLeftCell="B2" activePane="bottomRight" state="frozen"/>
      <selection pane="bottomRight" activeCell="C22" sqref="C22:E23"/>
      <pageMargins left="0.17" right="0.23" top="0.34" bottom="0.34" header="0.3" footer="0.3"/>
      <pageSetup paperSize="17" scale="37" orientation="landscape" r:id="rId2"/>
    </customSheetView>
  </customSheetViews>
  <mergeCells count="9">
    <mergeCell ref="Z12:AD12"/>
    <mergeCell ref="H12:O12"/>
    <mergeCell ref="R2:S2"/>
    <mergeCell ref="T2:V2"/>
    <mergeCell ref="W2:W3"/>
    <mergeCell ref="H10:P10"/>
    <mergeCell ref="P12:R12"/>
    <mergeCell ref="S12:U12"/>
    <mergeCell ref="V12:Y12"/>
  </mergeCells>
  <pageMargins left="0.17" right="0.23" top="0.34" bottom="0.34" header="0.3" footer="0.3"/>
  <pageSetup paperSize="17" scale="37" orientation="landscape" r:id="rId3"/>
  <ignoredErrors>
    <ignoredError sqref="R7" formula="1"/>
  </ignoredError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0497B"/>
  </sheetPr>
  <dimension ref="A1:B4"/>
  <sheetViews>
    <sheetView showGridLines="0" workbookViewId="0">
      <selection activeCell="G14" sqref="G14"/>
    </sheetView>
  </sheetViews>
  <sheetFormatPr defaultRowHeight="12.75"/>
  <sheetData>
    <row r="1" spans="1:2">
      <c r="A1" t="s">
        <v>34</v>
      </c>
    </row>
    <row r="4" spans="1:2">
      <c r="B4" s="2177" t="s">
        <v>365</v>
      </c>
    </row>
  </sheetData>
  <customSheetViews>
    <customSheetView guid="{074EB09C-6289-46D7-9513-012B68BCA7BF}" showGridLines="0">
      <selection activeCell="D16" sqref="D16"/>
      <pageMargins left="0.7" right="0.7" top="0.75" bottom="0.75" header="0.3" footer="0.3"/>
      <pageSetup paperSize="3" orientation="landscape" r:id="rId1"/>
    </customSheetView>
    <customSheetView guid="{D9EFFE19-D14B-4C6F-BDF4-FF696F73968D}" showGridLines="0">
      <selection activeCell="D16" sqref="D16"/>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activeCell="C1" sqref="C1"/>
    </sheetView>
  </sheetViews>
  <sheetFormatPr defaultRowHeight="12.75"/>
  <cols>
    <col min="1" max="1" width="16.42578125" style="1164" customWidth="1"/>
    <col min="2" max="2" width="16.42578125" style="1866" customWidth="1"/>
    <col min="3" max="3" width="27.42578125" customWidth="1"/>
    <col min="4" max="4" width="22.7109375" customWidth="1"/>
    <col min="5" max="5" width="15.7109375" style="9" customWidth="1"/>
    <col min="6" max="6" width="15.710937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1.42578125" bestFit="1" customWidth="1"/>
    <col min="260" max="260" width="14.855468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5.5703125" bestFit="1" customWidth="1"/>
    <col min="271" max="271" width="16.140625" customWidth="1"/>
    <col min="272" max="272" width="16.7109375" bestFit="1" customWidth="1"/>
    <col min="273" max="273" width="15.5703125" bestFit="1" customWidth="1"/>
    <col min="274" max="274" width="20.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1.42578125" bestFit="1" customWidth="1"/>
    <col min="516" max="516" width="14.855468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5.5703125" bestFit="1" customWidth="1"/>
    <col min="527" max="527" width="16.140625" customWidth="1"/>
    <col min="528" max="528" width="16.7109375" bestFit="1" customWidth="1"/>
    <col min="529" max="529" width="15.5703125" bestFit="1" customWidth="1"/>
    <col min="530" max="530" width="20.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1.42578125" bestFit="1" customWidth="1"/>
    <col min="772" max="772" width="14.855468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5.5703125" bestFit="1" customWidth="1"/>
    <col min="783" max="783" width="16.140625" customWidth="1"/>
    <col min="784" max="784" width="16.7109375" bestFit="1" customWidth="1"/>
    <col min="785" max="785" width="15.5703125" bestFit="1" customWidth="1"/>
    <col min="786" max="786" width="20.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1.42578125" bestFit="1" customWidth="1"/>
    <col min="1028" max="1028" width="14.855468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5.5703125" bestFit="1" customWidth="1"/>
    <col min="1039" max="1039" width="16.140625" customWidth="1"/>
    <col min="1040" max="1040" width="16.7109375" bestFit="1" customWidth="1"/>
    <col min="1041" max="1041" width="15.5703125" bestFit="1" customWidth="1"/>
    <col min="1042" max="1042" width="20.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1.42578125" bestFit="1" customWidth="1"/>
    <col min="1284" max="1284" width="14.855468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5.5703125" bestFit="1" customWidth="1"/>
    <col min="1295" max="1295" width="16.140625" customWidth="1"/>
    <col min="1296" max="1296" width="16.7109375" bestFit="1" customWidth="1"/>
    <col min="1297" max="1297" width="15.5703125" bestFit="1" customWidth="1"/>
    <col min="1298" max="1298" width="20.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1.42578125" bestFit="1" customWidth="1"/>
    <col min="1540" max="1540" width="14.855468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5.5703125" bestFit="1" customWidth="1"/>
    <col min="1551" max="1551" width="16.140625" customWidth="1"/>
    <col min="1552" max="1552" width="16.7109375" bestFit="1" customWidth="1"/>
    <col min="1553" max="1553" width="15.5703125" bestFit="1" customWidth="1"/>
    <col min="1554" max="1554" width="20.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1.42578125" bestFit="1" customWidth="1"/>
    <col min="1796" max="1796" width="14.855468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5.5703125" bestFit="1" customWidth="1"/>
    <col min="1807" max="1807" width="16.140625" customWidth="1"/>
    <col min="1808" max="1808" width="16.7109375" bestFit="1" customWidth="1"/>
    <col min="1809" max="1809" width="15.5703125" bestFit="1" customWidth="1"/>
    <col min="1810" max="1810" width="20.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1.42578125" bestFit="1" customWidth="1"/>
    <col min="2052" max="2052" width="14.855468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5.5703125" bestFit="1" customWidth="1"/>
    <col min="2063" max="2063" width="16.140625" customWidth="1"/>
    <col min="2064" max="2064" width="16.7109375" bestFit="1" customWidth="1"/>
    <col min="2065" max="2065" width="15.5703125" bestFit="1" customWidth="1"/>
    <col min="2066" max="2066" width="20.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1.42578125" bestFit="1" customWidth="1"/>
    <col min="2308" max="2308" width="14.855468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5.5703125" bestFit="1" customWidth="1"/>
    <col min="2319" max="2319" width="16.140625" customWidth="1"/>
    <col min="2320" max="2320" width="16.7109375" bestFit="1" customWidth="1"/>
    <col min="2321" max="2321" width="15.5703125" bestFit="1" customWidth="1"/>
    <col min="2322" max="2322" width="20.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1.42578125" bestFit="1" customWidth="1"/>
    <col min="2564" max="2564" width="14.855468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5.5703125" bestFit="1" customWidth="1"/>
    <col min="2575" max="2575" width="16.140625" customWidth="1"/>
    <col min="2576" max="2576" width="16.7109375" bestFit="1" customWidth="1"/>
    <col min="2577" max="2577" width="15.5703125" bestFit="1" customWidth="1"/>
    <col min="2578" max="2578" width="20.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1.42578125" bestFit="1" customWidth="1"/>
    <col min="2820" max="2820" width="14.855468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5.5703125" bestFit="1" customWidth="1"/>
    <col min="2831" max="2831" width="16.140625" customWidth="1"/>
    <col min="2832" max="2832" width="16.7109375" bestFit="1" customWidth="1"/>
    <col min="2833" max="2833" width="15.5703125" bestFit="1" customWidth="1"/>
    <col min="2834" max="2834" width="20.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1.42578125" bestFit="1" customWidth="1"/>
    <col min="3076" max="3076" width="14.855468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5.5703125" bestFit="1" customWidth="1"/>
    <col min="3087" max="3087" width="16.140625" customWidth="1"/>
    <col min="3088" max="3088" width="16.7109375" bestFit="1" customWidth="1"/>
    <col min="3089" max="3089" width="15.5703125" bestFit="1" customWidth="1"/>
    <col min="3090" max="3090" width="20.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1.42578125" bestFit="1" customWidth="1"/>
    <col min="3332" max="3332" width="14.855468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5.5703125" bestFit="1" customWidth="1"/>
    <col min="3343" max="3343" width="16.140625" customWidth="1"/>
    <col min="3344" max="3344" width="16.7109375" bestFit="1" customWidth="1"/>
    <col min="3345" max="3345" width="15.5703125" bestFit="1" customWidth="1"/>
    <col min="3346" max="3346" width="20.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1.42578125" bestFit="1" customWidth="1"/>
    <col min="3588" max="3588" width="14.855468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5.5703125" bestFit="1" customWidth="1"/>
    <col min="3599" max="3599" width="16.140625" customWidth="1"/>
    <col min="3600" max="3600" width="16.7109375" bestFit="1" customWidth="1"/>
    <col min="3601" max="3601" width="15.5703125" bestFit="1" customWidth="1"/>
    <col min="3602" max="3602" width="20.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1.42578125" bestFit="1" customWidth="1"/>
    <col min="3844" max="3844" width="14.855468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5.5703125" bestFit="1" customWidth="1"/>
    <col min="3855" max="3855" width="16.140625" customWidth="1"/>
    <col min="3856" max="3856" width="16.7109375" bestFit="1" customWidth="1"/>
    <col min="3857" max="3857" width="15.5703125" bestFit="1" customWidth="1"/>
    <col min="3858" max="3858" width="20.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1.42578125" bestFit="1" customWidth="1"/>
    <col min="4100" max="4100" width="14.855468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5.5703125" bestFit="1" customWidth="1"/>
    <col min="4111" max="4111" width="16.140625" customWidth="1"/>
    <col min="4112" max="4112" width="16.7109375" bestFit="1" customWidth="1"/>
    <col min="4113" max="4113" width="15.5703125" bestFit="1" customWidth="1"/>
    <col min="4114" max="4114" width="20.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1.42578125" bestFit="1" customWidth="1"/>
    <col min="4356" max="4356" width="14.855468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5.5703125" bestFit="1" customWidth="1"/>
    <col min="4367" max="4367" width="16.140625" customWidth="1"/>
    <col min="4368" max="4368" width="16.7109375" bestFit="1" customWidth="1"/>
    <col min="4369" max="4369" width="15.5703125" bestFit="1" customWidth="1"/>
    <col min="4370" max="4370" width="20.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1.42578125" bestFit="1" customWidth="1"/>
    <col min="4612" max="4612" width="14.855468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5.5703125" bestFit="1" customWidth="1"/>
    <col min="4623" max="4623" width="16.140625" customWidth="1"/>
    <col min="4624" max="4624" width="16.7109375" bestFit="1" customWidth="1"/>
    <col min="4625" max="4625" width="15.5703125" bestFit="1" customWidth="1"/>
    <col min="4626" max="4626" width="20.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1.42578125" bestFit="1" customWidth="1"/>
    <col min="4868" max="4868" width="14.855468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5.5703125" bestFit="1" customWidth="1"/>
    <col min="4879" max="4879" width="16.140625" customWidth="1"/>
    <col min="4880" max="4880" width="16.7109375" bestFit="1" customWidth="1"/>
    <col min="4881" max="4881" width="15.5703125" bestFit="1" customWidth="1"/>
    <col min="4882" max="4882" width="20.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1.42578125" bestFit="1" customWidth="1"/>
    <col min="5124" max="5124" width="14.855468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5.5703125" bestFit="1" customWidth="1"/>
    <col min="5135" max="5135" width="16.140625" customWidth="1"/>
    <col min="5136" max="5136" width="16.7109375" bestFit="1" customWidth="1"/>
    <col min="5137" max="5137" width="15.5703125" bestFit="1" customWidth="1"/>
    <col min="5138" max="5138" width="20.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1.42578125" bestFit="1" customWidth="1"/>
    <col min="5380" max="5380" width="14.855468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5.5703125" bestFit="1" customWidth="1"/>
    <col min="5391" max="5391" width="16.140625" customWidth="1"/>
    <col min="5392" max="5392" width="16.7109375" bestFit="1" customWidth="1"/>
    <col min="5393" max="5393" width="15.5703125" bestFit="1" customWidth="1"/>
    <col min="5394" max="5394" width="20.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1.42578125" bestFit="1" customWidth="1"/>
    <col min="5636" max="5636" width="14.855468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5.5703125" bestFit="1" customWidth="1"/>
    <col min="5647" max="5647" width="16.140625" customWidth="1"/>
    <col min="5648" max="5648" width="16.7109375" bestFit="1" customWidth="1"/>
    <col min="5649" max="5649" width="15.5703125" bestFit="1" customWidth="1"/>
    <col min="5650" max="5650" width="20.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1.42578125" bestFit="1" customWidth="1"/>
    <col min="5892" max="5892" width="14.855468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5.5703125" bestFit="1" customWidth="1"/>
    <col min="5903" max="5903" width="16.140625" customWidth="1"/>
    <col min="5904" max="5904" width="16.7109375" bestFit="1" customWidth="1"/>
    <col min="5905" max="5905" width="15.5703125" bestFit="1" customWidth="1"/>
    <col min="5906" max="5906" width="20.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1.42578125" bestFit="1" customWidth="1"/>
    <col min="6148" max="6148" width="14.855468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5.5703125" bestFit="1" customWidth="1"/>
    <col min="6159" max="6159" width="16.140625" customWidth="1"/>
    <col min="6160" max="6160" width="16.7109375" bestFit="1" customWidth="1"/>
    <col min="6161" max="6161" width="15.5703125" bestFit="1" customWidth="1"/>
    <col min="6162" max="6162" width="20.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1.42578125" bestFit="1" customWidth="1"/>
    <col min="6404" max="6404" width="14.855468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5.5703125" bestFit="1" customWidth="1"/>
    <col min="6415" max="6415" width="16.140625" customWidth="1"/>
    <col min="6416" max="6416" width="16.7109375" bestFit="1" customWidth="1"/>
    <col min="6417" max="6417" width="15.5703125" bestFit="1" customWidth="1"/>
    <col min="6418" max="6418" width="20.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1.42578125" bestFit="1" customWidth="1"/>
    <col min="6660" max="6660" width="14.855468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5.5703125" bestFit="1" customWidth="1"/>
    <col min="6671" max="6671" width="16.140625" customWidth="1"/>
    <col min="6672" max="6672" width="16.7109375" bestFit="1" customWidth="1"/>
    <col min="6673" max="6673" width="15.5703125" bestFit="1" customWidth="1"/>
    <col min="6674" max="6674" width="20.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1.42578125" bestFit="1" customWidth="1"/>
    <col min="6916" max="6916" width="14.855468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5.5703125" bestFit="1" customWidth="1"/>
    <col min="6927" max="6927" width="16.140625" customWidth="1"/>
    <col min="6928" max="6928" width="16.7109375" bestFit="1" customWidth="1"/>
    <col min="6929" max="6929" width="15.5703125" bestFit="1" customWidth="1"/>
    <col min="6930" max="6930" width="20.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1.42578125" bestFit="1" customWidth="1"/>
    <col min="7172" max="7172" width="14.855468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5.5703125" bestFit="1" customWidth="1"/>
    <col min="7183" max="7183" width="16.140625" customWidth="1"/>
    <col min="7184" max="7184" width="16.7109375" bestFit="1" customWidth="1"/>
    <col min="7185" max="7185" width="15.5703125" bestFit="1" customWidth="1"/>
    <col min="7186" max="7186" width="20.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1.42578125" bestFit="1" customWidth="1"/>
    <col min="7428" max="7428" width="14.855468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5.5703125" bestFit="1" customWidth="1"/>
    <col min="7439" max="7439" width="16.140625" customWidth="1"/>
    <col min="7440" max="7440" width="16.7109375" bestFit="1" customWidth="1"/>
    <col min="7441" max="7441" width="15.5703125" bestFit="1" customWidth="1"/>
    <col min="7442" max="7442" width="20.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1.42578125" bestFit="1" customWidth="1"/>
    <col min="7684" max="7684" width="14.855468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5.5703125" bestFit="1" customWidth="1"/>
    <col min="7695" max="7695" width="16.140625" customWidth="1"/>
    <col min="7696" max="7696" width="16.7109375" bestFit="1" customWidth="1"/>
    <col min="7697" max="7697" width="15.5703125" bestFit="1" customWidth="1"/>
    <col min="7698" max="7698" width="20.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1.42578125" bestFit="1" customWidth="1"/>
    <col min="7940" max="7940" width="14.855468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5.5703125" bestFit="1" customWidth="1"/>
    <col min="7951" max="7951" width="16.140625" customWidth="1"/>
    <col min="7952" max="7952" width="16.7109375" bestFit="1" customWidth="1"/>
    <col min="7953" max="7953" width="15.5703125" bestFit="1" customWidth="1"/>
    <col min="7954" max="7954" width="20.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1.42578125" bestFit="1" customWidth="1"/>
    <col min="8196" max="8196" width="14.855468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5.5703125" bestFit="1" customWidth="1"/>
    <col min="8207" max="8207" width="16.140625" customWidth="1"/>
    <col min="8208" max="8208" width="16.7109375" bestFit="1" customWidth="1"/>
    <col min="8209" max="8209" width="15.5703125" bestFit="1" customWidth="1"/>
    <col min="8210" max="8210" width="20.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1.42578125" bestFit="1" customWidth="1"/>
    <col min="8452" max="8452" width="14.855468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5.5703125" bestFit="1" customWidth="1"/>
    <col min="8463" max="8463" width="16.140625" customWidth="1"/>
    <col min="8464" max="8464" width="16.7109375" bestFit="1" customWidth="1"/>
    <col min="8465" max="8465" width="15.5703125" bestFit="1" customWidth="1"/>
    <col min="8466" max="8466" width="20.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1.42578125" bestFit="1" customWidth="1"/>
    <col min="8708" max="8708" width="14.855468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5.5703125" bestFit="1" customWidth="1"/>
    <col min="8719" max="8719" width="16.140625" customWidth="1"/>
    <col min="8720" max="8720" width="16.7109375" bestFit="1" customWidth="1"/>
    <col min="8721" max="8721" width="15.5703125" bestFit="1" customWidth="1"/>
    <col min="8722" max="8722" width="20.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1.42578125" bestFit="1" customWidth="1"/>
    <col min="8964" max="8964" width="14.855468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5.5703125" bestFit="1" customWidth="1"/>
    <col min="8975" max="8975" width="16.140625" customWidth="1"/>
    <col min="8976" max="8976" width="16.7109375" bestFit="1" customWidth="1"/>
    <col min="8977" max="8977" width="15.5703125" bestFit="1" customWidth="1"/>
    <col min="8978" max="8978" width="20.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1.42578125" bestFit="1" customWidth="1"/>
    <col min="9220" max="9220" width="14.855468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5.5703125" bestFit="1" customWidth="1"/>
    <col min="9231" max="9231" width="16.140625" customWidth="1"/>
    <col min="9232" max="9232" width="16.7109375" bestFit="1" customWidth="1"/>
    <col min="9233" max="9233" width="15.5703125" bestFit="1" customWidth="1"/>
    <col min="9234" max="9234" width="20.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1.42578125" bestFit="1" customWidth="1"/>
    <col min="9476" max="9476" width="14.855468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5.5703125" bestFit="1" customWidth="1"/>
    <col min="9487" max="9487" width="16.140625" customWidth="1"/>
    <col min="9488" max="9488" width="16.7109375" bestFit="1" customWidth="1"/>
    <col min="9489" max="9489" width="15.5703125" bestFit="1" customWidth="1"/>
    <col min="9490" max="9490" width="20.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1.42578125" bestFit="1" customWidth="1"/>
    <col min="9732" max="9732" width="14.855468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5.5703125" bestFit="1" customWidth="1"/>
    <col min="9743" max="9743" width="16.140625" customWidth="1"/>
    <col min="9744" max="9744" width="16.7109375" bestFit="1" customWidth="1"/>
    <col min="9745" max="9745" width="15.5703125" bestFit="1" customWidth="1"/>
    <col min="9746" max="9746" width="20.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1.42578125" bestFit="1" customWidth="1"/>
    <col min="9988" max="9988" width="14.855468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5.5703125" bestFit="1" customWidth="1"/>
    <col min="9999" max="9999" width="16.140625" customWidth="1"/>
    <col min="10000" max="10000" width="16.7109375" bestFit="1" customWidth="1"/>
    <col min="10001" max="10001" width="15.5703125" bestFit="1" customWidth="1"/>
    <col min="10002" max="10002" width="20.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1.42578125" bestFit="1" customWidth="1"/>
    <col min="10244" max="10244" width="14.855468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5.5703125" bestFit="1" customWidth="1"/>
    <col min="10255" max="10255" width="16.140625" customWidth="1"/>
    <col min="10256" max="10256" width="16.7109375" bestFit="1" customWidth="1"/>
    <col min="10257" max="10257" width="15.5703125" bestFit="1" customWidth="1"/>
    <col min="10258" max="10258" width="20.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1.42578125" bestFit="1" customWidth="1"/>
    <col min="10500" max="10500" width="14.855468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5.5703125" bestFit="1" customWidth="1"/>
    <col min="10511" max="10511" width="16.140625" customWidth="1"/>
    <col min="10512" max="10512" width="16.7109375" bestFit="1" customWidth="1"/>
    <col min="10513" max="10513" width="15.5703125" bestFit="1" customWidth="1"/>
    <col min="10514" max="10514" width="20.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1.42578125" bestFit="1" customWidth="1"/>
    <col min="10756" max="10756" width="14.855468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5.5703125" bestFit="1" customWidth="1"/>
    <col min="10767" max="10767" width="16.140625" customWidth="1"/>
    <col min="10768" max="10768" width="16.7109375" bestFit="1" customWidth="1"/>
    <col min="10769" max="10769" width="15.5703125" bestFit="1" customWidth="1"/>
    <col min="10770" max="10770" width="20.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1.42578125" bestFit="1" customWidth="1"/>
    <col min="11012" max="11012" width="14.855468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5.5703125" bestFit="1" customWidth="1"/>
    <col min="11023" max="11023" width="16.140625" customWidth="1"/>
    <col min="11024" max="11024" width="16.7109375" bestFit="1" customWidth="1"/>
    <col min="11025" max="11025" width="15.5703125" bestFit="1" customWidth="1"/>
    <col min="11026" max="11026" width="20.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1.42578125" bestFit="1" customWidth="1"/>
    <col min="11268" max="11268" width="14.855468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5.5703125" bestFit="1" customWidth="1"/>
    <col min="11279" max="11279" width="16.140625" customWidth="1"/>
    <col min="11280" max="11280" width="16.7109375" bestFit="1" customWidth="1"/>
    <col min="11281" max="11281" width="15.5703125" bestFit="1" customWidth="1"/>
    <col min="11282" max="11282" width="20.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1.42578125" bestFit="1" customWidth="1"/>
    <col min="11524" max="11524" width="14.855468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5.5703125" bestFit="1" customWidth="1"/>
    <col min="11535" max="11535" width="16.140625" customWidth="1"/>
    <col min="11536" max="11536" width="16.7109375" bestFit="1" customWidth="1"/>
    <col min="11537" max="11537" width="15.5703125" bestFit="1" customWidth="1"/>
    <col min="11538" max="11538" width="20.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1.42578125" bestFit="1" customWidth="1"/>
    <col min="11780" max="11780" width="14.855468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5.5703125" bestFit="1" customWidth="1"/>
    <col min="11791" max="11791" width="16.140625" customWidth="1"/>
    <col min="11792" max="11792" width="16.7109375" bestFit="1" customWidth="1"/>
    <col min="11793" max="11793" width="15.5703125" bestFit="1" customWidth="1"/>
    <col min="11794" max="11794" width="20.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1.42578125" bestFit="1" customWidth="1"/>
    <col min="12036" max="12036" width="14.855468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5.5703125" bestFit="1" customWidth="1"/>
    <col min="12047" max="12047" width="16.140625" customWidth="1"/>
    <col min="12048" max="12048" width="16.7109375" bestFit="1" customWidth="1"/>
    <col min="12049" max="12049" width="15.5703125" bestFit="1" customWidth="1"/>
    <col min="12050" max="12050" width="20.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1.42578125" bestFit="1" customWidth="1"/>
    <col min="12292" max="12292" width="14.855468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5.5703125" bestFit="1" customWidth="1"/>
    <col min="12303" max="12303" width="16.140625" customWidth="1"/>
    <col min="12304" max="12304" width="16.7109375" bestFit="1" customWidth="1"/>
    <col min="12305" max="12305" width="15.5703125" bestFit="1" customWidth="1"/>
    <col min="12306" max="12306" width="20.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1.42578125" bestFit="1" customWidth="1"/>
    <col min="12548" max="12548" width="14.855468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5.5703125" bestFit="1" customWidth="1"/>
    <col min="12559" max="12559" width="16.140625" customWidth="1"/>
    <col min="12560" max="12560" width="16.7109375" bestFit="1" customWidth="1"/>
    <col min="12561" max="12561" width="15.5703125" bestFit="1" customWidth="1"/>
    <col min="12562" max="12562" width="20.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1.42578125" bestFit="1" customWidth="1"/>
    <col min="12804" max="12804" width="14.855468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5.5703125" bestFit="1" customWidth="1"/>
    <col min="12815" max="12815" width="16.140625" customWidth="1"/>
    <col min="12816" max="12816" width="16.7109375" bestFit="1" customWidth="1"/>
    <col min="12817" max="12817" width="15.5703125" bestFit="1" customWidth="1"/>
    <col min="12818" max="12818" width="20.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1.42578125" bestFit="1" customWidth="1"/>
    <col min="13060" max="13060" width="14.855468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5.5703125" bestFit="1" customWidth="1"/>
    <col min="13071" max="13071" width="16.140625" customWidth="1"/>
    <col min="13072" max="13072" width="16.7109375" bestFit="1" customWidth="1"/>
    <col min="13073" max="13073" width="15.5703125" bestFit="1" customWidth="1"/>
    <col min="13074" max="13074" width="20.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1.42578125" bestFit="1" customWidth="1"/>
    <col min="13316" max="13316" width="14.855468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5.5703125" bestFit="1" customWidth="1"/>
    <col min="13327" max="13327" width="16.140625" customWidth="1"/>
    <col min="13328" max="13328" width="16.7109375" bestFit="1" customWidth="1"/>
    <col min="13329" max="13329" width="15.5703125" bestFit="1" customWidth="1"/>
    <col min="13330" max="13330" width="20.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1.42578125" bestFit="1" customWidth="1"/>
    <col min="13572" max="13572" width="14.855468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5.5703125" bestFit="1" customWidth="1"/>
    <col min="13583" max="13583" width="16.140625" customWidth="1"/>
    <col min="13584" max="13584" width="16.7109375" bestFit="1" customWidth="1"/>
    <col min="13585" max="13585" width="15.5703125" bestFit="1" customWidth="1"/>
    <col min="13586" max="13586" width="20.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1.42578125" bestFit="1" customWidth="1"/>
    <col min="13828" max="13828" width="14.855468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5.5703125" bestFit="1" customWidth="1"/>
    <col min="13839" max="13839" width="16.140625" customWidth="1"/>
    <col min="13840" max="13840" width="16.7109375" bestFit="1" customWidth="1"/>
    <col min="13841" max="13841" width="15.5703125" bestFit="1" customWidth="1"/>
    <col min="13842" max="13842" width="20.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1.42578125" bestFit="1" customWidth="1"/>
    <col min="14084" max="14084" width="14.855468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5.5703125" bestFit="1" customWidth="1"/>
    <col min="14095" max="14095" width="16.140625" customWidth="1"/>
    <col min="14096" max="14096" width="16.7109375" bestFit="1" customWidth="1"/>
    <col min="14097" max="14097" width="15.5703125" bestFit="1" customWidth="1"/>
    <col min="14098" max="14098" width="20.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1.42578125" bestFit="1" customWidth="1"/>
    <col min="14340" max="14340" width="14.855468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5.5703125" bestFit="1" customWidth="1"/>
    <col min="14351" max="14351" width="16.140625" customWidth="1"/>
    <col min="14352" max="14352" width="16.7109375" bestFit="1" customWidth="1"/>
    <col min="14353" max="14353" width="15.5703125" bestFit="1" customWidth="1"/>
    <col min="14354" max="14354" width="20.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1.42578125" bestFit="1" customWidth="1"/>
    <col min="14596" max="14596" width="14.855468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5.5703125" bestFit="1" customWidth="1"/>
    <col min="14607" max="14607" width="16.140625" customWidth="1"/>
    <col min="14608" max="14608" width="16.7109375" bestFit="1" customWidth="1"/>
    <col min="14609" max="14609" width="15.5703125" bestFit="1" customWidth="1"/>
    <col min="14610" max="14610" width="20.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1.42578125" bestFit="1" customWidth="1"/>
    <col min="14852" max="14852" width="14.855468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5.5703125" bestFit="1" customWidth="1"/>
    <col min="14863" max="14863" width="16.140625" customWidth="1"/>
    <col min="14864" max="14864" width="16.7109375" bestFit="1" customWidth="1"/>
    <col min="14865" max="14865" width="15.5703125" bestFit="1" customWidth="1"/>
    <col min="14866" max="14866" width="20.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1.42578125" bestFit="1" customWidth="1"/>
    <col min="15108" max="15108" width="14.855468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5.5703125" bestFit="1" customWidth="1"/>
    <col min="15119" max="15119" width="16.140625" customWidth="1"/>
    <col min="15120" max="15120" width="16.7109375" bestFit="1" customWidth="1"/>
    <col min="15121" max="15121" width="15.5703125" bestFit="1" customWidth="1"/>
    <col min="15122" max="15122" width="20.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1.42578125" bestFit="1" customWidth="1"/>
    <col min="15364" max="15364" width="14.855468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5.5703125" bestFit="1" customWidth="1"/>
    <col min="15375" max="15375" width="16.140625" customWidth="1"/>
    <col min="15376" max="15376" width="16.7109375" bestFit="1" customWidth="1"/>
    <col min="15377" max="15377" width="15.5703125" bestFit="1" customWidth="1"/>
    <col min="15378" max="15378" width="20.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1.42578125" bestFit="1" customWidth="1"/>
    <col min="15620" max="15620" width="14.855468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5.5703125" bestFit="1" customWidth="1"/>
    <col min="15631" max="15631" width="16.140625" customWidth="1"/>
    <col min="15632" max="15632" width="16.7109375" bestFit="1" customWidth="1"/>
    <col min="15633" max="15633" width="15.5703125" bestFit="1" customWidth="1"/>
    <col min="15634" max="15634" width="20.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1.42578125" bestFit="1" customWidth="1"/>
    <col min="15876" max="15876" width="14.855468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5.5703125" bestFit="1" customWidth="1"/>
    <col min="15887" max="15887" width="16.140625" customWidth="1"/>
    <col min="15888" max="15888" width="16.7109375" bestFit="1" customWidth="1"/>
    <col min="15889" max="15889" width="15.5703125" bestFit="1" customWidth="1"/>
    <col min="15890" max="15890" width="20.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1.42578125" bestFit="1" customWidth="1"/>
    <col min="16132" max="16132" width="14.855468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5.5703125" bestFit="1" customWidth="1"/>
    <col min="16143" max="16143" width="16.140625" customWidth="1"/>
    <col min="16144" max="16144" width="16.7109375" bestFit="1" customWidth="1"/>
    <col min="16145" max="16145" width="15.5703125" bestFit="1" customWidth="1"/>
    <col min="16146" max="16146" width="20.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44.25" customHeight="1" thickBot="1">
      <c r="C1" s="1853" t="s">
        <v>1655</v>
      </c>
      <c r="D1" s="1812" t="s">
        <v>291</v>
      </c>
      <c r="E1" s="1853" t="s">
        <v>6</v>
      </c>
      <c r="F1" s="1853">
        <v>18230635</v>
      </c>
      <c r="G1" s="1853" t="s">
        <v>31</v>
      </c>
      <c r="J1" s="1812"/>
      <c r="K1" s="1812"/>
      <c r="L1" s="1812"/>
      <c r="M1" s="1853" t="s">
        <v>1655</v>
      </c>
      <c r="N1" s="1812" t="s">
        <v>291</v>
      </c>
      <c r="O1" s="1853" t="s">
        <v>6</v>
      </c>
      <c r="P1" s="1853">
        <v>18230635</v>
      </c>
      <c r="Q1" s="1853" t="s">
        <v>31</v>
      </c>
      <c r="V1" s="1853" t="s">
        <v>1655</v>
      </c>
      <c r="W1" s="1812" t="s">
        <v>291</v>
      </c>
      <c r="X1" s="1853" t="s">
        <v>6</v>
      </c>
      <c r="Y1" s="1853">
        <v>18230635</v>
      </c>
      <c r="Z1" s="1853" t="s">
        <v>31</v>
      </c>
    </row>
    <row r="2" spans="1:33" ht="16.5" thickBot="1">
      <c r="C2" s="45"/>
      <c r="D2" s="46"/>
      <c r="H2" s="1576" t="s">
        <v>674</v>
      </c>
      <c r="R2" s="3596"/>
      <c r="S2" s="3596"/>
      <c r="T2" s="3597" t="s">
        <v>36</v>
      </c>
      <c r="U2" s="3598"/>
      <c r="V2" s="3599"/>
      <c r="W2" s="3594" t="s">
        <v>37</v>
      </c>
    </row>
    <row r="3" spans="1:33" ht="26.25" thickBot="1">
      <c r="A3" s="1852" t="s">
        <v>1655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291</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52">
        <v>18230635</v>
      </c>
      <c r="B6" s="1852"/>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52"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t="e">
        <f>#REF!</f>
        <v>#REF!</v>
      </c>
      <c r="T7" s="66" t="e">
        <f>P7/R7</f>
        <v>#DIV/0!</v>
      </c>
      <c r="U7" s="66" t="e">
        <f>(K7+(I7*1.63))/R7</f>
        <v>#DIV/0!</v>
      </c>
      <c r="V7" s="66" t="e">
        <f>M7/R7</f>
        <v>#DIV/0!</v>
      </c>
      <c r="W7" s="56" t="e">
        <f>R7/S7</f>
        <v>#REF!</v>
      </c>
    </row>
    <row r="8" spans="1:33" ht="15.75">
      <c r="B8" s="1852"/>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52" t="s">
        <v>1655</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52"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52">
        <v>18230635</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52"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52" t="s">
        <v>1655</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52" t="s">
        <v>6</v>
      </c>
      <c r="C66" s="1968"/>
      <c r="D66" s="1963"/>
      <c r="E66" s="1964"/>
      <c r="F66" s="1965"/>
    </row>
    <row r="67" spans="1:33">
      <c r="A67" s="1852">
        <v>18230635</v>
      </c>
      <c r="C67" s="1959" t="s">
        <v>54</v>
      </c>
      <c r="D67" s="1971">
        <v>0</v>
      </c>
      <c r="E67" s="1971">
        <v>0</v>
      </c>
      <c r="F67" s="1956">
        <v>0</v>
      </c>
    </row>
    <row r="68" spans="1:33">
      <c r="A68" s="1852" t="s">
        <v>31</v>
      </c>
    </row>
  </sheetData>
  <customSheetViews>
    <customSheetView guid="{074EB09C-6289-46D7-9513-012B68BCA7BF}" showGridLines="0" fitToPage="1">
      <pane xSplit="1" ySplit="1" topLeftCell="B2" activePane="bottomRight" state="frozen"/>
      <selection pane="bottomRight" activeCell="C1" sqref="C1"/>
      <pageMargins left="0.17" right="0.17" top="0.34" bottom="0.3" header="0.3" footer="0.3"/>
      <pageSetup paperSize="17" scale="43" orientation="landscape" r:id="rId1"/>
    </customSheetView>
    <customSheetView guid="{D9EFFE19-D14B-4C6F-BDF4-FF696F73968D}" showGridLines="0" fitToPage="1">
      <pane xSplit="1" ySplit="1" topLeftCell="D2" activePane="bottomRight" state="frozen"/>
      <selection pane="bottomRight" activeCell="I30" sqref="I30"/>
      <pageMargins left="0.17" right="0.17" top="0.34" bottom="0.3" header="0.3" footer="0.3"/>
      <pageSetup paperSize="17"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17" right="0.17" top="0.34" bottom="0.3" header="0.3" footer="0.3"/>
  <pageSetup paperSize="17" scale="43"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7109375" style="1164" customWidth="1"/>
    <col min="2" max="2" width="15.7109375" style="1866" customWidth="1"/>
    <col min="3" max="3" width="28.28515625" customWidth="1"/>
    <col min="4" max="4" width="21" customWidth="1"/>
    <col min="5" max="5" width="15.85546875" style="9" customWidth="1"/>
    <col min="6" max="6" width="15.85546875" customWidth="1"/>
    <col min="7" max="7" width="17.71093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2.42578125" bestFit="1" customWidth="1"/>
    <col min="260" max="260" width="17.71093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9.7109375" bestFit="1" customWidth="1"/>
    <col min="271" max="271" width="16.140625" customWidth="1"/>
    <col min="272" max="272" width="16.7109375" bestFit="1" customWidth="1"/>
    <col min="273" max="273" width="15.5703125" bestFit="1" customWidth="1"/>
    <col min="274" max="274" width="20.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2.42578125" bestFit="1" customWidth="1"/>
    <col min="516" max="516" width="17.71093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9.7109375" bestFit="1" customWidth="1"/>
    <col min="527" max="527" width="16.140625" customWidth="1"/>
    <col min="528" max="528" width="16.7109375" bestFit="1" customWidth="1"/>
    <col min="529" max="529" width="15.5703125" bestFit="1" customWidth="1"/>
    <col min="530" max="530" width="20.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2.42578125" bestFit="1" customWidth="1"/>
    <col min="772" max="772" width="17.71093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9.7109375" bestFit="1" customWidth="1"/>
    <col min="783" max="783" width="16.140625" customWidth="1"/>
    <col min="784" max="784" width="16.7109375" bestFit="1" customWidth="1"/>
    <col min="785" max="785" width="15.5703125" bestFit="1" customWidth="1"/>
    <col min="786" max="786" width="20.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2.42578125" bestFit="1" customWidth="1"/>
    <col min="1028" max="1028" width="17.71093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9.7109375" bestFit="1" customWidth="1"/>
    <col min="1039" max="1039" width="16.140625" customWidth="1"/>
    <col min="1040" max="1040" width="16.7109375" bestFit="1" customWidth="1"/>
    <col min="1041" max="1041" width="15.5703125" bestFit="1" customWidth="1"/>
    <col min="1042" max="1042" width="20.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2.42578125" bestFit="1" customWidth="1"/>
    <col min="1284" max="1284" width="17.71093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9.7109375" bestFit="1" customWidth="1"/>
    <col min="1295" max="1295" width="16.140625" customWidth="1"/>
    <col min="1296" max="1296" width="16.7109375" bestFit="1" customWidth="1"/>
    <col min="1297" max="1297" width="15.5703125" bestFit="1" customWidth="1"/>
    <col min="1298" max="1298" width="20.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2.42578125" bestFit="1" customWidth="1"/>
    <col min="1540" max="1540" width="17.71093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9.7109375" bestFit="1" customWidth="1"/>
    <col min="1551" max="1551" width="16.140625" customWidth="1"/>
    <col min="1552" max="1552" width="16.7109375" bestFit="1" customWidth="1"/>
    <col min="1553" max="1553" width="15.5703125" bestFit="1" customWidth="1"/>
    <col min="1554" max="1554" width="20.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2.42578125" bestFit="1" customWidth="1"/>
    <col min="1796" max="1796" width="17.71093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9.7109375" bestFit="1" customWidth="1"/>
    <col min="1807" max="1807" width="16.140625" customWidth="1"/>
    <col min="1808" max="1808" width="16.7109375" bestFit="1" customWidth="1"/>
    <col min="1809" max="1809" width="15.5703125" bestFit="1" customWidth="1"/>
    <col min="1810" max="1810" width="20.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2.42578125" bestFit="1" customWidth="1"/>
    <col min="2052" max="2052" width="17.71093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9.7109375" bestFit="1" customWidth="1"/>
    <col min="2063" max="2063" width="16.140625" customWidth="1"/>
    <col min="2064" max="2064" width="16.7109375" bestFit="1" customWidth="1"/>
    <col min="2065" max="2065" width="15.5703125" bestFit="1" customWidth="1"/>
    <col min="2066" max="2066" width="20.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2.42578125" bestFit="1" customWidth="1"/>
    <col min="2308" max="2308" width="17.71093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9.7109375" bestFit="1" customWidth="1"/>
    <col min="2319" max="2319" width="16.140625" customWidth="1"/>
    <col min="2320" max="2320" width="16.7109375" bestFit="1" customWidth="1"/>
    <col min="2321" max="2321" width="15.5703125" bestFit="1" customWidth="1"/>
    <col min="2322" max="2322" width="20.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2.42578125" bestFit="1" customWidth="1"/>
    <col min="2564" max="2564" width="17.71093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9.7109375" bestFit="1" customWidth="1"/>
    <col min="2575" max="2575" width="16.140625" customWidth="1"/>
    <col min="2576" max="2576" width="16.7109375" bestFit="1" customWidth="1"/>
    <col min="2577" max="2577" width="15.5703125" bestFit="1" customWidth="1"/>
    <col min="2578" max="2578" width="20.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2.42578125" bestFit="1" customWidth="1"/>
    <col min="2820" max="2820" width="17.71093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9.7109375" bestFit="1" customWidth="1"/>
    <col min="2831" max="2831" width="16.140625" customWidth="1"/>
    <col min="2832" max="2832" width="16.7109375" bestFit="1" customWidth="1"/>
    <col min="2833" max="2833" width="15.5703125" bestFit="1" customWidth="1"/>
    <col min="2834" max="2834" width="20.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2.42578125" bestFit="1" customWidth="1"/>
    <col min="3076" max="3076" width="17.71093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9.7109375" bestFit="1" customWidth="1"/>
    <col min="3087" max="3087" width="16.140625" customWidth="1"/>
    <col min="3088" max="3088" width="16.7109375" bestFit="1" customWidth="1"/>
    <col min="3089" max="3089" width="15.5703125" bestFit="1" customWidth="1"/>
    <col min="3090" max="3090" width="20.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2.42578125" bestFit="1" customWidth="1"/>
    <col min="3332" max="3332" width="17.71093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9.7109375" bestFit="1" customWidth="1"/>
    <col min="3343" max="3343" width="16.140625" customWidth="1"/>
    <col min="3344" max="3344" width="16.7109375" bestFit="1" customWidth="1"/>
    <col min="3345" max="3345" width="15.5703125" bestFit="1" customWidth="1"/>
    <col min="3346" max="3346" width="20.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2.42578125" bestFit="1" customWidth="1"/>
    <col min="3588" max="3588" width="17.71093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9.7109375" bestFit="1" customWidth="1"/>
    <col min="3599" max="3599" width="16.140625" customWidth="1"/>
    <col min="3600" max="3600" width="16.7109375" bestFit="1" customWidth="1"/>
    <col min="3601" max="3601" width="15.5703125" bestFit="1" customWidth="1"/>
    <col min="3602" max="3602" width="20.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2.42578125" bestFit="1" customWidth="1"/>
    <col min="3844" max="3844" width="17.71093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9.7109375" bestFit="1" customWidth="1"/>
    <col min="3855" max="3855" width="16.140625" customWidth="1"/>
    <col min="3856" max="3856" width="16.7109375" bestFit="1" customWidth="1"/>
    <col min="3857" max="3857" width="15.5703125" bestFit="1" customWidth="1"/>
    <col min="3858" max="3858" width="20.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2.42578125" bestFit="1" customWidth="1"/>
    <col min="4100" max="4100" width="17.71093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9.7109375" bestFit="1" customWidth="1"/>
    <col min="4111" max="4111" width="16.140625" customWidth="1"/>
    <col min="4112" max="4112" width="16.7109375" bestFit="1" customWidth="1"/>
    <col min="4113" max="4113" width="15.5703125" bestFit="1" customWidth="1"/>
    <col min="4114" max="4114" width="20.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2.42578125" bestFit="1" customWidth="1"/>
    <col min="4356" max="4356" width="17.71093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9.7109375" bestFit="1" customWidth="1"/>
    <col min="4367" max="4367" width="16.140625" customWidth="1"/>
    <col min="4368" max="4368" width="16.7109375" bestFit="1" customWidth="1"/>
    <col min="4369" max="4369" width="15.5703125" bestFit="1" customWidth="1"/>
    <col min="4370" max="4370" width="20.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2.42578125" bestFit="1" customWidth="1"/>
    <col min="4612" max="4612" width="17.71093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9.7109375" bestFit="1" customWidth="1"/>
    <col min="4623" max="4623" width="16.140625" customWidth="1"/>
    <col min="4624" max="4624" width="16.7109375" bestFit="1" customWidth="1"/>
    <col min="4625" max="4625" width="15.5703125" bestFit="1" customWidth="1"/>
    <col min="4626" max="4626" width="20.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2.42578125" bestFit="1" customWidth="1"/>
    <col min="4868" max="4868" width="17.71093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9.7109375" bestFit="1" customWidth="1"/>
    <col min="4879" max="4879" width="16.140625" customWidth="1"/>
    <col min="4880" max="4880" width="16.7109375" bestFit="1" customWidth="1"/>
    <col min="4881" max="4881" width="15.5703125" bestFit="1" customWidth="1"/>
    <col min="4882" max="4882" width="20.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2.42578125" bestFit="1" customWidth="1"/>
    <col min="5124" max="5124" width="17.71093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9.7109375" bestFit="1" customWidth="1"/>
    <col min="5135" max="5135" width="16.140625" customWidth="1"/>
    <col min="5136" max="5136" width="16.7109375" bestFit="1" customWidth="1"/>
    <col min="5137" max="5137" width="15.5703125" bestFit="1" customWidth="1"/>
    <col min="5138" max="5138" width="20.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2.42578125" bestFit="1" customWidth="1"/>
    <col min="5380" max="5380" width="17.71093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9.7109375" bestFit="1" customWidth="1"/>
    <col min="5391" max="5391" width="16.140625" customWidth="1"/>
    <col min="5392" max="5392" width="16.7109375" bestFit="1" customWidth="1"/>
    <col min="5393" max="5393" width="15.5703125" bestFit="1" customWidth="1"/>
    <col min="5394" max="5394" width="20.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2.42578125" bestFit="1" customWidth="1"/>
    <col min="5636" max="5636" width="17.71093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9.7109375" bestFit="1" customWidth="1"/>
    <col min="5647" max="5647" width="16.140625" customWidth="1"/>
    <col min="5648" max="5648" width="16.7109375" bestFit="1" customWidth="1"/>
    <col min="5649" max="5649" width="15.5703125" bestFit="1" customWidth="1"/>
    <col min="5650" max="5650" width="20.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2.42578125" bestFit="1" customWidth="1"/>
    <col min="5892" max="5892" width="17.71093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9.7109375" bestFit="1" customWidth="1"/>
    <col min="5903" max="5903" width="16.140625" customWidth="1"/>
    <col min="5904" max="5904" width="16.7109375" bestFit="1" customWidth="1"/>
    <col min="5905" max="5905" width="15.5703125" bestFit="1" customWidth="1"/>
    <col min="5906" max="5906" width="20.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2.42578125" bestFit="1" customWidth="1"/>
    <col min="6148" max="6148" width="17.71093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9.7109375" bestFit="1" customWidth="1"/>
    <col min="6159" max="6159" width="16.140625" customWidth="1"/>
    <col min="6160" max="6160" width="16.7109375" bestFit="1" customWidth="1"/>
    <col min="6161" max="6161" width="15.5703125" bestFit="1" customWidth="1"/>
    <col min="6162" max="6162" width="20.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2.42578125" bestFit="1" customWidth="1"/>
    <col min="6404" max="6404" width="17.71093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9.7109375" bestFit="1" customWidth="1"/>
    <col min="6415" max="6415" width="16.140625" customWidth="1"/>
    <col min="6416" max="6416" width="16.7109375" bestFit="1" customWidth="1"/>
    <col min="6417" max="6417" width="15.5703125" bestFit="1" customWidth="1"/>
    <col min="6418" max="6418" width="20.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2.42578125" bestFit="1" customWidth="1"/>
    <col min="6660" max="6660" width="17.71093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9.7109375" bestFit="1" customWidth="1"/>
    <col min="6671" max="6671" width="16.140625" customWidth="1"/>
    <col min="6672" max="6672" width="16.7109375" bestFit="1" customWidth="1"/>
    <col min="6673" max="6673" width="15.5703125" bestFit="1" customWidth="1"/>
    <col min="6674" max="6674" width="20.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2.42578125" bestFit="1" customWidth="1"/>
    <col min="6916" max="6916" width="17.71093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9.7109375" bestFit="1" customWidth="1"/>
    <col min="6927" max="6927" width="16.140625" customWidth="1"/>
    <col min="6928" max="6928" width="16.7109375" bestFit="1" customWidth="1"/>
    <col min="6929" max="6929" width="15.5703125" bestFit="1" customWidth="1"/>
    <col min="6930" max="6930" width="20.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2.42578125" bestFit="1" customWidth="1"/>
    <col min="7172" max="7172" width="17.71093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9.7109375" bestFit="1" customWidth="1"/>
    <col min="7183" max="7183" width="16.140625" customWidth="1"/>
    <col min="7184" max="7184" width="16.7109375" bestFit="1" customWidth="1"/>
    <col min="7185" max="7185" width="15.5703125" bestFit="1" customWidth="1"/>
    <col min="7186" max="7186" width="20.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2.42578125" bestFit="1" customWidth="1"/>
    <col min="7428" max="7428" width="17.71093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9.7109375" bestFit="1" customWidth="1"/>
    <col min="7439" max="7439" width="16.140625" customWidth="1"/>
    <col min="7440" max="7440" width="16.7109375" bestFit="1" customWidth="1"/>
    <col min="7441" max="7441" width="15.5703125" bestFit="1" customWidth="1"/>
    <col min="7442" max="7442" width="20.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2.42578125" bestFit="1" customWidth="1"/>
    <col min="7684" max="7684" width="17.71093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9.7109375" bestFit="1" customWidth="1"/>
    <col min="7695" max="7695" width="16.140625" customWidth="1"/>
    <col min="7696" max="7696" width="16.7109375" bestFit="1" customWidth="1"/>
    <col min="7697" max="7697" width="15.5703125" bestFit="1" customWidth="1"/>
    <col min="7698" max="7698" width="20.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2.42578125" bestFit="1" customWidth="1"/>
    <col min="7940" max="7940" width="17.71093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9.7109375" bestFit="1" customWidth="1"/>
    <col min="7951" max="7951" width="16.140625" customWidth="1"/>
    <col min="7952" max="7952" width="16.7109375" bestFit="1" customWidth="1"/>
    <col min="7953" max="7953" width="15.5703125" bestFit="1" customWidth="1"/>
    <col min="7954" max="7954" width="20.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2.42578125" bestFit="1" customWidth="1"/>
    <col min="8196" max="8196" width="17.71093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9.7109375" bestFit="1" customWidth="1"/>
    <col min="8207" max="8207" width="16.140625" customWidth="1"/>
    <col min="8208" max="8208" width="16.7109375" bestFit="1" customWidth="1"/>
    <col min="8209" max="8209" width="15.5703125" bestFit="1" customWidth="1"/>
    <col min="8210" max="8210" width="20.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2.42578125" bestFit="1" customWidth="1"/>
    <col min="8452" max="8452" width="17.71093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9.7109375" bestFit="1" customWidth="1"/>
    <col min="8463" max="8463" width="16.140625" customWidth="1"/>
    <col min="8464" max="8464" width="16.7109375" bestFit="1" customWidth="1"/>
    <col min="8465" max="8465" width="15.5703125" bestFit="1" customWidth="1"/>
    <col min="8466" max="8466" width="20.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2.42578125" bestFit="1" customWidth="1"/>
    <col min="8708" max="8708" width="17.71093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9.7109375" bestFit="1" customWidth="1"/>
    <col min="8719" max="8719" width="16.140625" customWidth="1"/>
    <col min="8720" max="8720" width="16.7109375" bestFit="1" customWidth="1"/>
    <col min="8721" max="8721" width="15.5703125" bestFit="1" customWidth="1"/>
    <col min="8722" max="8722" width="20.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2.42578125" bestFit="1" customWidth="1"/>
    <col min="8964" max="8964" width="17.71093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9.7109375" bestFit="1" customWidth="1"/>
    <col min="8975" max="8975" width="16.140625" customWidth="1"/>
    <col min="8976" max="8976" width="16.7109375" bestFit="1" customWidth="1"/>
    <col min="8977" max="8977" width="15.5703125" bestFit="1" customWidth="1"/>
    <col min="8978" max="8978" width="20.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2.42578125" bestFit="1" customWidth="1"/>
    <col min="9220" max="9220" width="17.71093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9.7109375" bestFit="1" customWidth="1"/>
    <col min="9231" max="9231" width="16.140625" customWidth="1"/>
    <col min="9232" max="9232" width="16.7109375" bestFit="1" customWidth="1"/>
    <col min="9233" max="9233" width="15.5703125" bestFit="1" customWidth="1"/>
    <col min="9234" max="9234" width="20.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2.42578125" bestFit="1" customWidth="1"/>
    <col min="9476" max="9476" width="17.71093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9.7109375" bestFit="1" customWidth="1"/>
    <col min="9487" max="9487" width="16.140625" customWidth="1"/>
    <col min="9488" max="9488" width="16.7109375" bestFit="1" customWidth="1"/>
    <col min="9489" max="9489" width="15.5703125" bestFit="1" customWidth="1"/>
    <col min="9490" max="9490" width="20.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2.42578125" bestFit="1" customWidth="1"/>
    <col min="9732" max="9732" width="17.71093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9.7109375" bestFit="1" customWidth="1"/>
    <col min="9743" max="9743" width="16.140625" customWidth="1"/>
    <col min="9744" max="9744" width="16.7109375" bestFit="1" customWidth="1"/>
    <col min="9745" max="9745" width="15.5703125" bestFit="1" customWidth="1"/>
    <col min="9746" max="9746" width="20.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2.42578125" bestFit="1" customWidth="1"/>
    <col min="9988" max="9988" width="17.71093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9.7109375" bestFit="1" customWidth="1"/>
    <col min="9999" max="9999" width="16.140625" customWidth="1"/>
    <col min="10000" max="10000" width="16.7109375" bestFit="1" customWidth="1"/>
    <col min="10001" max="10001" width="15.5703125" bestFit="1" customWidth="1"/>
    <col min="10002" max="10002" width="20.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2.42578125" bestFit="1" customWidth="1"/>
    <col min="10244" max="10244" width="17.71093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9.7109375" bestFit="1" customWidth="1"/>
    <col min="10255" max="10255" width="16.140625" customWidth="1"/>
    <col min="10256" max="10256" width="16.7109375" bestFit="1" customWidth="1"/>
    <col min="10257" max="10257" width="15.5703125" bestFit="1" customWidth="1"/>
    <col min="10258" max="10258" width="20.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2.42578125" bestFit="1" customWidth="1"/>
    <col min="10500" max="10500" width="17.71093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9.7109375" bestFit="1" customWidth="1"/>
    <col min="10511" max="10511" width="16.140625" customWidth="1"/>
    <col min="10512" max="10512" width="16.7109375" bestFit="1" customWidth="1"/>
    <col min="10513" max="10513" width="15.5703125" bestFit="1" customWidth="1"/>
    <col min="10514" max="10514" width="20.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2.42578125" bestFit="1" customWidth="1"/>
    <col min="10756" max="10756" width="17.71093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9.7109375" bestFit="1" customWidth="1"/>
    <col min="10767" max="10767" width="16.140625" customWidth="1"/>
    <col min="10768" max="10768" width="16.7109375" bestFit="1" customWidth="1"/>
    <col min="10769" max="10769" width="15.5703125" bestFit="1" customWidth="1"/>
    <col min="10770" max="10770" width="20.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2.42578125" bestFit="1" customWidth="1"/>
    <col min="11012" max="11012" width="17.71093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9.7109375" bestFit="1" customWidth="1"/>
    <col min="11023" max="11023" width="16.140625" customWidth="1"/>
    <col min="11024" max="11024" width="16.7109375" bestFit="1" customWidth="1"/>
    <col min="11025" max="11025" width="15.5703125" bestFit="1" customWidth="1"/>
    <col min="11026" max="11026" width="20.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2.42578125" bestFit="1" customWidth="1"/>
    <col min="11268" max="11268" width="17.71093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9.7109375" bestFit="1" customWidth="1"/>
    <col min="11279" max="11279" width="16.140625" customWidth="1"/>
    <col min="11280" max="11280" width="16.7109375" bestFit="1" customWidth="1"/>
    <col min="11281" max="11281" width="15.5703125" bestFit="1" customWidth="1"/>
    <col min="11282" max="11282" width="20.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2.42578125" bestFit="1" customWidth="1"/>
    <col min="11524" max="11524" width="17.71093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9.7109375" bestFit="1" customWidth="1"/>
    <col min="11535" max="11535" width="16.140625" customWidth="1"/>
    <col min="11536" max="11536" width="16.7109375" bestFit="1" customWidth="1"/>
    <col min="11537" max="11537" width="15.5703125" bestFit="1" customWidth="1"/>
    <col min="11538" max="11538" width="20.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2.42578125" bestFit="1" customWidth="1"/>
    <col min="11780" max="11780" width="17.71093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9.7109375" bestFit="1" customWidth="1"/>
    <col min="11791" max="11791" width="16.140625" customWidth="1"/>
    <col min="11792" max="11792" width="16.7109375" bestFit="1" customWidth="1"/>
    <col min="11793" max="11793" width="15.5703125" bestFit="1" customWidth="1"/>
    <col min="11794" max="11794" width="20.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2.42578125" bestFit="1" customWidth="1"/>
    <col min="12036" max="12036" width="17.71093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9.7109375" bestFit="1" customWidth="1"/>
    <col min="12047" max="12047" width="16.140625" customWidth="1"/>
    <col min="12048" max="12048" width="16.7109375" bestFit="1" customWidth="1"/>
    <col min="12049" max="12049" width="15.5703125" bestFit="1" customWidth="1"/>
    <col min="12050" max="12050" width="20.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2.42578125" bestFit="1" customWidth="1"/>
    <col min="12292" max="12292" width="17.71093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9.7109375" bestFit="1" customWidth="1"/>
    <col min="12303" max="12303" width="16.140625" customWidth="1"/>
    <col min="12304" max="12304" width="16.7109375" bestFit="1" customWidth="1"/>
    <col min="12305" max="12305" width="15.5703125" bestFit="1" customWidth="1"/>
    <col min="12306" max="12306" width="20.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2.42578125" bestFit="1" customWidth="1"/>
    <col min="12548" max="12548" width="17.71093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9.7109375" bestFit="1" customWidth="1"/>
    <col min="12559" max="12559" width="16.140625" customWidth="1"/>
    <col min="12560" max="12560" width="16.7109375" bestFit="1" customWidth="1"/>
    <col min="12561" max="12561" width="15.5703125" bestFit="1" customWidth="1"/>
    <col min="12562" max="12562" width="20.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2.42578125" bestFit="1" customWidth="1"/>
    <col min="12804" max="12804" width="17.71093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9.7109375" bestFit="1" customWidth="1"/>
    <col min="12815" max="12815" width="16.140625" customWidth="1"/>
    <col min="12816" max="12816" width="16.7109375" bestFit="1" customWidth="1"/>
    <col min="12817" max="12817" width="15.5703125" bestFit="1" customWidth="1"/>
    <col min="12818" max="12818" width="20.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2.42578125" bestFit="1" customWidth="1"/>
    <col min="13060" max="13060" width="17.71093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9.7109375" bestFit="1" customWidth="1"/>
    <col min="13071" max="13071" width="16.140625" customWidth="1"/>
    <col min="13072" max="13072" width="16.7109375" bestFit="1" customWidth="1"/>
    <col min="13073" max="13073" width="15.5703125" bestFit="1" customWidth="1"/>
    <col min="13074" max="13074" width="20.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2.42578125" bestFit="1" customWidth="1"/>
    <col min="13316" max="13316" width="17.71093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9.7109375" bestFit="1" customWidth="1"/>
    <col min="13327" max="13327" width="16.140625" customWidth="1"/>
    <col min="13328" max="13328" width="16.7109375" bestFit="1" customWidth="1"/>
    <col min="13329" max="13329" width="15.5703125" bestFit="1" customWidth="1"/>
    <col min="13330" max="13330" width="20.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2.42578125" bestFit="1" customWidth="1"/>
    <col min="13572" max="13572" width="17.71093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9.7109375" bestFit="1" customWidth="1"/>
    <col min="13583" max="13583" width="16.140625" customWidth="1"/>
    <col min="13584" max="13584" width="16.7109375" bestFit="1" customWidth="1"/>
    <col min="13585" max="13585" width="15.5703125" bestFit="1" customWidth="1"/>
    <col min="13586" max="13586" width="20.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2.42578125" bestFit="1" customWidth="1"/>
    <col min="13828" max="13828" width="17.71093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9.7109375" bestFit="1" customWidth="1"/>
    <col min="13839" max="13839" width="16.140625" customWidth="1"/>
    <col min="13840" max="13840" width="16.7109375" bestFit="1" customWidth="1"/>
    <col min="13841" max="13841" width="15.5703125" bestFit="1" customWidth="1"/>
    <col min="13842" max="13842" width="20.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2.42578125" bestFit="1" customWidth="1"/>
    <col min="14084" max="14084" width="17.71093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9.7109375" bestFit="1" customWidth="1"/>
    <col min="14095" max="14095" width="16.140625" customWidth="1"/>
    <col min="14096" max="14096" width="16.7109375" bestFit="1" customWidth="1"/>
    <col min="14097" max="14097" width="15.5703125" bestFit="1" customWidth="1"/>
    <col min="14098" max="14098" width="20.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2.42578125" bestFit="1" customWidth="1"/>
    <col min="14340" max="14340" width="17.71093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9.7109375" bestFit="1" customWidth="1"/>
    <col min="14351" max="14351" width="16.140625" customWidth="1"/>
    <col min="14352" max="14352" width="16.7109375" bestFit="1" customWidth="1"/>
    <col min="14353" max="14353" width="15.5703125" bestFit="1" customWidth="1"/>
    <col min="14354" max="14354" width="20.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2.42578125" bestFit="1" customWidth="1"/>
    <col min="14596" max="14596" width="17.71093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9.7109375" bestFit="1" customWidth="1"/>
    <col min="14607" max="14607" width="16.140625" customWidth="1"/>
    <col min="14608" max="14608" width="16.7109375" bestFit="1" customWidth="1"/>
    <col min="14609" max="14609" width="15.5703125" bestFit="1" customWidth="1"/>
    <col min="14610" max="14610" width="20.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2.42578125" bestFit="1" customWidth="1"/>
    <col min="14852" max="14852" width="17.71093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9.7109375" bestFit="1" customWidth="1"/>
    <col min="14863" max="14863" width="16.140625" customWidth="1"/>
    <col min="14864" max="14864" width="16.7109375" bestFit="1" customWidth="1"/>
    <col min="14865" max="14865" width="15.5703125" bestFit="1" customWidth="1"/>
    <col min="14866" max="14866" width="20.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2.42578125" bestFit="1" customWidth="1"/>
    <col min="15108" max="15108" width="17.71093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9.7109375" bestFit="1" customWidth="1"/>
    <col min="15119" max="15119" width="16.140625" customWidth="1"/>
    <col min="15120" max="15120" width="16.7109375" bestFit="1" customWidth="1"/>
    <col min="15121" max="15121" width="15.5703125" bestFit="1" customWidth="1"/>
    <col min="15122" max="15122" width="20.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2.42578125" bestFit="1" customWidth="1"/>
    <col min="15364" max="15364" width="17.71093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9.7109375" bestFit="1" customWidth="1"/>
    <col min="15375" max="15375" width="16.140625" customWidth="1"/>
    <col min="15376" max="15376" width="16.7109375" bestFit="1" customWidth="1"/>
    <col min="15377" max="15377" width="15.5703125" bestFit="1" customWidth="1"/>
    <col min="15378" max="15378" width="20.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2.42578125" bestFit="1" customWidth="1"/>
    <col min="15620" max="15620" width="17.71093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9.7109375" bestFit="1" customWidth="1"/>
    <col min="15631" max="15631" width="16.140625" customWidth="1"/>
    <col min="15632" max="15632" width="16.7109375" bestFit="1" customWidth="1"/>
    <col min="15633" max="15633" width="15.5703125" bestFit="1" customWidth="1"/>
    <col min="15634" max="15634" width="20.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2.42578125" bestFit="1" customWidth="1"/>
    <col min="15876" max="15876" width="17.71093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9.7109375" bestFit="1" customWidth="1"/>
    <col min="15887" max="15887" width="16.140625" customWidth="1"/>
    <col min="15888" max="15888" width="16.7109375" bestFit="1" customWidth="1"/>
    <col min="15889" max="15889" width="15.5703125" bestFit="1" customWidth="1"/>
    <col min="15890" max="15890" width="20.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2.42578125" bestFit="1" customWidth="1"/>
    <col min="16132" max="16132" width="17.71093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9.7109375" bestFit="1" customWidth="1"/>
    <col min="16143" max="16143" width="16.140625" customWidth="1"/>
    <col min="16144" max="16144" width="16.7109375" bestFit="1" customWidth="1"/>
    <col min="16145" max="16145" width="15.5703125" bestFit="1" customWidth="1"/>
    <col min="16146" max="16146" width="20.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42" customHeight="1" thickBot="1">
      <c r="C1" s="1853" t="s">
        <v>296</v>
      </c>
      <c r="D1" s="1812" t="s">
        <v>291</v>
      </c>
      <c r="E1" s="1853" t="s">
        <v>6</v>
      </c>
      <c r="F1" s="1853">
        <v>18230636</v>
      </c>
      <c r="G1" s="1853" t="s">
        <v>31</v>
      </c>
      <c r="J1" s="1812"/>
      <c r="K1" s="1812"/>
      <c r="L1" s="1812"/>
      <c r="M1" s="1853" t="s">
        <v>296</v>
      </c>
      <c r="N1" s="1812" t="s">
        <v>291</v>
      </c>
      <c r="O1" s="1853" t="s">
        <v>6</v>
      </c>
      <c r="P1" s="1853">
        <v>18230636</v>
      </c>
      <c r="Q1" s="1853" t="s">
        <v>31</v>
      </c>
      <c r="V1" s="1853" t="s">
        <v>296</v>
      </c>
      <c r="W1" s="1812" t="s">
        <v>291</v>
      </c>
      <c r="X1" s="1853" t="s">
        <v>6</v>
      </c>
      <c r="Y1" s="1853">
        <v>18230636</v>
      </c>
      <c r="Z1" s="1853" t="s">
        <v>31</v>
      </c>
    </row>
    <row r="2" spans="1:33" ht="16.5" thickBot="1">
      <c r="C2" s="45"/>
      <c r="D2" s="46"/>
      <c r="H2" s="1576" t="s">
        <v>674</v>
      </c>
      <c r="R2" s="3596"/>
      <c r="S2" s="3596"/>
      <c r="T2" s="3597" t="s">
        <v>36</v>
      </c>
      <c r="U2" s="3598"/>
      <c r="V2" s="3599"/>
      <c r="W2" s="3594" t="s">
        <v>37</v>
      </c>
    </row>
    <row r="3" spans="1:33" ht="26.25" thickBot="1">
      <c r="A3" s="1852" t="s">
        <v>296</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291</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52">
        <v>18230636</v>
      </c>
      <c r="B6" s="1852"/>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52"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33" ht="15.75">
      <c r="B8" s="1852"/>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52" t="s">
        <v>296</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52"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52">
        <v>18230636</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52"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52" t="s">
        <v>296</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52" t="s">
        <v>6</v>
      </c>
      <c r="C66" s="1968"/>
      <c r="D66" s="1963"/>
      <c r="E66" s="1964"/>
      <c r="F66" s="1965"/>
    </row>
    <row r="67" spans="1:33">
      <c r="A67" s="1852">
        <v>18230636</v>
      </c>
      <c r="C67" s="1959" t="s">
        <v>54</v>
      </c>
      <c r="D67" s="1971">
        <v>0</v>
      </c>
      <c r="E67" s="1971">
        <v>0</v>
      </c>
      <c r="F67" s="1956">
        <v>0</v>
      </c>
    </row>
    <row r="68" spans="1:33">
      <c r="A68" s="1852" t="s">
        <v>31</v>
      </c>
    </row>
  </sheetData>
  <customSheetViews>
    <customSheetView guid="{074EB09C-6289-46D7-9513-012B68BCA7BF}" showGridLines="0" fitToPage="1">
      <pane xSplit="1" ySplit="1" topLeftCell="B2" activePane="bottomRight" state="frozen"/>
      <selection pane="bottomRight"/>
      <pageMargins left="0.2" right="0.18" top="0.38" bottom="0.33" header="0.3" footer="0.3"/>
      <pageSetup paperSize="17" scale="43" orientation="landscape" r:id="rId1"/>
    </customSheetView>
    <customSheetView guid="{D9EFFE19-D14B-4C6F-BDF4-FF696F73968D}" showGridLines="0" fitToPage="1">
      <pane xSplit="1" ySplit="1" topLeftCell="B2" activePane="bottomRight" state="frozen"/>
      <selection pane="bottomRight" activeCell="I30" sqref="I30"/>
      <pageMargins left="0.2" right="0.18" top="0.38" bottom="0.33" header="0.3" footer="0.3"/>
      <pageSetup paperSize="17"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 right="0.18" top="0.38" bottom="0.33" header="0.3" footer="0.3"/>
  <pageSetup paperSize="17" scale="43" orientation="landscape" r:id="rId3"/>
  <ignoredErrors>
    <ignoredError sqref="R7" formula="1"/>
    <ignoredError sqref="T4:T7 U4:W7" evalError="1"/>
  </ignoredError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9" style="1164" customWidth="1"/>
    <col min="2" max="2" width="15.7109375" style="1866" customWidth="1"/>
    <col min="3" max="3" width="28.28515625" customWidth="1"/>
    <col min="4" max="4" width="21.140625" customWidth="1"/>
    <col min="5" max="5" width="15.28515625" style="9" customWidth="1"/>
    <col min="6" max="6" width="15.28515625" customWidth="1"/>
    <col min="7" max="7" width="16.42578125" customWidth="1"/>
    <col min="8" max="8" width="41.5703125"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9" width="19.28515625" bestFit="1" customWidth="1"/>
    <col min="20" max="20" width="20.5703125" bestFit="1" customWidth="1"/>
    <col min="21" max="21" width="20.7109375" bestFit="1" customWidth="1"/>
    <col min="22" max="22" width="16.42578125" bestFit="1" customWidth="1"/>
    <col min="23" max="25" width="17" customWidth="1"/>
    <col min="26" max="26" width="12.5703125" style="2530" bestFit="1" customWidth="1"/>
    <col min="249" max="249" width="24.140625" bestFit="1" customWidth="1"/>
    <col min="250" max="250" width="43.85546875" customWidth="1"/>
    <col min="251" max="251" width="19.85546875" bestFit="1" customWidth="1"/>
    <col min="252" max="252" width="17.140625" bestFit="1" customWidth="1"/>
    <col min="253" max="253" width="18.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5" width="19.28515625" bestFit="1" customWidth="1"/>
    <col min="266" max="266" width="20.5703125" bestFit="1" customWidth="1"/>
    <col min="267" max="267" width="20.710937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140625" bestFit="1" customWidth="1"/>
    <col min="506" max="506" width="43.85546875" customWidth="1"/>
    <col min="507" max="507" width="19.85546875" bestFit="1" customWidth="1"/>
    <col min="508" max="508" width="17.140625" bestFit="1" customWidth="1"/>
    <col min="509" max="509" width="18.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21" width="19.28515625" bestFit="1" customWidth="1"/>
    <col min="522" max="522" width="20.5703125" bestFit="1" customWidth="1"/>
    <col min="523" max="523" width="20.710937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140625" bestFit="1" customWidth="1"/>
    <col min="762" max="762" width="43.85546875" customWidth="1"/>
    <col min="763" max="763" width="19.85546875" bestFit="1" customWidth="1"/>
    <col min="764" max="764" width="17.140625" bestFit="1" customWidth="1"/>
    <col min="765" max="765" width="18.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7" width="19.28515625" bestFit="1" customWidth="1"/>
    <col min="778" max="778" width="20.5703125" bestFit="1" customWidth="1"/>
    <col min="779" max="779" width="20.710937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140625" bestFit="1" customWidth="1"/>
    <col min="1018" max="1018" width="43.85546875" customWidth="1"/>
    <col min="1019" max="1019" width="19.85546875" bestFit="1" customWidth="1"/>
    <col min="1020" max="1020" width="17.140625" bestFit="1" customWidth="1"/>
    <col min="1021" max="1021" width="18.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3" width="19.28515625" bestFit="1" customWidth="1"/>
    <col min="1034" max="1034" width="20.5703125" bestFit="1" customWidth="1"/>
    <col min="1035" max="1035" width="20.710937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140625" bestFit="1" customWidth="1"/>
    <col min="1274" max="1274" width="43.85546875" customWidth="1"/>
    <col min="1275" max="1275" width="19.85546875" bestFit="1" customWidth="1"/>
    <col min="1276" max="1276" width="17.140625" bestFit="1" customWidth="1"/>
    <col min="1277" max="1277" width="18.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9" width="19.28515625" bestFit="1" customWidth="1"/>
    <col min="1290" max="1290" width="20.5703125" bestFit="1" customWidth="1"/>
    <col min="1291" max="1291" width="20.710937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140625" bestFit="1" customWidth="1"/>
    <col min="1530" max="1530" width="43.85546875" customWidth="1"/>
    <col min="1531" max="1531" width="19.85546875" bestFit="1" customWidth="1"/>
    <col min="1532" max="1532" width="17.140625" bestFit="1" customWidth="1"/>
    <col min="1533" max="1533" width="18.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5" width="19.28515625" bestFit="1" customWidth="1"/>
    <col min="1546" max="1546" width="20.5703125" bestFit="1" customWidth="1"/>
    <col min="1547" max="1547" width="20.710937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140625" bestFit="1" customWidth="1"/>
    <col min="1786" max="1786" width="43.85546875" customWidth="1"/>
    <col min="1787" max="1787" width="19.85546875" bestFit="1" customWidth="1"/>
    <col min="1788" max="1788" width="17.140625" bestFit="1" customWidth="1"/>
    <col min="1789" max="1789" width="18.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801" width="19.28515625" bestFit="1" customWidth="1"/>
    <col min="1802" max="1802" width="20.5703125" bestFit="1" customWidth="1"/>
    <col min="1803" max="1803" width="20.710937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140625" bestFit="1" customWidth="1"/>
    <col min="2042" max="2042" width="43.85546875" customWidth="1"/>
    <col min="2043" max="2043" width="19.85546875" bestFit="1" customWidth="1"/>
    <col min="2044" max="2044" width="17.140625" bestFit="1" customWidth="1"/>
    <col min="2045" max="2045" width="18.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7" width="19.28515625" bestFit="1" customWidth="1"/>
    <col min="2058" max="2058" width="20.5703125" bestFit="1" customWidth="1"/>
    <col min="2059" max="2059" width="20.710937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140625" bestFit="1" customWidth="1"/>
    <col min="2298" max="2298" width="43.85546875" customWidth="1"/>
    <col min="2299" max="2299" width="19.85546875" bestFit="1" customWidth="1"/>
    <col min="2300" max="2300" width="17.140625" bestFit="1" customWidth="1"/>
    <col min="2301" max="2301" width="18.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3" width="19.28515625" bestFit="1" customWidth="1"/>
    <col min="2314" max="2314" width="20.5703125" bestFit="1" customWidth="1"/>
    <col min="2315" max="2315" width="20.710937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140625" bestFit="1" customWidth="1"/>
    <col min="2554" max="2554" width="43.85546875" customWidth="1"/>
    <col min="2555" max="2555" width="19.85546875" bestFit="1" customWidth="1"/>
    <col min="2556" max="2556" width="17.140625" bestFit="1" customWidth="1"/>
    <col min="2557" max="2557" width="18.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9" width="19.28515625" bestFit="1" customWidth="1"/>
    <col min="2570" max="2570" width="20.5703125" bestFit="1" customWidth="1"/>
    <col min="2571" max="2571" width="20.710937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140625" bestFit="1" customWidth="1"/>
    <col min="2810" max="2810" width="43.85546875" customWidth="1"/>
    <col min="2811" max="2811" width="19.85546875" bestFit="1" customWidth="1"/>
    <col min="2812" max="2812" width="17.140625" bestFit="1" customWidth="1"/>
    <col min="2813" max="2813" width="18.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5" width="19.28515625" bestFit="1" customWidth="1"/>
    <col min="2826" max="2826" width="20.5703125" bestFit="1" customWidth="1"/>
    <col min="2827" max="2827" width="20.710937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140625" bestFit="1" customWidth="1"/>
    <col min="3066" max="3066" width="43.85546875" customWidth="1"/>
    <col min="3067" max="3067" width="19.85546875" bestFit="1" customWidth="1"/>
    <col min="3068" max="3068" width="17.140625" bestFit="1" customWidth="1"/>
    <col min="3069" max="3069" width="18.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81" width="19.28515625" bestFit="1" customWidth="1"/>
    <col min="3082" max="3082" width="20.5703125" bestFit="1" customWidth="1"/>
    <col min="3083" max="3083" width="20.710937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140625" bestFit="1" customWidth="1"/>
    <col min="3322" max="3322" width="43.85546875" customWidth="1"/>
    <col min="3323" max="3323" width="19.85546875" bestFit="1" customWidth="1"/>
    <col min="3324" max="3324" width="17.140625" bestFit="1" customWidth="1"/>
    <col min="3325" max="3325" width="18.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7" width="19.28515625" bestFit="1" customWidth="1"/>
    <col min="3338" max="3338" width="20.5703125" bestFit="1" customWidth="1"/>
    <col min="3339" max="3339" width="20.710937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140625" bestFit="1" customWidth="1"/>
    <col min="3578" max="3578" width="43.85546875" customWidth="1"/>
    <col min="3579" max="3579" width="19.85546875" bestFit="1" customWidth="1"/>
    <col min="3580" max="3580" width="17.140625" bestFit="1" customWidth="1"/>
    <col min="3581" max="3581" width="18.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3" width="19.28515625" bestFit="1" customWidth="1"/>
    <col min="3594" max="3594" width="20.5703125" bestFit="1" customWidth="1"/>
    <col min="3595" max="3595" width="20.710937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140625" bestFit="1" customWidth="1"/>
    <col min="3834" max="3834" width="43.85546875" customWidth="1"/>
    <col min="3835" max="3835" width="19.85546875" bestFit="1" customWidth="1"/>
    <col min="3836" max="3836" width="17.140625" bestFit="1" customWidth="1"/>
    <col min="3837" max="3837" width="18.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9" width="19.28515625" bestFit="1" customWidth="1"/>
    <col min="3850" max="3850" width="20.5703125" bestFit="1" customWidth="1"/>
    <col min="3851" max="3851" width="20.710937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140625" bestFit="1" customWidth="1"/>
    <col min="4090" max="4090" width="43.85546875" customWidth="1"/>
    <col min="4091" max="4091" width="19.85546875" bestFit="1" customWidth="1"/>
    <col min="4092" max="4092" width="17.140625" bestFit="1" customWidth="1"/>
    <col min="4093" max="4093" width="18.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5" width="19.28515625" bestFit="1" customWidth="1"/>
    <col min="4106" max="4106" width="20.5703125" bestFit="1" customWidth="1"/>
    <col min="4107" max="4107" width="20.710937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140625" bestFit="1" customWidth="1"/>
    <col min="4346" max="4346" width="43.85546875" customWidth="1"/>
    <col min="4347" max="4347" width="19.85546875" bestFit="1" customWidth="1"/>
    <col min="4348" max="4348" width="17.140625" bestFit="1" customWidth="1"/>
    <col min="4349" max="4349" width="18.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61" width="19.28515625" bestFit="1" customWidth="1"/>
    <col min="4362" max="4362" width="20.5703125" bestFit="1" customWidth="1"/>
    <col min="4363" max="4363" width="20.710937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140625" bestFit="1" customWidth="1"/>
    <col min="4602" max="4602" width="43.85546875" customWidth="1"/>
    <col min="4603" max="4603" width="19.85546875" bestFit="1" customWidth="1"/>
    <col min="4604" max="4604" width="17.140625" bestFit="1" customWidth="1"/>
    <col min="4605" max="4605" width="18.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7" width="19.28515625" bestFit="1" customWidth="1"/>
    <col min="4618" max="4618" width="20.5703125" bestFit="1" customWidth="1"/>
    <col min="4619" max="4619" width="20.710937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140625" bestFit="1" customWidth="1"/>
    <col min="4858" max="4858" width="43.85546875" customWidth="1"/>
    <col min="4859" max="4859" width="19.85546875" bestFit="1" customWidth="1"/>
    <col min="4860" max="4860" width="17.140625" bestFit="1" customWidth="1"/>
    <col min="4861" max="4861" width="18.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3" width="19.28515625" bestFit="1" customWidth="1"/>
    <col min="4874" max="4874" width="20.5703125" bestFit="1" customWidth="1"/>
    <col min="4875" max="4875" width="20.710937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140625" bestFit="1" customWidth="1"/>
    <col min="5114" max="5114" width="43.85546875" customWidth="1"/>
    <col min="5115" max="5115" width="19.85546875" bestFit="1" customWidth="1"/>
    <col min="5116" max="5116" width="17.140625" bestFit="1" customWidth="1"/>
    <col min="5117" max="5117" width="18.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9" width="19.28515625" bestFit="1" customWidth="1"/>
    <col min="5130" max="5130" width="20.5703125" bestFit="1" customWidth="1"/>
    <col min="5131" max="5131" width="20.710937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140625" bestFit="1" customWidth="1"/>
    <col min="5370" max="5370" width="43.85546875" customWidth="1"/>
    <col min="5371" max="5371" width="19.85546875" bestFit="1" customWidth="1"/>
    <col min="5372" max="5372" width="17.140625" bestFit="1" customWidth="1"/>
    <col min="5373" max="5373" width="18.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5" width="19.28515625" bestFit="1" customWidth="1"/>
    <col min="5386" max="5386" width="20.5703125" bestFit="1" customWidth="1"/>
    <col min="5387" max="5387" width="20.710937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140625" bestFit="1" customWidth="1"/>
    <col min="5626" max="5626" width="43.85546875" customWidth="1"/>
    <col min="5627" max="5627" width="19.85546875" bestFit="1" customWidth="1"/>
    <col min="5628" max="5628" width="17.140625" bestFit="1" customWidth="1"/>
    <col min="5629" max="5629" width="18.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41" width="19.28515625" bestFit="1" customWidth="1"/>
    <col min="5642" max="5642" width="20.5703125" bestFit="1" customWidth="1"/>
    <col min="5643" max="5643" width="20.710937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140625" bestFit="1" customWidth="1"/>
    <col min="5882" max="5882" width="43.85546875" customWidth="1"/>
    <col min="5883" max="5883" width="19.85546875" bestFit="1" customWidth="1"/>
    <col min="5884" max="5884" width="17.140625" bestFit="1" customWidth="1"/>
    <col min="5885" max="5885" width="18.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7" width="19.28515625" bestFit="1" customWidth="1"/>
    <col min="5898" max="5898" width="20.5703125" bestFit="1" customWidth="1"/>
    <col min="5899" max="5899" width="20.710937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140625" bestFit="1" customWidth="1"/>
    <col min="6138" max="6138" width="43.85546875" customWidth="1"/>
    <col min="6139" max="6139" width="19.85546875" bestFit="1" customWidth="1"/>
    <col min="6140" max="6140" width="17.140625" bestFit="1" customWidth="1"/>
    <col min="6141" max="6141" width="18.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3" width="19.28515625" bestFit="1" customWidth="1"/>
    <col min="6154" max="6154" width="20.5703125" bestFit="1" customWidth="1"/>
    <col min="6155" max="6155" width="20.710937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140625" bestFit="1" customWidth="1"/>
    <col min="6394" max="6394" width="43.85546875" customWidth="1"/>
    <col min="6395" max="6395" width="19.85546875" bestFit="1" customWidth="1"/>
    <col min="6396" max="6396" width="17.140625" bestFit="1" customWidth="1"/>
    <col min="6397" max="6397" width="18.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9" width="19.28515625" bestFit="1" customWidth="1"/>
    <col min="6410" max="6410" width="20.5703125" bestFit="1" customWidth="1"/>
    <col min="6411" max="6411" width="20.710937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140625" bestFit="1" customWidth="1"/>
    <col min="6650" max="6650" width="43.85546875" customWidth="1"/>
    <col min="6651" max="6651" width="19.85546875" bestFit="1" customWidth="1"/>
    <col min="6652" max="6652" width="17.140625" bestFit="1" customWidth="1"/>
    <col min="6653" max="6653" width="18.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5" width="19.28515625" bestFit="1" customWidth="1"/>
    <col min="6666" max="6666" width="20.5703125" bestFit="1" customWidth="1"/>
    <col min="6667" max="6667" width="20.710937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140625" bestFit="1" customWidth="1"/>
    <col min="6906" max="6906" width="43.85546875" customWidth="1"/>
    <col min="6907" max="6907" width="19.85546875" bestFit="1" customWidth="1"/>
    <col min="6908" max="6908" width="17.140625" bestFit="1" customWidth="1"/>
    <col min="6909" max="6909" width="18.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21" width="19.28515625" bestFit="1" customWidth="1"/>
    <col min="6922" max="6922" width="20.5703125" bestFit="1" customWidth="1"/>
    <col min="6923" max="6923" width="20.710937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140625" bestFit="1" customWidth="1"/>
    <col min="7162" max="7162" width="43.85546875" customWidth="1"/>
    <col min="7163" max="7163" width="19.85546875" bestFit="1" customWidth="1"/>
    <col min="7164" max="7164" width="17.140625" bestFit="1" customWidth="1"/>
    <col min="7165" max="7165" width="18.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7" width="19.28515625" bestFit="1" customWidth="1"/>
    <col min="7178" max="7178" width="20.5703125" bestFit="1" customWidth="1"/>
    <col min="7179" max="7179" width="20.710937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140625" bestFit="1" customWidth="1"/>
    <col min="7418" max="7418" width="43.85546875" customWidth="1"/>
    <col min="7419" max="7419" width="19.85546875" bestFit="1" customWidth="1"/>
    <col min="7420" max="7420" width="17.140625" bestFit="1" customWidth="1"/>
    <col min="7421" max="7421" width="18.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3" width="19.28515625" bestFit="1" customWidth="1"/>
    <col min="7434" max="7434" width="20.5703125" bestFit="1" customWidth="1"/>
    <col min="7435" max="7435" width="20.710937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140625" bestFit="1" customWidth="1"/>
    <col min="7674" max="7674" width="43.85546875" customWidth="1"/>
    <col min="7675" max="7675" width="19.85546875" bestFit="1" customWidth="1"/>
    <col min="7676" max="7676" width="17.140625" bestFit="1" customWidth="1"/>
    <col min="7677" max="7677" width="18.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9" width="19.28515625" bestFit="1" customWidth="1"/>
    <col min="7690" max="7690" width="20.5703125" bestFit="1" customWidth="1"/>
    <col min="7691" max="7691" width="20.710937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140625" bestFit="1" customWidth="1"/>
    <col min="7930" max="7930" width="43.85546875" customWidth="1"/>
    <col min="7931" max="7931" width="19.85546875" bestFit="1" customWidth="1"/>
    <col min="7932" max="7932" width="17.140625" bestFit="1" customWidth="1"/>
    <col min="7933" max="7933" width="18.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5" width="19.28515625" bestFit="1" customWidth="1"/>
    <col min="7946" max="7946" width="20.5703125" bestFit="1" customWidth="1"/>
    <col min="7947" max="7947" width="20.710937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140625" bestFit="1" customWidth="1"/>
    <col min="8186" max="8186" width="43.85546875" customWidth="1"/>
    <col min="8187" max="8187" width="19.85546875" bestFit="1" customWidth="1"/>
    <col min="8188" max="8188" width="17.140625" bestFit="1" customWidth="1"/>
    <col min="8189" max="8189" width="18.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201" width="19.28515625" bestFit="1" customWidth="1"/>
    <col min="8202" max="8202" width="20.5703125" bestFit="1" customWidth="1"/>
    <col min="8203" max="8203" width="20.710937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140625" bestFit="1" customWidth="1"/>
    <col min="8442" max="8442" width="43.85546875" customWidth="1"/>
    <col min="8443" max="8443" width="19.85546875" bestFit="1" customWidth="1"/>
    <col min="8444" max="8444" width="17.140625" bestFit="1" customWidth="1"/>
    <col min="8445" max="8445" width="18.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7" width="19.28515625" bestFit="1" customWidth="1"/>
    <col min="8458" max="8458" width="20.5703125" bestFit="1" customWidth="1"/>
    <col min="8459" max="8459" width="20.710937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140625" bestFit="1" customWidth="1"/>
    <col min="8698" max="8698" width="43.85546875" customWidth="1"/>
    <col min="8699" max="8699" width="19.85546875" bestFit="1" customWidth="1"/>
    <col min="8700" max="8700" width="17.140625" bestFit="1" customWidth="1"/>
    <col min="8701" max="8701" width="18.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3" width="19.28515625" bestFit="1" customWidth="1"/>
    <col min="8714" max="8714" width="20.5703125" bestFit="1" customWidth="1"/>
    <col min="8715" max="8715" width="20.710937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140625" bestFit="1" customWidth="1"/>
    <col min="8954" max="8954" width="43.85546875" customWidth="1"/>
    <col min="8955" max="8955" width="19.85546875" bestFit="1" customWidth="1"/>
    <col min="8956" max="8956" width="17.140625" bestFit="1" customWidth="1"/>
    <col min="8957" max="8957" width="18.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9" width="19.28515625" bestFit="1" customWidth="1"/>
    <col min="8970" max="8970" width="20.5703125" bestFit="1" customWidth="1"/>
    <col min="8971" max="8971" width="20.710937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140625" bestFit="1" customWidth="1"/>
    <col min="9210" max="9210" width="43.85546875" customWidth="1"/>
    <col min="9211" max="9211" width="19.85546875" bestFit="1" customWidth="1"/>
    <col min="9212" max="9212" width="17.140625" bestFit="1" customWidth="1"/>
    <col min="9213" max="9213" width="18.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5" width="19.28515625" bestFit="1" customWidth="1"/>
    <col min="9226" max="9226" width="20.5703125" bestFit="1" customWidth="1"/>
    <col min="9227" max="9227" width="20.710937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140625" bestFit="1" customWidth="1"/>
    <col min="9466" max="9466" width="43.85546875" customWidth="1"/>
    <col min="9467" max="9467" width="19.85546875" bestFit="1" customWidth="1"/>
    <col min="9468" max="9468" width="17.140625" bestFit="1" customWidth="1"/>
    <col min="9469" max="9469" width="18.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81" width="19.28515625" bestFit="1" customWidth="1"/>
    <col min="9482" max="9482" width="20.5703125" bestFit="1" customWidth="1"/>
    <col min="9483" max="9483" width="20.710937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140625" bestFit="1" customWidth="1"/>
    <col min="9722" max="9722" width="43.85546875" customWidth="1"/>
    <col min="9723" max="9723" width="19.85546875" bestFit="1" customWidth="1"/>
    <col min="9724" max="9724" width="17.140625" bestFit="1" customWidth="1"/>
    <col min="9725" max="9725" width="18.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7" width="19.28515625" bestFit="1" customWidth="1"/>
    <col min="9738" max="9738" width="20.5703125" bestFit="1" customWidth="1"/>
    <col min="9739" max="9739" width="20.710937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140625" bestFit="1" customWidth="1"/>
    <col min="9978" max="9978" width="43.85546875" customWidth="1"/>
    <col min="9979" max="9979" width="19.85546875" bestFit="1" customWidth="1"/>
    <col min="9980" max="9980" width="17.140625" bestFit="1" customWidth="1"/>
    <col min="9981" max="9981" width="18.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3" width="19.28515625" bestFit="1" customWidth="1"/>
    <col min="9994" max="9994" width="20.5703125" bestFit="1" customWidth="1"/>
    <col min="9995" max="9995" width="20.710937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140625" bestFit="1" customWidth="1"/>
    <col min="10234" max="10234" width="43.85546875" customWidth="1"/>
    <col min="10235" max="10235" width="19.85546875" bestFit="1" customWidth="1"/>
    <col min="10236" max="10236" width="17.140625" bestFit="1" customWidth="1"/>
    <col min="10237" max="10237" width="18.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9" width="19.28515625" bestFit="1" customWidth="1"/>
    <col min="10250" max="10250" width="20.5703125" bestFit="1" customWidth="1"/>
    <col min="10251" max="10251" width="20.710937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140625" bestFit="1" customWidth="1"/>
    <col min="10490" max="10490" width="43.85546875" customWidth="1"/>
    <col min="10491" max="10491" width="19.85546875" bestFit="1" customWidth="1"/>
    <col min="10492" max="10492" width="17.140625" bestFit="1" customWidth="1"/>
    <col min="10493" max="10493" width="18.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5" width="19.28515625" bestFit="1" customWidth="1"/>
    <col min="10506" max="10506" width="20.5703125" bestFit="1" customWidth="1"/>
    <col min="10507" max="10507" width="20.710937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140625" bestFit="1" customWidth="1"/>
    <col min="10746" max="10746" width="43.85546875" customWidth="1"/>
    <col min="10747" max="10747" width="19.85546875" bestFit="1" customWidth="1"/>
    <col min="10748" max="10748" width="17.140625" bestFit="1" customWidth="1"/>
    <col min="10749" max="10749" width="18.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61" width="19.28515625" bestFit="1" customWidth="1"/>
    <col min="10762" max="10762" width="20.5703125" bestFit="1" customWidth="1"/>
    <col min="10763" max="10763" width="20.710937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140625" bestFit="1" customWidth="1"/>
    <col min="11002" max="11002" width="43.85546875" customWidth="1"/>
    <col min="11003" max="11003" width="19.85546875" bestFit="1" customWidth="1"/>
    <col min="11004" max="11004" width="17.140625" bestFit="1" customWidth="1"/>
    <col min="11005" max="11005" width="18.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7" width="19.28515625" bestFit="1" customWidth="1"/>
    <col min="11018" max="11018" width="20.5703125" bestFit="1" customWidth="1"/>
    <col min="11019" max="11019" width="20.710937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140625" bestFit="1" customWidth="1"/>
    <col min="11258" max="11258" width="43.85546875" customWidth="1"/>
    <col min="11259" max="11259" width="19.85546875" bestFit="1" customWidth="1"/>
    <col min="11260" max="11260" width="17.140625" bestFit="1" customWidth="1"/>
    <col min="11261" max="11261" width="18.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3" width="19.28515625" bestFit="1" customWidth="1"/>
    <col min="11274" max="11274" width="20.5703125" bestFit="1" customWidth="1"/>
    <col min="11275" max="11275" width="20.710937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140625" bestFit="1" customWidth="1"/>
    <col min="11514" max="11514" width="43.85546875" customWidth="1"/>
    <col min="11515" max="11515" width="19.85546875" bestFit="1" customWidth="1"/>
    <col min="11516" max="11516" width="17.140625" bestFit="1" customWidth="1"/>
    <col min="11517" max="11517" width="18.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9" width="19.28515625" bestFit="1" customWidth="1"/>
    <col min="11530" max="11530" width="20.5703125" bestFit="1" customWidth="1"/>
    <col min="11531" max="11531" width="20.710937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140625" bestFit="1" customWidth="1"/>
    <col min="11770" max="11770" width="43.85546875" customWidth="1"/>
    <col min="11771" max="11771" width="19.85546875" bestFit="1" customWidth="1"/>
    <col min="11772" max="11772" width="17.140625" bestFit="1" customWidth="1"/>
    <col min="11773" max="11773" width="18.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5" width="19.28515625" bestFit="1" customWidth="1"/>
    <col min="11786" max="11786" width="20.5703125" bestFit="1" customWidth="1"/>
    <col min="11787" max="11787" width="20.710937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140625" bestFit="1" customWidth="1"/>
    <col min="12026" max="12026" width="43.85546875" customWidth="1"/>
    <col min="12027" max="12027" width="19.85546875" bestFit="1" customWidth="1"/>
    <col min="12028" max="12028" width="17.140625" bestFit="1" customWidth="1"/>
    <col min="12029" max="12029" width="18.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41" width="19.28515625" bestFit="1" customWidth="1"/>
    <col min="12042" max="12042" width="20.5703125" bestFit="1" customWidth="1"/>
    <col min="12043" max="12043" width="20.710937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140625" bestFit="1" customWidth="1"/>
    <col min="12282" max="12282" width="43.85546875" customWidth="1"/>
    <col min="12283" max="12283" width="19.85546875" bestFit="1" customWidth="1"/>
    <col min="12284" max="12284" width="17.140625" bestFit="1" customWidth="1"/>
    <col min="12285" max="12285" width="18.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7" width="19.28515625" bestFit="1" customWidth="1"/>
    <col min="12298" max="12298" width="20.5703125" bestFit="1" customWidth="1"/>
    <col min="12299" max="12299" width="20.710937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140625" bestFit="1" customWidth="1"/>
    <col min="12538" max="12538" width="43.85546875" customWidth="1"/>
    <col min="12539" max="12539" width="19.85546875" bestFit="1" customWidth="1"/>
    <col min="12540" max="12540" width="17.140625" bestFit="1" customWidth="1"/>
    <col min="12541" max="12541" width="18.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3" width="19.28515625" bestFit="1" customWidth="1"/>
    <col min="12554" max="12554" width="20.5703125" bestFit="1" customWidth="1"/>
    <col min="12555" max="12555" width="20.710937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140625" bestFit="1" customWidth="1"/>
    <col min="12794" max="12794" width="43.85546875" customWidth="1"/>
    <col min="12795" max="12795" width="19.85546875" bestFit="1" customWidth="1"/>
    <col min="12796" max="12796" width="17.140625" bestFit="1" customWidth="1"/>
    <col min="12797" max="12797" width="18.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9" width="19.28515625" bestFit="1" customWidth="1"/>
    <col min="12810" max="12810" width="20.5703125" bestFit="1" customWidth="1"/>
    <col min="12811" max="12811" width="20.710937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140625" bestFit="1" customWidth="1"/>
    <col min="13050" max="13050" width="43.85546875" customWidth="1"/>
    <col min="13051" max="13051" width="19.85546875" bestFit="1" customWidth="1"/>
    <col min="13052" max="13052" width="17.140625" bestFit="1" customWidth="1"/>
    <col min="13053" max="13053" width="18.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5" width="19.28515625" bestFit="1" customWidth="1"/>
    <col min="13066" max="13066" width="20.5703125" bestFit="1" customWidth="1"/>
    <col min="13067" max="13067" width="20.710937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140625" bestFit="1" customWidth="1"/>
    <col min="13306" max="13306" width="43.85546875" customWidth="1"/>
    <col min="13307" max="13307" width="19.85546875" bestFit="1" customWidth="1"/>
    <col min="13308" max="13308" width="17.140625" bestFit="1" customWidth="1"/>
    <col min="13309" max="13309" width="18.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21" width="19.28515625" bestFit="1" customWidth="1"/>
    <col min="13322" max="13322" width="20.5703125" bestFit="1" customWidth="1"/>
    <col min="13323" max="13323" width="20.710937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140625" bestFit="1" customWidth="1"/>
    <col min="13562" max="13562" width="43.85546875" customWidth="1"/>
    <col min="13563" max="13563" width="19.85546875" bestFit="1" customWidth="1"/>
    <col min="13564" max="13564" width="17.140625" bestFit="1" customWidth="1"/>
    <col min="13565" max="13565" width="18.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7" width="19.28515625" bestFit="1" customWidth="1"/>
    <col min="13578" max="13578" width="20.5703125" bestFit="1" customWidth="1"/>
    <col min="13579" max="13579" width="20.710937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140625" bestFit="1" customWidth="1"/>
    <col min="13818" max="13818" width="43.85546875" customWidth="1"/>
    <col min="13819" max="13819" width="19.85546875" bestFit="1" customWidth="1"/>
    <col min="13820" max="13820" width="17.140625" bestFit="1" customWidth="1"/>
    <col min="13821" max="13821" width="18.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3" width="19.28515625" bestFit="1" customWidth="1"/>
    <col min="13834" max="13834" width="20.5703125" bestFit="1" customWidth="1"/>
    <col min="13835" max="13835" width="20.710937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140625" bestFit="1" customWidth="1"/>
    <col min="14074" max="14074" width="43.85546875" customWidth="1"/>
    <col min="14075" max="14075" width="19.85546875" bestFit="1" customWidth="1"/>
    <col min="14076" max="14076" width="17.140625" bestFit="1" customWidth="1"/>
    <col min="14077" max="14077" width="18.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9" width="19.28515625" bestFit="1" customWidth="1"/>
    <col min="14090" max="14090" width="20.5703125" bestFit="1" customWidth="1"/>
    <col min="14091" max="14091" width="20.710937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140625" bestFit="1" customWidth="1"/>
    <col min="14330" max="14330" width="43.85546875" customWidth="1"/>
    <col min="14331" max="14331" width="19.85546875" bestFit="1" customWidth="1"/>
    <col min="14332" max="14332" width="17.140625" bestFit="1" customWidth="1"/>
    <col min="14333" max="14333" width="18.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5" width="19.28515625" bestFit="1" customWidth="1"/>
    <col min="14346" max="14346" width="20.5703125" bestFit="1" customWidth="1"/>
    <col min="14347" max="14347" width="20.710937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140625" bestFit="1" customWidth="1"/>
    <col min="14586" max="14586" width="43.85546875" customWidth="1"/>
    <col min="14587" max="14587" width="19.85546875" bestFit="1" customWidth="1"/>
    <col min="14588" max="14588" width="17.140625" bestFit="1" customWidth="1"/>
    <col min="14589" max="14589" width="18.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601" width="19.28515625" bestFit="1" customWidth="1"/>
    <col min="14602" max="14602" width="20.5703125" bestFit="1" customWidth="1"/>
    <col min="14603" max="14603" width="20.710937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140625" bestFit="1" customWidth="1"/>
    <col min="14842" max="14842" width="43.85546875" customWidth="1"/>
    <col min="14843" max="14843" width="19.85546875" bestFit="1" customWidth="1"/>
    <col min="14844" max="14844" width="17.140625" bestFit="1" customWidth="1"/>
    <col min="14845" max="14845" width="18.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7" width="19.28515625" bestFit="1" customWidth="1"/>
    <col min="14858" max="14858" width="20.5703125" bestFit="1" customWidth="1"/>
    <col min="14859" max="14859" width="20.710937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140625" bestFit="1" customWidth="1"/>
    <col min="15098" max="15098" width="43.85546875" customWidth="1"/>
    <col min="15099" max="15099" width="19.85546875" bestFit="1" customWidth="1"/>
    <col min="15100" max="15100" width="17.140625" bestFit="1" customWidth="1"/>
    <col min="15101" max="15101" width="18.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3" width="19.28515625" bestFit="1" customWidth="1"/>
    <col min="15114" max="15114" width="20.5703125" bestFit="1" customWidth="1"/>
    <col min="15115" max="15115" width="20.710937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140625" bestFit="1" customWidth="1"/>
    <col min="15354" max="15354" width="43.85546875" customWidth="1"/>
    <col min="15355" max="15355" width="19.85546875" bestFit="1" customWidth="1"/>
    <col min="15356" max="15356" width="17.140625" bestFit="1" customWidth="1"/>
    <col min="15357" max="15357" width="18.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9" width="19.28515625" bestFit="1" customWidth="1"/>
    <col min="15370" max="15370" width="20.5703125" bestFit="1" customWidth="1"/>
    <col min="15371" max="15371" width="20.710937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140625" bestFit="1" customWidth="1"/>
    <col min="15610" max="15610" width="43.85546875" customWidth="1"/>
    <col min="15611" max="15611" width="19.85546875" bestFit="1" customWidth="1"/>
    <col min="15612" max="15612" width="17.140625" bestFit="1" customWidth="1"/>
    <col min="15613" max="15613" width="18.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5" width="19.28515625" bestFit="1" customWidth="1"/>
    <col min="15626" max="15626" width="20.5703125" bestFit="1" customWidth="1"/>
    <col min="15627" max="15627" width="20.710937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140625" bestFit="1" customWidth="1"/>
    <col min="15866" max="15866" width="43.85546875" customWidth="1"/>
    <col min="15867" max="15867" width="19.85546875" bestFit="1" customWidth="1"/>
    <col min="15868" max="15868" width="17.140625" bestFit="1" customWidth="1"/>
    <col min="15869" max="15869" width="18.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81" width="19.28515625" bestFit="1" customWidth="1"/>
    <col min="15882" max="15882" width="20.5703125" bestFit="1" customWidth="1"/>
    <col min="15883" max="15883" width="20.710937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140625" bestFit="1" customWidth="1"/>
    <col min="16122" max="16122" width="43.85546875" customWidth="1"/>
    <col min="16123" max="16123" width="19.85546875" bestFit="1" customWidth="1"/>
    <col min="16124" max="16124" width="17.140625" bestFit="1" customWidth="1"/>
    <col min="16125" max="16125" width="18.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7" width="19.28515625" bestFit="1" customWidth="1"/>
    <col min="16138" max="16138" width="20.5703125" bestFit="1" customWidth="1"/>
    <col min="16139" max="16139" width="20.710937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5.5" customHeight="1" thickBot="1">
      <c r="C1" s="1853" t="s">
        <v>295</v>
      </c>
      <c r="D1" s="1812" t="s">
        <v>291</v>
      </c>
      <c r="E1" s="1853" t="s">
        <v>6</v>
      </c>
      <c r="F1" s="1853">
        <v>18230637</v>
      </c>
      <c r="G1" s="1853" t="s">
        <v>31</v>
      </c>
      <c r="J1" s="1812"/>
      <c r="K1" s="1812"/>
      <c r="L1" s="1812"/>
      <c r="M1" s="1853" t="s">
        <v>295</v>
      </c>
      <c r="N1" s="1812" t="s">
        <v>291</v>
      </c>
      <c r="O1" s="1853" t="s">
        <v>6</v>
      </c>
      <c r="P1" s="1853">
        <v>18230637</v>
      </c>
      <c r="Q1" s="1853" t="s">
        <v>31</v>
      </c>
      <c r="V1" s="1853" t="s">
        <v>295</v>
      </c>
      <c r="W1" s="1812" t="s">
        <v>291</v>
      </c>
      <c r="X1" s="1853" t="s">
        <v>6</v>
      </c>
      <c r="Y1" s="1853">
        <v>18230637</v>
      </c>
      <c r="Z1" s="2559" t="s">
        <v>31</v>
      </c>
    </row>
    <row r="2" spans="1:26" ht="16.5" thickBot="1">
      <c r="C2" s="45"/>
      <c r="D2" s="46"/>
      <c r="H2" s="1576" t="s">
        <v>674</v>
      </c>
      <c r="R2" s="3596"/>
      <c r="S2" s="3596"/>
      <c r="T2" s="3597" t="s">
        <v>36</v>
      </c>
      <c r="U2" s="3598"/>
      <c r="V2" s="3599"/>
      <c r="W2" s="3594" t="s">
        <v>37</v>
      </c>
    </row>
    <row r="3" spans="1:26" ht="26.25" thickBot="1">
      <c r="A3" s="1852" t="s">
        <v>295</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28829</v>
      </c>
      <c r="I4" s="2002">
        <v>12073</v>
      </c>
      <c r="J4" s="2002">
        <v>28918</v>
      </c>
      <c r="K4" s="2002">
        <v>37500</v>
      </c>
      <c r="L4" s="2002">
        <v>2500</v>
      </c>
      <c r="M4" s="2002">
        <v>292500</v>
      </c>
      <c r="N4" s="2002">
        <v>0</v>
      </c>
      <c r="O4" s="2002">
        <v>15000</v>
      </c>
      <c r="P4" s="2002">
        <v>2754225</v>
      </c>
      <c r="Q4" s="2002">
        <v>0</v>
      </c>
      <c r="R4" s="2000">
        <v>3171545</v>
      </c>
      <c r="S4" s="1998" t="s">
        <v>683</v>
      </c>
      <c r="T4" s="65">
        <f>P4/R4</f>
        <v>0.86841744323350289</v>
      </c>
      <c r="U4" s="65">
        <f>(K4+(I4*1.63))/R4</f>
        <v>1.8028749395010948E-2</v>
      </c>
      <c r="V4" s="65">
        <f>M4/R4</f>
        <v>9.2226343942778677E-2</v>
      </c>
      <c r="W4" s="52" t="e">
        <f>R4/S4</f>
        <v>#VALUE!</v>
      </c>
    </row>
    <row r="5" spans="1:26" ht="16.5" thickBot="1">
      <c r="A5" s="1852" t="s">
        <v>6</v>
      </c>
      <c r="B5" s="1852"/>
      <c r="C5" s="45"/>
      <c r="G5" s="45">
        <v>2016</v>
      </c>
      <c r="H5" s="1582">
        <f>D15</f>
        <v>30815.22</v>
      </c>
      <c r="I5" s="1549">
        <f>D20</f>
        <v>12006</v>
      </c>
      <c r="J5" s="1549">
        <f>D26</f>
        <v>28561.753740000004</v>
      </c>
      <c r="K5" s="1549">
        <f>D33</f>
        <v>41178.94</v>
      </c>
      <c r="L5" s="1549">
        <f>D39</f>
        <v>2500</v>
      </c>
      <c r="M5" s="1549">
        <f>D45</f>
        <v>280000</v>
      </c>
      <c r="N5" s="1549">
        <f>D51</f>
        <v>0</v>
      </c>
      <c r="O5" s="1549">
        <f>D57</f>
        <v>15000</v>
      </c>
      <c r="P5" s="1549">
        <f>D63</f>
        <v>2227305</v>
      </c>
      <c r="Q5" s="1549">
        <f>D66</f>
        <v>0</v>
      </c>
      <c r="R5" s="2001">
        <f>SUM(H5:Q5)</f>
        <v>2637366.9137399998</v>
      </c>
      <c r="S5" s="2042">
        <f>T15</f>
        <v>391187.5</v>
      </c>
      <c r="T5" s="66">
        <f>P5/R5</f>
        <v>0.84451844314733637</v>
      </c>
      <c r="U5" s="66">
        <f>(K5+(I5*1.63))/R5</f>
        <v>2.3033852318202246E-2</v>
      </c>
      <c r="V5" s="66">
        <f>M5/R5</f>
        <v>0.10616649452196901</v>
      </c>
      <c r="W5" s="56">
        <f>R5/S5</f>
        <v>6.7419508898929532</v>
      </c>
    </row>
    <row r="6" spans="1:26" ht="16.5" thickBot="1">
      <c r="A6" s="1852">
        <v>18230637</v>
      </c>
      <c r="B6" s="1852"/>
      <c r="D6" s="45"/>
      <c r="G6" s="45">
        <v>2017</v>
      </c>
      <c r="H6" s="57">
        <f>E15</f>
        <v>31585.660000000003</v>
      </c>
      <c r="I6" s="1990">
        <f>E20</f>
        <v>12306.15</v>
      </c>
      <c r="J6" s="1989">
        <f>E26</f>
        <v>29846.430800000006</v>
      </c>
      <c r="K6" s="58">
        <f>E33</f>
        <v>41178.94</v>
      </c>
      <c r="L6" s="58">
        <f>E39</f>
        <v>2500</v>
      </c>
      <c r="M6" s="58">
        <f>E45</f>
        <v>280000</v>
      </c>
      <c r="N6" s="58">
        <f>E51</f>
        <v>0</v>
      </c>
      <c r="O6" s="58">
        <f>E57</f>
        <v>15000</v>
      </c>
      <c r="P6" s="58">
        <f>E63</f>
        <v>2227305</v>
      </c>
      <c r="Q6" s="58">
        <f>E66</f>
        <v>0</v>
      </c>
      <c r="R6" s="1997">
        <f>SUM(H6:Q6)</f>
        <v>2639722.1808000002</v>
      </c>
      <c r="S6" s="2043">
        <f>U15</f>
        <v>391187.5</v>
      </c>
      <c r="T6" s="66">
        <f>P6/R6</f>
        <v>0.8437649295824714</v>
      </c>
      <c r="U6" s="66">
        <f>(K6+(I6*1.63))/R6</f>
        <v>2.31986399725751E-2</v>
      </c>
      <c r="V6" s="66">
        <f>M6/R6</f>
        <v>0.10607176847494708</v>
      </c>
      <c r="W6" s="56">
        <f>R6/S6</f>
        <v>6.7479717035948239</v>
      </c>
    </row>
    <row r="7" spans="1:26" ht="16.5" thickBot="1">
      <c r="A7" s="1852" t="s">
        <v>31</v>
      </c>
      <c r="B7" s="1852"/>
      <c r="C7" s="1866"/>
      <c r="D7" s="1592"/>
      <c r="E7" s="1867"/>
      <c r="F7" s="1866"/>
      <c r="G7" s="1608" t="s">
        <v>23</v>
      </c>
      <c r="H7" s="1564">
        <f>SUM(H5:H6)</f>
        <v>62400.880000000005</v>
      </c>
      <c r="I7" s="1991">
        <f t="shared" ref="I7:Q7" si="0">SUM(I5:I6)</f>
        <v>24312.15</v>
      </c>
      <c r="J7" s="1992">
        <f t="shared" si="0"/>
        <v>58408.184540000009</v>
      </c>
      <c r="K7" s="1993">
        <f t="shared" si="0"/>
        <v>82357.88</v>
      </c>
      <c r="L7" s="1991">
        <f t="shared" si="0"/>
        <v>5000</v>
      </c>
      <c r="M7" s="1992">
        <f t="shared" si="0"/>
        <v>560000</v>
      </c>
      <c r="N7" s="1991">
        <f t="shared" si="0"/>
        <v>0</v>
      </c>
      <c r="O7" s="1992">
        <f t="shared" si="0"/>
        <v>30000</v>
      </c>
      <c r="P7" s="1993">
        <f t="shared" si="0"/>
        <v>4454610</v>
      </c>
      <c r="Q7" s="1991">
        <f t="shared" si="0"/>
        <v>0</v>
      </c>
      <c r="R7" s="1993">
        <f>SUM(H7:Q7)</f>
        <v>5277089.09454</v>
      </c>
      <c r="S7" s="2600">
        <f>SUM(S5:S6)</f>
        <v>782375</v>
      </c>
      <c r="T7" s="66">
        <f>P7/R7</f>
        <v>0.84414151821105554</v>
      </c>
      <c r="U7" s="66">
        <f>(K7+(I7*1.63))/R7</f>
        <v>2.3116282919349401E-2</v>
      </c>
      <c r="V7" s="66">
        <f>M7/R7</f>
        <v>0.10611911035942341</v>
      </c>
      <c r="W7" s="56">
        <f>R7/S7</f>
        <v>6.744961296743889</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B12" s="1808"/>
      <c r="C12" s="1887" t="s">
        <v>314</v>
      </c>
      <c r="D12" s="1924">
        <f>D15+D20+D26+D33+D39+D45+D51+D57+D63</f>
        <v>2637366.9137399998</v>
      </c>
      <c r="E12" s="1948">
        <f>E15+E20+E26+E33+E39+E45+E51+E57+E63</f>
        <v>2639722.1808000002</v>
      </c>
      <c r="F12" s="1924">
        <f>D12+E12</f>
        <v>5277089.09454</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47"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1911">
        <f>SUM(D16:D18)</f>
        <v>30815.22</v>
      </c>
      <c r="E15" s="1926">
        <f>SUM(E16:E18)</f>
        <v>31585.660000000003</v>
      </c>
      <c r="F15" s="1924">
        <f>D15+E15</f>
        <v>62400.880000000005</v>
      </c>
      <c r="H15" s="1938" t="s">
        <v>327</v>
      </c>
      <c r="I15" s="1939"/>
      <c r="J15" s="1939"/>
      <c r="K15" s="1940"/>
      <c r="L15" s="1941">
        <f>SUMPRODUCT(L16:L179,S16:S179)</f>
        <v>15937410</v>
      </c>
      <c r="M15" s="1941">
        <f>SUM(M16:M179)</f>
        <v>2097.38</v>
      </c>
      <c r="N15" s="1942"/>
      <c r="O15" s="1940">
        <v>25</v>
      </c>
      <c r="P15" s="1940"/>
      <c r="Q15" s="1940"/>
      <c r="R15" s="1940"/>
      <c r="S15" s="1940"/>
      <c r="T15" s="1943">
        <f t="shared" ref="T15:Y15" si="1">SUM(T16:T67)</f>
        <v>391187.5</v>
      </c>
      <c r="U15" s="1943">
        <f t="shared" si="1"/>
        <v>391187.5</v>
      </c>
      <c r="V15" s="1943">
        <f t="shared" si="1"/>
        <v>782375</v>
      </c>
      <c r="W15" s="1941">
        <f t="shared" si="1"/>
        <v>2227305</v>
      </c>
      <c r="X15" s="1941">
        <f t="shared" si="1"/>
        <v>2227305</v>
      </c>
      <c r="Y15" s="1941">
        <f t="shared" si="1"/>
        <v>4454610</v>
      </c>
      <c r="Z15" s="2534">
        <v>0</v>
      </c>
    </row>
    <row r="16" spans="1:26">
      <c r="B16" s="1885">
        <v>0.05</v>
      </c>
      <c r="C16" s="2197" t="s">
        <v>791</v>
      </c>
      <c r="D16" s="1907">
        <v>4531.6500000000005</v>
      </c>
      <c r="E16" s="1906">
        <v>4644.95</v>
      </c>
      <c r="F16" s="1879">
        <f>SUM(D16:E16)</f>
        <v>9176.6</v>
      </c>
      <c r="H16" s="2591" t="s">
        <v>1535</v>
      </c>
      <c r="I16" s="2610">
        <v>0.02</v>
      </c>
      <c r="J16" s="1932" t="s">
        <v>81</v>
      </c>
      <c r="K16" s="2592" t="s">
        <v>909</v>
      </c>
      <c r="L16" s="2593">
        <v>0.66</v>
      </c>
      <c r="M16" s="2594">
        <v>0.66</v>
      </c>
      <c r="N16" s="1923">
        <v>6.3907972519571818E-3</v>
      </c>
      <c r="O16" s="1922">
        <v>15</v>
      </c>
      <c r="P16" s="1925" t="s">
        <v>1084</v>
      </c>
      <c r="Q16" s="2595">
        <v>125000</v>
      </c>
      <c r="R16" s="2595">
        <v>125000</v>
      </c>
      <c r="S16" s="1931">
        <f>SUM(Q16:R16)</f>
        <v>250000</v>
      </c>
      <c r="T16" s="1931">
        <f>Q16*I16</f>
        <v>2500</v>
      </c>
      <c r="U16" s="1931">
        <f>R16*I16</f>
        <v>2500</v>
      </c>
      <c r="V16" s="1931">
        <f>SUM(T16:U16)</f>
        <v>5000</v>
      </c>
      <c r="W16" s="1921">
        <f>Q16*M16</f>
        <v>82500</v>
      </c>
      <c r="X16" s="1921">
        <f>R16*M16</f>
        <v>82500</v>
      </c>
      <c r="Y16" s="1921">
        <f>SUM(W16:X16)</f>
        <v>165000</v>
      </c>
      <c r="Z16" s="2533">
        <v>0.01</v>
      </c>
    </row>
    <row r="17" spans="2:26" s="2177" customFormat="1">
      <c r="B17" s="2610">
        <v>0.19</v>
      </c>
      <c r="C17" s="2197" t="s">
        <v>792</v>
      </c>
      <c r="D17" s="2201">
        <v>17220.27</v>
      </c>
      <c r="E17" s="2200">
        <v>17650.810000000001</v>
      </c>
      <c r="F17" s="1879">
        <f t="shared" ref="F17:F18" si="2">SUM(D17:E17)</f>
        <v>34871.08</v>
      </c>
      <c r="H17" s="2591" t="s">
        <v>1536</v>
      </c>
      <c r="I17" s="2610">
        <v>0.1</v>
      </c>
      <c r="J17" s="1932" t="s">
        <v>81</v>
      </c>
      <c r="K17" s="2592" t="s">
        <v>1067</v>
      </c>
      <c r="L17" s="2644">
        <v>1.1200000000000001</v>
      </c>
      <c r="M17" s="2644">
        <v>0.27500000000000002</v>
      </c>
      <c r="N17" s="1923">
        <v>0.14059753954305801</v>
      </c>
      <c r="O17" s="1922">
        <v>30</v>
      </c>
      <c r="P17" s="1925" t="s">
        <v>1084</v>
      </c>
      <c r="Q17" s="2611">
        <v>550000</v>
      </c>
      <c r="R17" s="2611">
        <v>550000</v>
      </c>
      <c r="S17" s="1931">
        <f t="shared" ref="S17:S19" si="3">SUM(Q17:R17)</f>
        <v>1100000</v>
      </c>
      <c r="T17" s="1931">
        <f t="shared" ref="T17:T19" si="4">Q17*I17</f>
        <v>55000</v>
      </c>
      <c r="U17" s="1931">
        <f t="shared" ref="U17:U19" si="5">R17*I17</f>
        <v>55000</v>
      </c>
      <c r="V17" s="1931">
        <f t="shared" ref="V17:V19" si="6">SUM(T17:U17)</f>
        <v>110000</v>
      </c>
      <c r="W17" s="1921">
        <f t="shared" ref="W17:W19" si="7">Q17*M17</f>
        <v>151250</v>
      </c>
      <c r="X17" s="1921">
        <f t="shared" ref="X17:X19" si="8">R17*M17</f>
        <v>151250</v>
      </c>
      <c r="Y17" s="1921">
        <f t="shared" ref="Y17:Y19" si="9">SUM(W17:X17)</f>
        <v>302500</v>
      </c>
      <c r="Z17" s="2533">
        <v>0.03</v>
      </c>
    </row>
    <row r="18" spans="2:26" s="2177" customFormat="1">
      <c r="B18" s="2610">
        <v>0.1</v>
      </c>
      <c r="C18" s="2197" t="s">
        <v>794</v>
      </c>
      <c r="D18" s="2201">
        <v>9063.3000000000011</v>
      </c>
      <c r="E18" s="2200">
        <v>9289.9</v>
      </c>
      <c r="F18" s="1879">
        <f t="shared" si="2"/>
        <v>18353.2</v>
      </c>
      <c r="H18" s="2591" t="s">
        <v>1537</v>
      </c>
      <c r="I18" s="2610">
        <v>0.03</v>
      </c>
      <c r="J18" s="1932" t="s">
        <v>81</v>
      </c>
      <c r="K18" s="2592" t="s">
        <v>1067</v>
      </c>
      <c r="L18" s="2644">
        <v>0.98</v>
      </c>
      <c r="M18" s="2644">
        <v>0.27500000000000002</v>
      </c>
      <c r="N18" s="1923">
        <v>5.3682696916440328E-2</v>
      </c>
      <c r="O18" s="1922">
        <v>30</v>
      </c>
      <c r="P18" s="1925" t="s">
        <v>1084</v>
      </c>
      <c r="Q18" s="2611">
        <v>700000</v>
      </c>
      <c r="R18" s="2611">
        <v>700000</v>
      </c>
      <c r="S18" s="1931">
        <f t="shared" si="3"/>
        <v>1400000</v>
      </c>
      <c r="T18" s="1931">
        <f t="shared" si="4"/>
        <v>21000</v>
      </c>
      <c r="U18" s="1931">
        <f t="shared" si="5"/>
        <v>21000</v>
      </c>
      <c r="V18" s="1931">
        <f t="shared" si="6"/>
        <v>42000</v>
      </c>
      <c r="W18" s="1921">
        <f t="shared" si="7"/>
        <v>192500.00000000003</v>
      </c>
      <c r="X18" s="1921">
        <f t="shared" si="8"/>
        <v>192500.00000000003</v>
      </c>
      <c r="Y18" s="1921">
        <f t="shared" si="9"/>
        <v>385000.00000000006</v>
      </c>
      <c r="Z18" s="2533">
        <v>0.01</v>
      </c>
    </row>
    <row r="19" spans="2:26">
      <c r="B19" s="2926">
        <f>SUM(B16:B18)</f>
        <v>0.33999999999999997</v>
      </c>
      <c r="C19" s="1952"/>
      <c r="D19" s="1954"/>
      <c r="E19" s="1955"/>
      <c r="F19" s="1957"/>
      <c r="H19" s="2591" t="s">
        <v>1538</v>
      </c>
      <c r="I19" s="2610">
        <v>0</v>
      </c>
      <c r="J19" s="1932" t="s">
        <v>81</v>
      </c>
      <c r="K19" s="2592" t="s">
        <v>966</v>
      </c>
      <c r="L19" s="2593">
        <v>38.299999999999997</v>
      </c>
      <c r="M19" s="2594">
        <v>38.299999999999997</v>
      </c>
      <c r="N19" s="1923">
        <v>0</v>
      </c>
      <c r="O19" s="1922">
        <v>5</v>
      </c>
      <c r="P19" s="1925" t="s">
        <v>1084</v>
      </c>
      <c r="Q19" s="2595">
        <v>2850</v>
      </c>
      <c r="R19" s="2595">
        <v>2850</v>
      </c>
      <c r="S19" s="1931">
        <f t="shared" si="3"/>
        <v>5700</v>
      </c>
      <c r="T19" s="1931">
        <f t="shared" si="4"/>
        <v>0</v>
      </c>
      <c r="U19" s="1931">
        <f t="shared" si="5"/>
        <v>0</v>
      </c>
      <c r="V19" s="1931">
        <f t="shared" si="6"/>
        <v>0</v>
      </c>
      <c r="W19" s="1921">
        <f t="shared" si="7"/>
        <v>109154.99999999999</v>
      </c>
      <c r="X19" s="1921">
        <f t="shared" si="8"/>
        <v>109154.99999999999</v>
      </c>
      <c r="Y19" s="1921">
        <f t="shared" si="9"/>
        <v>218309.99999999997</v>
      </c>
      <c r="Z19" s="2533">
        <v>7.66</v>
      </c>
    </row>
    <row r="20" spans="2:26">
      <c r="C20" s="1910" t="s">
        <v>47</v>
      </c>
      <c r="D20" s="1911">
        <f>SUM(D21:D24)</f>
        <v>12006</v>
      </c>
      <c r="E20" s="1926">
        <f>SUM(E21:E24)</f>
        <v>12306.15</v>
      </c>
      <c r="F20" s="2157">
        <f>D20+E20</f>
        <v>24312.15</v>
      </c>
      <c r="H20" s="2591" t="s">
        <v>1539</v>
      </c>
      <c r="I20" s="2610">
        <v>0.04</v>
      </c>
      <c r="J20" s="1932" t="s">
        <v>81</v>
      </c>
      <c r="K20" s="2592" t="s">
        <v>1067</v>
      </c>
      <c r="L20" s="2593">
        <v>1.32</v>
      </c>
      <c r="M20" s="2594">
        <v>0.11</v>
      </c>
      <c r="N20" s="1923">
        <v>0.11247803163444639</v>
      </c>
      <c r="O20" s="1922">
        <v>30</v>
      </c>
      <c r="P20" s="1925" t="s">
        <v>1084</v>
      </c>
      <c r="Q20" s="2595">
        <v>1100000</v>
      </c>
      <c r="R20" s="2595">
        <v>1100000</v>
      </c>
      <c r="S20" s="1931">
        <f t="shared" ref="S20:S33" si="10">SUM(Q20:R20)</f>
        <v>2200000</v>
      </c>
      <c r="T20" s="1931">
        <f t="shared" ref="T20:T33" si="11">Q20*I20</f>
        <v>44000</v>
      </c>
      <c r="U20" s="1931">
        <f t="shared" ref="U20:U33" si="12">R20*I20</f>
        <v>44000</v>
      </c>
      <c r="V20" s="1931">
        <f t="shared" ref="V20:V33" si="13">SUM(T20:U20)</f>
        <v>88000</v>
      </c>
      <c r="W20" s="1921">
        <f t="shared" ref="W20:W33" si="14">Q20*M20</f>
        <v>121000</v>
      </c>
      <c r="X20" s="1921">
        <f t="shared" ref="X20:X33" si="15">R20*M20</f>
        <v>121000</v>
      </c>
      <c r="Y20" s="1921">
        <f t="shared" ref="Y20:Y33" si="16">SUM(W20:X20)</f>
        <v>242000</v>
      </c>
      <c r="Z20" s="2533">
        <v>0.01</v>
      </c>
    </row>
    <row r="21" spans="2:26">
      <c r="C21" s="1876" t="s">
        <v>1286</v>
      </c>
      <c r="D21" s="1907">
        <v>12006</v>
      </c>
      <c r="E21" s="1906">
        <v>12306.15</v>
      </c>
      <c r="F21" s="1879">
        <f t="shared" ref="F21:F24" si="17">SUM(D21:E21)</f>
        <v>24312.15</v>
      </c>
      <c r="H21" s="2591" t="s">
        <v>1160</v>
      </c>
      <c r="I21" s="2610">
        <v>0</v>
      </c>
      <c r="J21" s="1932" t="s">
        <v>81</v>
      </c>
      <c r="K21" s="2592" t="s">
        <v>966</v>
      </c>
      <c r="L21" s="2593">
        <v>600</v>
      </c>
      <c r="M21" s="2594">
        <v>400</v>
      </c>
      <c r="N21" s="1923">
        <v>0</v>
      </c>
      <c r="O21" s="1922">
        <v>1</v>
      </c>
      <c r="P21" s="1925" t="s">
        <v>1084</v>
      </c>
      <c r="Q21" s="2595">
        <v>150</v>
      </c>
      <c r="R21" s="2595">
        <v>150</v>
      </c>
      <c r="S21" s="1931">
        <f t="shared" si="10"/>
        <v>300</v>
      </c>
      <c r="T21" s="1931">
        <f t="shared" si="11"/>
        <v>0</v>
      </c>
      <c r="U21" s="1931">
        <f t="shared" si="12"/>
        <v>0</v>
      </c>
      <c r="V21" s="1931">
        <f t="shared" si="13"/>
        <v>0</v>
      </c>
      <c r="W21" s="1921">
        <f t="shared" si="14"/>
        <v>60000</v>
      </c>
      <c r="X21" s="1921">
        <f t="shared" si="15"/>
        <v>60000</v>
      </c>
      <c r="Y21" s="1921">
        <f t="shared" si="16"/>
        <v>120000</v>
      </c>
      <c r="Z21" s="2533">
        <v>0</v>
      </c>
    </row>
    <row r="22" spans="2:26">
      <c r="C22" s="1876"/>
      <c r="D22" s="1900"/>
      <c r="E22" s="1899"/>
      <c r="F22" s="1879">
        <f t="shared" si="17"/>
        <v>0</v>
      </c>
      <c r="H22" s="2591" t="s">
        <v>1540</v>
      </c>
      <c r="I22" s="2610">
        <v>0</v>
      </c>
      <c r="J22" s="1932" t="s">
        <v>81</v>
      </c>
      <c r="K22" s="2592" t="s">
        <v>966</v>
      </c>
      <c r="L22" s="2593">
        <v>165</v>
      </c>
      <c r="M22" s="2594">
        <v>165</v>
      </c>
      <c r="N22" s="1923">
        <v>0</v>
      </c>
      <c r="O22" s="1922">
        <v>1</v>
      </c>
      <c r="P22" s="1925" t="s">
        <v>1084</v>
      </c>
      <c r="Q22" s="2595">
        <v>1500</v>
      </c>
      <c r="R22" s="2595">
        <v>1500</v>
      </c>
      <c r="S22" s="1931">
        <f t="shared" si="10"/>
        <v>3000</v>
      </c>
      <c r="T22" s="1931">
        <f t="shared" si="11"/>
        <v>0</v>
      </c>
      <c r="U22" s="1931">
        <f t="shared" si="12"/>
        <v>0</v>
      </c>
      <c r="V22" s="1931">
        <f t="shared" si="13"/>
        <v>0</v>
      </c>
      <c r="W22" s="1921">
        <f t="shared" si="14"/>
        <v>247500</v>
      </c>
      <c r="X22" s="1921">
        <f t="shared" si="15"/>
        <v>247500</v>
      </c>
      <c r="Y22" s="1921">
        <f t="shared" si="16"/>
        <v>495000</v>
      </c>
      <c r="Z22" s="2533">
        <v>0</v>
      </c>
    </row>
    <row r="23" spans="2:26">
      <c r="C23" s="1876"/>
      <c r="D23" s="1898"/>
      <c r="E23" s="1897"/>
      <c r="F23" s="1879">
        <f t="shared" si="17"/>
        <v>0</v>
      </c>
      <c r="H23" s="2591" t="s">
        <v>1541</v>
      </c>
      <c r="I23" s="2610">
        <v>75</v>
      </c>
      <c r="J23" s="1932" t="s">
        <v>81</v>
      </c>
      <c r="K23" s="2592" t="s">
        <v>909</v>
      </c>
      <c r="L23" s="2593">
        <v>1000</v>
      </c>
      <c r="M23" s="2594">
        <v>400</v>
      </c>
      <c r="N23" s="1923">
        <v>0.24924109282633009</v>
      </c>
      <c r="O23" s="1922">
        <v>20</v>
      </c>
      <c r="P23" s="1925" t="s">
        <v>1084</v>
      </c>
      <c r="Q23" s="2595">
        <v>1300</v>
      </c>
      <c r="R23" s="2595">
        <v>1300</v>
      </c>
      <c r="S23" s="1931">
        <f t="shared" si="10"/>
        <v>2600</v>
      </c>
      <c r="T23" s="1931">
        <f t="shared" si="11"/>
        <v>97500</v>
      </c>
      <c r="U23" s="1931">
        <f t="shared" si="12"/>
        <v>97500</v>
      </c>
      <c r="V23" s="1931">
        <f t="shared" si="13"/>
        <v>195000</v>
      </c>
      <c r="W23" s="1921">
        <f t="shared" si="14"/>
        <v>520000</v>
      </c>
      <c r="X23" s="1921">
        <f t="shared" si="15"/>
        <v>520000</v>
      </c>
      <c r="Y23" s="1921">
        <f t="shared" si="16"/>
        <v>1040000</v>
      </c>
      <c r="Z23" s="2533">
        <v>11</v>
      </c>
    </row>
    <row r="24" spans="2:26">
      <c r="C24" s="1876"/>
      <c r="D24" s="1896"/>
      <c r="E24" s="1899"/>
      <c r="F24" s="1879">
        <f t="shared" si="17"/>
        <v>0</v>
      </c>
      <c r="H24" s="2591" t="s">
        <v>1542</v>
      </c>
      <c r="I24" s="2610">
        <v>16</v>
      </c>
      <c r="J24" s="1932" t="s">
        <v>81</v>
      </c>
      <c r="K24" s="2592" t="s">
        <v>909</v>
      </c>
      <c r="L24" s="2593">
        <v>15</v>
      </c>
      <c r="M24" s="2594">
        <v>15</v>
      </c>
      <c r="N24" s="1923">
        <v>8.1802204825051919E-2</v>
      </c>
      <c r="O24" s="1922">
        <v>10</v>
      </c>
      <c r="P24" s="1925" t="s">
        <v>910</v>
      </c>
      <c r="Q24" s="2595">
        <v>2000</v>
      </c>
      <c r="R24" s="2595">
        <v>2000</v>
      </c>
      <c r="S24" s="1931">
        <f t="shared" si="10"/>
        <v>4000</v>
      </c>
      <c r="T24" s="1931">
        <f t="shared" si="11"/>
        <v>32000</v>
      </c>
      <c r="U24" s="1931">
        <f t="shared" si="12"/>
        <v>32000</v>
      </c>
      <c r="V24" s="1931">
        <f t="shared" si="13"/>
        <v>64000</v>
      </c>
      <c r="W24" s="1921">
        <f t="shared" si="14"/>
        <v>30000</v>
      </c>
      <c r="X24" s="1921">
        <f t="shared" si="15"/>
        <v>30000</v>
      </c>
      <c r="Y24" s="1921">
        <f t="shared" si="16"/>
        <v>60000</v>
      </c>
      <c r="Z24" s="2533">
        <v>20.53</v>
      </c>
    </row>
    <row r="25" spans="2:26">
      <c r="C25" s="1877"/>
      <c r="D25" s="1892"/>
      <c r="E25" s="1884"/>
      <c r="F25" s="1892"/>
      <c r="H25" s="2591" t="s">
        <v>1543</v>
      </c>
      <c r="I25" s="2610">
        <v>0.09</v>
      </c>
      <c r="J25" s="1932" t="s">
        <v>81</v>
      </c>
      <c r="K25" s="2592" t="s">
        <v>1067</v>
      </c>
      <c r="L25" s="2593">
        <v>1.39</v>
      </c>
      <c r="M25" s="2594">
        <v>0.33</v>
      </c>
      <c r="N25" s="1923">
        <v>9.2027480428183414E-2</v>
      </c>
      <c r="O25" s="1922">
        <v>30</v>
      </c>
      <c r="P25" s="1925" t="s">
        <v>1084</v>
      </c>
      <c r="Q25" s="2595">
        <v>400000</v>
      </c>
      <c r="R25" s="2595">
        <v>400000</v>
      </c>
      <c r="S25" s="1931">
        <f t="shared" si="10"/>
        <v>800000</v>
      </c>
      <c r="T25" s="1931">
        <f t="shared" si="11"/>
        <v>36000</v>
      </c>
      <c r="U25" s="1931">
        <f t="shared" si="12"/>
        <v>36000</v>
      </c>
      <c r="V25" s="1931">
        <f t="shared" si="13"/>
        <v>72000</v>
      </c>
      <c r="W25" s="1921">
        <f t="shared" si="14"/>
        <v>132000</v>
      </c>
      <c r="X25" s="1921">
        <f t="shared" si="15"/>
        <v>132000</v>
      </c>
      <c r="Y25" s="1921">
        <f t="shared" si="16"/>
        <v>264000</v>
      </c>
      <c r="Z25" s="2533">
        <v>0.03</v>
      </c>
    </row>
    <row r="26" spans="2:26">
      <c r="C26" s="1910" t="s">
        <v>48</v>
      </c>
      <c r="D26" s="1911">
        <f>SUM(D28:D31)</f>
        <v>28561.753740000004</v>
      </c>
      <c r="E26" s="1926">
        <f>SUM(E28:E31)</f>
        <v>29846.430800000006</v>
      </c>
      <c r="F26" s="2157">
        <f>D26+E26</f>
        <v>58408.184540000009</v>
      </c>
      <c r="H26" s="2591" t="s">
        <v>1544</v>
      </c>
      <c r="I26" s="2610">
        <v>0.23</v>
      </c>
      <c r="J26" s="1932" t="s">
        <v>81</v>
      </c>
      <c r="K26" s="2592" t="s">
        <v>1067</v>
      </c>
      <c r="L26" s="2593">
        <v>18.510000000000002</v>
      </c>
      <c r="M26" s="2594">
        <v>2.78</v>
      </c>
      <c r="N26" s="1923" t="s">
        <v>241</v>
      </c>
      <c r="O26" s="1922">
        <v>30</v>
      </c>
      <c r="P26" s="1925" t="s">
        <v>1084</v>
      </c>
      <c r="Q26" s="2595"/>
      <c r="R26" s="2595"/>
      <c r="S26" s="1931">
        <f t="shared" si="10"/>
        <v>0</v>
      </c>
      <c r="T26" s="1931">
        <f t="shared" si="11"/>
        <v>0</v>
      </c>
      <c r="U26" s="1931">
        <f t="shared" si="12"/>
        <v>0</v>
      </c>
      <c r="V26" s="1931">
        <f t="shared" si="13"/>
        <v>0</v>
      </c>
      <c r="W26" s="1921">
        <f t="shared" si="14"/>
        <v>0</v>
      </c>
      <c r="X26" s="1921">
        <f t="shared" si="15"/>
        <v>0</v>
      </c>
      <c r="Y26" s="1921">
        <f t="shared" si="16"/>
        <v>0</v>
      </c>
      <c r="Z26" s="2533">
        <v>0.08</v>
      </c>
    </row>
    <row r="27" spans="2:26">
      <c r="C27" s="1909" t="s">
        <v>315</v>
      </c>
      <c r="D27" s="1912">
        <v>0.66700000000000004</v>
      </c>
      <c r="E27" s="1913">
        <v>0.68</v>
      </c>
      <c r="F27" s="1949"/>
      <c r="H27" s="2591" t="s">
        <v>1545</v>
      </c>
      <c r="I27" s="2610">
        <v>0.64</v>
      </c>
      <c r="J27" s="1932" t="s">
        <v>81</v>
      </c>
      <c r="K27" s="2592" t="s">
        <v>1067</v>
      </c>
      <c r="L27" s="2593">
        <v>18.510000000000002</v>
      </c>
      <c r="M27" s="2594">
        <v>2.78</v>
      </c>
      <c r="N27" s="1923">
        <v>0.18814507109761944</v>
      </c>
      <c r="O27" s="1922">
        <v>30</v>
      </c>
      <c r="P27" s="1925" t="s">
        <v>1084</v>
      </c>
      <c r="Q27" s="2595">
        <v>115000</v>
      </c>
      <c r="R27" s="2595">
        <v>115000</v>
      </c>
      <c r="S27" s="1931">
        <f t="shared" si="10"/>
        <v>230000</v>
      </c>
      <c r="T27" s="1931">
        <f t="shared" si="11"/>
        <v>73600</v>
      </c>
      <c r="U27" s="1931">
        <f t="shared" si="12"/>
        <v>73600</v>
      </c>
      <c r="V27" s="1931">
        <f t="shared" si="13"/>
        <v>147200</v>
      </c>
      <c r="W27" s="1921">
        <f t="shared" si="14"/>
        <v>319700</v>
      </c>
      <c r="X27" s="1921">
        <f t="shared" si="15"/>
        <v>319700</v>
      </c>
      <c r="Y27" s="1921">
        <f t="shared" si="16"/>
        <v>639400</v>
      </c>
      <c r="Z27" s="2533">
        <v>0.23</v>
      </c>
    </row>
    <row r="28" spans="2:26">
      <c r="C28" s="1876" t="s">
        <v>778</v>
      </c>
      <c r="D28" s="1971">
        <f>D15*D27</f>
        <v>20553.751740000003</v>
      </c>
      <c r="E28" s="1972">
        <f>E15*E27</f>
        <v>21478.248800000005</v>
      </c>
      <c r="F28" s="1879">
        <f t="shared" ref="F28:F31" si="18">SUM(D28:E28)</f>
        <v>42032.000540000008</v>
      </c>
      <c r="H28" s="2591" t="s">
        <v>1172</v>
      </c>
      <c r="I28" s="2610">
        <v>0.01</v>
      </c>
      <c r="J28" s="1932" t="s">
        <v>81</v>
      </c>
      <c r="K28" s="2592" t="s">
        <v>1067</v>
      </c>
      <c r="L28" s="2593">
        <v>0.2</v>
      </c>
      <c r="M28" s="2594">
        <v>0.09</v>
      </c>
      <c r="N28" s="1923">
        <v>4.4991212653778562E-2</v>
      </c>
      <c r="O28" s="1922">
        <v>30</v>
      </c>
      <c r="P28" s="1925" t="s">
        <v>1084</v>
      </c>
      <c r="Q28" s="2595">
        <v>1760000</v>
      </c>
      <c r="R28" s="2595">
        <v>1760000</v>
      </c>
      <c r="S28" s="1931">
        <f t="shared" si="10"/>
        <v>3520000</v>
      </c>
      <c r="T28" s="1931">
        <f t="shared" si="11"/>
        <v>17600</v>
      </c>
      <c r="U28" s="1931">
        <f t="shared" si="12"/>
        <v>17600</v>
      </c>
      <c r="V28" s="1931">
        <f t="shared" si="13"/>
        <v>35200</v>
      </c>
      <c r="W28" s="1921">
        <f t="shared" si="14"/>
        <v>158400</v>
      </c>
      <c r="X28" s="1921">
        <f t="shared" si="15"/>
        <v>158400</v>
      </c>
      <c r="Y28" s="1921">
        <f t="shared" si="16"/>
        <v>316800</v>
      </c>
      <c r="Z28" s="2533">
        <v>0</v>
      </c>
    </row>
    <row r="29" spans="2:26">
      <c r="C29" s="1876" t="s">
        <v>779</v>
      </c>
      <c r="D29" s="1973">
        <f>D20*D27</f>
        <v>8008.0020000000004</v>
      </c>
      <c r="E29" s="1972">
        <f>E20*E27</f>
        <v>8368.1820000000007</v>
      </c>
      <c r="F29" s="1879">
        <f t="shared" si="18"/>
        <v>16376.184000000001</v>
      </c>
      <c r="H29" s="2591" t="s">
        <v>1097</v>
      </c>
      <c r="I29" s="2610">
        <v>2.15</v>
      </c>
      <c r="J29" s="1932" t="s">
        <v>81</v>
      </c>
      <c r="K29" s="2592" t="s">
        <v>909</v>
      </c>
      <c r="L29" s="2593">
        <v>2</v>
      </c>
      <c r="M29" s="2594">
        <v>2</v>
      </c>
      <c r="N29" s="1923">
        <v>9.6181498641955583E-3</v>
      </c>
      <c r="O29" s="1922">
        <v>10</v>
      </c>
      <c r="P29" s="1925" t="s">
        <v>910</v>
      </c>
      <c r="Q29" s="2595">
        <v>1750</v>
      </c>
      <c r="R29" s="2595">
        <v>1750</v>
      </c>
      <c r="S29" s="1931">
        <f t="shared" si="10"/>
        <v>3500</v>
      </c>
      <c r="T29" s="1931">
        <f t="shared" si="11"/>
        <v>3762.5</v>
      </c>
      <c r="U29" s="1931">
        <f t="shared" si="12"/>
        <v>3762.5</v>
      </c>
      <c r="V29" s="1931">
        <f t="shared" si="13"/>
        <v>7525</v>
      </c>
      <c r="W29" s="1921">
        <f t="shared" si="14"/>
        <v>3500</v>
      </c>
      <c r="X29" s="1921">
        <f t="shared" si="15"/>
        <v>3500</v>
      </c>
      <c r="Y29" s="1921">
        <f t="shared" si="16"/>
        <v>7000</v>
      </c>
      <c r="Z29" s="2533">
        <v>2.36</v>
      </c>
    </row>
    <row r="30" spans="2:26">
      <c r="C30" s="1901"/>
      <c r="D30" s="1898"/>
      <c r="E30" s="1897"/>
      <c r="F30" s="1879">
        <f t="shared" si="18"/>
        <v>0</v>
      </c>
      <c r="H30" s="1922" t="s">
        <v>1098</v>
      </c>
      <c r="I30" s="2927">
        <v>1.26</v>
      </c>
      <c r="J30" s="1932" t="s">
        <v>81</v>
      </c>
      <c r="K30" s="1922" t="s">
        <v>909</v>
      </c>
      <c r="L30" s="1929">
        <v>2</v>
      </c>
      <c r="M30" s="1929">
        <v>2</v>
      </c>
      <c r="N30" s="1923">
        <v>4.0262022687330241E-3</v>
      </c>
      <c r="O30" s="1922">
        <v>10</v>
      </c>
      <c r="P30" s="1925" t="s">
        <v>910</v>
      </c>
      <c r="Q30" s="1928">
        <v>1250</v>
      </c>
      <c r="R30" s="1928">
        <v>1250</v>
      </c>
      <c r="S30" s="1931">
        <f t="shared" si="10"/>
        <v>2500</v>
      </c>
      <c r="T30" s="1931">
        <f t="shared" si="11"/>
        <v>1575</v>
      </c>
      <c r="U30" s="1931">
        <f t="shared" si="12"/>
        <v>1575</v>
      </c>
      <c r="V30" s="1931">
        <f t="shared" si="13"/>
        <v>3150</v>
      </c>
      <c r="W30" s="1921">
        <f t="shared" si="14"/>
        <v>2500</v>
      </c>
      <c r="X30" s="1921">
        <f t="shared" si="15"/>
        <v>2500</v>
      </c>
      <c r="Y30" s="1921">
        <f t="shared" si="16"/>
        <v>5000</v>
      </c>
      <c r="Z30" s="2533">
        <v>2.36</v>
      </c>
    </row>
    <row r="31" spans="2:26">
      <c r="C31" s="1901"/>
      <c r="D31" s="1896"/>
      <c r="E31" s="1899"/>
      <c r="F31" s="1879">
        <f t="shared" si="18"/>
        <v>0</v>
      </c>
      <c r="H31" s="1922" t="s">
        <v>1673</v>
      </c>
      <c r="I31" s="2927">
        <v>75</v>
      </c>
      <c r="J31" s="1932" t="s">
        <v>81</v>
      </c>
      <c r="K31" s="1922" t="s">
        <v>966</v>
      </c>
      <c r="L31" s="1929">
        <v>1000</v>
      </c>
      <c r="M31" s="1929">
        <v>800</v>
      </c>
      <c r="N31" s="1923" t="s">
        <v>241</v>
      </c>
      <c r="O31" s="1922">
        <v>20</v>
      </c>
      <c r="P31" s="1925" t="s">
        <v>1084</v>
      </c>
      <c r="Q31" s="1928"/>
      <c r="R31" s="1928"/>
      <c r="S31" s="1931">
        <f t="shared" si="10"/>
        <v>0</v>
      </c>
      <c r="T31" s="1931">
        <f t="shared" si="11"/>
        <v>0</v>
      </c>
      <c r="U31" s="1931">
        <f t="shared" si="12"/>
        <v>0</v>
      </c>
      <c r="V31" s="1931">
        <f t="shared" si="13"/>
        <v>0</v>
      </c>
      <c r="W31" s="1921">
        <f t="shared" si="14"/>
        <v>0</v>
      </c>
      <c r="X31" s="1921">
        <f t="shared" si="15"/>
        <v>0</v>
      </c>
      <c r="Y31" s="1921">
        <f t="shared" si="16"/>
        <v>0</v>
      </c>
      <c r="Z31" s="2533">
        <v>11</v>
      </c>
    </row>
    <row r="32" spans="2:26">
      <c r="C32" s="1952"/>
      <c r="D32" s="1958"/>
      <c r="E32" s="1955"/>
      <c r="F32" s="1958"/>
      <c r="H32" s="1922" t="s">
        <v>1099</v>
      </c>
      <c r="I32" s="2927">
        <v>0</v>
      </c>
      <c r="J32" s="1932" t="s">
        <v>81</v>
      </c>
      <c r="K32" s="1922" t="s">
        <v>966</v>
      </c>
      <c r="L32" s="1929">
        <v>265</v>
      </c>
      <c r="M32" s="1929">
        <v>265</v>
      </c>
      <c r="N32" s="1923" t="s">
        <v>241</v>
      </c>
      <c r="O32" s="1922">
        <v>1</v>
      </c>
      <c r="P32" s="1925" t="s">
        <v>1084</v>
      </c>
      <c r="Q32" s="1928"/>
      <c r="R32" s="1928"/>
      <c r="S32" s="1931">
        <f t="shared" si="10"/>
        <v>0</v>
      </c>
      <c r="T32" s="1931">
        <f t="shared" si="11"/>
        <v>0</v>
      </c>
      <c r="U32" s="1931">
        <f t="shared" si="12"/>
        <v>0</v>
      </c>
      <c r="V32" s="1931">
        <f t="shared" si="13"/>
        <v>0</v>
      </c>
      <c r="W32" s="1921">
        <f t="shared" si="14"/>
        <v>0</v>
      </c>
      <c r="X32" s="1921">
        <f t="shared" si="15"/>
        <v>0</v>
      </c>
      <c r="Y32" s="1921">
        <f t="shared" si="16"/>
        <v>0</v>
      </c>
      <c r="Z32" s="2533">
        <v>0</v>
      </c>
    </row>
    <row r="33" spans="1:26">
      <c r="C33" s="2106" t="s">
        <v>49</v>
      </c>
      <c r="D33" s="1911">
        <f>SUM(D34:D37)</f>
        <v>41178.94</v>
      </c>
      <c r="E33" s="1926">
        <f>SUM(E34:E37)</f>
        <v>41178.94</v>
      </c>
      <c r="F33" s="2157">
        <f>D33+E33</f>
        <v>82357.88</v>
      </c>
      <c r="H33" s="1922" t="s">
        <v>1546</v>
      </c>
      <c r="I33" s="2927">
        <v>0.19</v>
      </c>
      <c r="J33" s="1932" t="s">
        <v>81</v>
      </c>
      <c r="K33" s="1922" t="s">
        <v>1067</v>
      </c>
      <c r="L33" s="1929">
        <v>8.94</v>
      </c>
      <c r="M33" s="1929">
        <v>2.78</v>
      </c>
      <c r="N33" s="1923">
        <v>1.6999520690206105E-2</v>
      </c>
      <c r="O33" s="1922">
        <v>20</v>
      </c>
      <c r="P33" s="1925" t="s">
        <v>1084</v>
      </c>
      <c r="Q33" s="1928">
        <v>35000</v>
      </c>
      <c r="R33" s="1928">
        <v>35000</v>
      </c>
      <c r="S33" s="1931">
        <f t="shared" si="10"/>
        <v>70000</v>
      </c>
      <c r="T33" s="1931">
        <f t="shared" si="11"/>
        <v>6650</v>
      </c>
      <c r="U33" s="1931">
        <f t="shared" si="12"/>
        <v>6650</v>
      </c>
      <c r="V33" s="1931">
        <f t="shared" si="13"/>
        <v>13300</v>
      </c>
      <c r="W33" s="1921">
        <f t="shared" si="14"/>
        <v>97300</v>
      </c>
      <c r="X33" s="1921">
        <f t="shared" si="15"/>
        <v>97300</v>
      </c>
      <c r="Y33" s="1921">
        <f t="shared" si="16"/>
        <v>194600</v>
      </c>
      <c r="Z33" s="2533">
        <v>7.0000000000000007E-2</v>
      </c>
    </row>
    <row r="34" spans="1:26">
      <c r="C34" s="2197" t="s">
        <v>1076</v>
      </c>
      <c r="D34" s="1971">
        <v>20928.939999999999</v>
      </c>
      <c r="E34" s="1988">
        <v>20928.939999999999</v>
      </c>
      <c r="F34" s="1879">
        <f t="shared" ref="F34:F37" si="19">SUM(D34:E34)</f>
        <v>41857.879999999997</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533"/>
    </row>
    <row r="35" spans="1:26">
      <c r="C35" s="2197" t="s">
        <v>1145</v>
      </c>
      <c r="D35" s="1971">
        <v>20250</v>
      </c>
      <c r="E35" s="1988">
        <v>20250</v>
      </c>
      <c r="F35" s="1879">
        <f t="shared" si="19"/>
        <v>40500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533"/>
    </row>
    <row r="36" spans="1:26" ht="25.5">
      <c r="A36" s="1852" t="s">
        <v>295</v>
      </c>
      <c r="C36" s="2197"/>
      <c r="D36" s="1971"/>
      <c r="E36" s="1988"/>
      <c r="F36" s="1879">
        <f t="shared" si="19"/>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533"/>
    </row>
    <row r="37" spans="1:26">
      <c r="A37" s="1808" t="s">
        <v>291</v>
      </c>
      <c r="C37" s="2197"/>
      <c r="D37" s="1971"/>
      <c r="E37" s="1988"/>
      <c r="F37" s="1879">
        <f t="shared" si="19"/>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533"/>
    </row>
    <row r="38" spans="1:26">
      <c r="A38" s="1852" t="s">
        <v>6</v>
      </c>
      <c r="C38" s="1952"/>
      <c r="D38" s="1958"/>
      <c r="E38" s="1955"/>
      <c r="F38" s="1958"/>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533"/>
    </row>
    <row r="39" spans="1:26">
      <c r="A39" s="1852">
        <v>18230637</v>
      </c>
      <c r="C39" s="2106" t="s">
        <v>506</v>
      </c>
      <c r="D39" s="1911">
        <f>SUM(D40:D43)</f>
        <v>2500</v>
      </c>
      <c r="E39" s="1926">
        <f>SUM(E40:E43)</f>
        <v>2500</v>
      </c>
      <c r="F39" s="2157">
        <f>D39+E39</f>
        <v>5000</v>
      </c>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A40" s="1852" t="s">
        <v>31</v>
      </c>
      <c r="C40" s="2197" t="s">
        <v>1087</v>
      </c>
      <c r="D40" s="1971">
        <v>2500</v>
      </c>
      <c r="E40" s="1988">
        <v>2500</v>
      </c>
      <c r="F40" s="1879">
        <f t="shared" ref="F40:F43" si="20">SUM(D40:E40)</f>
        <v>5000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2197" t="s">
        <v>1146</v>
      </c>
      <c r="D41" s="1971"/>
      <c r="E41" s="1988"/>
      <c r="F41" s="1879">
        <f t="shared" si="20"/>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2197"/>
      <c r="D42" s="1971"/>
      <c r="E42" s="1988"/>
      <c r="F42" s="1879">
        <f t="shared" si="2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2197"/>
      <c r="D43" s="1971"/>
      <c r="E43" s="1988"/>
      <c r="F43" s="1879">
        <f t="shared" si="2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952"/>
      <c r="D44" s="1958"/>
      <c r="E44" s="1955"/>
      <c r="F44" s="1958"/>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2106" t="s">
        <v>50</v>
      </c>
      <c r="D45" s="1911">
        <f>SUM(D46:D49)</f>
        <v>280000</v>
      </c>
      <c r="E45" s="1926">
        <f>SUM(E46:E49)</f>
        <v>280000</v>
      </c>
      <c r="F45" s="2157">
        <f>D45+E45</f>
        <v>560000</v>
      </c>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2197" t="s">
        <v>569</v>
      </c>
      <c r="D46" s="1971">
        <v>280000</v>
      </c>
      <c r="E46" s="1988">
        <v>280000</v>
      </c>
      <c r="F46" s="1879">
        <f t="shared" ref="F46:F49" si="21">SUM(D46:E46)</f>
        <v>560000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2197" t="s">
        <v>1685</v>
      </c>
      <c r="D47" s="1971"/>
      <c r="E47" s="1988"/>
      <c r="F47" s="1879">
        <f t="shared" si="21"/>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2197"/>
      <c r="D48" s="1971"/>
      <c r="E48" s="1988"/>
      <c r="F48" s="1879">
        <f t="shared" si="2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3:26">
      <c r="C49" s="2197"/>
      <c r="D49" s="1971"/>
      <c r="E49" s="1988"/>
      <c r="F49" s="1879">
        <f t="shared" si="2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3:26">
      <c r="C50" s="1952"/>
      <c r="D50" s="1958"/>
      <c r="E50" s="1955"/>
      <c r="F50" s="1958"/>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3:26">
      <c r="C51" s="1910" t="s">
        <v>51</v>
      </c>
      <c r="D51" s="1911">
        <f>SUM(D52:D55)</f>
        <v>0</v>
      </c>
      <c r="E51" s="1926">
        <f>SUM(E52:E55)</f>
        <v>0</v>
      </c>
      <c r="F51" s="2157">
        <f>D51+E51</f>
        <v>0</v>
      </c>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3:26">
      <c r="C52" s="1876"/>
      <c r="D52" s="1971"/>
      <c r="E52" s="1972"/>
      <c r="F52" s="1879">
        <f t="shared" ref="F52:F55" si="22">SUM(D52:E52)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3:26">
      <c r="C53" s="1876"/>
      <c r="D53" s="1971"/>
      <c r="E53" s="1972"/>
      <c r="F53" s="1879">
        <f t="shared" si="22"/>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3:26">
      <c r="C54" s="1876"/>
      <c r="D54" s="1971"/>
      <c r="E54" s="1972"/>
      <c r="F54" s="1879">
        <f t="shared" si="22"/>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3: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3:26">
      <c r="C56" s="1952"/>
      <c r="D56" s="1958"/>
      <c r="E56" s="1955"/>
      <c r="F56" s="1958"/>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3:26">
      <c r="C57" s="1910" t="s">
        <v>52</v>
      </c>
      <c r="D57" s="1911">
        <f>SUM(D58:D61)</f>
        <v>15000</v>
      </c>
      <c r="E57" s="1926">
        <f>SUM(E58:E61)</f>
        <v>15000</v>
      </c>
      <c r="F57" s="2157">
        <f>D57+E57</f>
        <v>30000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3:26">
      <c r="C58" s="1876"/>
      <c r="D58" s="1971">
        <v>15000</v>
      </c>
      <c r="E58" s="1988">
        <v>15000</v>
      </c>
      <c r="F58" s="1879">
        <f t="shared" ref="F58:F61" si="23">SUM(D58:E58)</f>
        <v>30000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3:26">
      <c r="C59" s="1876"/>
      <c r="D59" s="1971"/>
      <c r="E59" s="1988"/>
      <c r="F59" s="1879">
        <f t="shared" si="2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3: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3: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3:26">
      <c r="C62" s="1952"/>
      <c r="D62" s="1958"/>
      <c r="E62" s="1955"/>
      <c r="F62" s="1958"/>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3:26">
      <c r="C63" s="1910" t="s">
        <v>53</v>
      </c>
      <c r="D63" s="1911">
        <f>W15</f>
        <v>2227305</v>
      </c>
      <c r="E63" s="1926">
        <f>X15</f>
        <v>2227305</v>
      </c>
      <c r="F63" s="1924">
        <f>D63+E63</f>
        <v>4454610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3:26">
      <c r="C64" s="1967" t="s">
        <v>313</v>
      </c>
      <c r="D64" s="2615">
        <f>D63/D12</f>
        <v>0.84451844314733637</v>
      </c>
      <c r="E64" s="2616">
        <f>E63/E12</f>
        <v>0.8437649295824714</v>
      </c>
      <c r="F64" s="1966"/>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C65" s="1968"/>
      <c r="D65" s="1963"/>
      <c r="E65" s="1964"/>
      <c r="F65" s="1965"/>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ht="25.5">
      <c r="A66" s="1852" t="s">
        <v>295</v>
      </c>
      <c r="C66" s="1959" t="s">
        <v>54</v>
      </c>
      <c r="D66" s="1971">
        <v>0</v>
      </c>
      <c r="E66" s="1971">
        <v>0</v>
      </c>
      <c r="F66" s="1956">
        <v>0</v>
      </c>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2533"/>
    </row>
    <row r="67" spans="1:26">
      <c r="A67" s="1808" t="s">
        <v>291</v>
      </c>
      <c r="H67" s="1922"/>
      <c r="I67" s="1928"/>
      <c r="J67" s="1932" t="s">
        <v>241</v>
      </c>
      <c r="K67" s="1922"/>
      <c r="L67" s="1929"/>
      <c r="M67" s="1929"/>
      <c r="N67" s="1923"/>
      <c r="O67" s="1922"/>
      <c r="P67" s="1925"/>
      <c r="Q67" s="1928"/>
      <c r="R67" s="1928"/>
      <c r="S67" s="1931" t="s">
        <v>241</v>
      </c>
      <c r="T67" s="1931" t="s">
        <v>241</v>
      </c>
      <c r="U67" s="1931" t="s">
        <v>241</v>
      </c>
      <c r="V67" s="1931" t="s">
        <v>241</v>
      </c>
      <c r="W67" s="1921" t="s">
        <v>241</v>
      </c>
      <c r="X67" s="1921" t="s">
        <v>241</v>
      </c>
      <c r="Y67" s="1921" t="s">
        <v>241</v>
      </c>
      <c r="Z67" s="2533"/>
    </row>
    <row r="68" spans="1:26">
      <c r="A68" s="1852" t="s">
        <v>6</v>
      </c>
    </row>
    <row r="69" spans="1:26">
      <c r="A69" s="1852">
        <v>18230637</v>
      </c>
    </row>
    <row r="70" spans="1:26">
      <c r="A70" s="1852" t="s">
        <v>31</v>
      </c>
    </row>
  </sheetData>
  <customSheetViews>
    <customSheetView guid="{074EB09C-6289-46D7-9513-012B68BCA7BF}" showGridLines="0">
      <pane xSplit="1" ySplit="1" topLeftCell="B23" activePane="bottomRight" state="frozen"/>
      <selection pane="bottomRight"/>
      <pageMargins left="0.2" right="0.23" top="0.35" bottom="0.34" header="0.3" footer="0.3"/>
      <pageSetup paperSize="17" scale="46" orientation="landscape" r:id="rId1"/>
    </customSheetView>
    <customSheetView guid="{D9EFFE19-D14B-4C6F-BDF4-FF696F73968D}" showGridLines="0">
      <pane xSplit="1" ySplit="1" topLeftCell="G2" activePane="bottomRight" state="frozen"/>
      <selection pane="bottomRight" activeCell="L16" sqref="L16:R33"/>
      <pageMargins left="0.2" right="0.23" top="0.35" bottom="0.34"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2" right="0.23" top="0.35" bottom="0.34" header="0.3" footer="0.3"/>
  <pageSetup paperSize="17" scale="46" orientation="landscape" r:id="rId3"/>
  <ignoredErrors>
    <ignoredError sqref="R7" formula="1"/>
  </ignoredError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7.85546875" style="1164" customWidth="1"/>
    <col min="2" max="2" width="15.7109375" style="1866" customWidth="1"/>
    <col min="3" max="3" width="26.28515625" customWidth="1"/>
    <col min="4" max="4" width="19.85546875" customWidth="1"/>
    <col min="5" max="5" width="15.7109375" style="9" customWidth="1"/>
    <col min="6" max="6" width="15.7109375" customWidth="1"/>
    <col min="7" max="7" width="15.5703125" customWidth="1"/>
    <col min="8" max="8" width="39.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7109375" bestFit="1" customWidth="1"/>
    <col min="18" max="18" width="17.28515625" bestFit="1" customWidth="1"/>
    <col min="19" max="19" width="17.7109375" bestFit="1" customWidth="1"/>
    <col min="20" max="21" width="20.5703125" bestFit="1" customWidth="1"/>
    <col min="22" max="22" width="16.42578125" bestFit="1" customWidth="1"/>
    <col min="23" max="24" width="16.42578125" customWidth="1"/>
    <col min="25" max="25" width="15.7109375" bestFit="1" customWidth="1"/>
    <col min="26" max="26" width="12.5703125" bestFit="1" customWidth="1"/>
    <col min="249" max="249" width="24" bestFit="1" customWidth="1"/>
    <col min="250" max="250" width="43.85546875" customWidth="1"/>
    <col min="251" max="251" width="19.7109375" bestFit="1" customWidth="1"/>
    <col min="252" max="252" width="17.140625" customWidth="1"/>
    <col min="253" max="253" width="19.4257812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7109375" bestFit="1" customWidth="1"/>
    <col min="264" max="264" width="17.28515625" bestFit="1" customWidth="1"/>
    <col min="265" max="265" width="17.7109375" bestFit="1" customWidth="1"/>
    <col min="266" max="267" width="20.5703125" bestFit="1" customWidth="1"/>
    <col min="268" max="268" width="16.42578125" bestFit="1" customWidth="1"/>
    <col min="269" max="269" width="14.28515625" customWidth="1"/>
    <col min="270" max="270" width="12.85546875" bestFit="1" customWidth="1"/>
    <col min="271" max="271" width="15.710937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7.140625" customWidth="1"/>
    <col min="509" max="509" width="19.4257812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7109375" bestFit="1" customWidth="1"/>
    <col min="520" max="520" width="17.28515625" bestFit="1" customWidth="1"/>
    <col min="521" max="521" width="17.7109375" bestFit="1" customWidth="1"/>
    <col min="522" max="523" width="20.5703125" bestFit="1" customWidth="1"/>
    <col min="524" max="524" width="16.42578125" bestFit="1" customWidth="1"/>
    <col min="525" max="525" width="14.28515625" customWidth="1"/>
    <col min="526" max="526" width="12.85546875" bestFit="1" customWidth="1"/>
    <col min="527" max="527" width="15.710937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7.140625" customWidth="1"/>
    <col min="765" max="765" width="19.4257812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7109375" bestFit="1" customWidth="1"/>
    <col min="776" max="776" width="17.28515625" bestFit="1" customWidth="1"/>
    <col min="777" max="777" width="17.7109375" bestFit="1" customWidth="1"/>
    <col min="778" max="779" width="20.5703125" bestFit="1" customWidth="1"/>
    <col min="780" max="780" width="16.42578125" bestFit="1" customWidth="1"/>
    <col min="781" max="781" width="14.28515625" customWidth="1"/>
    <col min="782" max="782" width="12.85546875" bestFit="1" customWidth="1"/>
    <col min="783" max="783" width="15.710937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7.140625" customWidth="1"/>
    <col min="1021" max="1021" width="19.4257812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7109375" bestFit="1" customWidth="1"/>
    <col min="1032" max="1032" width="17.28515625" bestFit="1" customWidth="1"/>
    <col min="1033" max="1033" width="17.7109375" bestFit="1" customWidth="1"/>
    <col min="1034" max="1035" width="20.5703125" bestFit="1" customWidth="1"/>
    <col min="1036" max="1036" width="16.42578125" bestFit="1" customWidth="1"/>
    <col min="1037" max="1037" width="14.28515625" customWidth="1"/>
    <col min="1038" max="1038" width="12.85546875" bestFit="1" customWidth="1"/>
    <col min="1039" max="1039" width="15.710937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7.140625" customWidth="1"/>
    <col min="1277" max="1277" width="19.4257812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7109375" bestFit="1" customWidth="1"/>
    <col min="1288" max="1288" width="17.28515625" bestFit="1" customWidth="1"/>
    <col min="1289" max="1289" width="17.7109375" bestFit="1" customWidth="1"/>
    <col min="1290" max="1291" width="20.5703125" bestFit="1" customWidth="1"/>
    <col min="1292" max="1292" width="16.42578125" bestFit="1" customWidth="1"/>
    <col min="1293" max="1293" width="14.28515625" customWidth="1"/>
    <col min="1294" max="1294" width="12.85546875" bestFit="1" customWidth="1"/>
    <col min="1295" max="1295" width="15.710937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7.140625" customWidth="1"/>
    <col min="1533" max="1533" width="19.4257812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7109375" bestFit="1" customWidth="1"/>
    <col min="1544" max="1544" width="17.28515625" bestFit="1" customWidth="1"/>
    <col min="1545" max="1545" width="17.7109375" bestFit="1" customWidth="1"/>
    <col min="1546" max="1547" width="20.5703125" bestFit="1" customWidth="1"/>
    <col min="1548" max="1548" width="16.42578125" bestFit="1" customWidth="1"/>
    <col min="1549" max="1549" width="14.28515625" customWidth="1"/>
    <col min="1550" max="1550" width="12.85546875" bestFit="1" customWidth="1"/>
    <col min="1551" max="1551" width="15.710937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7.140625" customWidth="1"/>
    <col min="1789" max="1789" width="19.4257812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7109375" bestFit="1" customWidth="1"/>
    <col min="1800" max="1800" width="17.28515625" bestFit="1" customWidth="1"/>
    <col min="1801" max="1801" width="17.7109375" bestFit="1" customWidth="1"/>
    <col min="1802" max="1803" width="20.5703125" bestFit="1" customWidth="1"/>
    <col min="1804" max="1804" width="16.42578125" bestFit="1" customWidth="1"/>
    <col min="1805" max="1805" width="14.28515625" customWidth="1"/>
    <col min="1806" max="1806" width="12.85546875" bestFit="1" customWidth="1"/>
    <col min="1807" max="1807" width="15.710937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7.140625" customWidth="1"/>
    <col min="2045" max="2045" width="19.4257812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7109375" bestFit="1" customWidth="1"/>
    <col min="2056" max="2056" width="17.28515625" bestFit="1" customWidth="1"/>
    <col min="2057" max="2057" width="17.7109375" bestFit="1" customWidth="1"/>
    <col min="2058" max="2059" width="20.5703125" bestFit="1" customWidth="1"/>
    <col min="2060" max="2060" width="16.42578125" bestFit="1" customWidth="1"/>
    <col min="2061" max="2061" width="14.28515625" customWidth="1"/>
    <col min="2062" max="2062" width="12.85546875" bestFit="1" customWidth="1"/>
    <col min="2063" max="2063" width="15.710937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7.140625" customWidth="1"/>
    <col min="2301" max="2301" width="19.4257812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7109375" bestFit="1" customWidth="1"/>
    <col min="2312" max="2312" width="17.28515625" bestFit="1" customWidth="1"/>
    <col min="2313" max="2313" width="17.7109375" bestFit="1" customWidth="1"/>
    <col min="2314" max="2315" width="20.5703125" bestFit="1" customWidth="1"/>
    <col min="2316" max="2316" width="16.42578125" bestFit="1" customWidth="1"/>
    <col min="2317" max="2317" width="14.28515625" customWidth="1"/>
    <col min="2318" max="2318" width="12.85546875" bestFit="1" customWidth="1"/>
    <col min="2319" max="2319" width="15.710937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7.140625" customWidth="1"/>
    <col min="2557" max="2557" width="19.4257812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7109375" bestFit="1" customWidth="1"/>
    <col min="2568" max="2568" width="17.28515625" bestFit="1" customWidth="1"/>
    <col min="2569" max="2569" width="17.7109375" bestFit="1" customWidth="1"/>
    <col min="2570" max="2571" width="20.5703125" bestFit="1" customWidth="1"/>
    <col min="2572" max="2572" width="16.42578125" bestFit="1" customWidth="1"/>
    <col min="2573" max="2573" width="14.28515625" customWidth="1"/>
    <col min="2574" max="2574" width="12.85546875" bestFit="1" customWidth="1"/>
    <col min="2575" max="2575" width="15.710937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7.140625" customWidth="1"/>
    <col min="2813" max="2813" width="19.4257812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7109375" bestFit="1" customWidth="1"/>
    <col min="2824" max="2824" width="17.28515625" bestFit="1" customWidth="1"/>
    <col min="2825" max="2825" width="17.7109375" bestFit="1" customWidth="1"/>
    <col min="2826" max="2827" width="20.5703125" bestFit="1" customWidth="1"/>
    <col min="2828" max="2828" width="16.42578125" bestFit="1" customWidth="1"/>
    <col min="2829" max="2829" width="14.28515625" customWidth="1"/>
    <col min="2830" max="2830" width="12.85546875" bestFit="1" customWidth="1"/>
    <col min="2831" max="2831" width="15.710937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7.140625" customWidth="1"/>
    <col min="3069" max="3069" width="19.4257812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7109375" bestFit="1" customWidth="1"/>
    <col min="3080" max="3080" width="17.28515625" bestFit="1" customWidth="1"/>
    <col min="3081" max="3081" width="17.7109375" bestFit="1" customWidth="1"/>
    <col min="3082" max="3083" width="20.5703125" bestFit="1" customWidth="1"/>
    <col min="3084" max="3084" width="16.42578125" bestFit="1" customWidth="1"/>
    <col min="3085" max="3085" width="14.28515625" customWidth="1"/>
    <col min="3086" max="3086" width="12.85546875" bestFit="1" customWidth="1"/>
    <col min="3087" max="3087" width="15.710937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7.140625" customWidth="1"/>
    <col min="3325" max="3325" width="19.4257812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7109375" bestFit="1" customWidth="1"/>
    <col min="3336" max="3336" width="17.28515625" bestFit="1" customWidth="1"/>
    <col min="3337" max="3337" width="17.7109375" bestFit="1" customWidth="1"/>
    <col min="3338" max="3339" width="20.5703125" bestFit="1" customWidth="1"/>
    <col min="3340" max="3340" width="16.42578125" bestFit="1" customWidth="1"/>
    <col min="3341" max="3341" width="14.28515625" customWidth="1"/>
    <col min="3342" max="3342" width="12.85546875" bestFit="1" customWidth="1"/>
    <col min="3343" max="3343" width="15.710937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7.140625" customWidth="1"/>
    <col min="3581" max="3581" width="19.4257812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7109375" bestFit="1" customWidth="1"/>
    <col min="3592" max="3592" width="17.28515625" bestFit="1" customWidth="1"/>
    <col min="3593" max="3593" width="17.7109375" bestFit="1" customWidth="1"/>
    <col min="3594" max="3595" width="20.5703125" bestFit="1" customWidth="1"/>
    <col min="3596" max="3596" width="16.42578125" bestFit="1" customWidth="1"/>
    <col min="3597" max="3597" width="14.28515625" customWidth="1"/>
    <col min="3598" max="3598" width="12.85546875" bestFit="1" customWidth="1"/>
    <col min="3599" max="3599" width="15.710937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7.140625" customWidth="1"/>
    <col min="3837" max="3837" width="19.4257812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7109375" bestFit="1" customWidth="1"/>
    <col min="3848" max="3848" width="17.28515625" bestFit="1" customWidth="1"/>
    <col min="3849" max="3849" width="17.7109375" bestFit="1" customWidth="1"/>
    <col min="3850" max="3851" width="20.5703125" bestFit="1" customWidth="1"/>
    <col min="3852" max="3852" width="16.42578125" bestFit="1" customWidth="1"/>
    <col min="3853" max="3853" width="14.28515625" customWidth="1"/>
    <col min="3854" max="3854" width="12.85546875" bestFit="1" customWidth="1"/>
    <col min="3855" max="3855" width="15.710937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7.140625" customWidth="1"/>
    <col min="4093" max="4093" width="19.4257812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7109375" bestFit="1" customWidth="1"/>
    <col min="4104" max="4104" width="17.28515625" bestFit="1" customWidth="1"/>
    <col min="4105" max="4105" width="17.7109375" bestFit="1" customWidth="1"/>
    <col min="4106" max="4107" width="20.5703125" bestFit="1" customWidth="1"/>
    <col min="4108" max="4108" width="16.42578125" bestFit="1" customWidth="1"/>
    <col min="4109" max="4109" width="14.28515625" customWidth="1"/>
    <col min="4110" max="4110" width="12.85546875" bestFit="1" customWidth="1"/>
    <col min="4111" max="4111" width="15.710937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7.140625" customWidth="1"/>
    <col min="4349" max="4349" width="19.4257812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7109375" bestFit="1" customWidth="1"/>
    <col min="4360" max="4360" width="17.28515625" bestFit="1" customWidth="1"/>
    <col min="4361" max="4361" width="17.7109375" bestFit="1" customWidth="1"/>
    <col min="4362" max="4363" width="20.5703125" bestFit="1" customWidth="1"/>
    <col min="4364" max="4364" width="16.42578125" bestFit="1" customWidth="1"/>
    <col min="4365" max="4365" width="14.28515625" customWidth="1"/>
    <col min="4366" max="4366" width="12.85546875" bestFit="1" customWidth="1"/>
    <col min="4367" max="4367" width="15.710937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7.140625" customWidth="1"/>
    <col min="4605" max="4605" width="19.4257812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7109375" bestFit="1" customWidth="1"/>
    <col min="4616" max="4616" width="17.28515625" bestFit="1" customWidth="1"/>
    <col min="4617" max="4617" width="17.7109375" bestFit="1" customWidth="1"/>
    <col min="4618" max="4619" width="20.5703125" bestFit="1" customWidth="1"/>
    <col min="4620" max="4620" width="16.42578125" bestFit="1" customWidth="1"/>
    <col min="4621" max="4621" width="14.28515625" customWidth="1"/>
    <col min="4622" max="4622" width="12.85546875" bestFit="1" customWidth="1"/>
    <col min="4623" max="4623" width="15.710937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7.140625" customWidth="1"/>
    <col min="4861" max="4861" width="19.4257812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7109375" bestFit="1" customWidth="1"/>
    <col min="4872" max="4872" width="17.28515625" bestFit="1" customWidth="1"/>
    <col min="4873" max="4873" width="17.7109375" bestFit="1" customWidth="1"/>
    <col min="4874" max="4875" width="20.5703125" bestFit="1" customWidth="1"/>
    <col min="4876" max="4876" width="16.42578125" bestFit="1" customWidth="1"/>
    <col min="4877" max="4877" width="14.28515625" customWidth="1"/>
    <col min="4878" max="4878" width="12.85546875" bestFit="1" customWidth="1"/>
    <col min="4879" max="4879" width="15.710937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7.140625" customWidth="1"/>
    <col min="5117" max="5117" width="19.4257812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7109375" bestFit="1" customWidth="1"/>
    <col min="5128" max="5128" width="17.28515625" bestFit="1" customWidth="1"/>
    <col min="5129" max="5129" width="17.7109375" bestFit="1" customWidth="1"/>
    <col min="5130" max="5131" width="20.5703125" bestFit="1" customWidth="1"/>
    <col min="5132" max="5132" width="16.42578125" bestFit="1" customWidth="1"/>
    <col min="5133" max="5133" width="14.28515625" customWidth="1"/>
    <col min="5134" max="5134" width="12.85546875" bestFit="1" customWidth="1"/>
    <col min="5135" max="5135" width="15.710937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7.140625" customWidth="1"/>
    <col min="5373" max="5373" width="19.4257812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7109375" bestFit="1" customWidth="1"/>
    <col min="5384" max="5384" width="17.28515625" bestFit="1" customWidth="1"/>
    <col min="5385" max="5385" width="17.7109375" bestFit="1" customWidth="1"/>
    <col min="5386" max="5387" width="20.5703125" bestFit="1" customWidth="1"/>
    <col min="5388" max="5388" width="16.42578125" bestFit="1" customWidth="1"/>
    <col min="5389" max="5389" width="14.28515625" customWidth="1"/>
    <col min="5390" max="5390" width="12.85546875" bestFit="1" customWidth="1"/>
    <col min="5391" max="5391" width="15.710937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7.140625" customWidth="1"/>
    <col min="5629" max="5629" width="19.4257812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7109375" bestFit="1" customWidth="1"/>
    <col min="5640" max="5640" width="17.28515625" bestFit="1" customWidth="1"/>
    <col min="5641" max="5641" width="17.7109375" bestFit="1" customWidth="1"/>
    <col min="5642" max="5643" width="20.5703125" bestFit="1" customWidth="1"/>
    <col min="5644" max="5644" width="16.42578125" bestFit="1" customWidth="1"/>
    <col min="5645" max="5645" width="14.28515625" customWidth="1"/>
    <col min="5646" max="5646" width="12.85546875" bestFit="1" customWidth="1"/>
    <col min="5647" max="5647" width="15.710937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7.140625" customWidth="1"/>
    <col min="5885" max="5885" width="19.4257812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7109375" bestFit="1" customWidth="1"/>
    <col min="5896" max="5896" width="17.28515625" bestFit="1" customWidth="1"/>
    <col min="5897" max="5897" width="17.7109375" bestFit="1" customWidth="1"/>
    <col min="5898" max="5899" width="20.5703125" bestFit="1" customWidth="1"/>
    <col min="5900" max="5900" width="16.42578125" bestFit="1" customWidth="1"/>
    <col min="5901" max="5901" width="14.28515625" customWidth="1"/>
    <col min="5902" max="5902" width="12.85546875" bestFit="1" customWidth="1"/>
    <col min="5903" max="5903" width="15.710937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7.140625" customWidth="1"/>
    <col min="6141" max="6141" width="19.4257812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7109375" bestFit="1" customWidth="1"/>
    <col min="6152" max="6152" width="17.28515625" bestFit="1" customWidth="1"/>
    <col min="6153" max="6153" width="17.7109375" bestFit="1" customWidth="1"/>
    <col min="6154" max="6155" width="20.5703125" bestFit="1" customWidth="1"/>
    <col min="6156" max="6156" width="16.42578125" bestFit="1" customWidth="1"/>
    <col min="6157" max="6157" width="14.28515625" customWidth="1"/>
    <col min="6158" max="6158" width="12.85546875" bestFit="1" customWidth="1"/>
    <col min="6159" max="6159" width="15.710937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7.140625" customWidth="1"/>
    <col min="6397" max="6397" width="19.4257812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7109375" bestFit="1" customWidth="1"/>
    <col min="6408" max="6408" width="17.28515625" bestFit="1" customWidth="1"/>
    <col min="6409" max="6409" width="17.7109375" bestFit="1" customWidth="1"/>
    <col min="6410" max="6411" width="20.5703125" bestFit="1" customWidth="1"/>
    <col min="6412" max="6412" width="16.42578125" bestFit="1" customWidth="1"/>
    <col min="6413" max="6413" width="14.28515625" customWidth="1"/>
    <col min="6414" max="6414" width="12.85546875" bestFit="1" customWidth="1"/>
    <col min="6415" max="6415" width="15.710937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7.140625" customWidth="1"/>
    <col min="6653" max="6653" width="19.4257812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7109375" bestFit="1" customWidth="1"/>
    <col min="6664" max="6664" width="17.28515625" bestFit="1" customWidth="1"/>
    <col min="6665" max="6665" width="17.7109375" bestFit="1" customWidth="1"/>
    <col min="6666" max="6667" width="20.5703125" bestFit="1" customWidth="1"/>
    <col min="6668" max="6668" width="16.42578125" bestFit="1" customWidth="1"/>
    <col min="6669" max="6669" width="14.28515625" customWidth="1"/>
    <col min="6670" max="6670" width="12.85546875" bestFit="1" customWidth="1"/>
    <col min="6671" max="6671" width="15.710937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7.140625" customWidth="1"/>
    <col min="6909" max="6909" width="19.4257812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7109375" bestFit="1" customWidth="1"/>
    <col min="6920" max="6920" width="17.28515625" bestFit="1" customWidth="1"/>
    <col min="6921" max="6921" width="17.7109375" bestFit="1" customWidth="1"/>
    <col min="6922" max="6923" width="20.5703125" bestFit="1" customWidth="1"/>
    <col min="6924" max="6924" width="16.42578125" bestFit="1" customWidth="1"/>
    <col min="6925" max="6925" width="14.28515625" customWidth="1"/>
    <col min="6926" max="6926" width="12.85546875" bestFit="1" customWidth="1"/>
    <col min="6927" max="6927" width="15.710937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7.140625" customWidth="1"/>
    <col min="7165" max="7165" width="19.4257812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7109375" bestFit="1" customWidth="1"/>
    <col min="7176" max="7176" width="17.28515625" bestFit="1" customWidth="1"/>
    <col min="7177" max="7177" width="17.7109375" bestFit="1" customWidth="1"/>
    <col min="7178" max="7179" width="20.5703125" bestFit="1" customWidth="1"/>
    <col min="7180" max="7180" width="16.42578125" bestFit="1" customWidth="1"/>
    <col min="7181" max="7181" width="14.28515625" customWidth="1"/>
    <col min="7182" max="7182" width="12.85546875" bestFit="1" customWidth="1"/>
    <col min="7183" max="7183" width="15.710937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7.140625" customWidth="1"/>
    <col min="7421" max="7421" width="19.4257812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7109375" bestFit="1" customWidth="1"/>
    <col min="7432" max="7432" width="17.28515625" bestFit="1" customWidth="1"/>
    <col min="7433" max="7433" width="17.7109375" bestFit="1" customWidth="1"/>
    <col min="7434" max="7435" width="20.5703125" bestFit="1" customWidth="1"/>
    <col min="7436" max="7436" width="16.42578125" bestFit="1" customWidth="1"/>
    <col min="7437" max="7437" width="14.28515625" customWidth="1"/>
    <col min="7438" max="7438" width="12.85546875" bestFit="1" customWidth="1"/>
    <col min="7439" max="7439" width="15.710937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7.140625" customWidth="1"/>
    <col min="7677" max="7677" width="19.4257812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7109375" bestFit="1" customWidth="1"/>
    <col min="7688" max="7688" width="17.28515625" bestFit="1" customWidth="1"/>
    <col min="7689" max="7689" width="17.7109375" bestFit="1" customWidth="1"/>
    <col min="7690" max="7691" width="20.5703125" bestFit="1" customWidth="1"/>
    <col min="7692" max="7692" width="16.42578125" bestFit="1" customWidth="1"/>
    <col min="7693" max="7693" width="14.28515625" customWidth="1"/>
    <col min="7694" max="7694" width="12.85546875" bestFit="1" customWidth="1"/>
    <col min="7695" max="7695" width="15.710937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7.140625" customWidth="1"/>
    <col min="7933" max="7933" width="19.4257812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7109375" bestFit="1" customWidth="1"/>
    <col min="7944" max="7944" width="17.28515625" bestFit="1" customWidth="1"/>
    <col min="7945" max="7945" width="17.7109375" bestFit="1" customWidth="1"/>
    <col min="7946" max="7947" width="20.5703125" bestFit="1" customWidth="1"/>
    <col min="7948" max="7948" width="16.42578125" bestFit="1" customWidth="1"/>
    <col min="7949" max="7949" width="14.28515625" customWidth="1"/>
    <col min="7950" max="7950" width="12.85546875" bestFit="1" customWidth="1"/>
    <col min="7951" max="7951" width="15.710937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7.140625" customWidth="1"/>
    <col min="8189" max="8189" width="19.4257812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7109375" bestFit="1" customWidth="1"/>
    <col min="8200" max="8200" width="17.28515625" bestFit="1" customWidth="1"/>
    <col min="8201" max="8201" width="17.7109375" bestFit="1" customWidth="1"/>
    <col min="8202" max="8203" width="20.5703125" bestFit="1" customWidth="1"/>
    <col min="8204" max="8204" width="16.42578125" bestFit="1" customWidth="1"/>
    <col min="8205" max="8205" width="14.28515625" customWidth="1"/>
    <col min="8206" max="8206" width="12.85546875" bestFit="1" customWidth="1"/>
    <col min="8207" max="8207" width="15.710937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7.140625" customWidth="1"/>
    <col min="8445" max="8445" width="19.4257812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7109375" bestFit="1" customWidth="1"/>
    <col min="8456" max="8456" width="17.28515625" bestFit="1" customWidth="1"/>
    <col min="8457" max="8457" width="17.7109375" bestFit="1" customWidth="1"/>
    <col min="8458" max="8459" width="20.5703125" bestFit="1" customWidth="1"/>
    <col min="8460" max="8460" width="16.42578125" bestFit="1" customWidth="1"/>
    <col min="8461" max="8461" width="14.28515625" customWidth="1"/>
    <col min="8462" max="8462" width="12.85546875" bestFit="1" customWidth="1"/>
    <col min="8463" max="8463" width="15.710937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7.140625" customWidth="1"/>
    <col min="8701" max="8701" width="19.4257812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7109375" bestFit="1" customWidth="1"/>
    <col min="8712" max="8712" width="17.28515625" bestFit="1" customWidth="1"/>
    <col min="8713" max="8713" width="17.7109375" bestFit="1" customWidth="1"/>
    <col min="8714" max="8715" width="20.5703125" bestFit="1" customWidth="1"/>
    <col min="8716" max="8716" width="16.42578125" bestFit="1" customWidth="1"/>
    <col min="8717" max="8717" width="14.28515625" customWidth="1"/>
    <col min="8718" max="8718" width="12.85546875" bestFit="1" customWidth="1"/>
    <col min="8719" max="8719" width="15.710937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7.140625" customWidth="1"/>
    <col min="8957" max="8957" width="19.4257812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7109375" bestFit="1" customWidth="1"/>
    <col min="8968" max="8968" width="17.28515625" bestFit="1" customWidth="1"/>
    <col min="8969" max="8969" width="17.7109375" bestFit="1" customWidth="1"/>
    <col min="8970" max="8971" width="20.5703125" bestFit="1" customWidth="1"/>
    <col min="8972" max="8972" width="16.42578125" bestFit="1" customWidth="1"/>
    <col min="8973" max="8973" width="14.28515625" customWidth="1"/>
    <col min="8974" max="8974" width="12.85546875" bestFit="1" customWidth="1"/>
    <col min="8975" max="8975" width="15.710937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7.140625" customWidth="1"/>
    <col min="9213" max="9213" width="19.4257812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7109375" bestFit="1" customWidth="1"/>
    <col min="9224" max="9224" width="17.28515625" bestFit="1" customWidth="1"/>
    <col min="9225" max="9225" width="17.7109375" bestFit="1" customWidth="1"/>
    <col min="9226" max="9227" width="20.5703125" bestFit="1" customWidth="1"/>
    <col min="9228" max="9228" width="16.42578125" bestFit="1" customWidth="1"/>
    <col min="9229" max="9229" width="14.28515625" customWidth="1"/>
    <col min="9230" max="9230" width="12.85546875" bestFit="1" customWidth="1"/>
    <col min="9231" max="9231" width="15.710937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7.140625" customWidth="1"/>
    <col min="9469" max="9469" width="19.4257812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7109375" bestFit="1" customWidth="1"/>
    <col min="9480" max="9480" width="17.28515625" bestFit="1" customWidth="1"/>
    <col min="9481" max="9481" width="17.7109375" bestFit="1" customWidth="1"/>
    <col min="9482" max="9483" width="20.5703125" bestFit="1" customWidth="1"/>
    <col min="9484" max="9484" width="16.42578125" bestFit="1" customWidth="1"/>
    <col min="9485" max="9485" width="14.28515625" customWidth="1"/>
    <col min="9486" max="9486" width="12.85546875" bestFit="1" customWidth="1"/>
    <col min="9487" max="9487" width="15.710937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7.140625" customWidth="1"/>
    <col min="9725" max="9725" width="19.4257812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7109375" bestFit="1" customWidth="1"/>
    <col min="9736" max="9736" width="17.28515625" bestFit="1" customWidth="1"/>
    <col min="9737" max="9737" width="17.7109375" bestFit="1" customWidth="1"/>
    <col min="9738" max="9739" width="20.5703125" bestFit="1" customWidth="1"/>
    <col min="9740" max="9740" width="16.42578125" bestFit="1" customWidth="1"/>
    <col min="9741" max="9741" width="14.28515625" customWidth="1"/>
    <col min="9742" max="9742" width="12.85546875" bestFit="1" customWidth="1"/>
    <col min="9743" max="9743" width="15.710937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7.140625" customWidth="1"/>
    <col min="9981" max="9981" width="19.4257812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7109375" bestFit="1" customWidth="1"/>
    <col min="9992" max="9992" width="17.28515625" bestFit="1" customWidth="1"/>
    <col min="9993" max="9993" width="17.7109375" bestFit="1" customWidth="1"/>
    <col min="9994" max="9995" width="20.5703125" bestFit="1" customWidth="1"/>
    <col min="9996" max="9996" width="16.42578125" bestFit="1" customWidth="1"/>
    <col min="9997" max="9997" width="14.28515625" customWidth="1"/>
    <col min="9998" max="9998" width="12.85546875" bestFit="1" customWidth="1"/>
    <col min="9999" max="9999" width="15.710937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7.140625" customWidth="1"/>
    <col min="10237" max="10237" width="19.4257812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7109375" bestFit="1" customWidth="1"/>
    <col min="10248" max="10248" width="17.28515625" bestFit="1" customWidth="1"/>
    <col min="10249" max="10249" width="17.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5.710937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7.140625" customWidth="1"/>
    <col min="10493" max="10493" width="19.4257812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7109375" bestFit="1" customWidth="1"/>
    <col min="10504" max="10504" width="17.28515625" bestFit="1" customWidth="1"/>
    <col min="10505" max="10505" width="17.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5.710937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7.140625" customWidth="1"/>
    <col min="10749" max="10749" width="19.4257812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7109375" bestFit="1" customWidth="1"/>
    <col min="10760" max="10760" width="17.28515625" bestFit="1" customWidth="1"/>
    <col min="10761" max="10761" width="17.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5.710937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7.140625" customWidth="1"/>
    <col min="11005" max="11005" width="19.4257812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7109375" bestFit="1" customWidth="1"/>
    <col min="11016" max="11016" width="17.28515625" bestFit="1" customWidth="1"/>
    <col min="11017" max="11017" width="17.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5.710937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7.140625" customWidth="1"/>
    <col min="11261" max="11261" width="19.4257812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7109375" bestFit="1" customWidth="1"/>
    <col min="11272" max="11272" width="17.28515625" bestFit="1" customWidth="1"/>
    <col min="11273" max="11273" width="17.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5.710937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7.140625" customWidth="1"/>
    <col min="11517" max="11517" width="19.4257812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7109375" bestFit="1" customWidth="1"/>
    <col min="11528" max="11528" width="17.28515625" bestFit="1" customWidth="1"/>
    <col min="11529" max="11529" width="17.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5.710937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7.140625" customWidth="1"/>
    <col min="11773" max="11773" width="19.4257812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7109375" bestFit="1" customWidth="1"/>
    <col min="11784" max="11784" width="17.28515625" bestFit="1" customWidth="1"/>
    <col min="11785" max="11785" width="17.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5.710937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7.140625" customWidth="1"/>
    <col min="12029" max="12029" width="19.4257812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7109375" bestFit="1" customWidth="1"/>
    <col min="12040" max="12040" width="17.28515625" bestFit="1" customWidth="1"/>
    <col min="12041" max="12041" width="17.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5.710937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7.140625" customWidth="1"/>
    <col min="12285" max="12285" width="19.4257812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7109375" bestFit="1" customWidth="1"/>
    <col min="12296" max="12296" width="17.28515625" bestFit="1" customWidth="1"/>
    <col min="12297" max="12297" width="17.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5.710937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7.140625" customWidth="1"/>
    <col min="12541" max="12541" width="19.4257812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7109375" bestFit="1" customWidth="1"/>
    <col min="12552" max="12552" width="17.28515625" bestFit="1" customWidth="1"/>
    <col min="12553" max="12553" width="17.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5.710937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7.140625" customWidth="1"/>
    <col min="12797" max="12797" width="19.4257812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7109375" bestFit="1" customWidth="1"/>
    <col min="12808" max="12808" width="17.28515625" bestFit="1" customWidth="1"/>
    <col min="12809" max="12809" width="17.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5.710937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7.140625" customWidth="1"/>
    <col min="13053" max="13053" width="19.4257812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7109375" bestFit="1" customWidth="1"/>
    <col min="13064" max="13064" width="17.28515625" bestFit="1" customWidth="1"/>
    <col min="13065" max="13065" width="17.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5.710937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7.140625" customWidth="1"/>
    <col min="13309" max="13309" width="19.4257812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7109375" bestFit="1" customWidth="1"/>
    <col min="13320" max="13320" width="17.28515625" bestFit="1" customWidth="1"/>
    <col min="13321" max="13321" width="17.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5.710937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7.140625" customWidth="1"/>
    <col min="13565" max="13565" width="19.4257812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7109375" bestFit="1" customWidth="1"/>
    <col min="13576" max="13576" width="17.28515625" bestFit="1" customWidth="1"/>
    <col min="13577" max="13577" width="17.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5.710937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7.140625" customWidth="1"/>
    <col min="13821" max="13821" width="19.4257812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7109375" bestFit="1" customWidth="1"/>
    <col min="13832" max="13832" width="17.28515625" bestFit="1" customWidth="1"/>
    <col min="13833" max="13833" width="17.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5.710937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7.140625" customWidth="1"/>
    <col min="14077" max="14077" width="19.4257812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7109375" bestFit="1" customWidth="1"/>
    <col min="14088" max="14088" width="17.28515625" bestFit="1" customWidth="1"/>
    <col min="14089" max="14089" width="17.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5.710937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7.140625" customWidth="1"/>
    <col min="14333" max="14333" width="19.4257812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7109375" bestFit="1" customWidth="1"/>
    <col min="14344" max="14344" width="17.28515625" bestFit="1" customWidth="1"/>
    <col min="14345" max="14345" width="17.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5.710937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7.140625" customWidth="1"/>
    <col min="14589" max="14589" width="19.4257812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7109375" bestFit="1" customWidth="1"/>
    <col min="14600" max="14600" width="17.28515625" bestFit="1" customWidth="1"/>
    <col min="14601" max="14601" width="17.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5.710937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7.140625" customWidth="1"/>
    <col min="14845" max="14845" width="19.4257812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7109375" bestFit="1" customWidth="1"/>
    <col min="14856" max="14856" width="17.28515625" bestFit="1" customWidth="1"/>
    <col min="14857" max="14857" width="17.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5.710937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7.140625" customWidth="1"/>
    <col min="15101" max="15101" width="19.4257812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7109375" bestFit="1" customWidth="1"/>
    <col min="15112" max="15112" width="17.28515625" bestFit="1" customWidth="1"/>
    <col min="15113" max="15113" width="17.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5.710937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7.140625" customWidth="1"/>
    <col min="15357" max="15357" width="19.4257812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7109375" bestFit="1" customWidth="1"/>
    <col min="15368" max="15368" width="17.28515625" bestFit="1" customWidth="1"/>
    <col min="15369" max="15369" width="17.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5.710937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7.140625" customWidth="1"/>
    <col min="15613" max="15613" width="19.4257812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7109375" bestFit="1" customWidth="1"/>
    <col min="15624" max="15624" width="17.28515625" bestFit="1" customWidth="1"/>
    <col min="15625" max="15625" width="17.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5.710937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7.140625" customWidth="1"/>
    <col min="15869" max="15869" width="19.4257812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7109375" bestFit="1" customWidth="1"/>
    <col min="15880" max="15880" width="17.28515625" bestFit="1" customWidth="1"/>
    <col min="15881" max="15881" width="17.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5.710937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7.140625" customWidth="1"/>
    <col min="16125" max="16125" width="19.4257812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7109375" bestFit="1" customWidth="1"/>
    <col min="16136" max="16136" width="17.28515625" bestFit="1" customWidth="1"/>
    <col min="16137" max="16137" width="17.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5.710937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53" t="s">
        <v>294</v>
      </c>
      <c r="D1" s="1812" t="s">
        <v>291</v>
      </c>
      <c r="E1" s="1853" t="s">
        <v>6</v>
      </c>
      <c r="F1" s="1853">
        <v>18230638</v>
      </c>
      <c r="G1" s="1853" t="s">
        <v>31</v>
      </c>
      <c r="J1" s="1812"/>
      <c r="K1" s="1812"/>
      <c r="L1" s="1812"/>
      <c r="M1" s="1853" t="s">
        <v>294</v>
      </c>
      <c r="N1" s="1812" t="s">
        <v>291</v>
      </c>
      <c r="O1" s="1853" t="s">
        <v>6</v>
      </c>
      <c r="P1" s="1853">
        <v>18230638</v>
      </c>
      <c r="Q1" s="1853" t="s">
        <v>31</v>
      </c>
      <c r="V1" s="1853" t="s">
        <v>294</v>
      </c>
      <c r="W1" s="1812" t="s">
        <v>291</v>
      </c>
      <c r="X1" s="1853" t="s">
        <v>6</v>
      </c>
      <c r="Y1" s="1853">
        <v>18230638</v>
      </c>
      <c r="Z1" s="1853" t="s">
        <v>31</v>
      </c>
    </row>
    <row r="2" spans="1:26" ht="16.5" thickBot="1">
      <c r="C2" s="45"/>
      <c r="D2" s="46"/>
      <c r="H2" s="1576" t="s">
        <v>674</v>
      </c>
      <c r="R2" s="3596"/>
      <c r="S2" s="3596"/>
      <c r="T2" s="3597" t="s">
        <v>36</v>
      </c>
      <c r="U2" s="3598"/>
      <c r="V2" s="3599"/>
      <c r="W2" s="3594" t="s">
        <v>37</v>
      </c>
    </row>
    <row r="3" spans="1:26" ht="26.25" thickBot="1">
      <c r="A3" s="1852" t="s">
        <v>294</v>
      </c>
      <c r="B3" s="1852"/>
      <c r="E3" s="6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41145</v>
      </c>
      <c r="I4" s="2002">
        <v>14085</v>
      </c>
      <c r="J4" s="2002">
        <v>39048</v>
      </c>
      <c r="K4" s="2002">
        <v>165000</v>
      </c>
      <c r="L4" s="2002">
        <v>5400</v>
      </c>
      <c r="M4" s="2002">
        <v>18000</v>
      </c>
      <c r="N4" s="2002">
        <v>15400</v>
      </c>
      <c r="O4" s="2002">
        <v>10200</v>
      </c>
      <c r="P4" s="2002">
        <v>1287500</v>
      </c>
      <c r="Q4" s="2002">
        <v>0</v>
      </c>
      <c r="R4" s="2000">
        <v>1595778</v>
      </c>
      <c r="S4" s="2965" t="s">
        <v>684</v>
      </c>
      <c r="T4" s="65">
        <f>P4/R4</f>
        <v>0.80681648700508468</v>
      </c>
      <c r="U4" s="65">
        <f>(K4+(I4*1.63))/R4</f>
        <v>0.11778489865131615</v>
      </c>
      <c r="V4" s="65">
        <f>M4/R4</f>
        <v>1.1279764478517688E-2</v>
      </c>
      <c r="W4" s="52" t="e">
        <f>R4/S4</f>
        <v>#VALUE!</v>
      </c>
    </row>
    <row r="5" spans="1:26" ht="16.5" thickBot="1">
      <c r="A5" s="1852" t="s">
        <v>6</v>
      </c>
      <c r="B5" s="1852"/>
      <c r="C5" s="45"/>
      <c r="G5" s="45">
        <v>2016</v>
      </c>
      <c r="H5" s="1582">
        <f>D15</f>
        <v>43503.840000000004</v>
      </c>
      <c r="I5" s="1549">
        <f>D21</f>
        <v>14007</v>
      </c>
      <c r="J5" s="1549">
        <f>D27</f>
        <v>38359.730280000003</v>
      </c>
      <c r="K5" s="1549">
        <f>D34</f>
        <v>225000</v>
      </c>
      <c r="L5" s="1549">
        <f>D40</f>
        <v>5400</v>
      </c>
      <c r="M5" s="1549">
        <f>D46</f>
        <v>18000</v>
      </c>
      <c r="N5" s="1549">
        <f>D52</f>
        <v>17200</v>
      </c>
      <c r="O5" s="1549">
        <f>D58</f>
        <v>4000</v>
      </c>
      <c r="P5" s="1549">
        <f>D64</f>
        <v>2055250</v>
      </c>
      <c r="Q5" s="1549">
        <f>D67</f>
        <v>0</v>
      </c>
      <c r="R5" s="2001">
        <f>SUM(H5:Q5)</f>
        <v>2420720.5702800001</v>
      </c>
      <c r="S5" s="2042">
        <f>T15</f>
        <v>645705</v>
      </c>
      <c r="T5" s="66">
        <f>P5/R5</f>
        <v>0.84902405723031182</v>
      </c>
      <c r="U5" s="66">
        <f>(K5+(I5*1.63))/R5</f>
        <v>0.10237918950361702</v>
      </c>
      <c r="V5" s="66">
        <f>M5/R5</f>
        <v>7.4358024717896187E-3</v>
      </c>
      <c r="W5" s="56">
        <f>R5/S5</f>
        <v>3.7489574500429765</v>
      </c>
    </row>
    <row r="6" spans="1:26" ht="16.5" thickBot="1">
      <c r="A6" s="1852">
        <v>18230638</v>
      </c>
      <c r="B6" s="1852"/>
      <c r="D6" s="45"/>
      <c r="G6" s="45">
        <v>2017</v>
      </c>
      <c r="H6" s="57">
        <f>E15</f>
        <v>44591.520000000004</v>
      </c>
      <c r="I6" s="1990">
        <f>E21</f>
        <v>14357.174999999999</v>
      </c>
      <c r="J6" s="1989">
        <f>E27</f>
        <v>40085.112600000008</v>
      </c>
      <c r="K6" s="58">
        <f>E34</f>
        <v>225000</v>
      </c>
      <c r="L6" s="58">
        <f>E40</f>
        <v>5400</v>
      </c>
      <c r="M6" s="58">
        <f>E46</f>
        <v>18000</v>
      </c>
      <c r="N6" s="58">
        <f>E52</f>
        <v>17200</v>
      </c>
      <c r="O6" s="58">
        <f>E58</f>
        <v>4000</v>
      </c>
      <c r="P6" s="58">
        <f>E64</f>
        <v>2055250</v>
      </c>
      <c r="Q6" s="58">
        <f>E67</f>
        <v>0</v>
      </c>
      <c r="R6" s="1997">
        <f>SUM(H6:Q6)</f>
        <v>2423883.8075999999</v>
      </c>
      <c r="S6" s="2043">
        <f>U15</f>
        <v>645705</v>
      </c>
      <c r="T6" s="66">
        <f>P6/R6</f>
        <v>0.84791605668383851</v>
      </c>
      <c r="U6" s="66">
        <f>(K6+(I6*1.63))/R6</f>
        <v>0.10248106549956887</v>
      </c>
      <c r="V6" s="66">
        <f>M6/R6</f>
        <v>7.4260985380411601E-3</v>
      </c>
      <c r="W6" s="56">
        <f>R6/S6</f>
        <v>3.7538563393500128</v>
      </c>
    </row>
    <row r="7" spans="1:26" ht="16.5" thickBot="1">
      <c r="A7" s="1852" t="s">
        <v>31</v>
      </c>
      <c r="B7" s="1852"/>
      <c r="C7" s="1866"/>
      <c r="D7" s="1592"/>
      <c r="E7" s="1867"/>
      <c r="F7" s="1866"/>
      <c r="G7" s="1608" t="s">
        <v>23</v>
      </c>
      <c r="H7" s="1564">
        <f>SUM(H5:H6)</f>
        <v>88095.360000000015</v>
      </c>
      <c r="I7" s="1991">
        <f t="shared" ref="I7:Q7" si="0">SUM(I5:I6)</f>
        <v>28364.174999999999</v>
      </c>
      <c r="J7" s="1992">
        <f t="shared" si="0"/>
        <v>78444.842880000011</v>
      </c>
      <c r="K7" s="1993">
        <f t="shared" si="0"/>
        <v>450000</v>
      </c>
      <c r="L7" s="1991">
        <f t="shared" si="0"/>
        <v>10800</v>
      </c>
      <c r="M7" s="1992">
        <f t="shared" si="0"/>
        <v>36000</v>
      </c>
      <c r="N7" s="1991">
        <f t="shared" si="0"/>
        <v>34400</v>
      </c>
      <c r="O7" s="1992">
        <f t="shared" si="0"/>
        <v>8000</v>
      </c>
      <c r="P7" s="1993">
        <f t="shared" si="0"/>
        <v>4110500</v>
      </c>
      <c r="Q7" s="1991">
        <f t="shared" si="0"/>
        <v>0</v>
      </c>
      <c r="R7" s="1993">
        <f>SUM(H7:Q7)</f>
        <v>4844604.3778799996</v>
      </c>
      <c r="S7" s="2600">
        <f>SUM(S5:S6)</f>
        <v>1291410</v>
      </c>
      <c r="T7" s="66">
        <f>P7/R7</f>
        <v>0.84846969522798399</v>
      </c>
      <c r="U7" s="66">
        <f>(K7+(I7*1.63))/R7</f>
        <v>0.10243016076106343</v>
      </c>
      <c r="V7" s="66">
        <f>M7/R7</f>
        <v>7.4309473368707997E-3</v>
      </c>
      <c r="W7" s="56">
        <f>R7/S7</f>
        <v>3.751406894696494</v>
      </c>
    </row>
    <row r="8" spans="1:26" ht="15.75">
      <c r="B8" s="1852"/>
      <c r="C8" s="1866"/>
      <c r="D8" s="1592"/>
      <c r="E8" s="1867"/>
      <c r="F8" s="1866"/>
    </row>
    <row r="9" spans="1:26" ht="20.25" customHeight="1">
      <c r="A9" s="1808"/>
      <c r="B9" s="1852"/>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52"/>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B12" s="1808"/>
      <c r="C12" s="1887" t="s">
        <v>314</v>
      </c>
      <c r="D12" s="1924">
        <f>D15+D21+D27+D34+D40+D46+D52+D58+D64</f>
        <v>2420720.5702800001</v>
      </c>
      <c r="E12" s="1948">
        <f>E15+E21+E27+E34+E40+E46+E52+E58+E64</f>
        <v>2423883.8075999999</v>
      </c>
      <c r="F12" s="1924">
        <f>D12+E12</f>
        <v>4844604.3778799996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43503.840000000004</v>
      </c>
      <c r="E15" s="1926">
        <f>SUM(E16:E19)</f>
        <v>44591.520000000004</v>
      </c>
      <c r="F15" s="1924">
        <f>D15+E15</f>
        <v>88095.360000000015</v>
      </c>
      <c r="H15" s="1938" t="s">
        <v>327</v>
      </c>
      <c r="I15" s="1939"/>
      <c r="J15" s="1939"/>
      <c r="K15" s="1940"/>
      <c r="L15" s="1941">
        <f>SUMPRODUCT(L16:L179,S16:S179)</f>
        <v>7617270</v>
      </c>
      <c r="M15" s="1941">
        <f>SUM(M16:M179)</f>
        <v>1700</v>
      </c>
      <c r="N15" s="1942"/>
      <c r="O15" s="1940">
        <v>18</v>
      </c>
      <c r="P15" s="1940"/>
      <c r="Q15" s="1940"/>
      <c r="R15" s="1940"/>
      <c r="S15" s="1940"/>
      <c r="T15" s="1943">
        <f t="shared" ref="T15:Y15" si="1">SUM(T16:T65)</f>
        <v>645705</v>
      </c>
      <c r="U15" s="1943">
        <f t="shared" si="1"/>
        <v>645705</v>
      </c>
      <c r="V15" s="1943">
        <f t="shared" si="1"/>
        <v>1291410</v>
      </c>
      <c r="W15" s="1941">
        <f t="shared" si="1"/>
        <v>2055250</v>
      </c>
      <c r="X15" s="1941">
        <f t="shared" si="1"/>
        <v>2055250</v>
      </c>
      <c r="Y15" s="1941">
        <f t="shared" si="1"/>
        <v>4110500</v>
      </c>
      <c r="Z15" s="1945">
        <v>0</v>
      </c>
    </row>
    <row r="16" spans="1:26">
      <c r="B16" s="1885">
        <v>0.1</v>
      </c>
      <c r="C16" s="2197" t="s">
        <v>791</v>
      </c>
      <c r="D16" s="1907">
        <v>9063.3000000000011</v>
      </c>
      <c r="E16" s="1906">
        <v>9289.9</v>
      </c>
      <c r="F16" s="1879">
        <f>SUM(D16:E16)</f>
        <v>18353.2</v>
      </c>
      <c r="H16" s="2596" t="s">
        <v>1079</v>
      </c>
      <c r="I16" s="2927">
        <v>110</v>
      </c>
      <c r="J16" s="1932" t="s">
        <v>81</v>
      </c>
      <c r="K16" s="1922" t="s">
        <v>909</v>
      </c>
      <c r="L16" s="1929">
        <v>603</v>
      </c>
      <c r="M16" s="1929">
        <v>350</v>
      </c>
      <c r="N16" s="1923">
        <v>0.83687101535277919</v>
      </c>
      <c r="O16" s="1922">
        <v>18</v>
      </c>
      <c r="P16" s="1925" t="s">
        <v>1084</v>
      </c>
      <c r="Q16" s="1928">
        <v>5000</v>
      </c>
      <c r="R16" s="1928">
        <v>5000</v>
      </c>
      <c r="S16" s="1931">
        <f>SUM(Q16:R16)</f>
        <v>10000</v>
      </c>
      <c r="T16" s="1931">
        <f>Q16*I16</f>
        <v>550000</v>
      </c>
      <c r="U16" s="1931">
        <f>R16*I16</f>
        <v>550000</v>
      </c>
      <c r="V16" s="1931">
        <f>SUM(T16:U16)</f>
        <v>1100000</v>
      </c>
      <c r="W16" s="1921">
        <f>Q16*M16</f>
        <v>1750000</v>
      </c>
      <c r="X16" s="1921">
        <f>R16*M16</f>
        <v>1750000</v>
      </c>
      <c r="Y16" s="1921">
        <f>SUM(W16:X16)</f>
        <v>3500000</v>
      </c>
      <c r="Z16" s="1946">
        <v>0</v>
      </c>
    </row>
    <row r="17" spans="2:26">
      <c r="B17" s="1885">
        <v>0.25</v>
      </c>
      <c r="C17" s="1876" t="s">
        <v>792</v>
      </c>
      <c r="D17" s="1905">
        <v>22658.25</v>
      </c>
      <c r="E17" s="1904">
        <v>23224.75</v>
      </c>
      <c r="F17" s="1879">
        <f t="shared" ref="F17:F19" si="2">SUM(D17:E17)</f>
        <v>45883</v>
      </c>
      <c r="H17" s="2596" t="s">
        <v>1080</v>
      </c>
      <c r="I17" s="2927">
        <v>119</v>
      </c>
      <c r="J17" s="1932" t="s">
        <v>81</v>
      </c>
      <c r="K17" s="1922" t="s">
        <v>909</v>
      </c>
      <c r="L17" s="1929">
        <v>1393</v>
      </c>
      <c r="M17" s="1929">
        <v>350</v>
      </c>
      <c r="N17" s="1923">
        <v>9.0534228024527937E-3</v>
      </c>
      <c r="O17" s="1922">
        <v>20</v>
      </c>
      <c r="P17" s="1925" t="s">
        <v>1084</v>
      </c>
      <c r="Q17" s="1928">
        <v>55</v>
      </c>
      <c r="R17" s="1928">
        <v>55</v>
      </c>
      <c r="S17" s="1931">
        <f>SUM(Q17:R17)</f>
        <v>110</v>
      </c>
      <c r="T17" s="1931">
        <f>Q17*I17</f>
        <v>6545</v>
      </c>
      <c r="U17" s="1931">
        <f>R17*I17</f>
        <v>6545</v>
      </c>
      <c r="V17" s="1931">
        <f>SUM(T17:U17)</f>
        <v>13090</v>
      </c>
      <c r="W17" s="1921">
        <f>Q17*M17</f>
        <v>19250</v>
      </c>
      <c r="X17" s="1921">
        <f>R17*M17</f>
        <v>19250</v>
      </c>
      <c r="Y17" s="1921">
        <f>SUM(W17:X17)</f>
        <v>38500</v>
      </c>
      <c r="Z17" s="1946">
        <v>0</v>
      </c>
    </row>
    <row r="18" spans="2:26">
      <c r="B18" s="1885">
        <v>0.13</v>
      </c>
      <c r="C18" s="1876" t="s">
        <v>794</v>
      </c>
      <c r="D18" s="1905">
        <v>11782.29</v>
      </c>
      <c r="E18" s="1904">
        <v>12076.87</v>
      </c>
      <c r="F18" s="1879">
        <f t="shared" si="2"/>
        <v>23859.160000000003</v>
      </c>
      <c r="H18" s="2596" t="s">
        <v>1081</v>
      </c>
      <c r="I18" s="2927">
        <v>72</v>
      </c>
      <c r="J18" s="1932" t="s">
        <v>81</v>
      </c>
      <c r="K18" s="1922" t="s">
        <v>966</v>
      </c>
      <c r="L18" s="1929">
        <v>562</v>
      </c>
      <c r="M18" s="1929">
        <v>200</v>
      </c>
      <c r="N18" s="1923">
        <v>0.10407632263660017</v>
      </c>
      <c r="O18" s="1922">
        <v>20</v>
      </c>
      <c r="P18" s="1925" t="s">
        <v>1084</v>
      </c>
      <c r="Q18" s="1928">
        <v>950</v>
      </c>
      <c r="R18" s="1928">
        <v>950</v>
      </c>
      <c r="S18" s="1931">
        <f>SUM(Q18:R18)</f>
        <v>1900</v>
      </c>
      <c r="T18" s="1931">
        <f>Q18*I18</f>
        <v>68400</v>
      </c>
      <c r="U18" s="1931">
        <f>R18*I18</f>
        <v>68400</v>
      </c>
      <c r="V18" s="1931">
        <f>SUM(T18:U18)</f>
        <v>136800</v>
      </c>
      <c r="W18" s="1921">
        <f>Q18*M18</f>
        <v>190000</v>
      </c>
      <c r="X18" s="1921">
        <f>R18*M18</f>
        <v>190000</v>
      </c>
      <c r="Y18" s="1921">
        <f>SUM(W18:X18)</f>
        <v>380000</v>
      </c>
      <c r="Z18" s="1946">
        <v>0</v>
      </c>
    </row>
    <row r="19" spans="2:26">
      <c r="B19" s="1885"/>
      <c r="C19" s="1876"/>
      <c r="D19" s="1903"/>
      <c r="E19" s="1902"/>
      <c r="F19" s="1879">
        <f t="shared" si="2"/>
        <v>0</v>
      </c>
      <c r="H19" s="2596" t="s">
        <v>1082</v>
      </c>
      <c r="I19" s="2927">
        <v>173</v>
      </c>
      <c r="J19" s="1932" t="s">
        <v>81</v>
      </c>
      <c r="K19" s="1922" t="s">
        <v>966</v>
      </c>
      <c r="L19" s="1929">
        <v>1526</v>
      </c>
      <c r="M19" s="1929">
        <v>800</v>
      </c>
      <c r="N19" s="1923">
        <v>2.63233973920056E-2</v>
      </c>
      <c r="O19" s="1922">
        <v>18</v>
      </c>
      <c r="P19" s="1925" t="s">
        <v>1084</v>
      </c>
      <c r="Q19" s="1928">
        <v>120</v>
      </c>
      <c r="R19" s="1928">
        <v>120</v>
      </c>
      <c r="S19" s="1931">
        <f>SUM(Q19:R19)</f>
        <v>240</v>
      </c>
      <c r="T19" s="1931">
        <f>Q19*I19</f>
        <v>20760</v>
      </c>
      <c r="U19" s="1931">
        <f>R19*I19</f>
        <v>20760</v>
      </c>
      <c r="V19" s="1931">
        <f>SUM(T19:U19)</f>
        <v>41520</v>
      </c>
      <c r="W19" s="1921">
        <f>Q19*M19</f>
        <v>96000</v>
      </c>
      <c r="X19" s="1921">
        <f>R19*M19</f>
        <v>96000</v>
      </c>
      <c r="Y19" s="1921">
        <f>SUM(W19:X19)</f>
        <v>192000</v>
      </c>
      <c r="Z19" s="1946">
        <v>0</v>
      </c>
    </row>
    <row r="20" spans="2:26">
      <c r="B20" s="2926">
        <f>SUM(B16:B19)</f>
        <v>0.48</v>
      </c>
      <c r="C20" s="1952"/>
      <c r="D20" s="1954"/>
      <c r="E20" s="1955"/>
      <c r="F20" s="1957"/>
      <c r="H20" s="1922"/>
      <c r="I20" s="2927"/>
      <c r="J20" s="1932"/>
      <c r="K20" s="1922"/>
      <c r="L20" s="1929"/>
      <c r="M20" s="1929"/>
      <c r="N20" s="1923"/>
      <c r="O20" s="1922"/>
      <c r="P20" s="1925"/>
      <c r="Q20" s="1928"/>
      <c r="R20" s="1928"/>
      <c r="S20" s="1931"/>
      <c r="T20" s="1931"/>
      <c r="U20" s="1931"/>
      <c r="V20" s="1931"/>
      <c r="W20" s="1921"/>
      <c r="X20" s="1921"/>
      <c r="Y20" s="1921"/>
      <c r="Z20" s="1946"/>
    </row>
    <row r="21" spans="2:26">
      <c r="C21" s="1910" t="s">
        <v>47</v>
      </c>
      <c r="D21" s="1911">
        <f>SUM(D22:D25)</f>
        <v>14007</v>
      </c>
      <c r="E21" s="1926">
        <f>SUM(E22:E25)</f>
        <v>14357.174999999999</v>
      </c>
      <c r="F21" s="2157">
        <f>D21+E21</f>
        <v>28364.174999999999</v>
      </c>
      <c r="H21" s="1922"/>
      <c r="I21" s="2927"/>
      <c r="J21" s="1932"/>
      <c r="K21" s="1922"/>
      <c r="L21" s="1929"/>
      <c r="M21" s="1929"/>
      <c r="N21" s="1923"/>
      <c r="O21" s="1922"/>
      <c r="P21" s="1925"/>
      <c r="Q21" s="1928"/>
      <c r="R21" s="1928"/>
      <c r="S21" s="1931"/>
      <c r="T21" s="1931"/>
      <c r="U21" s="1931"/>
      <c r="V21" s="1931"/>
      <c r="W21" s="1921"/>
      <c r="X21" s="1921"/>
      <c r="Y21" s="1921"/>
      <c r="Z21" s="1946"/>
    </row>
    <row r="22" spans="2:26">
      <c r="C22" s="3242" t="s">
        <v>9</v>
      </c>
      <c r="D22" s="3243">
        <f>80040*0.175</f>
        <v>14007</v>
      </c>
      <c r="E22" s="3243">
        <f>(80040*0.175)*1.025</f>
        <v>14357.174999999999</v>
      </c>
      <c r="F22" s="1879">
        <f t="shared" ref="F22:F25" si="3">SUM(D22:E22)</f>
        <v>28364.174999999999</v>
      </c>
      <c r="H22" s="1922"/>
      <c r="I22" s="2927"/>
      <c r="J22" s="1932"/>
      <c r="K22" s="1922"/>
      <c r="L22" s="1929"/>
      <c r="M22" s="1929"/>
      <c r="N22" s="1923"/>
      <c r="O22" s="1922"/>
      <c r="P22" s="1925"/>
      <c r="Q22" s="1928"/>
      <c r="R22" s="1928"/>
      <c r="S22" s="1931"/>
      <c r="T22" s="1931"/>
      <c r="U22" s="1931"/>
      <c r="V22" s="1931"/>
      <c r="W22" s="1921"/>
      <c r="X22" s="1921"/>
      <c r="Y22" s="1921"/>
      <c r="Z22" s="1946"/>
    </row>
    <row r="23" spans="2:26">
      <c r="C23" s="3242"/>
      <c r="D23" s="3243"/>
      <c r="E23" s="3243"/>
      <c r="F23" s="1879">
        <f t="shared" si="3"/>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3"/>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38359.730280000003</v>
      </c>
      <c r="E27" s="1926">
        <f>SUM(E29:E32)</f>
        <v>40085.112600000008</v>
      </c>
      <c r="F27" s="2157">
        <f>D27+E27</f>
        <v>78444.842880000011</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29017.061280000005</v>
      </c>
      <c r="E29" s="1972">
        <f>E15*E28</f>
        <v>30322.233600000003</v>
      </c>
      <c r="F29" s="1879">
        <f t="shared" ref="F29:F32" si="4">SUM(D29:E29)</f>
        <v>59339.294880000009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9342.6689999999999</v>
      </c>
      <c r="E30" s="1972">
        <f>E21*E28</f>
        <v>9762.8790000000008</v>
      </c>
      <c r="F30" s="1879">
        <f t="shared" si="4"/>
        <v>19105.548000000003</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25.5">
      <c r="A34" s="1852" t="s">
        <v>294</v>
      </c>
      <c r="C34" s="2106" t="s">
        <v>49</v>
      </c>
      <c r="D34" s="1911">
        <f>SUM(D35:D38)</f>
        <v>225000</v>
      </c>
      <c r="E34" s="1926">
        <f>SUM(E35:E38)</f>
        <v>225000</v>
      </c>
      <c r="F34" s="2157">
        <f>D34+E34</f>
        <v>450000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2197" t="s">
        <v>1076</v>
      </c>
      <c r="D35" s="1971">
        <v>225000</v>
      </c>
      <c r="E35" s="1988">
        <v>225000</v>
      </c>
      <c r="F35" s="1879">
        <f t="shared" ref="F35:F38" si="5">SUM(D35:E35)</f>
        <v>450000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52" t="s">
        <v>6</v>
      </c>
      <c r="C36" s="2197"/>
      <c r="D36" s="1971"/>
      <c r="E36" s="1988"/>
      <c r="F36" s="1879">
        <f t="shared" si="5"/>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52">
        <v>18230638</v>
      </c>
      <c r="C37" s="2197"/>
      <c r="D37" s="1971"/>
      <c r="E37" s="1988"/>
      <c r="F37" s="1879">
        <f t="shared" si="5"/>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52" t="s">
        <v>31</v>
      </c>
      <c r="C38" s="2197"/>
      <c r="D38" s="1971"/>
      <c r="E38" s="1988"/>
      <c r="F38" s="1879">
        <f t="shared" si="5"/>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5400</v>
      </c>
      <c r="E40" s="1926">
        <f>SUM(E41:E44)</f>
        <v>5400</v>
      </c>
      <c r="F40" s="2157">
        <f>D40+E40</f>
        <v>10800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1077</v>
      </c>
      <c r="D41" s="1971">
        <v>5400</v>
      </c>
      <c r="E41" s="1988">
        <v>5400</v>
      </c>
      <c r="F41" s="1879">
        <f t="shared" ref="F41:F44" si="6">SUM(D41:E41)</f>
        <v>10800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c r="D42" s="1971"/>
      <c r="E42" s="1988"/>
      <c r="F42" s="1879">
        <f t="shared" si="6"/>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2197"/>
      <c r="D43" s="1971"/>
      <c r="E43" s="1988"/>
      <c r="F43" s="1879">
        <f t="shared" si="6"/>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2197"/>
      <c r="D44" s="1971"/>
      <c r="E44" s="1988"/>
      <c r="F44" s="1879">
        <f t="shared" si="6"/>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2106" t="s">
        <v>50</v>
      </c>
      <c r="D46" s="1911">
        <f>SUM(D47:D50)</f>
        <v>18000</v>
      </c>
      <c r="E46" s="1926">
        <f>SUM(E47:E50)</f>
        <v>18000</v>
      </c>
      <c r="F46" s="2157">
        <f>D46+E46</f>
        <v>36000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14</v>
      </c>
      <c r="D47" s="1971">
        <v>18000</v>
      </c>
      <c r="E47" s="1988">
        <v>18000</v>
      </c>
      <c r="F47" s="1879">
        <f t="shared" ref="F47:F50" si="7">SUM(D47:E47)</f>
        <v>36000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2197"/>
      <c r="D48" s="1971"/>
      <c r="E48" s="1988"/>
      <c r="F48" s="1879">
        <f t="shared" si="7"/>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2197"/>
      <c r="D49" s="1971"/>
      <c r="E49" s="1988"/>
      <c r="F49" s="1879">
        <f t="shared" si="7"/>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2197"/>
      <c r="D50" s="1971"/>
      <c r="E50" s="1988"/>
      <c r="F50" s="1879">
        <f t="shared" si="7"/>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17200</v>
      </c>
      <c r="E52" s="1926">
        <f>SUM(E53:E56)</f>
        <v>17200</v>
      </c>
      <c r="F52" s="2157">
        <f>D52+E52</f>
        <v>34400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13</v>
      </c>
      <c r="D53" s="1971">
        <v>17200</v>
      </c>
      <c r="E53" s="1972">
        <v>17200</v>
      </c>
      <c r="F53" s="1879">
        <f t="shared" ref="F53:F56" si="8">SUM(D53:E53)</f>
        <v>34400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4000</v>
      </c>
      <c r="E58" s="1926">
        <f>SUM(E59:E62)</f>
        <v>4000</v>
      </c>
      <c r="F58" s="2157">
        <f>D58+E58</f>
        <v>8000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1078</v>
      </c>
      <c r="D59" s="1971">
        <v>4000</v>
      </c>
      <c r="E59" s="1988">
        <v>4000</v>
      </c>
      <c r="F59" s="1879">
        <f t="shared" ref="F59:F62" si="9">SUM(D59:E59)</f>
        <v>8000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294</v>
      </c>
      <c r="C64" s="1910" t="s">
        <v>53</v>
      </c>
      <c r="D64" s="1911">
        <f>W15</f>
        <v>2055250</v>
      </c>
      <c r="E64" s="1926">
        <f>X15</f>
        <v>2055250</v>
      </c>
      <c r="F64" s="1924">
        <f>D64+E64</f>
        <v>4110500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0.84902405723031182</v>
      </c>
      <c r="E65" s="2616">
        <f>E64/E12</f>
        <v>0.84791605668383851</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18230638</v>
      </c>
      <c r="C67" s="1959" t="s">
        <v>54</v>
      </c>
      <c r="D67" s="1971">
        <v>0</v>
      </c>
      <c r="E67" s="1971">
        <v>0</v>
      </c>
      <c r="F67" s="1956">
        <v>0</v>
      </c>
    </row>
    <row r="68" spans="1:26">
      <c r="A68" s="1852" t="s">
        <v>31</v>
      </c>
    </row>
  </sheetData>
  <customSheetViews>
    <customSheetView guid="{074EB09C-6289-46D7-9513-012B68BCA7BF}" showGridLines="0">
      <pane xSplit="1" ySplit="1" topLeftCell="H2" activePane="bottomRight" state="frozen"/>
      <selection pane="bottomRight" activeCell="Q30" sqref="Q30"/>
      <pageMargins left="0.17" right="0.23" top="0.35" bottom="0.31" header="0.3" footer="0.3"/>
      <pageSetup paperSize="17" scale="46" orientation="landscape" r:id="rId1"/>
    </customSheetView>
    <customSheetView guid="{D9EFFE19-D14B-4C6F-BDF4-FF696F73968D}" showGridLines="0">
      <pane xSplit="1" ySplit="1" topLeftCell="B2" activePane="bottomRight" state="frozen"/>
      <selection pane="bottomRight" activeCell="H24" sqref="H24"/>
      <pageMargins left="0.17" right="0.23" top="0.35" bottom="0.31" header="0.3" footer="0.3"/>
      <pageSetup paperSize="17" scale="46" orientation="landscape" r:id="rId2"/>
    </customSheetView>
  </customSheetViews>
  <mergeCells count="8">
    <mergeCell ref="H12:P12"/>
    <mergeCell ref="Q12:S12"/>
    <mergeCell ref="T12:V12"/>
    <mergeCell ref="W12:Y12"/>
    <mergeCell ref="R2:S2"/>
    <mergeCell ref="T2:V2"/>
    <mergeCell ref="W2:W3"/>
    <mergeCell ref="H10:P10"/>
  </mergeCells>
  <pageMargins left="0.17" right="0.23" top="0.35" bottom="0.31" header="0.3" footer="0.3"/>
  <pageSetup paperSize="17" scale="46" orientation="landscape" r:id="rId3"/>
  <ignoredErrors>
    <ignoredError sqref="R7" formula="1"/>
  </ignoredError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85546875" style="1164" customWidth="1"/>
    <col min="2" max="2" width="15.42578125" style="1866" customWidth="1"/>
    <col min="3" max="3" width="28.7109375" customWidth="1"/>
    <col min="4" max="4" width="20.5703125" customWidth="1"/>
    <col min="5" max="5" width="15.140625" style="9" customWidth="1"/>
    <col min="6" max="6" width="15.140625" customWidth="1"/>
    <col min="7" max="7" width="17.140625" customWidth="1"/>
    <col min="8" max="8" width="43" customWidth="1"/>
    <col min="9" max="9" width="15.28515625" bestFit="1" customWidth="1"/>
    <col min="10" max="10" width="14.140625" bestFit="1" customWidth="1"/>
    <col min="11" max="11" width="15.28515625" customWidth="1"/>
    <col min="12" max="12" width="17.71093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18.140625" customWidth="1"/>
    <col min="22" max="22" width="16.42578125" bestFit="1" customWidth="1"/>
    <col min="23" max="23" width="14.28515625" customWidth="1"/>
    <col min="24" max="25" width="14.42578125" customWidth="1"/>
    <col min="26" max="26" width="12.5703125" bestFit="1" customWidth="1"/>
    <col min="249" max="249" width="24" bestFit="1" customWidth="1"/>
    <col min="250" max="250" width="43.85546875" customWidth="1"/>
    <col min="251" max="251" width="19.7109375" bestFit="1" customWidth="1"/>
    <col min="252" max="252" width="12.42578125" bestFit="1" customWidth="1"/>
    <col min="253" max="253" width="16.28515625" bestFit="1" customWidth="1"/>
    <col min="254" max="254" width="13.42578125" customWidth="1"/>
    <col min="255" max="255" width="15.28515625" bestFit="1" customWidth="1"/>
    <col min="256" max="256" width="14.140625" bestFit="1" customWidth="1"/>
    <col min="257" max="257" width="15.28515625" customWidth="1"/>
    <col min="258" max="258" width="17.71093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16.140625" customWidth="1"/>
    <col min="265" max="265" width="16.7109375" bestFit="1" customWidth="1"/>
    <col min="266" max="266" width="15.57031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2.42578125" bestFit="1" customWidth="1"/>
    <col min="509" max="509" width="16.28515625" bestFit="1" customWidth="1"/>
    <col min="510" max="510" width="13.42578125" customWidth="1"/>
    <col min="511" max="511" width="15.28515625" bestFit="1" customWidth="1"/>
    <col min="512" max="512" width="14.140625" bestFit="1" customWidth="1"/>
    <col min="513" max="513" width="15.28515625" customWidth="1"/>
    <col min="514" max="514" width="17.71093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16.140625" customWidth="1"/>
    <col min="521" max="521" width="16.7109375" bestFit="1" customWidth="1"/>
    <col min="522" max="522" width="15.57031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2.42578125" bestFit="1" customWidth="1"/>
    <col min="765" max="765" width="16.28515625" bestFit="1" customWidth="1"/>
    <col min="766" max="766" width="13.42578125" customWidth="1"/>
    <col min="767" max="767" width="15.28515625" bestFit="1" customWidth="1"/>
    <col min="768" max="768" width="14.140625" bestFit="1" customWidth="1"/>
    <col min="769" max="769" width="15.28515625" customWidth="1"/>
    <col min="770" max="770" width="17.71093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16.140625" customWidth="1"/>
    <col min="777" max="777" width="16.7109375" bestFit="1" customWidth="1"/>
    <col min="778" max="778" width="15.57031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2.42578125" bestFit="1" customWidth="1"/>
    <col min="1021" max="1021" width="16.28515625" bestFit="1" customWidth="1"/>
    <col min="1022" max="1022" width="13.42578125" customWidth="1"/>
    <col min="1023" max="1023" width="15.28515625" bestFit="1" customWidth="1"/>
    <col min="1024" max="1024" width="14.140625" bestFit="1" customWidth="1"/>
    <col min="1025" max="1025" width="15.28515625" customWidth="1"/>
    <col min="1026" max="1026" width="17.71093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16.140625" customWidth="1"/>
    <col min="1033" max="1033" width="16.7109375" bestFit="1" customWidth="1"/>
    <col min="1034" max="1034" width="15.57031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2.42578125" bestFit="1" customWidth="1"/>
    <col min="1277" max="1277" width="16.28515625" bestFit="1" customWidth="1"/>
    <col min="1278" max="1278" width="13.42578125" customWidth="1"/>
    <col min="1279" max="1279" width="15.28515625" bestFit="1" customWidth="1"/>
    <col min="1280" max="1280" width="14.140625" bestFit="1" customWidth="1"/>
    <col min="1281" max="1281" width="15.28515625" customWidth="1"/>
    <col min="1282" max="1282" width="17.71093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16.140625" customWidth="1"/>
    <col min="1289" max="1289" width="16.7109375" bestFit="1" customWidth="1"/>
    <col min="1290" max="1290" width="15.57031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2.42578125" bestFit="1" customWidth="1"/>
    <col min="1533" max="1533" width="16.28515625" bestFit="1" customWidth="1"/>
    <col min="1534" max="1534" width="13.42578125" customWidth="1"/>
    <col min="1535" max="1535" width="15.28515625" bestFit="1" customWidth="1"/>
    <col min="1536" max="1536" width="14.140625" bestFit="1" customWidth="1"/>
    <col min="1537" max="1537" width="15.28515625" customWidth="1"/>
    <col min="1538" max="1538" width="17.71093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16.140625" customWidth="1"/>
    <col min="1545" max="1545" width="16.7109375" bestFit="1" customWidth="1"/>
    <col min="1546" max="1546" width="15.57031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2.42578125" bestFit="1" customWidth="1"/>
    <col min="1789" max="1789" width="16.28515625" bestFit="1" customWidth="1"/>
    <col min="1790" max="1790" width="13.42578125" customWidth="1"/>
    <col min="1791" max="1791" width="15.28515625" bestFit="1" customWidth="1"/>
    <col min="1792" max="1792" width="14.140625" bestFit="1" customWidth="1"/>
    <col min="1793" max="1793" width="15.28515625" customWidth="1"/>
    <col min="1794" max="1794" width="17.71093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16.140625" customWidth="1"/>
    <col min="1801" max="1801" width="16.7109375" bestFit="1" customWidth="1"/>
    <col min="1802" max="1802" width="15.57031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2.42578125" bestFit="1" customWidth="1"/>
    <col min="2045" max="2045" width="16.28515625" bestFit="1" customWidth="1"/>
    <col min="2046" max="2046" width="13.42578125" customWidth="1"/>
    <col min="2047" max="2047" width="15.28515625" bestFit="1" customWidth="1"/>
    <col min="2048" max="2048" width="14.140625" bestFit="1" customWidth="1"/>
    <col min="2049" max="2049" width="15.28515625" customWidth="1"/>
    <col min="2050" max="2050" width="17.71093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16.140625" customWidth="1"/>
    <col min="2057" max="2057" width="16.7109375" bestFit="1" customWidth="1"/>
    <col min="2058" max="2058" width="15.57031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2.42578125" bestFit="1" customWidth="1"/>
    <col min="2301" max="2301" width="16.28515625" bestFit="1" customWidth="1"/>
    <col min="2302" max="2302" width="13.42578125" customWidth="1"/>
    <col min="2303" max="2303" width="15.28515625" bestFit="1" customWidth="1"/>
    <col min="2304" max="2304" width="14.140625" bestFit="1" customWidth="1"/>
    <col min="2305" max="2305" width="15.28515625" customWidth="1"/>
    <col min="2306" max="2306" width="17.71093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16.140625" customWidth="1"/>
    <col min="2313" max="2313" width="16.7109375" bestFit="1" customWidth="1"/>
    <col min="2314" max="2314" width="15.57031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2.42578125" bestFit="1" customWidth="1"/>
    <col min="2557" max="2557" width="16.28515625" bestFit="1" customWidth="1"/>
    <col min="2558" max="2558" width="13.42578125" customWidth="1"/>
    <col min="2559" max="2559" width="15.28515625" bestFit="1" customWidth="1"/>
    <col min="2560" max="2560" width="14.140625" bestFit="1" customWidth="1"/>
    <col min="2561" max="2561" width="15.28515625" customWidth="1"/>
    <col min="2562" max="2562" width="17.71093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16.140625" customWidth="1"/>
    <col min="2569" max="2569" width="16.7109375" bestFit="1" customWidth="1"/>
    <col min="2570" max="2570" width="15.57031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2.42578125" bestFit="1" customWidth="1"/>
    <col min="2813" max="2813" width="16.28515625" bestFit="1" customWidth="1"/>
    <col min="2814" max="2814" width="13.42578125" customWidth="1"/>
    <col min="2815" max="2815" width="15.28515625" bestFit="1" customWidth="1"/>
    <col min="2816" max="2816" width="14.140625" bestFit="1" customWidth="1"/>
    <col min="2817" max="2817" width="15.28515625" customWidth="1"/>
    <col min="2818" max="2818" width="17.71093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16.140625" customWidth="1"/>
    <col min="2825" max="2825" width="16.7109375" bestFit="1" customWidth="1"/>
    <col min="2826" max="2826" width="15.57031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2.42578125" bestFit="1" customWidth="1"/>
    <col min="3069" max="3069" width="16.28515625" bestFit="1" customWidth="1"/>
    <col min="3070" max="3070" width="13.42578125" customWidth="1"/>
    <col min="3071" max="3071" width="15.28515625" bestFit="1" customWidth="1"/>
    <col min="3072" max="3072" width="14.140625" bestFit="1" customWidth="1"/>
    <col min="3073" max="3073" width="15.28515625" customWidth="1"/>
    <col min="3074" max="3074" width="17.71093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16.140625" customWidth="1"/>
    <col min="3081" max="3081" width="16.7109375" bestFit="1" customWidth="1"/>
    <col min="3082" max="3082" width="15.57031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2.42578125" bestFit="1" customWidth="1"/>
    <col min="3325" max="3325" width="16.28515625" bestFit="1" customWidth="1"/>
    <col min="3326" max="3326" width="13.42578125" customWidth="1"/>
    <col min="3327" max="3327" width="15.28515625" bestFit="1" customWidth="1"/>
    <col min="3328" max="3328" width="14.140625" bestFit="1" customWidth="1"/>
    <col min="3329" max="3329" width="15.28515625" customWidth="1"/>
    <col min="3330" max="3330" width="17.71093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16.140625" customWidth="1"/>
    <col min="3337" max="3337" width="16.7109375" bestFit="1" customWidth="1"/>
    <col min="3338" max="3338" width="15.57031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2.42578125" bestFit="1" customWidth="1"/>
    <col min="3581" max="3581" width="16.28515625" bestFit="1" customWidth="1"/>
    <col min="3582" max="3582" width="13.42578125" customWidth="1"/>
    <col min="3583" max="3583" width="15.28515625" bestFit="1" customWidth="1"/>
    <col min="3584" max="3584" width="14.140625" bestFit="1" customWidth="1"/>
    <col min="3585" max="3585" width="15.28515625" customWidth="1"/>
    <col min="3586" max="3586" width="17.71093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16.140625" customWidth="1"/>
    <col min="3593" max="3593" width="16.7109375" bestFit="1" customWidth="1"/>
    <col min="3594" max="3594" width="15.57031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2.42578125" bestFit="1" customWidth="1"/>
    <col min="3837" max="3837" width="16.28515625" bestFit="1" customWidth="1"/>
    <col min="3838" max="3838" width="13.42578125" customWidth="1"/>
    <col min="3839" max="3839" width="15.28515625" bestFit="1" customWidth="1"/>
    <col min="3840" max="3840" width="14.140625" bestFit="1" customWidth="1"/>
    <col min="3841" max="3841" width="15.28515625" customWidth="1"/>
    <col min="3842" max="3842" width="17.71093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16.140625" customWidth="1"/>
    <col min="3849" max="3849" width="16.7109375" bestFit="1" customWidth="1"/>
    <col min="3850" max="3850" width="15.57031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2.42578125" bestFit="1" customWidth="1"/>
    <col min="4093" max="4093" width="16.28515625" bestFit="1" customWidth="1"/>
    <col min="4094" max="4094" width="13.42578125" customWidth="1"/>
    <col min="4095" max="4095" width="15.28515625" bestFit="1" customWidth="1"/>
    <col min="4096" max="4096" width="14.140625" bestFit="1" customWidth="1"/>
    <col min="4097" max="4097" width="15.28515625" customWidth="1"/>
    <col min="4098" max="4098" width="17.71093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16.140625" customWidth="1"/>
    <col min="4105" max="4105" width="16.7109375" bestFit="1" customWidth="1"/>
    <col min="4106" max="4106" width="15.57031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2.42578125" bestFit="1" customWidth="1"/>
    <col min="4349" max="4349" width="16.28515625" bestFit="1" customWidth="1"/>
    <col min="4350" max="4350" width="13.42578125" customWidth="1"/>
    <col min="4351" max="4351" width="15.28515625" bestFit="1" customWidth="1"/>
    <col min="4352" max="4352" width="14.140625" bestFit="1" customWidth="1"/>
    <col min="4353" max="4353" width="15.28515625" customWidth="1"/>
    <col min="4354" max="4354" width="17.71093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16.140625" customWidth="1"/>
    <col min="4361" max="4361" width="16.7109375" bestFit="1" customWidth="1"/>
    <col min="4362" max="4362" width="15.57031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2.42578125" bestFit="1" customWidth="1"/>
    <col min="4605" max="4605" width="16.28515625" bestFit="1" customWidth="1"/>
    <col min="4606" max="4606" width="13.42578125" customWidth="1"/>
    <col min="4607" max="4607" width="15.28515625" bestFit="1" customWidth="1"/>
    <col min="4608" max="4608" width="14.140625" bestFit="1" customWidth="1"/>
    <col min="4609" max="4609" width="15.28515625" customWidth="1"/>
    <col min="4610" max="4610" width="17.71093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16.140625" customWidth="1"/>
    <col min="4617" max="4617" width="16.7109375" bestFit="1" customWidth="1"/>
    <col min="4618" max="4618" width="15.57031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2.42578125" bestFit="1" customWidth="1"/>
    <col min="4861" max="4861" width="16.28515625" bestFit="1" customWidth="1"/>
    <col min="4862" max="4862" width="13.42578125" customWidth="1"/>
    <col min="4863" max="4863" width="15.28515625" bestFit="1" customWidth="1"/>
    <col min="4864" max="4864" width="14.140625" bestFit="1" customWidth="1"/>
    <col min="4865" max="4865" width="15.28515625" customWidth="1"/>
    <col min="4866" max="4866" width="17.71093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16.140625" customWidth="1"/>
    <col min="4873" max="4873" width="16.7109375" bestFit="1" customWidth="1"/>
    <col min="4874" max="4874" width="15.57031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2.42578125" bestFit="1" customWidth="1"/>
    <col min="5117" max="5117" width="16.28515625" bestFit="1" customWidth="1"/>
    <col min="5118" max="5118" width="13.42578125" customWidth="1"/>
    <col min="5119" max="5119" width="15.28515625" bestFit="1" customWidth="1"/>
    <col min="5120" max="5120" width="14.140625" bestFit="1" customWidth="1"/>
    <col min="5121" max="5121" width="15.28515625" customWidth="1"/>
    <col min="5122" max="5122" width="17.71093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16.140625" customWidth="1"/>
    <col min="5129" max="5129" width="16.7109375" bestFit="1" customWidth="1"/>
    <col min="5130" max="5130" width="15.57031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2.42578125" bestFit="1" customWidth="1"/>
    <col min="5373" max="5373" width="16.28515625" bestFit="1" customWidth="1"/>
    <col min="5374" max="5374" width="13.42578125" customWidth="1"/>
    <col min="5375" max="5375" width="15.28515625" bestFit="1" customWidth="1"/>
    <col min="5376" max="5376" width="14.140625" bestFit="1" customWidth="1"/>
    <col min="5377" max="5377" width="15.28515625" customWidth="1"/>
    <col min="5378" max="5378" width="17.71093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16.140625" customWidth="1"/>
    <col min="5385" max="5385" width="16.7109375" bestFit="1" customWidth="1"/>
    <col min="5386" max="5386" width="15.57031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2.42578125" bestFit="1" customWidth="1"/>
    <col min="5629" max="5629" width="16.28515625" bestFit="1" customWidth="1"/>
    <col min="5630" max="5630" width="13.42578125" customWidth="1"/>
    <col min="5631" max="5631" width="15.28515625" bestFit="1" customWidth="1"/>
    <col min="5632" max="5632" width="14.140625" bestFit="1" customWidth="1"/>
    <col min="5633" max="5633" width="15.28515625" customWidth="1"/>
    <col min="5634" max="5634" width="17.71093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16.140625" customWidth="1"/>
    <col min="5641" max="5641" width="16.7109375" bestFit="1" customWidth="1"/>
    <col min="5642" max="5642" width="15.57031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2.42578125" bestFit="1" customWidth="1"/>
    <col min="5885" max="5885" width="16.28515625" bestFit="1" customWidth="1"/>
    <col min="5886" max="5886" width="13.42578125" customWidth="1"/>
    <col min="5887" max="5887" width="15.28515625" bestFit="1" customWidth="1"/>
    <col min="5888" max="5888" width="14.140625" bestFit="1" customWidth="1"/>
    <col min="5889" max="5889" width="15.28515625" customWidth="1"/>
    <col min="5890" max="5890" width="17.71093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16.140625" customWidth="1"/>
    <col min="5897" max="5897" width="16.7109375" bestFit="1" customWidth="1"/>
    <col min="5898" max="5898" width="15.57031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2.42578125" bestFit="1" customWidth="1"/>
    <col min="6141" max="6141" width="16.28515625" bestFit="1" customWidth="1"/>
    <col min="6142" max="6142" width="13.42578125" customWidth="1"/>
    <col min="6143" max="6143" width="15.28515625" bestFit="1" customWidth="1"/>
    <col min="6144" max="6144" width="14.140625" bestFit="1" customWidth="1"/>
    <col min="6145" max="6145" width="15.28515625" customWidth="1"/>
    <col min="6146" max="6146" width="17.71093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16.140625" customWidth="1"/>
    <col min="6153" max="6153" width="16.7109375" bestFit="1" customWidth="1"/>
    <col min="6154" max="6154" width="15.57031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2.42578125" bestFit="1" customWidth="1"/>
    <col min="6397" max="6397" width="16.28515625" bestFit="1" customWidth="1"/>
    <col min="6398" max="6398" width="13.42578125" customWidth="1"/>
    <col min="6399" max="6399" width="15.28515625" bestFit="1" customWidth="1"/>
    <col min="6400" max="6400" width="14.140625" bestFit="1" customWidth="1"/>
    <col min="6401" max="6401" width="15.28515625" customWidth="1"/>
    <col min="6402" max="6402" width="17.71093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16.140625" customWidth="1"/>
    <col min="6409" max="6409" width="16.7109375" bestFit="1" customWidth="1"/>
    <col min="6410" max="6410" width="15.57031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2.42578125" bestFit="1" customWidth="1"/>
    <col min="6653" max="6653" width="16.28515625" bestFit="1" customWidth="1"/>
    <col min="6654" max="6654" width="13.42578125" customWidth="1"/>
    <col min="6655" max="6655" width="15.28515625" bestFit="1" customWidth="1"/>
    <col min="6656" max="6656" width="14.140625" bestFit="1" customWidth="1"/>
    <col min="6657" max="6657" width="15.28515625" customWidth="1"/>
    <col min="6658" max="6658" width="17.71093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16.140625" customWidth="1"/>
    <col min="6665" max="6665" width="16.7109375" bestFit="1" customWidth="1"/>
    <col min="6666" max="6666" width="15.57031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2.42578125" bestFit="1" customWidth="1"/>
    <col min="6909" max="6909" width="16.28515625" bestFit="1" customWidth="1"/>
    <col min="6910" max="6910" width="13.42578125" customWidth="1"/>
    <col min="6911" max="6911" width="15.28515625" bestFit="1" customWidth="1"/>
    <col min="6912" max="6912" width="14.140625" bestFit="1" customWidth="1"/>
    <col min="6913" max="6913" width="15.28515625" customWidth="1"/>
    <col min="6914" max="6914" width="17.71093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16.140625" customWidth="1"/>
    <col min="6921" max="6921" width="16.7109375" bestFit="1" customWidth="1"/>
    <col min="6922" max="6922" width="15.57031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2.42578125" bestFit="1" customWidth="1"/>
    <col min="7165" max="7165" width="16.28515625" bestFit="1" customWidth="1"/>
    <col min="7166" max="7166" width="13.42578125" customWidth="1"/>
    <col min="7167" max="7167" width="15.28515625" bestFit="1" customWidth="1"/>
    <col min="7168" max="7168" width="14.140625" bestFit="1" customWidth="1"/>
    <col min="7169" max="7169" width="15.28515625" customWidth="1"/>
    <col min="7170" max="7170" width="17.71093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16.140625" customWidth="1"/>
    <col min="7177" max="7177" width="16.7109375" bestFit="1" customWidth="1"/>
    <col min="7178" max="7178" width="15.57031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2.42578125" bestFit="1" customWidth="1"/>
    <col min="7421" max="7421" width="16.28515625" bestFit="1" customWidth="1"/>
    <col min="7422" max="7422" width="13.42578125" customWidth="1"/>
    <col min="7423" max="7423" width="15.28515625" bestFit="1" customWidth="1"/>
    <col min="7424" max="7424" width="14.140625" bestFit="1" customWidth="1"/>
    <col min="7425" max="7425" width="15.28515625" customWidth="1"/>
    <col min="7426" max="7426" width="17.71093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16.140625" customWidth="1"/>
    <col min="7433" max="7433" width="16.7109375" bestFit="1" customWidth="1"/>
    <col min="7434" max="7434" width="15.57031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2.42578125" bestFit="1" customWidth="1"/>
    <col min="7677" max="7677" width="16.28515625" bestFit="1" customWidth="1"/>
    <col min="7678" max="7678" width="13.42578125" customWidth="1"/>
    <col min="7679" max="7679" width="15.28515625" bestFit="1" customWidth="1"/>
    <col min="7680" max="7680" width="14.140625" bestFit="1" customWidth="1"/>
    <col min="7681" max="7681" width="15.28515625" customWidth="1"/>
    <col min="7682" max="7682" width="17.71093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16.140625" customWidth="1"/>
    <col min="7689" max="7689" width="16.7109375" bestFit="1" customWidth="1"/>
    <col min="7690" max="7690" width="15.57031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2.42578125" bestFit="1" customWidth="1"/>
    <col min="7933" max="7933" width="16.28515625" bestFit="1" customWidth="1"/>
    <col min="7934" max="7934" width="13.42578125" customWidth="1"/>
    <col min="7935" max="7935" width="15.28515625" bestFit="1" customWidth="1"/>
    <col min="7936" max="7936" width="14.140625" bestFit="1" customWidth="1"/>
    <col min="7937" max="7937" width="15.28515625" customWidth="1"/>
    <col min="7938" max="7938" width="17.71093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16.140625" customWidth="1"/>
    <col min="7945" max="7945" width="16.7109375" bestFit="1" customWidth="1"/>
    <col min="7946" max="7946" width="15.57031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2.42578125" bestFit="1" customWidth="1"/>
    <col min="8189" max="8189" width="16.28515625" bestFit="1" customWidth="1"/>
    <col min="8190" max="8190" width="13.42578125" customWidth="1"/>
    <col min="8191" max="8191" width="15.28515625" bestFit="1" customWidth="1"/>
    <col min="8192" max="8192" width="14.140625" bestFit="1" customWidth="1"/>
    <col min="8193" max="8193" width="15.28515625" customWidth="1"/>
    <col min="8194" max="8194" width="17.71093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16.140625" customWidth="1"/>
    <col min="8201" max="8201" width="16.7109375" bestFit="1" customWidth="1"/>
    <col min="8202" max="8202" width="15.57031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2.42578125" bestFit="1" customWidth="1"/>
    <col min="8445" max="8445" width="16.28515625" bestFit="1" customWidth="1"/>
    <col min="8446" max="8446" width="13.42578125" customWidth="1"/>
    <col min="8447" max="8447" width="15.28515625" bestFit="1" customWidth="1"/>
    <col min="8448" max="8448" width="14.140625" bestFit="1" customWidth="1"/>
    <col min="8449" max="8449" width="15.28515625" customWidth="1"/>
    <col min="8450" max="8450" width="17.71093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16.140625" customWidth="1"/>
    <col min="8457" max="8457" width="16.7109375" bestFit="1" customWidth="1"/>
    <col min="8458" max="8458" width="15.57031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2.42578125" bestFit="1" customWidth="1"/>
    <col min="8701" max="8701" width="16.28515625" bestFit="1" customWidth="1"/>
    <col min="8702" max="8702" width="13.42578125" customWidth="1"/>
    <col min="8703" max="8703" width="15.28515625" bestFit="1" customWidth="1"/>
    <col min="8704" max="8704" width="14.140625" bestFit="1" customWidth="1"/>
    <col min="8705" max="8705" width="15.28515625" customWidth="1"/>
    <col min="8706" max="8706" width="17.71093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16.140625" customWidth="1"/>
    <col min="8713" max="8713" width="16.7109375" bestFit="1" customWidth="1"/>
    <col min="8714" max="8714" width="15.57031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2.42578125" bestFit="1" customWidth="1"/>
    <col min="8957" max="8957" width="16.28515625" bestFit="1" customWidth="1"/>
    <col min="8958" max="8958" width="13.42578125" customWidth="1"/>
    <col min="8959" max="8959" width="15.28515625" bestFit="1" customWidth="1"/>
    <col min="8960" max="8960" width="14.140625" bestFit="1" customWidth="1"/>
    <col min="8961" max="8961" width="15.28515625" customWidth="1"/>
    <col min="8962" max="8962" width="17.71093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16.140625" customWidth="1"/>
    <col min="8969" max="8969" width="16.7109375" bestFit="1" customWidth="1"/>
    <col min="8970" max="8970" width="15.57031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2.42578125" bestFit="1" customWidth="1"/>
    <col min="9213" max="9213" width="16.28515625" bestFit="1" customWidth="1"/>
    <col min="9214" max="9214" width="13.42578125" customWidth="1"/>
    <col min="9215" max="9215" width="15.28515625" bestFit="1" customWidth="1"/>
    <col min="9216" max="9216" width="14.140625" bestFit="1" customWidth="1"/>
    <col min="9217" max="9217" width="15.28515625" customWidth="1"/>
    <col min="9218" max="9218" width="17.71093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16.140625" customWidth="1"/>
    <col min="9225" max="9225" width="16.7109375" bestFit="1" customWidth="1"/>
    <col min="9226" max="9226" width="15.57031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2.42578125" bestFit="1" customWidth="1"/>
    <col min="9469" max="9469" width="16.28515625" bestFit="1" customWidth="1"/>
    <col min="9470" max="9470" width="13.42578125" customWidth="1"/>
    <col min="9471" max="9471" width="15.28515625" bestFit="1" customWidth="1"/>
    <col min="9472" max="9472" width="14.140625" bestFit="1" customWidth="1"/>
    <col min="9473" max="9473" width="15.28515625" customWidth="1"/>
    <col min="9474" max="9474" width="17.71093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16.140625" customWidth="1"/>
    <col min="9481" max="9481" width="16.7109375" bestFit="1" customWidth="1"/>
    <col min="9482" max="9482" width="15.57031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2.42578125" bestFit="1" customWidth="1"/>
    <col min="9725" max="9725" width="16.28515625" bestFit="1" customWidth="1"/>
    <col min="9726" max="9726" width="13.42578125" customWidth="1"/>
    <col min="9727" max="9727" width="15.28515625" bestFit="1" customWidth="1"/>
    <col min="9728" max="9728" width="14.140625" bestFit="1" customWidth="1"/>
    <col min="9729" max="9729" width="15.28515625" customWidth="1"/>
    <col min="9730" max="9730" width="17.71093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16.140625" customWidth="1"/>
    <col min="9737" max="9737" width="16.7109375" bestFit="1" customWidth="1"/>
    <col min="9738" max="9738" width="15.57031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2.42578125" bestFit="1" customWidth="1"/>
    <col min="9981" max="9981" width="16.28515625" bestFit="1" customWidth="1"/>
    <col min="9982" max="9982" width="13.42578125" customWidth="1"/>
    <col min="9983" max="9983" width="15.28515625" bestFit="1" customWidth="1"/>
    <col min="9984" max="9984" width="14.140625" bestFit="1" customWidth="1"/>
    <col min="9985" max="9985" width="15.28515625" customWidth="1"/>
    <col min="9986" max="9986" width="17.71093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16.140625" customWidth="1"/>
    <col min="9993" max="9993" width="16.7109375" bestFit="1" customWidth="1"/>
    <col min="9994" max="9994" width="15.57031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2.42578125" bestFit="1" customWidth="1"/>
    <col min="10237" max="10237" width="16.28515625" bestFit="1" customWidth="1"/>
    <col min="10238" max="10238" width="13.42578125" customWidth="1"/>
    <col min="10239" max="10239" width="15.28515625" bestFit="1" customWidth="1"/>
    <col min="10240" max="10240" width="14.140625" bestFit="1" customWidth="1"/>
    <col min="10241" max="10241" width="15.28515625" customWidth="1"/>
    <col min="10242" max="10242" width="17.71093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16.140625" customWidth="1"/>
    <col min="10249" max="10249" width="16.7109375" bestFit="1" customWidth="1"/>
    <col min="10250" max="10250" width="15.57031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2.42578125" bestFit="1" customWidth="1"/>
    <col min="10493" max="10493" width="16.28515625" bestFit="1" customWidth="1"/>
    <col min="10494" max="10494" width="13.42578125" customWidth="1"/>
    <col min="10495" max="10495" width="15.28515625" bestFit="1" customWidth="1"/>
    <col min="10496" max="10496" width="14.140625" bestFit="1" customWidth="1"/>
    <col min="10497" max="10497" width="15.28515625" customWidth="1"/>
    <col min="10498" max="10498" width="17.71093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16.140625" customWidth="1"/>
    <col min="10505" max="10505" width="16.7109375" bestFit="1" customWidth="1"/>
    <col min="10506" max="10506" width="15.57031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2.42578125" bestFit="1" customWidth="1"/>
    <col min="10749" max="10749" width="16.28515625" bestFit="1" customWidth="1"/>
    <col min="10750" max="10750" width="13.42578125" customWidth="1"/>
    <col min="10751" max="10751" width="15.28515625" bestFit="1" customWidth="1"/>
    <col min="10752" max="10752" width="14.140625" bestFit="1" customWidth="1"/>
    <col min="10753" max="10753" width="15.28515625" customWidth="1"/>
    <col min="10754" max="10754" width="17.71093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16.140625" customWidth="1"/>
    <col min="10761" max="10761" width="16.7109375" bestFit="1" customWidth="1"/>
    <col min="10762" max="10762" width="15.57031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2.42578125" bestFit="1" customWidth="1"/>
    <col min="11005" max="11005" width="16.28515625" bestFit="1" customWidth="1"/>
    <col min="11006" max="11006" width="13.42578125" customWidth="1"/>
    <col min="11007" max="11007" width="15.28515625" bestFit="1" customWidth="1"/>
    <col min="11008" max="11008" width="14.140625" bestFit="1" customWidth="1"/>
    <col min="11009" max="11009" width="15.28515625" customWidth="1"/>
    <col min="11010" max="11010" width="17.71093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16.140625" customWidth="1"/>
    <col min="11017" max="11017" width="16.7109375" bestFit="1" customWidth="1"/>
    <col min="11018" max="11018" width="15.57031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2.42578125" bestFit="1" customWidth="1"/>
    <col min="11261" max="11261" width="16.28515625" bestFit="1" customWidth="1"/>
    <col min="11262" max="11262" width="13.42578125" customWidth="1"/>
    <col min="11263" max="11263" width="15.28515625" bestFit="1" customWidth="1"/>
    <col min="11264" max="11264" width="14.140625" bestFit="1" customWidth="1"/>
    <col min="11265" max="11265" width="15.28515625" customWidth="1"/>
    <col min="11266" max="11266" width="17.71093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16.140625" customWidth="1"/>
    <col min="11273" max="11273" width="16.7109375" bestFit="1" customWidth="1"/>
    <col min="11274" max="11274" width="15.57031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2.42578125" bestFit="1" customWidth="1"/>
    <col min="11517" max="11517" width="16.28515625" bestFit="1" customWidth="1"/>
    <col min="11518" max="11518" width="13.42578125" customWidth="1"/>
    <col min="11519" max="11519" width="15.28515625" bestFit="1" customWidth="1"/>
    <col min="11520" max="11520" width="14.140625" bestFit="1" customWidth="1"/>
    <col min="11521" max="11521" width="15.28515625" customWidth="1"/>
    <col min="11522" max="11522" width="17.71093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16.140625" customWidth="1"/>
    <col min="11529" max="11529" width="16.7109375" bestFit="1" customWidth="1"/>
    <col min="11530" max="11530" width="15.57031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2.42578125" bestFit="1" customWidth="1"/>
    <col min="11773" max="11773" width="16.28515625" bestFit="1" customWidth="1"/>
    <col min="11774" max="11774" width="13.42578125" customWidth="1"/>
    <col min="11775" max="11775" width="15.28515625" bestFit="1" customWidth="1"/>
    <col min="11776" max="11776" width="14.140625" bestFit="1" customWidth="1"/>
    <col min="11777" max="11777" width="15.28515625" customWidth="1"/>
    <col min="11778" max="11778" width="17.71093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16.140625" customWidth="1"/>
    <col min="11785" max="11785" width="16.7109375" bestFit="1" customWidth="1"/>
    <col min="11786" max="11786" width="15.57031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2.42578125" bestFit="1" customWidth="1"/>
    <col min="12029" max="12029" width="16.28515625" bestFit="1" customWidth="1"/>
    <col min="12030" max="12030" width="13.42578125" customWidth="1"/>
    <col min="12031" max="12031" width="15.28515625" bestFit="1" customWidth="1"/>
    <col min="12032" max="12032" width="14.140625" bestFit="1" customWidth="1"/>
    <col min="12033" max="12033" width="15.28515625" customWidth="1"/>
    <col min="12034" max="12034" width="17.71093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16.140625" customWidth="1"/>
    <col min="12041" max="12041" width="16.7109375" bestFit="1" customWidth="1"/>
    <col min="12042" max="12042" width="15.57031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2.42578125" bestFit="1" customWidth="1"/>
    <col min="12285" max="12285" width="16.28515625" bestFit="1" customWidth="1"/>
    <col min="12286" max="12286" width="13.42578125" customWidth="1"/>
    <col min="12287" max="12287" width="15.28515625" bestFit="1" customWidth="1"/>
    <col min="12288" max="12288" width="14.140625" bestFit="1" customWidth="1"/>
    <col min="12289" max="12289" width="15.28515625" customWidth="1"/>
    <col min="12290" max="12290" width="17.71093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16.140625" customWidth="1"/>
    <col min="12297" max="12297" width="16.7109375" bestFit="1" customWidth="1"/>
    <col min="12298" max="12298" width="15.57031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2.42578125" bestFit="1" customWidth="1"/>
    <col min="12541" max="12541" width="16.28515625" bestFit="1" customWidth="1"/>
    <col min="12542" max="12542" width="13.42578125" customWidth="1"/>
    <col min="12543" max="12543" width="15.28515625" bestFit="1" customWidth="1"/>
    <col min="12544" max="12544" width="14.140625" bestFit="1" customWidth="1"/>
    <col min="12545" max="12545" width="15.28515625" customWidth="1"/>
    <col min="12546" max="12546" width="17.71093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16.140625" customWidth="1"/>
    <col min="12553" max="12553" width="16.7109375" bestFit="1" customWidth="1"/>
    <col min="12554" max="12554" width="15.57031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2.42578125" bestFit="1" customWidth="1"/>
    <col min="12797" max="12797" width="16.28515625" bestFit="1" customWidth="1"/>
    <col min="12798" max="12798" width="13.42578125" customWidth="1"/>
    <col min="12799" max="12799" width="15.28515625" bestFit="1" customWidth="1"/>
    <col min="12800" max="12800" width="14.140625" bestFit="1" customWidth="1"/>
    <col min="12801" max="12801" width="15.28515625" customWidth="1"/>
    <col min="12802" max="12802" width="17.71093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16.140625" customWidth="1"/>
    <col min="12809" max="12809" width="16.7109375" bestFit="1" customWidth="1"/>
    <col min="12810" max="12810" width="15.57031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2.42578125" bestFit="1" customWidth="1"/>
    <col min="13053" max="13053" width="16.28515625" bestFit="1" customWidth="1"/>
    <col min="13054" max="13054" width="13.42578125" customWidth="1"/>
    <col min="13055" max="13055" width="15.28515625" bestFit="1" customWidth="1"/>
    <col min="13056" max="13056" width="14.140625" bestFit="1" customWidth="1"/>
    <col min="13057" max="13057" width="15.28515625" customWidth="1"/>
    <col min="13058" max="13058" width="17.71093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16.140625" customWidth="1"/>
    <col min="13065" max="13065" width="16.7109375" bestFit="1" customWidth="1"/>
    <col min="13066" max="13066" width="15.57031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2.42578125" bestFit="1" customWidth="1"/>
    <col min="13309" max="13309" width="16.28515625" bestFit="1" customWidth="1"/>
    <col min="13310" max="13310" width="13.42578125" customWidth="1"/>
    <col min="13311" max="13311" width="15.28515625" bestFit="1" customWidth="1"/>
    <col min="13312" max="13312" width="14.140625" bestFit="1" customWidth="1"/>
    <col min="13313" max="13313" width="15.28515625" customWidth="1"/>
    <col min="13314" max="13314" width="17.71093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16.140625" customWidth="1"/>
    <col min="13321" max="13321" width="16.7109375" bestFit="1" customWidth="1"/>
    <col min="13322" max="13322" width="15.57031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2.42578125" bestFit="1" customWidth="1"/>
    <col min="13565" max="13565" width="16.28515625" bestFit="1" customWidth="1"/>
    <col min="13566" max="13566" width="13.42578125" customWidth="1"/>
    <col min="13567" max="13567" width="15.28515625" bestFit="1" customWidth="1"/>
    <col min="13568" max="13568" width="14.140625" bestFit="1" customWidth="1"/>
    <col min="13569" max="13569" width="15.28515625" customWidth="1"/>
    <col min="13570" max="13570" width="17.71093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16.140625" customWidth="1"/>
    <col min="13577" max="13577" width="16.7109375" bestFit="1" customWidth="1"/>
    <col min="13578" max="13578" width="15.57031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2.42578125" bestFit="1" customWidth="1"/>
    <col min="13821" max="13821" width="16.28515625" bestFit="1" customWidth="1"/>
    <col min="13822" max="13822" width="13.42578125" customWidth="1"/>
    <col min="13823" max="13823" width="15.28515625" bestFit="1" customWidth="1"/>
    <col min="13824" max="13824" width="14.140625" bestFit="1" customWidth="1"/>
    <col min="13825" max="13825" width="15.28515625" customWidth="1"/>
    <col min="13826" max="13826" width="17.71093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16.140625" customWidth="1"/>
    <col min="13833" max="13833" width="16.7109375" bestFit="1" customWidth="1"/>
    <col min="13834" max="13834" width="15.57031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2.42578125" bestFit="1" customWidth="1"/>
    <col min="14077" max="14077" width="16.28515625" bestFit="1" customWidth="1"/>
    <col min="14078" max="14078" width="13.42578125" customWidth="1"/>
    <col min="14079" max="14079" width="15.28515625" bestFit="1" customWidth="1"/>
    <col min="14080" max="14080" width="14.140625" bestFit="1" customWidth="1"/>
    <col min="14081" max="14081" width="15.28515625" customWidth="1"/>
    <col min="14082" max="14082" width="17.71093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16.140625" customWidth="1"/>
    <col min="14089" max="14089" width="16.7109375" bestFit="1" customWidth="1"/>
    <col min="14090" max="14090" width="15.57031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2.42578125" bestFit="1" customWidth="1"/>
    <col min="14333" max="14333" width="16.28515625" bestFit="1" customWidth="1"/>
    <col min="14334" max="14334" width="13.42578125" customWidth="1"/>
    <col min="14335" max="14335" width="15.28515625" bestFit="1" customWidth="1"/>
    <col min="14336" max="14336" width="14.140625" bestFit="1" customWidth="1"/>
    <col min="14337" max="14337" width="15.28515625" customWidth="1"/>
    <col min="14338" max="14338" width="17.71093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16.140625" customWidth="1"/>
    <col min="14345" max="14345" width="16.7109375" bestFit="1" customWidth="1"/>
    <col min="14346" max="14346" width="15.57031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2.42578125" bestFit="1" customWidth="1"/>
    <col min="14589" max="14589" width="16.28515625" bestFit="1" customWidth="1"/>
    <col min="14590" max="14590" width="13.42578125" customWidth="1"/>
    <col min="14591" max="14591" width="15.28515625" bestFit="1" customWidth="1"/>
    <col min="14592" max="14592" width="14.140625" bestFit="1" customWidth="1"/>
    <col min="14593" max="14593" width="15.28515625" customWidth="1"/>
    <col min="14594" max="14594" width="17.71093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16.140625" customWidth="1"/>
    <col min="14601" max="14601" width="16.7109375" bestFit="1" customWidth="1"/>
    <col min="14602" max="14602" width="15.57031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2.42578125" bestFit="1" customWidth="1"/>
    <col min="14845" max="14845" width="16.28515625" bestFit="1" customWidth="1"/>
    <col min="14846" max="14846" width="13.42578125" customWidth="1"/>
    <col min="14847" max="14847" width="15.28515625" bestFit="1" customWidth="1"/>
    <col min="14848" max="14848" width="14.140625" bestFit="1" customWidth="1"/>
    <col min="14849" max="14849" width="15.28515625" customWidth="1"/>
    <col min="14850" max="14850" width="17.71093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16.140625" customWidth="1"/>
    <col min="14857" max="14857" width="16.7109375" bestFit="1" customWidth="1"/>
    <col min="14858" max="14858" width="15.57031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2.42578125" bestFit="1" customWidth="1"/>
    <col min="15101" max="15101" width="16.28515625" bestFit="1" customWidth="1"/>
    <col min="15102" max="15102" width="13.42578125" customWidth="1"/>
    <col min="15103" max="15103" width="15.28515625" bestFit="1" customWidth="1"/>
    <col min="15104" max="15104" width="14.140625" bestFit="1" customWidth="1"/>
    <col min="15105" max="15105" width="15.28515625" customWidth="1"/>
    <col min="15106" max="15106" width="17.71093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16.140625" customWidth="1"/>
    <col min="15113" max="15113" width="16.7109375" bestFit="1" customWidth="1"/>
    <col min="15114" max="15114" width="15.57031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2.42578125" bestFit="1" customWidth="1"/>
    <col min="15357" max="15357" width="16.28515625" bestFit="1" customWidth="1"/>
    <col min="15358" max="15358" width="13.42578125" customWidth="1"/>
    <col min="15359" max="15359" width="15.28515625" bestFit="1" customWidth="1"/>
    <col min="15360" max="15360" width="14.140625" bestFit="1" customWidth="1"/>
    <col min="15361" max="15361" width="15.28515625" customWidth="1"/>
    <col min="15362" max="15362" width="17.71093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16.140625" customWidth="1"/>
    <col min="15369" max="15369" width="16.7109375" bestFit="1" customWidth="1"/>
    <col min="15370" max="15370" width="15.57031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2.42578125" bestFit="1" customWidth="1"/>
    <col min="15613" max="15613" width="16.28515625" bestFit="1" customWidth="1"/>
    <col min="15614" max="15614" width="13.42578125" customWidth="1"/>
    <col min="15615" max="15615" width="15.28515625" bestFit="1" customWidth="1"/>
    <col min="15616" max="15616" width="14.140625" bestFit="1" customWidth="1"/>
    <col min="15617" max="15617" width="15.28515625" customWidth="1"/>
    <col min="15618" max="15618" width="17.71093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16.140625" customWidth="1"/>
    <col min="15625" max="15625" width="16.7109375" bestFit="1" customWidth="1"/>
    <col min="15626" max="15626" width="15.57031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2.42578125" bestFit="1" customWidth="1"/>
    <col min="15869" max="15869" width="16.28515625" bestFit="1" customWidth="1"/>
    <col min="15870" max="15870" width="13.42578125" customWidth="1"/>
    <col min="15871" max="15871" width="15.28515625" bestFit="1" customWidth="1"/>
    <col min="15872" max="15872" width="14.140625" bestFit="1" customWidth="1"/>
    <col min="15873" max="15873" width="15.28515625" customWidth="1"/>
    <col min="15874" max="15874" width="17.71093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16.140625" customWidth="1"/>
    <col min="15881" max="15881" width="16.7109375" bestFit="1" customWidth="1"/>
    <col min="15882" max="15882" width="15.57031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2.42578125" bestFit="1" customWidth="1"/>
    <col min="16125" max="16125" width="16.28515625" bestFit="1" customWidth="1"/>
    <col min="16126" max="16126" width="13.42578125" customWidth="1"/>
    <col min="16127" max="16127" width="15.28515625" bestFit="1" customWidth="1"/>
    <col min="16128" max="16128" width="14.140625" bestFit="1" customWidth="1"/>
    <col min="16129" max="16129" width="15.28515625" customWidth="1"/>
    <col min="16130" max="16130" width="17.71093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16.140625" customWidth="1"/>
    <col min="16137" max="16137" width="16.7109375" bestFit="1" customWidth="1"/>
    <col min="16138" max="16138" width="15.57031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1.75" customHeight="1" thickBot="1">
      <c r="C1" s="1853" t="s">
        <v>293</v>
      </c>
      <c r="D1" s="1812" t="s">
        <v>291</v>
      </c>
      <c r="E1" s="1853" t="s">
        <v>6</v>
      </c>
      <c r="F1" s="1853">
        <v>18230700</v>
      </c>
      <c r="G1" s="1853" t="s">
        <v>31</v>
      </c>
      <c r="J1" s="1812"/>
      <c r="K1" s="1812"/>
      <c r="L1" s="1812"/>
      <c r="M1" s="1853" t="s">
        <v>293</v>
      </c>
      <c r="N1" s="1812" t="s">
        <v>291</v>
      </c>
      <c r="O1" s="1853" t="s">
        <v>6</v>
      </c>
      <c r="P1" s="1853">
        <v>18230700</v>
      </c>
      <c r="Q1" s="1853" t="s">
        <v>31</v>
      </c>
      <c r="V1" s="1853" t="s">
        <v>293</v>
      </c>
      <c r="W1" s="1812" t="s">
        <v>291</v>
      </c>
      <c r="X1" s="1853" t="s">
        <v>6</v>
      </c>
      <c r="Y1" s="1853">
        <v>18230700</v>
      </c>
      <c r="Z1" s="1853" t="s">
        <v>31</v>
      </c>
    </row>
    <row r="2" spans="1:26" ht="16.5" thickBot="1">
      <c r="C2" s="45"/>
      <c r="D2" s="46"/>
      <c r="H2" s="1576" t="s">
        <v>674</v>
      </c>
      <c r="R2" s="3596"/>
      <c r="S2" s="3596"/>
      <c r="T2" s="3597" t="s">
        <v>36</v>
      </c>
      <c r="U2" s="3598"/>
      <c r="V2" s="3599"/>
      <c r="W2" s="3594" t="s">
        <v>37</v>
      </c>
    </row>
    <row r="3" spans="1:26" ht="26.25" thickBot="1">
      <c r="A3" s="1852" t="s">
        <v>293</v>
      </c>
      <c r="B3" s="1852"/>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291</v>
      </c>
      <c r="B4" s="1808"/>
      <c r="C4" s="46"/>
      <c r="G4" s="1704" t="s">
        <v>668</v>
      </c>
      <c r="H4" s="2003">
        <v>19000</v>
      </c>
      <c r="I4" s="2002">
        <v>4500</v>
      </c>
      <c r="J4" s="2002">
        <v>16615</v>
      </c>
      <c r="K4" s="2002">
        <v>25000</v>
      </c>
      <c r="L4" s="2002">
        <v>300</v>
      </c>
      <c r="M4" s="2002">
        <v>10000</v>
      </c>
      <c r="N4" s="2002">
        <v>500</v>
      </c>
      <c r="O4" s="2002">
        <v>300</v>
      </c>
      <c r="P4" s="2002">
        <v>310900</v>
      </c>
      <c r="Q4" s="2002">
        <v>0</v>
      </c>
      <c r="R4" s="2000">
        <v>387115</v>
      </c>
      <c r="S4" s="1998" t="s">
        <v>685</v>
      </c>
      <c r="T4" s="65">
        <f>P4/R4</f>
        <v>0.80312051974219545</v>
      </c>
      <c r="U4" s="65">
        <f>(K4+(I4*1.63))/R4</f>
        <v>8.3528150549578295E-2</v>
      </c>
      <c r="V4" s="65">
        <f>M4/R4</f>
        <v>2.5832117071154567E-2</v>
      </c>
      <c r="W4" s="52"/>
    </row>
    <row r="5" spans="1:26" ht="16.5" thickBot="1">
      <c r="A5" s="1852" t="s">
        <v>6</v>
      </c>
      <c r="B5" s="1852"/>
      <c r="C5" s="45"/>
      <c r="G5" s="45">
        <v>2016</v>
      </c>
      <c r="H5" s="1582">
        <f>D15</f>
        <v>14825.279999999999</v>
      </c>
      <c r="I5" s="1549">
        <f>D21</f>
        <v>1600</v>
      </c>
      <c r="J5" s="1549">
        <f>D27</f>
        <v>10955.661760000001</v>
      </c>
      <c r="K5" s="1549">
        <f>D34</f>
        <v>103450.42</v>
      </c>
      <c r="L5" s="1549">
        <f>D40</f>
        <v>300</v>
      </c>
      <c r="M5" s="1549">
        <f>D46</f>
        <v>20000</v>
      </c>
      <c r="N5" s="1549">
        <f>D52</f>
        <v>500</v>
      </c>
      <c r="O5" s="1549">
        <f>D58</f>
        <v>300</v>
      </c>
      <c r="P5" s="1549">
        <f>D64</f>
        <v>377391</v>
      </c>
      <c r="Q5" s="1549">
        <f>D67</f>
        <v>0</v>
      </c>
      <c r="R5" s="2001">
        <f>SUM(H5:Q5)</f>
        <v>529322.36176</v>
      </c>
      <c r="S5" s="2042">
        <f>T15</f>
        <v>326630.76</v>
      </c>
      <c r="T5" s="66">
        <f>P5/R5</f>
        <v>0.71297006751268299</v>
      </c>
      <c r="U5" s="66">
        <f>(K5+(I5*1.63))/R5</f>
        <v>0.20036640743337411</v>
      </c>
      <c r="V5" s="66">
        <f>M5/R5</f>
        <v>3.7784158472919757E-2</v>
      </c>
      <c r="W5" s="56">
        <f>R5/S5</f>
        <v>1.6205527053238953</v>
      </c>
    </row>
    <row r="6" spans="1:26" ht="16.5" thickBot="1">
      <c r="A6" s="1852">
        <v>18230700</v>
      </c>
      <c r="B6" s="1852"/>
      <c r="D6" s="45"/>
      <c r="G6" s="45">
        <v>2017</v>
      </c>
      <c r="H6" s="57">
        <f>E15</f>
        <v>15195.839999999998</v>
      </c>
      <c r="I6" s="1990">
        <f>E21</f>
        <v>1640</v>
      </c>
      <c r="J6" s="1989">
        <f>E27</f>
        <v>11448.3712</v>
      </c>
      <c r="K6" s="58">
        <f>E34</f>
        <v>103450.43</v>
      </c>
      <c r="L6" s="58">
        <f>E40</f>
        <v>300</v>
      </c>
      <c r="M6" s="58">
        <f>E46</f>
        <v>20000</v>
      </c>
      <c r="N6" s="58">
        <f>E52</f>
        <v>500</v>
      </c>
      <c r="O6" s="58">
        <f>E58</f>
        <v>300</v>
      </c>
      <c r="P6" s="58">
        <f>E64</f>
        <v>377391</v>
      </c>
      <c r="Q6" s="58">
        <f>E67</f>
        <v>0</v>
      </c>
      <c r="R6" s="1997">
        <f>SUM(H6:Q6)</f>
        <v>530225.64119999995</v>
      </c>
      <c r="S6" s="2043">
        <f>U15</f>
        <v>326630.76</v>
      </c>
      <c r="T6" s="66">
        <f>P6/R6</f>
        <v>0.71175546913554288</v>
      </c>
      <c r="U6" s="66">
        <f>(K6+(I6*1.63))/R6</f>
        <v>0.20014805349628573</v>
      </c>
      <c r="V6" s="66">
        <f>M6/R6</f>
        <v>3.771979030424906E-2</v>
      </c>
      <c r="W6" s="56">
        <f>R6/S6</f>
        <v>1.6233181504399645</v>
      </c>
    </row>
    <row r="7" spans="1:26" ht="16.5" thickBot="1">
      <c r="A7" s="1852" t="s">
        <v>31</v>
      </c>
      <c r="B7" s="1808"/>
      <c r="C7" s="1866"/>
      <c r="D7" s="1592"/>
      <c r="E7" s="1867"/>
      <c r="F7" s="1866"/>
      <c r="G7" s="1608" t="s">
        <v>23</v>
      </c>
      <c r="H7" s="1564">
        <f>SUM(H5:H6)</f>
        <v>30021.119999999995</v>
      </c>
      <c r="I7" s="1991">
        <f t="shared" ref="I7:Q7" si="0">SUM(I5:I6)</f>
        <v>3240</v>
      </c>
      <c r="J7" s="1992">
        <f t="shared" si="0"/>
        <v>22404.03296</v>
      </c>
      <c r="K7" s="1993">
        <f t="shared" si="0"/>
        <v>206900.84999999998</v>
      </c>
      <c r="L7" s="1991">
        <f t="shared" si="0"/>
        <v>600</v>
      </c>
      <c r="M7" s="1992">
        <f t="shared" si="0"/>
        <v>40000</v>
      </c>
      <c r="N7" s="1991">
        <f t="shared" si="0"/>
        <v>1000</v>
      </c>
      <c r="O7" s="1992">
        <f t="shared" si="0"/>
        <v>600</v>
      </c>
      <c r="P7" s="1993">
        <f t="shared" si="0"/>
        <v>754782</v>
      </c>
      <c r="Q7" s="1991">
        <f t="shared" si="0"/>
        <v>0</v>
      </c>
      <c r="R7" s="1993">
        <f>SUM(H7:Q7)</f>
        <v>1059548.00296</v>
      </c>
      <c r="S7" s="2600">
        <f>SUM(S5:S6)</f>
        <v>653261.52</v>
      </c>
      <c r="T7" s="66">
        <f>P7/R7</f>
        <v>0.71236225059309044</v>
      </c>
      <c r="U7" s="66">
        <f>(K7+(I7*1.63))/R7</f>
        <v>0.20025713738994258</v>
      </c>
      <c r="V7" s="66">
        <f>M7/R7</f>
        <v>3.7751946951203944E-2</v>
      </c>
      <c r="W7" s="56">
        <f>R7/S7</f>
        <v>1.62193542788193</v>
      </c>
    </row>
    <row r="8" spans="1:26" ht="15.75">
      <c r="B8" s="1852"/>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529322.36176</v>
      </c>
      <c r="E12" s="1948">
        <f>E15+E21+E27+E34+E40+E46+E52+E58+E64</f>
        <v>530225.64119999995</v>
      </c>
      <c r="F12" s="1924">
        <f>D12+E12</f>
        <v>1059548.00296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14825.279999999999</v>
      </c>
      <c r="E15" s="1926">
        <f>SUM(E16:E19)</f>
        <v>15195.839999999998</v>
      </c>
      <c r="F15" s="1924">
        <f>D15+E15</f>
        <v>30021.119999999995</v>
      </c>
      <c r="H15" s="1938" t="s">
        <v>327</v>
      </c>
      <c r="I15" s="1939"/>
      <c r="J15" s="1939"/>
      <c r="K15" s="1940"/>
      <c r="L15" s="1941">
        <f>SUMPRODUCT(L16:L179,S16:S179)</f>
        <v>2879232</v>
      </c>
      <c r="M15" s="1941">
        <f>SUM(M16:M179)</f>
        <v>120.6</v>
      </c>
      <c r="N15" s="1942"/>
      <c r="O15" s="3112">
        <f>IFERROR(ROUND(SUMPRODUCT(O16:O165,V16:V165)/V15,0),"N/A")</f>
        <v>10</v>
      </c>
      <c r="P15" s="1940"/>
      <c r="Q15" s="1940"/>
      <c r="R15" s="1940"/>
      <c r="S15" s="1940"/>
      <c r="T15" s="1943">
        <f t="shared" ref="T15:Y15" si="1">SUM(T16:T65)</f>
        <v>326630.76</v>
      </c>
      <c r="U15" s="1943">
        <f t="shared" si="1"/>
        <v>326630.76</v>
      </c>
      <c r="V15" s="1943">
        <f t="shared" si="1"/>
        <v>653261.52</v>
      </c>
      <c r="W15" s="1941">
        <f t="shared" si="1"/>
        <v>377391</v>
      </c>
      <c r="X15" s="1941">
        <f t="shared" si="1"/>
        <v>377391</v>
      </c>
      <c r="Y15" s="1941">
        <f t="shared" si="1"/>
        <v>754782</v>
      </c>
      <c r="Z15" s="1945">
        <v>0</v>
      </c>
    </row>
    <row r="16" spans="1:26">
      <c r="B16" s="1885">
        <v>0.09</v>
      </c>
      <c r="C16" s="1876" t="s">
        <v>793</v>
      </c>
      <c r="D16" s="1907">
        <v>9265.7999999999993</v>
      </c>
      <c r="E16" s="1906">
        <v>9497.4</v>
      </c>
      <c r="F16" s="1879">
        <f>SUM(D16:E16)</f>
        <v>18763.199999999997</v>
      </c>
      <c r="H16" s="2601" t="s">
        <v>1687</v>
      </c>
      <c r="I16" s="2927">
        <v>8.06</v>
      </c>
      <c r="J16" s="1932" t="s">
        <v>81</v>
      </c>
      <c r="K16" s="1922" t="s">
        <v>909</v>
      </c>
      <c r="L16" s="1929">
        <v>30</v>
      </c>
      <c r="M16" s="1929">
        <v>10</v>
      </c>
      <c r="N16" s="1923">
        <v>0</v>
      </c>
      <c r="O16" s="1922">
        <v>10</v>
      </c>
      <c r="P16" s="1925" t="s">
        <v>910</v>
      </c>
      <c r="Q16" s="1928">
        <v>1000</v>
      </c>
      <c r="R16" s="1928">
        <v>1000</v>
      </c>
      <c r="S16" s="1931">
        <f>SUM(Q16:R16)</f>
        <v>2000</v>
      </c>
      <c r="T16" s="1931">
        <f>Q16*I16</f>
        <v>8060.0000000000009</v>
      </c>
      <c r="U16" s="1931">
        <f>R16*I16</f>
        <v>8060.0000000000009</v>
      </c>
      <c r="V16" s="1931">
        <f>SUM(T16:U16)</f>
        <v>16120.000000000002</v>
      </c>
      <c r="W16" s="1921">
        <f>Q16*M16</f>
        <v>10000</v>
      </c>
      <c r="X16" s="1921">
        <f>R16*M16</f>
        <v>10000</v>
      </c>
      <c r="Y16" s="1921">
        <f>SUM(W16:X16)</f>
        <v>20000</v>
      </c>
      <c r="Z16" s="1946">
        <v>18.010000000000002</v>
      </c>
    </row>
    <row r="17" spans="2:26">
      <c r="B17" s="1885">
        <v>0.03</v>
      </c>
      <c r="C17" s="1876" t="s">
        <v>794</v>
      </c>
      <c r="D17" s="1905">
        <v>2779.74</v>
      </c>
      <c r="E17" s="1904">
        <v>2849.22</v>
      </c>
      <c r="F17" s="1879">
        <f t="shared" ref="F17:F19" si="2">SUM(D17:E17)</f>
        <v>5628.9599999999991</v>
      </c>
      <c r="H17" s="2601" t="s">
        <v>911</v>
      </c>
      <c r="I17" s="2927">
        <v>5</v>
      </c>
      <c r="J17" s="1932" t="s">
        <v>81</v>
      </c>
      <c r="K17" s="1922" t="s">
        <v>909</v>
      </c>
      <c r="L17" s="1929">
        <v>24</v>
      </c>
      <c r="M17" s="1929">
        <v>3.5</v>
      </c>
      <c r="N17" s="1923">
        <v>1.6977144688734239E-2</v>
      </c>
      <c r="O17" s="1922">
        <v>10</v>
      </c>
      <c r="P17" s="1925" t="s">
        <v>910</v>
      </c>
      <c r="Q17" s="1928">
        <v>4000</v>
      </c>
      <c r="R17" s="1928">
        <v>4000</v>
      </c>
      <c r="S17" s="1931">
        <f t="shared" ref="S17:S22" si="3">SUM(Q17:R17)</f>
        <v>8000</v>
      </c>
      <c r="T17" s="1931">
        <f t="shared" ref="T17:T22" si="4">Q17*I17</f>
        <v>20000</v>
      </c>
      <c r="U17" s="1931">
        <f t="shared" ref="U17:U22" si="5">R17*I17</f>
        <v>20000</v>
      </c>
      <c r="V17" s="1931">
        <f t="shared" ref="V17:V22" si="6">SUM(T17:U17)</f>
        <v>40000</v>
      </c>
      <c r="W17" s="1921">
        <f t="shared" ref="W17:W22" si="7">Q17*M17</f>
        <v>14000</v>
      </c>
      <c r="X17" s="1921">
        <f t="shared" ref="X17:X22" si="8">R17*M17</f>
        <v>14000</v>
      </c>
      <c r="Y17" s="1921">
        <f t="shared" ref="Y17:Y22" si="9">SUM(W17:X17)</f>
        <v>28000</v>
      </c>
      <c r="Z17" s="1946">
        <v>10.26</v>
      </c>
    </row>
    <row r="18" spans="2:26">
      <c r="B18" s="1885">
        <v>0.03</v>
      </c>
      <c r="C18" s="2197" t="s">
        <v>791</v>
      </c>
      <c r="D18" s="1905">
        <v>2779.74</v>
      </c>
      <c r="E18" s="1904">
        <v>2849.22</v>
      </c>
      <c r="F18" s="1879">
        <f t="shared" si="2"/>
        <v>5628.9599999999991</v>
      </c>
      <c r="H18" s="2601" t="s">
        <v>912</v>
      </c>
      <c r="I18" s="2927">
        <v>10.199999999999999</v>
      </c>
      <c r="J18" s="1932" t="s">
        <v>81</v>
      </c>
      <c r="K18" s="1922" t="s">
        <v>909</v>
      </c>
      <c r="L18" s="1929">
        <v>24</v>
      </c>
      <c r="M18" s="1929">
        <v>10</v>
      </c>
      <c r="N18" s="1923">
        <v>8.312010039604284E-2</v>
      </c>
      <c r="O18" s="1922">
        <v>10</v>
      </c>
      <c r="P18" s="1925" t="s">
        <v>910</v>
      </c>
      <c r="Q18" s="1928">
        <v>4000</v>
      </c>
      <c r="R18" s="1928">
        <v>4000</v>
      </c>
      <c r="S18" s="1931">
        <f t="shared" si="3"/>
        <v>8000</v>
      </c>
      <c r="T18" s="1931">
        <f t="shared" si="4"/>
        <v>40800</v>
      </c>
      <c r="U18" s="1931">
        <f t="shared" si="5"/>
        <v>40800</v>
      </c>
      <c r="V18" s="1931">
        <f t="shared" si="6"/>
        <v>81600</v>
      </c>
      <c r="W18" s="1921">
        <f t="shared" si="7"/>
        <v>40000</v>
      </c>
      <c r="X18" s="1921">
        <f t="shared" si="8"/>
        <v>40000</v>
      </c>
      <c r="Y18" s="1921">
        <f t="shared" si="9"/>
        <v>80000</v>
      </c>
      <c r="Z18" s="1946">
        <v>18.91</v>
      </c>
    </row>
    <row r="19" spans="2:26">
      <c r="B19" s="1885"/>
      <c r="C19" s="1876"/>
      <c r="D19" s="1903"/>
      <c r="E19" s="1902"/>
      <c r="F19" s="1879">
        <f t="shared" si="2"/>
        <v>0</v>
      </c>
      <c r="H19" s="2601" t="s">
        <v>913</v>
      </c>
      <c r="I19" s="2927">
        <v>7.9</v>
      </c>
      <c r="J19" s="1932" t="s">
        <v>81</v>
      </c>
      <c r="K19" s="1922" t="s">
        <v>909</v>
      </c>
      <c r="L19" s="1929">
        <v>24</v>
      </c>
      <c r="M19" s="1929">
        <v>10</v>
      </c>
      <c r="N19" s="1923">
        <v>6.9742110381320254E-3</v>
      </c>
      <c r="O19" s="1922">
        <v>10</v>
      </c>
      <c r="P19" s="1925" t="s">
        <v>910</v>
      </c>
      <c r="Q19" s="1928">
        <v>3000</v>
      </c>
      <c r="R19" s="1928">
        <v>3000</v>
      </c>
      <c r="S19" s="1931">
        <f t="shared" si="3"/>
        <v>6000</v>
      </c>
      <c r="T19" s="1931">
        <f t="shared" si="4"/>
        <v>23700</v>
      </c>
      <c r="U19" s="1931">
        <f t="shared" si="5"/>
        <v>23700</v>
      </c>
      <c r="V19" s="1931">
        <f t="shared" si="6"/>
        <v>47400</v>
      </c>
      <c r="W19" s="1921">
        <f t="shared" si="7"/>
        <v>30000</v>
      </c>
      <c r="X19" s="1921">
        <f t="shared" si="8"/>
        <v>30000</v>
      </c>
      <c r="Y19" s="1921">
        <f t="shared" si="9"/>
        <v>60000</v>
      </c>
      <c r="Z19" s="1946">
        <v>14.89</v>
      </c>
    </row>
    <row r="20" spans="2:26">
      <c r="B20" s="2926">
        <f>SUM(B16:B19)</f>
        <v>0.15</v>
      </c>
      <c r="C20" s="1952"/>
      <c r="D20" s="1954"/>
      <c r="E20" s="1955"/>
      <c r="F20" s="1957"/>
      <c r="H20" s="2601" t="s">
        <v>914</v>
      </c>
      <c r="I20" s="2927">
        <v>5.3</v>
      </c>
      <c r="J20" s="1932" t="s">
        <v>81</v>
      </c>
      <c r="K20" s="1922" t="s">
        <v>909</v>
      </c>
      <c r="L20" s="1929">
        <v>24</v>
      </c>
      <c r="M20" s="1929">
        <v>10</v>
      </c>
      <c r="N20" s="1923">
        <v>4.5349348892546899E-3</v>
      </c>
      <c r="O20" s="1922">
        <v>10</v>
      </c>
      <c r="P20" s="1925" t="s">
        <v>910</v>
      </c>
      <c r="Q20" s="1928">
        <v>2600</v>
      </c>
      <c r="R20" s="1928">
        <v>2600</v>
      </c>
      <c r="S20" s="1931">
        <f t="shared" si="3"/>
        <v>5200</v>
      </c>
      <c r="T20" s="1931">
        <f t="shared" si="4"/>
        <v>13780</v>
      </c>
      <c r="U20" s="1931">
        <f t="shared" si="5"/>
        <v>13780</v>
      </c>
      <c r="V20" s="1931">
        <f t="shared" si="6"/>
        <v>27560</v>
      </c>
      <c r="W20" s="1921">
        <f t="shared" si="7"/>
        <v>26000</v>
      </c>
      <c r="X20" s="1921">
        <f t="shared" si="8"/>
        <v>26000</v>
      </c>
      <c r="Y20" s="1921">
        <f t="shared" si="9"/>
        <v>52000</v>
      </c>
      <c r="Z20" s="1946">
        <v>10.17</v>
      </c>
    </row>
    <row r="21" spans="2:26">
      <c r="C21" s="1910" t="s">
        <v>47</v>
      </c>
      <c r="D21" s="1911">
        <f>SUM(D22:D25)</f>
        <v>1600</v>
      </c>
      <c r="E21" s="1926">
        <f>SUM(E22:E25)</f>
        <v>1640</v>
      </c>
      <c r="F21" s="2157">
        <f>D21+E21</f>
        <v>3240</v>
      </c>
      <c r="H21" s="2601" t="s">
        <v>915</v>
      </c>
      <c r="I21" s="2927">
        <v>5.0999999999999996</v>
      </c>
      <c r="J21" s="1932" t="s">
        <v>81</v>
      </c>
      <c r="K21" s="1922" t="s">
        <v>909</v>
      </c>
      <c r="L21" s="1929">
        <v>24</v>
      </c>
      <c r="M21" s="1929">
        <v>4</v>
      </c>
      <c r="N21" s="1923">
        <v>0.57145069022279449</v>
      </c>
      <c r="O21" s="1922">
        <v>10</v>
      </c>
      <c r="P21" s="1925" t="s">
        <v>910</v>
      </c>
      <c r="Q21" s="1928">
        <v>16750</v>
      </c>
      <c r="R21" s="1928">
        <v>16750</v>
      </c>
      <c r="S21" s="1931">
        <f t="shared" si="3"/>
        <v>33500</v>
      </c>
      <c r="T21" s="1931">
        <f t="shared" si="4"/>
        <v>85425</v>
      </c>
      <c r="U21" s="1931">
        <f t="shared" si="5"/>
        <v>85425</v>
      </c>
      <c r="V21" s="1931">
        <f t="shared" si="6"/>
        <v>170850</v>
      </c>
      <c r="W21" s="1921">
        <f t="shared" si="7"/>
        <v>67000</v>
      </c>
      <c r="X21" s="1921">
        <f t="shared" si="8"/>
        <v>67000</v>
      </c>
      <c r="Y21" s="1921">
        <f t="shared" si="9"/>
        <v>134000</v>
      </c>
      <c r="Z21" s="1946">
        <v>9.4499999999999993</v>
      </c>
    </row>
    <row r="22" spans="2:26">
      <c r="C22" s="1876" t="s">
        <v>885</v>
      </c>
      <c r="D22" s="1907">
        <v>800</v>
      </c>
      <c r="E22" s="1906">
        <v>820</v>
      </c>
      <c r="F22" s="1879">
        <f t="shared" ref="F22:F25" si="10">SUM(D22:E22)</f>
        <v>1620</v>
      </c>
      <c r="H22" s="2601" t="s">
        <v>916</v>
      </c>
      <c r="I22" s="2927">
        <v>3.9</v>
      </c>
      <c r="J22" s="1932" t="s">
        <v>81</v>
      </c>
      <c r="K22" s="1922" t="s">
        <v>909</v>
      </c>
      <c r="L22" s="1929">
        <v>24</v>
      </c>
      <c r="M22" s="1929">
        <v>4</v>
      </c>
      <c r="N22" s="1923">
        <v>5.2968691428850828E-2</v>
      </c>
      <c r="O22" s="1922">
        <v>10</v>
      </c>
      <c r="P22" s="1925" t="s">
        <v>910</v>
      </c>
      <c r="Q22" s="1928">
        <v>4000</v>
      </c>
      <c r="R22" s="1928">
        <v>4000</v>
      </c>
      <c r="S22" s="1931">
        <f t="shared" si="3"/>
        <v>8000</v>
      </c>
      <c r="T22" s="1931">
        <f t="shared" si="4"/>
        <v>15600</v>
      </c>
      <c r="U22" s="1931">
        <f t="shared" si="5"/>
        <v>15600</v>
      </c>
      <c r="V22" s="1931">
        <f t="shared" si="6"/>
        <v>31200</v>
      </c>
      <c r="W22" s="1921">
        <f t="shared" si="7"/>
        <v>16000</v>
      </c>
      <c r="X22" s="1921">
        <f t="shared" si="8"/>
        <v>16000</v>
      </c>
      <c r="Y22" s="1921">
        <f t="shared" si="9"/>
        <v>32000</v>
      </c>
      <c r="Z22" s="1946">
        <v>7.44</v>
      </c>
    </row>
    <row r="23" spans="2:26">
      <c r="C23" s="1876" t="s">
        <v>886</v>
      </c>
      <c r="D23" s="2201">
        <v>800</v>
      </c>
      <c r="E23" s="2200">
        <v>820</v>
      </c>
      <c r="F23" s="1879">
        <f t="shared" si="10"/>
        <v>1620</v>
      </c>
      <c r="H23" s="1922" t="s">
        <v>917</v>
      </c>
      <c r="I23" s="2927">
        <v>2.6</v>
      </c>
      <c r="J23" s="1932" t="s">
        <v>81</v>
      </c>
      <c r="K23" s="1922" t="s">
        <v>909</v>
      </c>
      <c r="L23" s="1929">
        <v>24</v>
      </c>
      <c r="M23" s="1929">
        <v>4</v>
      </c>
      <c r="N23" s="1923">
        <v>0.12359361333398526</v>
      </c>
      <c r="O23" s="1922">
        <v>10</v>
      </c>
      <c r="P23" s="1925" t="s">
        <v>910</v>
      </c>
      <c r="Q23" s="1928">
        <v>8000</v>
      </c>
      <c r="R23" s="1928">
        <v>8000</v>
      </c>
      <c r="S23" s="1931">
        <f t="shared" ref="S23:S37" si="11">SUM(Q23:R23)</f>
        <v>16000</v>
      </c>
      <c r="T23" s="1931">
        <f t="shared" ref="T23:T37" si="12">Q23*I23</f>
        <v>20800</v>
      </c>
      <c r="U23" s="1931">
        <f t="shared" ref="U23:U37" si="13">R23*I23</f>
        <v>20800</v>
      </c>
      <c r="V23" s="1931">
        <f t="shared" ref="V23:V37" si="14">SUM(T23:U23)</f>
        <v>41600</v>
      </c>
      <c r="W23" s="1921">
        <f t="shared" ref="W23:W37" si="15">Q23*M23</f>
        <v>32000</v>
      </c>
      <c r="X23" s="1921">
        <f t="shared" ref="X23:X37" si="16">R23*M23</f>
        <v>32000</v>
      </c>
      <c r="Y23" s="1921">
        <f t="shared" ref="Y23:Y37" si="17">SUM(W23:X23)</f>
        <v>64000</v>
      </c>
      <c r="Z23" s="1946">
        <v>5.08</v>
      </c>
    </row>
    <row r="24" spans="2:26">
      <c r="C24" s="1876"/>
      <c r="D24" s="1898"/>
      <c r="E24" s="1897"/>
      <c r="F24" s="1879">
        <f t="shared" si="10"/>
        <v>0</v>
      </c>
      <c r="H24" s="1922" t="s">
        <v>918</v>
      </c>
      <c r="I24" s="2927">
        <v>5.31</v>
      </c>
      <c r="J24" s="1932" t="s">
        <v>81</v>
      </c>
      <c r="K24" s="1922" t="s">
        <v>909</v>
      </c>
      <c r="L24" s="1929">
        <v>24</v>
      </c>
      <c r="M24" s="1929">
        <v>10</v>
      </c>
      <c r="N24" s="1923">
        <v>1.8029727659435763E-3</v>
      </c>
      <c r="O24" s="1922">
        <v>10</v>
      </c>
      <c r="P24" s="1925" t="s">
        <v>910</v>
      </c>
      <c r="Q24" s="1928">
        <v>3000</v>
      </c>
      <c r="R24" s="1928">
        <v>3000</v>
      </c>
      <c r="S24" s="1931">
        <f t="shared" si="11"/>
        <v>6000</v>
      </c>
      <c r="T24" s="1931">
        <f t="shared" si="12"/>
        <v>15929.999999999998</v>
      </c>
      <c r="U24" s="1931">
        <f t="shared" si="13"/>
        <v>15929.999999999998</v>
      </c>
      <c r="V24" s="1931">
        <f t="shared" si="14"/>
        <v>31859.999999999996</v>
      </c>
      <c r="W24" s="1921">
        <f t="shared" si="15"/>
        <v>30000</v>
      </c>
      <c r="X24" s="1921">
        <f t="shared" si="16"/>
        <v>30000</v>
      </c>
      <c r="Y24" s="1921">
        <f t="shared" si="17"/>
        <v>60000</v>
      </c>
      <c r="Z24" s="1946">
        <v>18.91</v>
      </c>
    </row>
    <row r="25" spans="2:26">
      <c r="C25" s="1876"/>
      <c r="D25" s="1896"/>
      <c r="E25" s="1899"/>
      <c r="F25" s="1879">
        <f t="shared" si="10"/>
        <v>0</v>
      </c>
      <c r="H25" s="1922" t="s">
        <v>919</v>
      </c>
      <c r="I25" s="2927">
        <v>4.0999999999999996</v>
      </c>
      <c r="J25" s="1932" t="s">
        <v>81</v>
      </c>
      <c r="K25" s="1922" t="s">
        <v>909</v>
      </c>
      <c r="L25" s="1929">
        <v>24</v>
      </c>
      <c r="M25" s="1929">
        <v>10</v>
      </c>
      <c r="N25" s="1923">
        <v>1.3921258644762075E-3</v>
      </c>
      <c r="O25" s="1922">
        <v>10</v>
      </c>
      <c r="P25" s="1925" t="s">
        <v>910</v>
      </c>
      <c r="Q25" s="1928">
        <v>3000</v>
      </c>
      <c r="R25" s="1928">
        <v>3000</v>
      </c>
      <c r="S25" s="1931">
        <f t="shared" si="11"/>
        <v>6000</v>
      </c>
      <c r="T25" s="1931">
        <f t="shared" si="12"/>
        <v>12299.999999999998</v>
      </c>
      <c r="U25" s="1931">
        <f t="shared" si="13"/>
        <v>12299.999999999998</v>
      </c>
      <c r="V25" s="1931">
        <f t="shared" si="14"/>
        <v>24599.999999999996</v>
      </c>
      <c r="W25" s="1921">
        <f t="shared" si="15"/>
        <v>30000</v>
      </c>
      <c r="X25" s="1921">
        <f t="shared" si="16"/>
        <v>30000</v>
      </c>
      <c r="Y25" s="1921">
        <f t="shared" si="17"/>
        <v>60000</v>
      </c>
      <c r="Z25" s="1946">
        <v>14.89</v>
      </c>
    </row>
    <row r="26" spans="2:26">
      <c r="C26" s="1877"/>
      <c r="D26" s="1892"/>
      <c r="E26" s="1884"/>
      <c r="F26" s="1892"/>
      <c r="H26" s="1922" t="s">
        <v>920</v>
      </c>
      <c r="I26" s="2927">
        <v>2.74</v>
      </c>
      <c r="J26" s="1932" t="s">
        <v>81</v>
      </c>
      <c r="K26" s="1922" t="s">
        <v>909</v>
      </c>
      <c r="L26" s="1929">
        <v>24</v>
      </c>
      <c r="M26" s="1929">
        <v>10</v>
      </c>
      <c r="N26" s="1923">
        <v>9.3034752894263632E-4</v>
      </c>
      <c r="O26" s="1922">
        <v>10</v>
      </c>
      <c r="P26" s="1925" t="s">
        <v>910</v>
      </c>
      <c r="Q26" s="1928">
        <v>3000</v>
      </c>
      <c r="R26" s="1928">
        <v>3000</v>
      </c>
      <c r="S26" s="1931">
        <f t="shared" si="11"/>
        <v>6000</v>
      </c>
      <c r="T26" s="1931">
        <f t="shared" si="12"/>
        <v>8220</v>
      </c>
      <c r="U26" s="1931">
        <f t="shared" si="13"/>
        <v>8220</v>
      </c>
      <c r="V26" s="1931">
        <f t="shared" si="14"/>
        <v>16440</v>
      </c>
      <c r="W26" s="1921">
        <f t="shared" si="15"/>
        <v>30000</v>
      </c>
      <c r="X26" s="1921">
        <f t="shared" si="16"/>
        <v>30000</v>
      </c>
      <c r="Y26" s="1921">
        <f t="shared" si="17"/>
        <v>60000</v>
      </c>
      <c r="Z26" s="1946">
        <v>10.17</v>
      </c>
    </row>
    <row r="27" spans="2:26">
      <c r="C27" s="1910" t="s">
        <v>48</v>
      </c>
      <c r="D27" s="1911">
        <f>SUM(D29:D32)</f>
        <v>10955.661760000001</v>
      </c>
      <c r="E27" s="1926">
        <f>SUM(E29:E32)</f>
        <v>11448.3712</v>
      </c>
      <c r="F27" s="2157">
        <f>D27+E27</f>
        <v>22404.03296</v>
      </c>
      <c r="H27" s="1922" t="s">
        <v>921</v>
      </c>
      <c r="I27" s="2927">
        <v>13.67</v>
      </c>
      <c r="J27" s="1932" t="s">
        <v>81</v>
      </c>
      <c r="K27" s="1922" t="s">
        <v>909</v>
      </c>
      <c r="L27" s="1929">
        <v>40</v>
      </c>
      <c r="M27" s="1929">
        <v>10</v>
      </c>
      <c r="N27" s="1923">
        <v>0</v>
      </c>
      <c r="O27" s="1922">
        <v>10</v>
      </c>
      <c r="P27" s="1925" t="s">
        <v>910</v>
      </c>
      <c r="Q27" s="1928">
        <v>2250</v>
      </c>
      <c r="R27" s="1928">
        <v>2250</v>
      </c>
      <c r="S27" s="1931">
        <f t="shared" si="11"/>
        <v>4500</v>
      </c>
      <c r="T27" s="1931">
        <f t="shared" si="12"/>
        <v>30757.5</v>
      </c>
      <c r="U27" s="1931">
        <f t="shared" si="13"/>
        <v>30757.5</v>
      </c>
      <c r="V27" s="1931">
        <f t="shared" si="14"/>
        <v>61515</v>
      </c>
      <c r="W27" s="1921">
        <f t="shared" si="15"/>
        <v>22500</v>
      </c>
      <c r="X27" s="1921">
        <f t="shared" si="16"/>
        <v>22500</v>
      </c>
      <c r="Y27" s="1921">
        <f t="shared" si="17"/>
        <v>45000</v>
      </c>
      <c r="Z27" s="1946">
        <v>18.91</v>
      </c>
    </row>
    <row r="28" spans="2:26">
      <c r="C28" s="1909" t="s">
        <v>315</v>
      </c>
      <c r="D28" s="1912">
        <v>0.66700000000000004</v>
      </c>
      <c r="E28" s="1913">
        <v>0.68</v>
      </c>
      <c r="F28" s="1949"/>
      <c r="H28" s="1922" t="s">
        <v>1688</v>
      </c>
      <c r="I28" s="2927">
        <v>4.95</v>
      </c>
      <c r="J28" s="1932" t="s">
        <v>241</v>
      </c>
      <c r="K28" s="1922"/>
      <c r="L28" s="1929">
        <v>15</v>
      </c>
      <c r="M28" s="1929">
        <v>3.5</v>
      </c>
      <c r="N28" s="1923" t="s">
        <v>241</v>
      </c>
      <c r="O28" s="1922"/>
      <c r="P28" s="1925"/>
      <c r="Q28" s="1928">
        <v>400</v>
      </c>
      <c r="R28" s="1928">
        <v>400</v>
      </c>
      <c r="S28" s="1931">
        <f t="shared" si="11"/>
        <v>800</v>
      </c>
      <c r="T28" s="1931">
        <f t="shared" si="12"/>
        <v>1980</v>
      </c>
      <c r="U28" s="1931">
        <f t="shared" si="13"/>
        <v>1980</v>
      </c>
      <c r="V28" s="1931">
        <f t="shared" si="14"/>
        <v>3960</v>
      </c>
      <c r="W28" s="1921">
        <f t="shared" si="15"/>
        <v>1400</v>
      </c>
      <c r="X28" s="1921">
        <f t="shared" si="16"/>
        <v>1400</v>
      </c>
      <c r="Y28" s="1921">
        <f t="shared" si="17"/>
        <v>2800</v>
      </c>
      <c r="Z28" s="1946"/>
    </row>
    <row r="29" spans="2:26">
      <c r="C29" s="1876" t="s">
        <v>778</v>
      </c>
      <c r="D29" s="1971">
        <f>D15*D28</f>
        <v>9888.4617600000001</v>
      </c>
      <c r="E29" s="1972">
        <f>E15*E28</f>
        <v>10333.171199999999</v>
      </c>
      <c r="F29" s="1879">
        <f t="shared" ref="F29:F32" si="18">SUM(D29:E29)</f>
        <v>20221.632959999999</v>
      </c>
      <c r="H29" s="1922" t="s">
        <v>1689</v>
      </c>
      <c r="I29" s="2927">
        <v>8.39</v>
      </c>
      <c r="J29" s="1932" t="s">
        <v>241</v>
      </c>
      <c r="K29" s="1922"/>
      <c r="L29" s="1929">
        <v>20</v>
      </c>
      <c r="M29" s="1929">
        <v>3.5</v>
      </c>
      <c r="N29" s="1923" t="s">
        <v>241</v>
      </c>
      <c r="O29" s="1922"/>
      <c r="P29" s="1925"/>
      <c r="Q29" s="1928">
        <v>350</v>
      </c>
      <c r="R29" s="1928">
        <v>350</v>
      </c>
      <c r="S29" s="1931">
        <f t="shared" si="11"/>
        <v>700</v>
      </c>
      <c r="T29" s="1931">
        <f t="shared" si="12"/>
        <v>2936.5</v>
      </c>
      <c r="U29" s="1931">
        <f t="shared" si="13"/>
        <v>2936.5</v>
      </c>
      <c r="V29" s="1931">
        <f t="shared" si="14"/>
        <v>5873</v>
      </c>
      <c r="W29" s="1921">
        <f t="shared" si="15"/>
        <v>1225</v>
      </c>
      <c r="X29" s="1921">
        <f t="shared" si="16"/>
        <v>1225</v>
      </c>
      <c r="Y29" s="1921">
        <f t="shared" si="17"/>
        <v>2450</v>
      </c>
      <c r="Z29" s="1946"/>
    </row>
    <row r="30" spans="2:26">
      <c r="C30" s="1876" t="s">
        <v>779</v>
      </c>
      <c r="D30" s="1973">
        <f>D21*D28</f>
        <v>1067.2</v>
      </c>
      <c r="E30" s="1972">
        <f>E21*E28</f>
        <v>1115.2</v>
      </c>
      <c r="F30" s="1879">
        <f t="shared" si="18"/>
        <v>2182.4</v>
      </c>
      <c r="H30" s="1922" t="s">
        <v>922</v>
      </c>
      <c r="I30" s="2927">
        <v>0.72</v>
      </c>
      <c r="J30" s="1932" t="s">
        <v>81</v>
      </c>
      <c r="K30" s="1922" t="s">
        <v>909</v>
      </c>
      <c r="L30" s="1929">
        <v>20</v>
      </c>
      <c r="M30" s="1929">
        <v>10</v>
      </c>
      <c r="N30" s="1923">
        <v>1.2223544175888653E-3</v>
      </c>
      <c r="O30" s="1922">
        <v>10</v>
      </c>
      <c r="P30" s="1925" t="s">
        <v>910</v>
      </c>
      <c r="Q30" s="1928">
        <v>600</v>
      </c>
      <c r="R30" s="1928">
        <v>600</v>
      </c>
      <c r="S30" s="1931">
        <f t="shared" si="11"/>
        <v>1200</v>
      </c>
      <c r="T30" s="1931">
        <f t="shared" si="12"/>
        <v>432</v>
      </c>
      <c r="U30" s="1931">
        <f t="shared" si="13"/>
        <v>432</v>
      </c>
      <c r="V30" s="1931">
        <f t="shared" si="14"/>
        <v>864</v>
      </c>
      <c r="W30" s="1921">
        <f t="shared" si="15"/>
        <v>6000</v>
      </c>
      <c r="X30" s="1921">
        <f t="shared" si="16"/>
        <v>6000</v>
      </c>
      <c r="Y30" s="1921">
        <f t="shared" si="17"/>
        <v>12000</v>
      </c>
      <c r="Z30" s="1946">
        <v>3.97</v>
      </c>
    </row>
    <row r="31" spans="2:26">
      <c r="C31" s="1901"/>
      <c r="D31" s="1898"/>
      <c r="E31" s="1897"/>
      <c r="F31" s="1879">
        <f t="shared" si="18"/>
        <v>0</v>
      </c>
      <c r="H31" s="1922" t="s">
        <v>904</v>
      </c>
      <c r="I31" s="2927">
        <v>0.69</v>
      </c>
      <c r="J31" s="1932" t="s">
        <v>81</v>
      </c>
      <c r="K31" s="1922" t="s">
        <v>909</v>
      </c>
      <c r="L31" s="1929">
        <v>20</v>
      </c>
      <c r="M31" s="1929">
        <v>3.5</v>
      </c>
      <c r="N31" s="1923">
        <v>2.342845967045325E-3</v>
      </c>
      <c r="O31" s="1922">
        <v>10</v>
      </c>
      <c r="P31" s="1925" t="s">
        <v>910</v>
      </c>
      <c r="Q31" s="1928">
        <v>550</v>
      </c>
      <c r="R31" s="1928">
        <v>550</v>
      </c>
      <c r="S31" s="1931">
        <f t="shared" si="11"/>
        <v>1100</v>
      </c>
      <c r="T31" s="1931">
        <f t="shared" si="12"/>
        <v>379.49999999999994</v>
      </c>
      <c r="U31" s="1931">
        <f t="shared" si="13"/>
        <v>379.49999999999994</v>
      </c>
      <c r="V31" s="1931">
        <f t="shared" si="14"/>
        <v>758.99999999999989</v>
      </c>
      <c r="W31" s="1921">
        <f t="shared" si="15"/>
        <v>1925</v>
      </c>
      <c r="X31" s="1921">
        <f t="shared" si="16"/>
        <v>1925</v>
      </c>
      <c r="Y31" s="1921">
        <f t="shared" si="17"/>
        <v>3850</v>
      </c>
      <c r="Z31" s="1946">
        <v>1.99</v>
      </c>
    </row>
    <row r="32" spans="2:26">
      <c r="C32" s="1901"/>
      <c r="D32" s="1896"/>
      <c r="E32" s="1899"/>
      <c r="F32" s="1879">
        <f t="shared" si="18"/>
        <v>0</v>
      </c>
      <c r="H32" s="1922" t="s">
        <v>923</v>
      </c>
      <c r="I32" s="2927">
        <v>0.72</v>
      </c>
      <c r="J32" s="1932" t="s">
        <v>81</v>
      </c>
      <c r="K32" s="1922" t="s">
        <v>909</v>
      </c>
      <c r="L32" s="1929">
        <v>2</v>
      </c>
      <c r="M32" s="1929">
        <v>2</v>
      </c>
      <c r="N32" s="1923">
        <v>7.3341265055331913E-4</v>
      </c>
      <c r="O32" s="1922">
        <v>10</v>
      </c>
      <c r="P32" s="1925" t="s">
        <v>910</v>
      </c>
      <c r="Q32" s="1928">
        <v>3858</v>
      </c>
      <c r="R32" s="1928">
        <v>3858</v>
      </c>
      <c r="S32" s="1931">
        <f t="shared" si="11"/>
        <v>7716</v>
      </c>
      <c r="T32" s="1931">
        <f t="shared" si="12"/>
        <v>2777.7599999999998</v>
      </c>
      <c r="U32" s="1931">
        <f t="shared" si="13"/>
        <v>2777.7599999999998</v>
      </c>
      <c r="V32" s="1931">
        <f t="shared" si="14"/>
        <v>5555.5199999999995</v>
      </c>
      <c r="W32" s="1921">
        <f t="shared" si="15"/>
        <v>7716</v>
      </c>
      <c r="X32" s="1921">
        <f t="shared" si="16"/>
        <v>7716</v>
      </c>
      <c r="Y32" s="1921">
        <f t="shared" si="17"/>
        <v>15432</v>
      </c>
      <c r="Z32" s="1946">
        <v>3.97</v>
      </c>
    </row>
    <row r="33" spans="1:26">
      <c r="C33" s="1952"/>
      <c r="D33" s="1958"/>
      <c r="E33" s="1955"/>
      <c r="F33" s="1958"/>
      <c r="H33" s="1922" t="s">
        <v>924</v>
      </c>
      <c r="I33" s="2927">
        <v>1.23</v>
      </c>
      <c r="J33" s="1932" t="s">
        <v>81</v>
      </c>
      <c r="K33" s="1922" t="s">
        <v>909</v>
      </c>
      <c r="L33" s="1929">
        <v>2</v>
      </c>
      <c r="M33" s="1929">
        <v>2</v>
      </c>
      <c r="N33" s="1923">
        <v>2.5058265560571739E-3</v>
      </c>
      <c r="O33" s="1922">
        <v>10</v>
      </c>
      <c r="P33" s="1925" t="s">
        <v>910</v>
      </c>
      <c r="Q33" s="1928">
        <v>3000</v>
      </c>
      <c r="R33" s="1928">
        <v>3000</v>
      </c>
      <c r="S33" s="1931">
        <f t="shared" si="11"/>
        <v>6000</v>
      </c>
      <c r="T33" s="1931">
        <f t="shared" si="12"/>
        <v>3690</v>
      </c>
      <c r="U33" s="1931">
        <f t="shared" si="13"/>
        <v>3690</v>
      </c>
      <c r="V33" s="1931">
        <f t="shared" si="14"/>
        <v>7380</v>
      </c>
      <c r="W33" s="1921">
        <f t="shared" si="15"/>
        <v>6000</v>
      </c>
      <c r="X33" s="1921">
        <f t="shared" si="16"/>
        <v>6000</v>
      </c>
      <c r="Y33" s="1921">
        <f t="shared" si="17"/>
        <v>12000</v>
      </c>
      <c r="Z33" s="1946">
        <v>6.82</v>
      </c>
    </row>
    <row r="34" spans="1:26" ht="25.5">
      <c r="A34" s="1852" t="s">
        <v>293</v>
      </c>
      <c r="C34" s="1910" t="s">
        <v>49</v>
      </c>
      <c r="D34" s="1911">
        <f>SUM(D35:D38)</f>
        <v>103450.42</v>
      </c>
      <c r="E34" s="1926">
        <f>SUM(E35:E38)</f>
        <v>103450.43</v>
      </c>
      <c r="F34" s="2157">
        <f>D34+E34</f>
        <v>206900.84999999998</v>
      </c>
      <c r="H34" s="1922"/>
      <c r="I34" s="2927"/>
      <c r="J34" s="1932" t="s">
        <v>241</v>
      </c>
      <c r="K34" s="1922"/>
      <c r="L34" s="1929"/>
      <c r="M34" s="1929"/>
      <c r="N34" s="1923" t="s">
        <v>241</v>
      </c>
      <c r="O34" s="1922"/>
      <c r="P34" s="1925"/>
      <c r="Q34" s="1928"/>
      <c r="R34" s="1928"/>
      <c r="S34" s="1931">
        <f t="shared" si="11"/>
        <v>0</v>
      </c>
      <c r="T34" s="1931">
        <f t="shared" si="12"/>
        <v>0</v>
      </c>
      <c r="U34" s="1931">
        <f t="shared" si="13"/>
        <v>0</v>
      </c>
      <c r="V34" s="1931">
        <f t="shared" si="14"/>
        <v>0</v>
      </c>
      <c r="W34" s="1921">
        <f t="shared" si="15"/>
        <v>0</v>
      </c>
      <c r="X34" s="1921">
        <f t="shared" si="16"/>
        <v>0</v>
      </c>
      <c r="Y34" s="1921">
        <f t="shared" si="17"/>
        <v>0</v>
      </c>
      <c r="Z34" s="1946">
        <v>0</v>
      </c>
    </row>
    <row r="35" spans="1:26">
      <c r="A35" s="1808" t="s">
        <v>291</v>
      </c>
      <c r="C35" s="1876" t="s">
        <v>887</v>
      </c>
      <c r="D35" s="1971">
        <v>83200.42</v>
      </c>
      <c r="E35" s="1988">
        <v>83200.429999999993</v>
      </c>
      <c r="F35" s="1879">
        <f t="shared" ref="F35:F38" si="19">SUM(D35:E35)</f>
        <v>166400.84999999998</v>
      </c>
      <c r="H35" s="1922"/>
      <c r="I35" s="2927"/>
      <c r="J35" s="1932" t="s">
        <v>241</v>
      </c>
      <c r="K35" s="1922"/>
      <c r="L35" s="1929"/>
      <c r="M35" s="1929"/>
      <c r="N35" s="1923" t="s">
        <v>241</v>
      </c>
      <c r="O35" s="1922"/>
      <c r="P35" s="1925"/>
      <c r="Q35" s="1928"/>
      <c r="R35" s="1928"/>
      <c r="S35" s="1931">
        <f t="shared" si="11"/>
        <v>0</v>
      </c>
      <c r="T35" s="1931">
        <f t="shared" si="12"/>
        <v>0</v>
      </c>
      <c r="U35" s="1931">
        <f t="shared" si="13"/>
        <v>0</v>
      </c>
      <c r="V35" s="1931">
        <f t="shared" si="14"/>
        <v>0</v>
      </c>
      <c r="W35" s="1921">
        <f t="shared" si="15"/>
        <v>0</v>
      </c>
      <c r="X35" s="1921">
        <f t="shared" si="16"/>
        <v>0</v>
      </c>
      <c r="Y35" s="1921">
        <f t="shared" si="17"/>
        <v>0</v>
      </c>
      <c r="Z35" s="1946">
        <v>0</v>
      </c>
    </row>
    <row r="36" spans="1:26">
      <c r="A36" s="1852" t="s">
        <v>6</v>
      </c>
      <c r="C36" s="2197" t="s">
        <v>888</v>
      </c>
      <c r="D36" s="1971">
        <v>20250</v>
      </c>
      <c r="E36" s="1988">
        <v>20250</v>
      </c>
      <c r="F36" s="1879">
        <f t="shared" si="19"/>
        <v>40500</v>
      </c>
      <c r="H36" s="1922" t="s">
        <v>925</v>
      </c>
      <c r="I36" s="2927">
        <v>0.69</v>
      </c>
      <c r="J36" s="1932" t="s">
        <v>81</v>
      </c>
      <c r="K36" s="1922" t="s">
        <v>909</v>
      </c>
      <c r="L36" s="1929">
        <v>2</v>
      </c>
      <c r="M36" s="1929">
        <v>0.3</v>
      </c>
      <c r="N36" s="1923">
        <v>2.9285574588066562E-2</v>
      </c>
      <c r="O36" s="1922">
        <v>10</v>
      </c>
      <c r="P36" s="1925" t="s">
        <v>910</v>
      </c>
      <c r="Q36" s="1928">
        <v>6250</v>
      </c>
      <c r="R36" s="1928">
        <v>6250</v>
      </c>
      <c r="S36" s="1931">
        <f t="shared" si="11"/>
        <v>12500</v>
      </c>
      <c r="T36" s="1931">
        <f t="shared" si="12"/>
        <v>4312.5</v>
      </c>
      <c r="U36" s="1931">
        <f t="shared" si="13"/>
        <v>4312.5</v>
      </c>
      <c r="V36" s="1931">
        <f t="shared" si="14"/>
        <v>8625</v>
      </c>
      <c r="W36" s="1921">
        <f t="shared" si="15"/>
        <v>1875</v>
      </c>
      <c r="X36" s="1921">
        <f t="shared" si="16"/>
        <v>1875</v>
      </c>
      <c r="Y36" s="1921">
        <f t="shared" si="17"/>
        <v>3750</v>
      </c>
      <c r="Z36" s="1946">
        <v>3.97</v>
      </c>
    </row>
    <row r="37" spans="1:26">
      <c r="A37" s="1852">
        <v>18230700</v>
      </c>
      <c r="C37" s="1876"/>
      <c r="D37" s="1971"/>
      <c r="E37" s="1988"/>
      <c r="F37" s="1879">
        <f t="shared" si="19"/>
        <v>0</v>
      </c>
      <c r="H37" s="1922" t="s">
        <v>926</v>
      </c>
      <c r="I37" s="2927">
        <v>1.18</v>
      </c>
      <c r="J37" s="1932" t="s">
        <v>81</v>
      </c>
      <c r="K37" s="1922" t="s">
        <v>909</v>
      </c>
      <c r="L37" s="1929">
        <v>2</v>
      </c>
      <c r="M37" s="1929">
        <v>0.3</v>
      </c>
      <c r="N37" s="1923">
        <v>0.10016515366353201</v>
      </c>
      <c r="O37" s="1922">
        <v>10</v>
      </c>
      <c r="P37" s="1925" t="s">
        <v>910</v>
      </c>
      <c r="Q37" s="1928">
        <v>12500</v>
      </c>
      <c r="R37" s="1928">
        <v>12500</v>
      </c>
      <c r="S37" s="1931">
        <f t="shared" si="11"/>
        <v>25000</v>
      </c>
      <c r="T37" s="1931">
        <f t="shared" si="12"/>
        <v>14750</v>
      </c>
      <c r="U37" s="1931">
        <f t="shared" si="13"/>
        <v>14750</v>
      </c>
      <c r="V37" s="1931">
        <f t="shared" si="14"/>
        <v>29500</v>
      </c>
      <c r="W37" s="1921">
        <f t="shared" si="15"/>
        <v>3750</v>
      </c>
      <c r="X37" s="1921">
        <f t="shared" si="16"/>
        <v>3750</v>
      </c>
      <c r="Y37" s="1921">
        <f t="shared" si="17"/>
        <v>7500</v>
      </c>
      <c r="Z37" s="1946">
        <v>6.82</v>
      </c>
    </row>
    <row r="38" spans="1:26">
      <c r="A38" s="1852" t="s">
        <v>31</v>
      </c>
      <c r="C38" s="1876"/>
      <c r="D38" s="1971"/>
      <c r="E38" s="1988"/>
      <c r="F38" s="1879">
        <f t="shared" si="19"/>
        <v>0</v>
      </c>
      <c r="H38" s="1922"/>
      <c r="I38" s="1928"/>
      <c r="J38" s="1932" t="s">
        <v>241</v>
      </c>
      <c r="K38" s="1922"/>
      <c r="L38" s="1929"/>
      <c r="M38" s="1929"/>
      <c r="N38" s="1923"/>
      <c r="O38" s="1922"/>
      <c r="P38" s="1925"/>
      <c r="Q38" s="1928"/>
      <c r="R38" s="1928"/>
      <c r="S38" s="1931"/>
      <c r="T38" s="1931"/>
      <c r="U38" s="1931"/>
      <c r="V38" s="1931"/>
      <c r="W38" s="1921"/>
      <c r="X38" s="1921"/>
      <c r="Y38" s="1921"/>
      <c r="Z38" s="1946"/>
    </row>
    <row r="39" spans="1:26">
      <c r="C39" s="1952"/>
      <c r="D39" s="1958"/>
      <c r="E39" s="1955"/>
      <c r="F39" s="1958"/>
      <c r="H39" s="1922"/>
      <c r="I39" s="1928"/>
      <c r="J39" s="1932" t="s">
        <v>241</v>
      </c>
      <c r="K39" s="1922"/>
      <c r="L39" s="1929"/>
      <c r="M39" s="1929"/>
      <c r="N39" s="1923"/>
      <c r="O39" s="1922"/>
      <c r="P39" s="1925"/>
      <c r="Q39" s="1928"/>
      <c r="R39" s="1928"/>
      <c r="S39" s="1931"/>
      <c r="T39" s="1931"/>
      <c r="U39" s="1931"/>
      <c r="V39" s="1931"/>
      <c r="W39" s="1921"/>
      <c r="X39" s="1921"/>
      <c r="Y39" s="1921"/>
      <c r="Z39" s="1946"/>
    </row>
    <row r="40" spans="1:26">
      <c r="C40" s="2106" t="s">
        <v>506</v>
      </c>
      <c r="D40" s="1911">
        <f>SUM(D41:D44)</f>
        <v>300</v>
      </c>
      <c r="E40" s="1926">
        <f>SUM(E41:E44)</f>
        <v>300</v>
      </c>
      <c r="F40" s="2157">
        <f>D40+E40</f>
        <v>600</v>
      </c>
      <c r="H40" s="1922"/>
      <c r="I40" s="1928"/>
      <c r="J40" s="1932" t="s">
        <v>241</v>
      </c>
      <c r="K40" s="1922"/>
      <c r="L40" s="1929"/>
      <c r="M40" s="1929"/>
      <c r="N40" s="1923"/>
      <c r="O40" s="1922"/>
      <c r="P40" s="1925"/>
      <c r="Q40" s="1928"/>
      <c r="R40" s="1928"/>
      <c r="S40" s="1931"/>
      <c r="T40" s="1931"/>
      <c r="U40" s="1931"/>
      <c r="V40" s="1931"/>
      <c r="W40" s="1921"/>
      <c r="X40" s="1921"/>
      <c r="Y40" s="1921"/>
      <c r="Z40" s="1946"/>
    </row>
    <row r="41" spans="1:26">
      <c r="C41" s="1876" t="s">
        <v>889</v>
      </c>
      <c r="D41" s="1971">
        <v>300</v>
      </c>
      <c r="E41" s="1988">
        <v>300</v>
      </c>
      <c r="F41" s="1879">
        <f t="shared" ref="F41:F44" si="20">SUM(D41:E41)</f>
        <v>600</v>
      </c>
      <c r="H41" s="1922"/>
      <c r="I41" s="1928"/>
      <c r="J41" s="1932" t="s">
        <v>241</v>
      </c>
      <c r="K41" s="1922"/>
      <c r="L41" s="1929"/>
      <c r="M41" s="1929"/>
      <c r="N41" s="1923"/>
      <c r="O41" s="1922"/>
      <c r="P41" s="1925"/>
      <c r="Q41" s="1928"/>
      <c r="R41" s="1928"/>
      <c r="S41" s="1931"/>
      <c r="T41" s="1931"/>
      <c r="U41" s="1931"/>
      <c r="V41" s="1931"/>
      <c r="W41" s="1921"/>
      <c r="X41" s="1921"/>
      <c r="Y41" s="1921"/>
      <c r="Z41" s="1946"/>
    </row>
    <row r="42" spans="1:26">
      <c r="C42" s="1876"/>
      <c r="D42" s="1971"/>
      <c r="E42" s="1988"/>
      <c r="F42" s="1879">
        <f t="shared" si="2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2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2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20000</v>
      </c>
      <c r="E46" s="1926">
        <f>SUM(E47:E50)</f>
        <v>20000</v>
      </c>
      <c r="F46" s="2157">
        <f>D46+E46</f>
        <v>40000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890</v>
      </c>
      <c r="D47" s="1971">
        <v>10000</v>
      </c>
      <c r="E47" s="1988">
        <v>10000</v>
      </c>
      <c r="F47" s="1879">
        <f t="shared" ref="F47:F50" si="21">SUM(D47:E47)</f>
        <v>20000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10000</v>
      </c>
      <c r="E48" s="1988">
        <v>10000</v>
      </c>
      <c r="F48" s="1879">
        <f t="shared" si="21"/>
        <v>20000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2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2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500</v>
      </c>
      <c r="E52" s="1926">
        <f>SUM(E53:E56)</f>
        <v>500</v>
      </c>
      <c r="F52" s="2157">
        <f>D52+E52</f>
        <v>1000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892</v>
      </c>
      <c r="D53" s="1971">
        <v>500</v>
      </c>
      <c r="E53" s="1972">
        <v>500</v>
      </c>
      <c r="F53" s="1879">
        <f t="shared" ref="F53:F56" si="22">SUM(D53:E53)</f>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22"/>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22"/>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300</v>
      </c>
      <c r="E58" s="1926">
        <f>SUM(E59:E62)</f>
        <v>300</v>
      </c>
      <c r="F58" s="2157">
        <f>D58+E58</f>
        <v>600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893</v>
      </c>
      <c r="D59" s="1971">
        <v>300</v>
      </c>
      <c r="E59" s="1988">
        <v>300</v>
      </c>
      <c r="F59" s="1879">
        <f t="shared" ref="F59:F62" si="23">SUM(D59:E59)</f>
        <v>600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52" t="s">
        <v>293</v>
      </c>
      <c r="C64" s="1910" t="s">
        <v>53</v>
      </c>
      <c r="D64" s="1911">
        <f>W15</f>
        <v>377391</v>
      </c>
      <c r="E64" s="1926">
        <f>X15</f>
        <v>377391</v>
      </c>
      <c r="F64" s="1924">
        <f>D64+E64</f>
        <v>754782</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0.71297006751268299</v>
      </c>
      <c r="E65" s="2616">
        <f>E64/E12</f>
        <v>0.71175546913554288</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52" t="s">
        <v>6</v>
      </c>
      <c r="C66" s="1968"/>
      <c r="D66" s="1963"/>
      <c r="E66" s="1964"/>
      <c r="F66" s="1965"/>
    </row>
    <row r="67" spans="1:26">
      <c r="A67" s="1852">
        <v>18230700</v>
      </c>
      <c r="C67" s="1959" t="s">
        <v>54</v>
      </c>
      <c r="D67" s="1971">
        <v>0</v>
      </c>
      <c r="E67" s="1971">
        <v>0</v>
      </c>
      <c r="F67" s="1956">
        <v>0</v>
      </c>
    </row>
    <row r="68" spans="1:26">
      <c r="A68" s="1852" t="s">
        <v>31</v>
      </c>
    </row>
  </sheetData>
  <customSheetViews>
    <customSheetView guid="{074EB09C-6289-46D7-9513-012B68BCA7BF}" showGridLines="0">
      <pane xSplit="1" ySplit="1" topLeftCell="B2" activePane="bottomRight" state="frozen"/>
      <selection pane="bottomRight" activeCell="M26" sqref="M26"/>
      <pageMargins left="0.2" right="0.21" top="0.35" bottom="0.34" header="0.3" footer="0.3"/>
      <pageSetup paperSize="17" scale="48" orientation="landscape" r:id="rId1"/>
    </customSheetView>
    <customSheetView guid="{D9EFFE19-D14B-4C6F-BDF4-FF696F73968D}" showGridLines="0">
      <pane xSplit="1" ySplit="1" topLeftCell="F2" activePane="bottomRight" state="frozen"/>
      <selection pane="bottomRight" activeCell="O15" sqref="O15"/>
      <pageMargins left="0.2" right="0.21" top="0.35" bottom="0.34"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2" right="0.21" top="0.35" bottom="0.34" header="0.3" footer="0.3"/>
  <pageSetup paperSize="17" scale="48" orientation="landscape" r:id="rId3"/>
  <ignoredErrors>
    <ignoredError sqref="R7" formula="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E2:P36"/>
  <sheetViews>
    <sheetView showGridLines="0" zoomScaleNormal="100" workbookViewId="0">
      <pane xSplit="3" ySplit="4" topLeftCell="E5" activePane="bottomRight" state="frozen"/>
      <selection pane="topRight" activeCell="D1" sqref="D1"/>
      <selection pane="bottomLeft" activeCell="A5" sqref="A5"/>
      <selection pane="bottomRight" activeCell="C32" sqref="C32"/>
    </sheetView>
  </sheetViews>
  <sheetFormatPr defaultRowHeight="12.75"/>
  <cols>
    <col min="1" max="2" width="9.140625" style="2177"/>
    <col min="3" max="3" width="1.28515625" style="2177" customWidth="1"/>
    <col min="4" max="5" width="9.140625" style="2177"/>
    <col min="6" max="6" width="0.85546875" style="2177" customWidth="1"/>
    <col min="7" max="7" width="9.140625" style="2177"/>
    <col min="8" max="8" width="45.42578125" style="2177" customWidth="1"/>
    <col min="9" max="10" width="12.7109375" style="2177" customWidth="1"/>
    <col min="11" max="11" width="17.5703125" style="2177" hidden="1" customWidth="1"/>
    <col min="12" max="12" width="17.5703125" style="2177" customWidth="1"/>
    <col min="13" max="13" width="28.5703125" style="2177" customWidth="1"/>
    <col min="14" max="14" width="13.7109375" style="2066" customWidth="1"/>
    <col min="15" max="15" width="30.7109375" style="2066" customWidth="1"/>
    <col min="16" max="16" width="0.85546875" style="2177" customWidth="1"/>
    <col min="17" max="16384" width="9.140625" style="2177"/>
  </cols>
  <sheetData>
    <row r="2" spans="6:16" ht="18">
      <c r="G2" s="3338"/>
    </row>
    <row r="4" spans="6:16" ht="13.5" thickBot="1"/>
    <row r="5" spans="6:16" ht="5.25" customHeight="1">
      <c r="F5" s="3565"/>
      <c r="G5" s="2731"/>
      <c r="H5" s="3567" t="s">
        <v>1792</v>
      </c>
      <c r="I5" s="3567"/>
      <c r="J5" s="3568"/>
      <c r="K5" s="3568"/>
      <c r="L5" s="3568"/>
      <c r="M5" s="3568"/>
      <c r="N5" s="3568"/>
      <c r="O5" s="3570"/>
    </row>
    <row r="6" spans="6:16" ht="21" customHeight="1">
      <c r="F6" s="3566"/>
      <c r="G6" s="2732"/>
      <c r="H6" s="3569"/>
      <c r="I6" s="3569"/>
      <c r="J6" s="3569"/>
      <c r="K6" s="3569"/>
      <c r="L6" s="3569"/>
      <c r="M6" s="3569"/>
      <c r="N6" s="3569"/>
      <c r="O6" s="3571"/>
      <c r="P6" s="2733"/>
    </row>
    <row r="7" spans="6:16" ht="2.25" customHeight="1">
      <c r="F7" s="2734"/>
      <c r="G7" s="2735"/>
      <c r="H7" s="2736"/>
      <c r="I7" s="2758"/>
      <c r="J7" s="2737"/>
      <c r="K7" s="2738"/>
      <c r="L7" s="2738"/>
      <c r="M7" s="2739"/>
      <c r="N7" s="2738"/>
      <c r="O7" s="2740"/>
      <c r="P7" s="2733"/>
    </row>
    <row r="8" spans="6:16" s="2064" customFormat="1">
      <c r="F8" s="2741"/>
      <c r="G8" s="2742"/>
      <c r="H8" s="2743" t="s">
        <v>22</v>
      </c>
      <c r="I8" s="2759" t="s">
        <v>632</v>
      </c>
      <c r="J8" s="2744" t="s">
        <v>624</v>
      </c>
      <c r="K8" s="3572" t="s">
        <v>614</v>
      </c>
      <c r="L8" s="3573"/>
      <c r="M8" s="3574"/>
      <c r="N8" s="3353" t="s">
        <v>625</v>
      </c>
      <c r="O8" s="2745"/>
      <c r="P8" s="2746"/>
    </row>
    <row r="9" spans="6:16" ht="3" customHeight="1">
      <c r="F9" s="3297"/>
      <c r="G9" s="2690"/>
      <c r="H9" s="3298"/>
      <c r="I9" s="3299"/>
      <c r="J9" s="3300"/>
      <c r="K9" s="3301"/>
      <c r="L9" s="3301"/>
      <c r="M9" s="2690"/>
      <c r="N9" s="3301"/>
      <c r="O9" s="3302"/>
      <c r="P9" s="2733"/>
    </row>
    <row r="10" spans="6:16" s="1761" customFormat="1" ht="21.75" customHeight="1">
      <c r="F10" s="3303"/>
      <c r="G10" s="2749"/>
      <c r="H10" s="3307" t="s">
        <v>1776</v>
      </c>
      <c r="I10" s="2748"/>
      <c r="J10" s="2749"/>
      <c r="K10" s="2748"/>
      <c r="L10" s="2748"/>
      <c r="M10" s="2749"/>
      <c r="N10" s="2748"/>
      <c r="O10" s="2659"/>
      <c r="P10" s="2750"/>
    </row>
    <row r="11" spans="6:16" s="1761" customFormat="1" ht="21" customHeight="1">
      <c r="F11" s="3303"/>
      <c r="G11" s="2749"/>
      <c r="H11" s="3407" t="s">
        <v>1732</v>
      </c>
      <c r="I11" s="2747"/>
      <c r="J11" s="2749"/>
      <c r="K11" s="2748"/>
      <c r="L11" s="3410" t="s">
        <v>1768</v>
      </c>
      <c r="M11" s="2749"/>
      <c r="N11" s="2748"/>
      <c r="O11" s="2659"/>
      <c r="P11" s="2750"/>
    </row>
    <row r="12" spans="6:16" s="1761" customFormat="1" ht="30" customHeight="1">
      <c r="F12" s="3335"/>
      <c r="G12" s="2910" t="s">
        <v>440</v>
      </c>
      <c r="H12" s="3304" t="s">
        <v>762</v>
      </c>
      <c r="I12" s="3305">
        <v>554132</v>
      </c>
      <c r="J12" s="3306">
        <f>I12/8760</f>
        <v>63.257077625570773</v>
      </c>
      <c r="K12" s="3309" t="s">
        <v>626</v>
      </c>
      <c r="L12" s="3307" t="s">
        <v>763</v>
      </c>
      <c r="M12" s="3308"/>
      <c r="N12" s="3309" t="s">
        <v>1744</v>
      </c>
      <c r="O12" s="3310"/>
      <c r="P12" s="2750"/>
    </row>
    <row r="13" spans="6:16" s="1761" customFormat="1" ht="15.75" customHeight="1">
      <c r="F13" s="3303"/>
      <c r="G13" s="2910" t="s">
        <v>441</v>
      </c>
      <c r="H13" s="3311" t="s">
        <v>1777</v>
      </c>
      <c r="I13" s="3312">
        <f>'2016-2017 Portfolio View'!G17</f>
        <v>5722.29</v>
      </c>
      <c r="J13" s="3306">
        <f>I13/8760</f>
        <v>0.65322945205479455</v>
      </c>
      <c r="K13" s="3307" t="s">
        <v>627</v>
      </c>
      <c r="L13" s="3307"/>
      <c r="M13" s="3308"/>
      <c r="N13" s="3309" t="s">
        <v>1746</v>
      </c>
      <c r="O13" s="3310"/>
      <c r="P13" s="2750"/>
    </row>
    <row r="14" spans="6:16" s="1761" customFormat="1" ht="21" customHeight="1">
      <c r="F14" s="3303"/>
      <c r="G14" s="2910" t="s">
        <v>442</v>
      </c>
      <c r="H14" s="3311" t="s">
        <v>1778</v>
      </c>
      <c r="I14" s="3305">
        <f>I12+I13</f>
        <v>559854.29</v>
      </c>
      <c r="J14" s="3412">
        <f>I14/8760</f>
        <v>63.910307077625575</v>
      </c>
      <c r="K14" s="3307"/>
      <c r="L14" s="3307"/>
      <c r="M14" s="3308"/>
      <c r="N14" s="3339" t="s">
        <v>1733</v>
      </c>
      <c r="O14" s="3310"/>
      <c r="P14" s="2750"/>
    </row>
    <row r="15" spans="6:16" s="1761" customFormat="1" ht="25.5" customHeight="1">
      <c r="F15" s="3335"/>
      <c r="G15" s="2910" t="s">
        <v>443</v>
      </c>
      <c r="H15" s="3323" t="s">
        <v>1724</v>
      </c>
      <c r="I15" s="3324">
        <f>(I12+I13)*0.05</f>
        <v>27992.714500000002</v>
      </c>
      <c r="J15" s="3325">
        <f>J17*0.05</f>
        <v>3.45430327910959</v>
      </c>
      <c r="K15" s="3309" t="s">
        <v>628</v>
      </c>
      <c r="L15" s="3307" t="s">
        <v>1769</v>
      </c>
      <c r="M15" s="3308"/>
      <c r="N15" s="3340" t="s">
        <v>1734</v>
      </c>
      <c r="O15" s="3310"/>
      <c r="P15" s="2750"/>
    </row>
    <row r="16" spans="6:16" s="1761" customFormat="1" ht="26.25" customHeight="1">
      <c r="F16" s="3335"/>
      <c r="G16" s="2690" t="s">
        <v>444</v>
      </c>
      <c r="H16" s="3313" t="s">
        <v>1779</v>
      </c>
      <c r="I16" s="3299">
        <f>'2016-2017 Portfolio View'!G35</f>
        <v>17346.93</v>
      </c>
      <c r="J16" s="3306">
        <f>I16/8760</f>
        <v>1.9802431506849316</v>
      </c>
      <c r="K16" s="3309" t="s">
        <v>629</v>
      </c>
      <c r="L16" s="3307" t="s">
        <v>1725</v>
      </c>
      <c r="M16" s="3308"/>
      <c r="N16" s="3309" t="s">
        <v>1745</v>
      </c>
      <c r="O16" s="3310"/>
      <c r="P16" s="2750"/>
    </row>
    <row r="17" spans="5:16" s="1569" customFormat="1" ht="19.5" customHeight="1">
      <c r="F17" s="3336"/>
      <c r="G17" s="2910" t="s">
        <v>445</v>
      </c>
      <c r="H17" s="3320" t="s">
        <v>1726</v>
      </c>
      <c r="I17" s="3321">
        <f>I14+I15+I16</f>
        <v>605193.93450000009</v>
      </c>
      <c r="J17" s="3322">
        <f>I17/8760</f>
        <v>69.086065582191793</v>
      </c>
      <c r="K17" s="3307"/>
      <c r="L17" s="3563" t="s">
        <v>1727</v>
      </c>
      <c r="M17" s="3564"/>
      <c r="N17" s="3575" t="s">
        <v>1747</v>
      </c>
      <c r="O17" s="3576"/>
      <c r="P17" s="2746"/>
    </row>
    <row r="18" spans="5:16" s="1761" customFormat="1" ht="23.25" customHeight="1">
      <c r="F18" s="3303"/>
      <c r="G18" s="3308"/>
      <c r="H18" s="3406" t="s">
        <v>1728</v>
      </c>
      <c r="I18" s="3311"/>
      <c r="J18" s="3311"/>
      <c r="K18" s="3307"/>
      <c r="L18" s="3411" t="s">
        <v>1767</v>
      </c>
      <c r="M18" s="3308"/>
      <c r="N18" s="3307"/>
      <c r="O18" s="3310"/>
      <c r="P18" s="2750"/>
    </row>
    <row r="19" spans="5:16" s="1761" customFormat="1" ht="18.75" customHeight="1">
      <c r="F19" s="3314"/>
      <c r="G19" s="3329" t="s">
        <v>446</v>
      </c>
      <c r="H19" s="3323" t="s">
        <v>1729</v>
      </c>
      <c r="I19" s="3324">
        <f>-'2016-2017 Portfolio View'!G38</f>
        <v>-22776</v>
      </c>
      <c r="J19" s="3333">
        <f>I19/8760</f>
        <v>-2.6</v>
      </c>
      <c r="K19" s="3316"/>
      <c r="L19" s="3316"/>
      <c r="M19" s="3337"/>
      <c r="N19" s="3392" t="s">
        <v>1748</v>
      </c>
      <c r="O19" s="3317"/>
      <c r="P19" s="2750"/>
    </row>
    <row r="20" spans="5:16" s="1569" customFormat="1" ht="18.75" customHeight="1">
      <c r="F20" s="3303"/>
      <c r="G20" s="2910" t="s">
        <v>447</v>
      </c>
      <c r="H20" s="3331" t="s">
        <v>1730</v>
      </c>
      <c r="I20" s="3305">
        <f>-I16</f>
        <v>-17346.93</v>
      </c>
      <c r="J20" s="3306">
        <f>-J16</f>
        <v>-1.9802431506849316</v>
      </c>
      <c r="K20" s="1975"/>
      <c r="L20" s="1975"/>
      <c r="M20" s="2910"/>
      <c r="N20" s="3341" t="s">
        <v>1735</v>
      </c>
      <c r="O20" s="3334"/>
      <c r="P20" s="2750"/>
    </row>
    <row r="21" spans="5:16" s="1569" customFormat="1" ht="18.75" customHeight="1">
      <c r="F21" s="3303"/>
      <c r="G21" s="2910" t="s">
        <v>326</v>
      </c>
      <c r="H21" s="3331" t="s">
        <v>1762</v>
      </c>
      <c r="I21" s="3312">
        <f>-I15</f>
        <v>-27992.714500000002</v>
      </c>
      <c r="J21" s="3408">
        <f>-J15</f>
        <v>-3.45430327910959</v>
      </c>
      <c r="K21" s="1975"/>
      <c r="L21" s="1975"/>
      <c r="M21" s="2910"/>
      <c r="N21" s="3341" t="s">
        <v>1741</v>
      </c>
      <c r="O21" s="3334"/>
      <c r="P21" s="2750"/>
    </row>
    <row r="22" spans="5:16" s="1569" customFormat="1" ht="18.75" customHeight="1">
      <c r="F22" s="3303"/>
      <c r="G22" s="2910" t="s">
        <v>448</v>
      </c>
      <c r="H22" s="3331" t="s">
        <v>1764</v>
      </c>
      <c r="I22" s="3305">
        <f>SUM(I19:I21)</f>
        <v>-68115.644499999995</v>
      </c>
      <c r="J22" s="3306">
        <f>SUM(J19:J21)</f>
        <v>-8.0345464297945206</v>
      </c>
      <c r="K22" s="1975"/>
      <c r="L22" s="1975"/>
      <c r="M22" s="2910"/>
      <c r="N22" s="3341" t="s">
        <v>1765</v>
      </c>
      <c r="O22" s="3334"/>
      <c r="P22" s="2750"/>
    </row>
    <row r="23" spans="5:16" s="1569" customFormat="1" ht="22.5" customHeight="1">
      <c r="F23" s="3303"/>
      <c r="G23" s="2910"/>
      <c r="H23" s="3406" t="s">
        <v>1763</v>
      </c>
      <c r="I23" s="3305"/>
      <c r="J23" s="3306"/>
      <c r="K23" s="1975"/>
      <c r="L23" s="1975"/>
      <c r="M23" s="2910"/>
      <c r="N23" s="3341"/>
      <c r="O23" s="3334"/>
      <c r="P23" s="2750"/>
    </row>
    <row r="24" spans="5:16" s="1761" customFormat="1" ht="18.75" customHeight="1">
      <c r="F24" s="3303"/>
      <c r="G24" s="3315" t="s">
        <v>449</v>
      </c>
      <c r="H24" s="3332" t="s">
        <v>1723</v>
      </c>
      <c r="I24" s="3318">
        <f>I17+I22</f>
        <v>537078.29</v>
      </c>
      <c r="J24" s="3319">
        <f>I24/8760</f>
        <v>61.310307077625573</v>
      </c>
      <c r="K24" s="3327" t="s">
        <v>1731</v>
      </c>
      <c r="L24" s="3307" t="s">
        <v>1739</v>
      </c>
      <c r="M24" s="3328"/>
      <c r="N24" s="3342" t="s">
        <v>1766</v>
      </c>
      <c r="O24" s="3317"/>
      <c r="P24" s="2746"/>
    </row>
    <row r="25" spans="5:16" s="1761" customFormat="1" ht="9" customHeight="1">
      <c r="F25" s="3303"/>
      <c r="G25" s="2910"/>
      <c r="H25" s="3323"/>
      <c r="I25" s="3324"/>
      <c r="J25" s="3325"/>
      <c r="K25" s="3307"/>
      <c r="L25" s="3307"/>
      <c r="M25" s="3308"/>
      <c r="N25" s="3307"/>
      <c r="O25" s="3310"/>
      <c r="P25" s="2750"/>
    </row>
    <row r="26" spans="5:16" s="1761" customFormat="1" ht="18.75" customHeight="1">
      <c r="F26" s="3314"/>
      <c r="G26" s="3359" t="s">
        <v>450</v>
      </c>
      <c r="H26" s="3360" t="s">
        <v>1740</v>
      </c>
      <c r="I26" s="3361">
        <f>I15</f>
        <v>27992.714500000002</v>
      </c>
      <c r="J26" s="3362">
        <f>J15</f>
        <v>3.45430327910959</v>
      </c>
      <c r="K26" s="3352"/>
      <c r="L26" s="3354" t="s">
        <v>1739</v>
      </c>
      <c r="M26" s="3352"/>
      <c r="N26" s="3409" t="s">
        <v>1741</v>
      </c>
      <c r="O26" s="3310"/>
      <c r="P26" s="2750"/>
    </row>
    <row r="27" spans="5:16" s="1569" customFormat="1" ht="30" hidden="1" customHeight="1">
      <c r="F27" s="3303"/>
      <c r="G27" s="2910"/>
      <c r="H27" s="3323"/>
      <c r="I27" s="3330"/>
      <c r="J27" s="3325"/>
      <c r="K27" s="3307"/>
      <c r="L27" s="3307"/>
      <c r="M27" s="3308"/>
      <c r="N27" s="3307"/>
      <c r="O27" s="3310"/>
      <c r="P27" s="2750"/>
    </row>
    <row r="28" spans="5:16" ht="7.5" customHeight="1">
      <c r="F28" s="3297"/>
      <c r="G28" s="2690"/>
      <c r="H28" s="3364"/>
      <c r="I28" s="3356"/>
      <c r="J28" s="3357"/>
      <c r="K28" s="3309"/>
      <c r="L28" s="3309"/>
      <c r="M28" s="3358"/>
      <c r="N28" s="3309"/>
      <c r="O28" s="3355"/>
      <c r="P28" s="2733"/>
    </row>
    <row r="29" spans="5:16" ht="0.75" customHeight="1" thickBot="1">
      <c r="E29" s="1607"/>
      <c r="F29" s="2751"/>
      <c r="G29" s="2752"/>
      <c r="H29" s="2753"/>
      <c r="I29" s="2760"/>
      <c r="J29" s="2754"/>
      <c r="K29" s="2755"/>
      <c r="L29" s="2755"/>
      <c r="M29" s="2756"/>
      <c r="N29" s="3294"/>
      <c r="O29" s="3295"/>
      <c r="P29" s="2733"/>
    </row>
    <row r="30" spans="5:16" ht="4.5" customHeight="1">
      <c r="E30" s="1607"/>
      <c r="G30" s="2733"/>
      <c r="H30" s="2733"/>
      <c r="I30" s="2761"/>
      <c r="J30" s="2757"/>
      <c r="K30" s="2733"/>
      <c r="L30" s="2733"/>
      <c r="M30" s="2733"/>
      <c r="N30" s="3296"/>
      <c r="O30" s="3296"/>
      <c r="P30" s="2733"/>
    </row>
    <row r="31" spans="5:16" ht="4.5" customHeight="1"/>
    <row r="33" spans="12:12">
      <c r="L33" s="2177" t="s">
        <v>758</v>
      </c>
    </row>
    <row r="34" spans="12:12">
      <c r="L34" s="2177" t="s">
        <v>761</v>
      </c>
    </row>
    <row r="35" spans="12:12">
      <c r="L35" s="2177" t="s">
        <v>630</v>
      </c>
    </row>
    <row r="36" spans="12:12">
      <c r="L36" s="2177" t="s">
        <v>631</v>
      </c>
    </row>
  </sheetData>
  <customSheetViews>
    <customSheetView guid="{074EB09C-6289-46D7-9513-012B68BCA7BF}" showGridLines="0" hiddenColumns="1">
      <pane xSplit="3" ySplit="4" topLeftCell="D5" activePane="bottomRight" state="frozen"/>
      <selection pane="bottomRight" activeCell="C4" sqref="C4:O29"/>
      <pageMargins left="0.55000000000000004" right="0.12" top="0.75" bottom="0.75" header="0.3" footer="0.3"/>
      <pageSetup scale="70" orientation="landscape" r:id="rId1"/>
    </customSheetView>
    <customSheetView guid="{D9EFFE19-D14B-4C6F-BDF4-FF696F73968D}" showGridLines="0" hiddenColumns="1">
      <pane xSplit="3" ySplit="4" topLeftCell="D5" activePane="bottomRight" state="frozen"/>
      <selection pane="bottomRight" activeCell="F34" sqref="F34"/>
      <pageMargins left="0.55000000000000004" right="0.12" top="0.75" bottom="0.75" header="0.3" footer="0.3"/>
      <pageSetup scale="70" orientation="landscape" r:id="rId2"/>
    </customSheetView>
  </customSheetViews>
  <mergeCells count="6">
    <mergeCell ref="L17:M17"/>
    <mergeCell ref="F5:F6"/>
    <mergeCell ref="H5:N6"/>
    <mergeCell ref="O5:O6"/>
    <mergeCell ref="K8:M8"/>
    <mergeCell ref="N17:O17"/>
  </mergeCells>
  <pageMargins left="0.55000000000000004" right="0.12" top="0.75" bottom="0.75" header="0.3" footer="0.3"/>
  <pageSetup scale="70" orientation="landscape"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O2" sqref="O2"/>
    </sheetView>
  </sheetViews>
  <sheetFormatPr defaultRowHeight="12.75"/>
  <cols>
    <col min="1" max="1" width="18.28515625" style="1332" customWidth="1"/>
    <col min="2" max="2" width="15.85546875" style="1866" customWidth="1"/>
    <col min="3" max="3" width="29" style="1332" customWidth="1"/>
    <col min="4" max="4" width="22.140625" style="1332" customWidth="1"/>
    <col min="5" max="5" width="12.5703125" style="1333" customWidth="1"/>
    <col min="6" max="6" width="12.5703125" style="1332" customWidth="1"/>
    <col min="7" max="7" width="16.28515625" style="1332" bestFit="1" customWidth="1"/>
    <col min="8" max="8" width="40.42578125" style="1332" customWidth="1"/>
    <col min="9" max="9" width="15.28515625" style="1332" bestFit="1" customWidth="1"/>
    <col min="10" max="10" width="14.140625" style="1332" bestFit="1" customWidth="1"/>
    <col min="11" max="11" width="15.28515625" style="1332" customWidth="1"/>
    <col min="12" max="12" width="17.7109375" style="1332" customWidth="1"/>
    <col min="13" max="13" width="17" style="1332" bestFit="1" customWidth="1"/>
    <col min="14" max="14" width="12.7109375" style="1332" customWidth="1"/>
    <col min="15" max="15" width="13.7109375" style="1332" customWidth="1"/>
    <col min="16" max="16" width="13.85546875" style="1332" bestFit="1" customWidth="1"/>
    <col min="17" max="17" width="19.7109375" style="1332" bestFit="1" customWidth="1"/>
    <col min="18" max="18" width="16.140625" style="1332" customWidth="1"/>
    <col min="19" max="19" width="16.7109375" style="1332" bestFit="1" customWidth="1"/>
    <col min="20" max="20" width="15.5703125" style="1332" bestFit="1" customWidth="1"/>
    <col min="21" max="21" width="20.5703125" style="1332" bestFit="1" customWidth="1"/>
    <col min="22" max="22" width="16.42578125" style="1332" bestFit="1" customWidth="1"/>
    <col min="23" max="23" width="14.28515625" style="1332" customWidth="1"/>
    <col min="24" max="24" width="12.85546875" style="1332" bestFit="1" customWidth="1"/>
    <col min="25" max="25" width="11.28515625" style="1332" bestFit="1" customWidth="1"/>
    <col min="26" max="26" width="12.5703125" style="1332" bestFit="1" customWidth="1"/>
    <col min="27" max="248" width="9.140625" style="1332"/>
    <col min="249" max="249" width="24" style="1332" bestFit="1" customWidth="1"/>
    <col min="250" max="250" width="43.85546875" style="1332" customWidth="1"/>
    <col min="251" max="251" width="19.7109375" style="1332" bestFit="1" customWidth="1"/>
    <col min="252" max="252" width="12.42578125" style="1332" bestFit="1" customWidth="1"/>
    <col min="253" max="253" width="16.28515625" style="1332" bestFit="1" customWidth="1"/>
    <col min="254" max="254" width="13.42578125" style="1332" customWidth="1"/>
    <col min="255" max="255" width="15.28515625" style="1332" bestFit="1" customWidth="1"/>
    <col min="256" max="256" width="14.140625" style="1332" bestFit="1" customWidth="1"/>
    <col min="257" max="257" width="15.28515625" style="1332" customWidth="1"/>
    <col min="258" max="258" width="17.7109375" style="1332" customWidth="1"/>
    <col min="259" max="259" width="17" style="1332" bestFit="1" customWidth="1"/>
    <col min="260" max="260" width="12.7109375" style="1332" customWidth="1"/>
    <col min="261" max="261" width="13.7109375" style="1332" customWidth="1"/>
    <col min="262" max="262" width="13.85546875" style="1332" bestFit="1" customWidth="1"/>
    <col min="263" max="263" width="19.7109375" style="1332" bestFit="1" customWidth="1"/>
    <col min="264" max="264" width="16.140625" style="1332" customWidth="1"/>
    <col min="265" max="265" width="16.7109375" style="1332" bestFit="1" customWidth="1"/>
    <col min="266" max="266" width="15.5703125" style="1332" bestFit="1" customWidth="1"/>
    <col min="267" max="267" width="20.5703125" style="1332" bestFit="1" customWidth="1"/>
    <col min="268" max="268" width="16.42578125" style="1332" bestFit="1" customWidth="1"/>
    <col min="269" max="269" width="14.28515625" style="1332" customWidth="1"/>
    <col min="270" max="270" width="12.85546875" style="1332" bestFit="1" customWidth="1"/>
    <col min="271" max="271" width="11.28515625" style="1332" bestFit="1" customWidth="1"/>
    <col min="272" max="272" width="12.5703125" style="1332" bestFit="1" customWidth="1"/>
    <col min="273" max="273" width="14" style="1332" bestFit="1" customWidth="1"/>
    <col min="274" max="274" width="6" style="1332" bestFit="1" customWidth="1"/>
    <col min="275" max="275" width="15" style="1332" customWidth="1"/>
    <col min="276" max="276" width="14.85546875" style="1332" bestFit="1" customWidth="1"/>
    <col min="277" max="277" width="16.140625" style="1332" bestFit="1" customWidth="1"/>
    <col min="278" max="504" width="9.140625" style="1332"/>
    <col min="505" max="505" width="24" style="1332" bestFit="1" customWidth="1"/>
    <col min="506" max="506" width="43.85546875" style="1332" customWidth="1"/>
    <col min="507" max="507" width="19.7109375" style="1332" bestFit="1" customWidth="1"/>
    <col min="508" max="508" width="12.42578125" style="1332" bestFit="1" customWidth="1"/>
    <col min="509" max="509" width="16.28515625" style="1332" bestFit="1" customWidth="1"/>
    <col min="510" max="510" width="13.42578125" style="1332" customWidth="1"/>
    <col min="511" max="511" width="15.28515625" style="1332" bestFit="1" customWidth="1"/>
    <col min="512" max="512" width="14.140625" style="1332" bestFit="1" customWidth="1"/>
    <col min="513" max="513" width="15.28515625" style="1332" customWidth="1"/>
    <col min="514" max="514" width="17.7109375" style="1332" customWidth="1"/>
    <col min="515" max="515" width="17" style="1332" bestFit="1" customWidth="1"/>
    <col min="516" max="516" width="12.7109375" style="1332" customWidth="1"/>
    <col min="517" max="517" width="13.7109375" style="1332" customWidth="1"/>
    <col min="518" max="518" width="13.85546875" style="1332" bestFit="1" customWidth="1"/>
    <col min="519" max="519" width="19.7109375" style="1332" bestFit="1" customWidth="1"/>
    <col min="520" max="520" width="16.140625" style="1332" customWidth="1"/>
    <col min="521" max="521" width="16.7109375" style="1332" bestFit="1" customWidth="1"/>
    <col min="522" max="522" width="15.5703125" style="1332" bestFit="1" customWidth="1"/>
    <col min="523" max="523" width="20.5703125" style="1332" bestFit="1" customWidth="1"/>
    <col min="524" max="524" width="16.42578125" style="1332" bestFit="1" customWidth="1"/>
    <col min="525" max="525" width="14.28515625" style="1332" customWidth="1"/>
    <col min="526" max="526" width="12.85546875" style="1332" bestFit="1" customWidth="1"/>
    <col min="527" max="527" width="11.28515625" style="1332" bestFit="1" customWidth="1"/>
    <col min="528" max="528" width="12.5703125" style="1332" bestFit="1" customWidth="1"/>
    <col min="529" max="529" width="14" style="1332" bestFit="1" customWidth="1"/>
    <col min="530" max="530" width="6" style="1332" bestFit="1" customWidth="1"/>
    <col min="531" max="531" width="15" style="1332" customWidth="1"/>
    <col min="532" max="532" width="14.85546875" style="1332" bestFit="1" customWidth="1"/>
    <col min="533" max="533" width="16.140625" style="1332" bestFit="1" customWidth="1"/>
    <col min="534" max="760" width="9.140625" style="1332"/>
    <col min="761" max="761" width="24" style="1332" bestFit="1" customWidth="1"/>
    <col min="762" max="762" width="43.85546875" style="1332" customWidth="1"/>
    <col min="763" max="763" width="19.7109375" style="1332" bestFit="1" customWidth="1"/>
    <col min="764" max="764" width="12.42578125" style="1332" bestFit="1" customWidth="1"/>
    <col min="765" max="765" width="16.28515625" style="1332" bestFit="1" customWidth="1"/>
    <col min="766" max="766" width="13.42578125" style="1332" customWidth="1"/>
    <col min="767" max="767" width="15.28515625" style="1332" bestFit="1" customWidth="1"/>
    <col min="768" max="768" width="14.140625" style="1332" bestFit="1" customWidth="1"/>
    <col min="769" max="769" width="15.28515625" style="1332" customWidth="1"/>
    <col min="770" max="770" width="17.7109375" style="1332" customWidth="1"/>
    <col min="771" max="771" width="17" style="1332" bestFit="1" customWidth="1"/>
    <col min="772" max="772" width="12.7109375" style="1332" customWidth="1"/>
    <col min="773" max="773" width="13.7109375" style="1332" customWidth="1"/>
    <col min="774" max="774" width="13.85546875" style="1332" bestFit="1" customWidth="1"/>
    <col min="775" max="775" width="19.7109375" style="1332" bestFit="1" customWidth="1"/>
    <col min="776" max="776" width="16.140625" style="1332" customWidth="1"/>
    <col min="777" max="777" width="16.7109375" style="1332" bestFit="1" customWidth="1"/>
    <col min="778" max="778" width="15.5703125" style="1332" bestFit="1" customWidth="1"/>
    <col min="779" max="779" width="20.5703125" style="1332" bestFit="1" customWidth="1"/>
    <col min="780" max="780" width="16.42578125" style="1332" bestFit="1" customWidth="1"/>
    <col min="781" max="781" width="14.28515625" style="1332" customWidth="1"/>
    <col min="782" max="782" width="12.85546875" style="1332" bestFit="1" customWidth="1"/>
    <col min="783" max="783" width="11.28515625" style="1332" bestFit="1" customWidth="1"/>
    <col min="784" max="784" width="12.5703125" style="1332" bestFit="1" customWidth="1"/>
    <col min="785" max="785" width="14" style="1332" bestFit="1" customWidth="1"/>
    <col min="786" max="786" width="6" style="1332" bestFit="1" customWidth="1"/>
    <col min="787" max="787" width="15" style="1332" customWidth="1"/>
    <col min="788" max="788" width="14.85546875" style="1332" bestFit="1" customWidth="1"/>
    <col min="789" max="789" width="16.140625" style="1332" bestFit="1" customWidth="1"/>
    <col min="790" max="1016" width="9.140625" style="1332"/>
    <col min="1017" max="1017" width="24" style="1332" bestFit="1" customWidth="1"/>
    <col min="1018" max="1018" width="43.85546875" style="1332" customWidth="1"/>
    <col min="1019" max="1019" width="19.7109375" style="1332" bestFit="1" customWidth="1"/>
    <col min="1020" max="1020" width="12.42578125" style="1332" bestFit="1" customWidth="1"/>
    <col min="1021" max="1021" width="16.28515625" style="1332" bestFit="1" customWidth="1"/>
    <col min="1022" max="1022" width="13.42578125" style="1332" customWidth="1"/>
    <col min="1023" max="1023" width="15.28515625" style="1332" bestFit="1" customWidth="1"/>
    <col min="1024" max="1024" width="14.140625" style="1332" bestFit="1" customWidth="1"/>
    <col min="1025" max="1025" width="15.28515625" style="1332" customWidth="1"/>
    <col min="1026" max="1026" width="17.7109375" style="1332" customWidth="1"/>
    <col min="1027" max="1027" width="17" style="1332" bestFit="1" customWidth="1"/>
    <col min="1028" max="1028" width="12.7109375" style="1332" customWidth="1"/>
    <col min="1029" max="1029" width="13.7109375" style="1332" customWidth="1"/>
    <col min="1030" max="1030" width="13.85546875" style="1332" bestFit="1" customWidth="1"/>
    <col min="1031" max="1031" width="19.7109375" style="1332" bestFit="1" customWidth="1"/>
    <col min="1032" max="1032" width="16.140625" style="1332" customWidth="1"/>
    <col min="1033" max="1033" width="16.7109375" style="1332" bestFit="1" customWidth="1"/>
    <col min="1034" max="1034" width="15.5703125" style="1332" bestFit="1" customWidth="1"/>
    <col min="1035" max="1035" width="20.5703125" style="1332" bestFit="1" customWidth="1"/>
    <col min="1036" max="1036" width="16.42578125" style="1332" bestFit="1" customWidth="1"/>
    <col min="1037" max="1037" width="14.28515625" style="1332" customWidth="1"/>
    <col min="1038" max="1038" width="12.85546875" style="1332" bestFit="1" customWidth="1"/>
    <col min="1039" max="1039" width="11.28515625" style="1332" bestFit="1" customWidth="1"/>
    <col min="1040" max="1040" width="12.5703125" style="1332" bestFit="1" customWidth="1"/>
    <col min="1041" max="1041" width="14" style="1332" bestFit="1" customWidth="1"/>
    <col min="1042" max="1042" width="6" style="1332" bestFit="1" customWidth="1"/>
    <col min="1043" max="1043" width="15" style="1332" customWidth="1"/>
    <col min="1044" max="1044" width="14.85546875" style="1332" bestFit="1" customWidth="1"/>
    <col min="1045" max="1045" width="16.140625" style="1332" bestFit="1" customWidth="1"/>
    <col min="1046" max="1272" width="9.140625" style="1332"/>
    <col min="1273" max="1273" width="24" style="1332" bestFit="1" customWidth="1"/>
    <col min="1274" max="1274" width="43.85546875" style="1332" customWidth="1"/>
    <col min="1275" max="1275" width="19.7109375" style="1332" bestFit="1" customWidth="1"/>
    <col min="1276" max="1276" width="12.42578125" style="1332" bestFit="1" customWidth="1"/>
    <col min="1277" max="1277" width="16.28515625" style="1332" bestFit="1" customWidth="1"/>
    <col min="1278" max="1278" width="13.42578125" style="1332" customWidth="1"/>
    <col min="1279" max="1279" width="15.28515625" style="1332" bestFit="1" customWidth="1"/>
    <col min="1280" max="1280" width="14.140625" style="1332" bestFit="1" customWidth="1"/>
    <col min="1281" max="1281" width="15.28515625" style="1332" customWidth="1"/>
    <col min="1282" max="1282" width="17.7109375" style="1332" customWidth="1"/>
    <col min="1283" max="1283" width="17" style="1332" bestFit="1" customWidth="1"/>
    <col min="1284" max="1284" width="12.7109375" style="1332" customWidth="1"/>
    <col min="1285" max="1285" width="13.7109375" style="1332" customWidth="1"/>
    <col min="1286" max="1286" width="13.85546875" style="1332" bestFit="1" customWidth="1"/>
    <col min="1287" max="1287" width="19.7109375" style="1332" bestFit="1" customWidth="1"/>
    <col min="1288" max="1288" width="16.140625" style="1332" customWidth="1"/>
    <col min="1289" max="1289" width="16.7109375" style="1332" bestFit="1" customWidth="1"/>
    <col min="1290" max="1290" width="15.5703125" style="1332" bestFit="1" customWidth="1"/>
    <col min="1291" max="1291" width="20.5703125" style="1332" bestFit="1" customWidth="1"/>
    <col min="1292" max="1292" width="16.42578125" style="1332" bestFit="1" customWidth="1"/>
    <col min="1293" max="1293" width="14.28515625" style="1332" customWidth="1"/>
    <col min="1294" max="1294" width="12.85546875" style="1332" bestFit="1" customWidth="1"/>
    <col min="1295" max="1295" width="11.28515625" style="1332" bestFit="1" customWidth="1"/>
    <col min="1296" max="1296" width="12.5703125" style="1332" bestFit="1" customWidth="1"/>
    <col min="1297" max="1297" width="14" style="1332" bestFit="1" customWidth="1"/>
    <col min="1298" max="1298" width="6" style="1332" bestFit="1" customWidth="1"/>
    <col min="1299" max="1299" width="15" style="1332" customWidth="1"/>
    <col min="1300" max="1300" width="14.85546875" style="1332" bestFit="1" customWidth="1"/>
    <col min="1301" max="1301" width="16.140625" style="1332" bestFit="1" customWidth="1"/>
    <col min="1302" max="1528" width="9.140625" style="1332"/>
    <col min="1529" max="1529" width="24" style="1332" bestFit="1" customWidth="1"/>
    <col min="1530" max="1530" width="43.85546875" style="1332" customWidth="1"/>
    <col min="1531" max="1531" width="19.7109375" style="1332" bestFit="1" customWidth="1"/>
    <col min="1532" max="1532" width="12.42578125" style="1332" bestFit="1" customWidth="1"/>
    <col min="1533" max="1533" width="16.28515625" style="1332" bestFit="1" customWidth="1"/>
    <col min="1534" max="1534" width="13.42578125" style="1332" customWidth="1"/>
    <col min="1535" max="1535" width="15.28515625" style="1332" bestFit="1" customWidth="1"/>
    <col min="1536" max="1536" width="14.140625" style="1332" bestFit="1" customWidth="1"/>
    <col min="1537" max="1537" width="15.28515625" style="1332" customWidth="1"/>
    <col min="1538" max="1538" width="17.7109375" style="1332" customWidth="1"/>
    <col min="1539" max="1539" width="17" style="1332" bestFit="1" customWidth="1"/>
    <col min="1540" max="1540" width="12.7109375" style="1332" customWidth="1"/>
    <col min="1541" max="1541" width="13.7109375" style="1332" customWidth="1"/>
    <col min="1542" max="1542" width="13.85546875" style="1332" bestFit="1" customWidth="1"/>
    <col min="1543" max="1543" width="19.7109375" style="1332" bestFit="1" customWidth="1"/>
    <col min="1544" max="1544" width="16.140625" style="1332" customWidth="1"/>
    <col min="1545" max="1545" width="16.7109375" style="1332" bestFit="1" customWidth="1"/>
    <col min="1546" max="1546" width="15.5703125" style="1332" bestFit="1" customWidth="1"/>
    <col min="1547" max="1547" width="20.5703125" style="1332" bestFit="1" customWidth="1"/>
    <col min="1548" max="1548" width="16.42578125" style="1332" bestFit="1" customWidth="1"/>
    <col min="1549" max="1549" width="14.28515625" style="1332" customWidth="1"/>
    <col min="1550" max="1550" width="12.85546875" style="1332" bestFit="1" customWidth="1"/>
    <col min="1551" max="1551" width="11.28515625" style="1332" bestFit="1" customWidth="1"/>
    <col min="1552" max="1552" width="12.5703125" style="1332" bestFit="1" customWidth="1"/>
    <col min="1553" max="1553" width="14" style="1332" bestFit="1" customWidth="1"/>
    <col min="1554" max="1554" width="6" style="1332" bestFit="1" customWidth="1"/>
    <col min="1555" max="1555" width="15" style="1332" customWidth="1"/>
    <col min="1556" max="1556" width="14.85546875" style="1332" bestFit="1" customWidth="1"/>
    <col min="1557" max="1557" width="16.140625" style="1332" bestFit="1" customWidth="1"/>
    <col min="1558" max="1784" width="9.140625" style="1332"/>
    <col min="1785" max="1785" width="24" style="1332" bestFit="1" customWidth="1"/>
    <col min="1786" max="1786" width="43.85546875" style="1332" customWidth="1"/>
    <col min="1787" max="1787" width="19.7109375" style="1332" bestFit="1" customWidth="1"/>
    <col min="1788" max="1788" width="12.42578125" style="1332" bestFit="1" customWidth="1"/>
    <col min="1789" max="1789" width="16.28515625" style="1332" bestFit="1" customWidth="1"/>
    <col min="1790" max="1790" width="13.42578125" style="1332" customWidth="1"/>
    <col min="1791" max="1791" width="15.28515625" style="1332" bestFit="1" customWidth="1"/>
    <col min="1792" max="1792" width="14.140625" style="1332" bestFit="1" customWidth="1"/>
    <col min="1793" max="1793" width="15.28515625" style="1332" customWidth="1"/>
    <col min="1794" max="1794" width="17.7109375" style="1332" customWidth="1"/>
    <col min="1795" max="1795" width="17" style="1332" bestFit="1" customWidth="1"/>
    <col min="1796" max="1796" width="12.7109375" style="1332" customWidth="1"/>
    <col min="1797" max="1797" width="13.7109375" style="1332" customWidth="1"/>
    <col min="1798" max="1798" width="13.85546875" style="1332" bestFit="1" customWidth="1"/>
    <col min="1799" max="1799" width="19.7109375" style="1332" bestFit="1" customWidth="1"/>
    <col min="1800" max="1800" width="16.140625" style="1332" customWidth="1"/>
    <col min="1801" max="1801" width="16.7109375" style="1332" bestFit="1" customWidth="1"/>
    <col min="1802" max="1802" width="15.5703125" style="1332" bestFit="1" customWidth="1"/>
    <col min="1803" max="1803" width="20.5703125" style="1332" bestFit="1" customWidth="1"/>
    <col min="1804" max="1804" width="16.42578125" style="1332" bestFit="1" customWidth="1"/>
    <col min="1805" max="1805" width="14.28515625" style="1332" customWidth="1"/>
    <col min="1806" max="1806" width="12.85546875" style="1332" bestFit="1" customWidth="1"/>
    <col min="1807" max="1807" width="11.28515625" style="1332" bestFit="1" customWidth="1"/>
    <col min="1808" max="1808" width="12.5703125" style="1332" bestFit="1" customWidth="1"/>
    <col min="1809" max="1809" width="14" style="1332" bestFit="1" customWidth="1"/>
    <col min="1810" max="1810" width="6" style="1332" bestFit="1" customWidth="1"/>
    <col min="1811" max="1811" width="15" style="1332" customWidth="1"/>
    <col min="1812" max="1812" width="14.85546875" style="1332" bestFit="1" customWidth="1"/>
    <col min="1813" max="1813" width="16.140625" style="1332" bestFit="1" customWidth="1"/>
    <col min="1814" max="2040" width="9.140625" style="1332"/>
    <col min="2041" max="2041" width="24" style="1332" bestFit="1" customWidth="1"/>
    <col min="2042" max="2042" width="43.85546875" style="1332" customWidth="1"/>
    <col min="2043" max="2043" width="19.7109375" style="1332" bestFit="1" customWidth="1"/>
    <col min="2044" max="2044" width="12.42578125" style="1332" bestFit="1" customWidth="1"/>
    <col min="2045" max="2045" width="16.28515625" style="1332" bestFit="1" customWidth="1"/>
    <col min="2046" max="2046" width="13.42578125" style="1332" customWidth="1"/>
    <col min="2047" max="2047" width="15.28515625" style="1332" bestFit="1" customWidth="1"/>
    <col min="2048" max="2048" width="14.140625" style="1332" bestFit="1" customWidth="1"/>
    <col min="2049" max="2049" width="15.28515625" style="1332" customWidth="1"/>
    <col min="2050" max="2050" width="17.7109375" style="1332" customWidth="1"/>
    <col min="2051" max="2051" width="17" style="1332" bestFit="1" customWidth="1"/>
    <col min="2052" max="2052" width="12.7109375" style="1332" customWidth="1"/>
    <col min="2053" max="2053" width="13.7109375" style="1332" customWidth="1"/>
    <col min="2054" max="2054" width="13.85546875" style="1332" bestFit="1" customWidth="1"/>
    <col min="2055" max="2055" width="19.7109375" style="1332" bestFit="1" customWidth="1"/>
    <col min="2056" max="2056" width="16.140625" style="1332" customWidth="1"/>
    <col min="2057" max="2057" width="16.7109375" style="1332" bestFit="1" customWidth="1"/>
    <col min="2058" max="2058" width="15.5703125" style="1332" bestFit="1" customWidth="1"/>
    <col min="2059" max="2059" width="20.5703125" style="1332" bestFit="1" customWidth="1"/>
    <col min="2060" max="2060" width="16.42578125" style="1332" bestFit="1" customWidth="1"/>
    <col min="2061" max="2061" width="14.28515625" style="1332" customWidth="1"/>
    <col min="2062" max="2062" width="12.85546875" style="1332" bestFit="1" customWidth="1"/>
    <col min="2063" max="2063" width="11.28515625" style="1332" bestFit="1" customWidth="1"/>
    <col min="2064" max="2064" width="12.5703125" style="1332" bestFit="1" customWidth="1"/>
    <col min="2065" max="2065" width="14" style="1332" bestFit="1" customWidth="1"/>
    <col min="2066" max="2066" width="6" style="1332" bestFit="1" customWidth="1"/>
    <col min="2067" max="2067" width="15" style="1332" customWidth="1"/>
    <col min="2068" max="2068" width="14.85546875" style="1332" bestFit="1" customWidth="1"/>
    <col min="2069" max="2069" width="16.140625" style="1332" bestFit="1" customWidth="1"/>
    <col min="2070" max="2296" width="9.140625" style="1332"/>
    <col min="2297" max="2297" width="24" style="1332" bestFit="1" customWidth="1"/>
    <col min="2298" max="2298" width="43.85546875" style="1332" customWidth="1"/>
    <col min="2299" max="2299" width="19.7109375" style="1332" bestFit="1" customWidth="1"/>
    <col min="2300" max="2300" width="12.42578125" style="1332" bestFit="1" customWidth="1"/>
    <col min="2301" max="2301" width="16.28515625" style="1332" bestFit="1" customWidth="1"/>
    <col min="2302" max="2302" width="13.42578125" style="1332" customWidth="1"/>
    <col min="2303" max="2303" width="15.28515625" style="1332" bestFit="1" customWidth="1"/>
    <col min="2304" max="2304" width="14.140625" style="1332" bestFit="1" customWidth="1"/>
    <col min="2305" max="2305" width="15.28515625" style="1332" customWidth="1"/>
    <col min="2306" max="2306" width="17.7109375" style="1332" customWidth="1"/>
    <col min="2307" max="2307" width="17" style="1332" bestFit="1" customWidth="1"/>
    <col min="2308" max="2308" width="12.7109375" style="1332" customWidth="1"/>
    <col min="2309" max="2309" width="13.7109375" style="1332" customWidth="1"/>
    <col min="2310" max="2310" width="13.85546875" style="1332" bestFit="1" customWidth="1"/>
    <col min="2311" max="2311" width="19.7109375" style="1332" bestFit="1" customWidth="1"/>
    <col min="2312" max="2312" width="16.140625" style="1332" customWidth="1"/>
    <col min="2313" max="2313" width="16.7109375" style="1332" bestFit="1" customWidth="1"/>
    <col min="2314" max="2314" width="15.5703125" style="1332" bestFit="1" customWidth="1"/>
    <col min="2315" max="2315" width="20.5703125" style="1332" bestFit="1" customWidth="1"/>
    <col min="2316" max="2316" width="16.42578125" style="1332" bestFit="1" customWidth="1"/>
    <col min="2317" max="2317" width="14.28515625" style="1332" customWidth="1"/>
    <col min="2318" max="2318" width="12.85546875" style="1332" bestFit="1" customWidth="1"/>
    <col min="2319" max="2319" width="11.28515625" style="1332" bestFit="1" customWidth="1"/>
    <col min="2320" max="2320" width="12.5703125" style="1332" bestFit="1" customWidth="1"/>
    <col min="2321" max="2321" width="14" style="1332" bestFit="1" customWidth="1"/>
    <col min="2322" max="2322" width="6" style="1332" bestFit="1" customWidth="1"/>
    <col min="2323" max="2323" width="15" style="1332" customWidth="1"/>
    <col min="2324" max="2324" width="14.85546875" style="1332" bestFit="1" customWidth="1"/>
    <col min="2325" max="2325" width="16.140625" style="1332" bestFit="1" customWidth="1"/>
    <col min="2326" max="2552" width="9.140625" style="1332"/>
    <col min="2553" max="2553" width="24" style="1332" bestFit="1" customWidth="1"/>
    <col min="2554" max="2554" width="43.85546875" style="1332" customWidth="1"/>
    <col min="2555" max="2555" width="19.7109375" style="1332" bestFit="1" customWidth="1"/>
    <col min="2556" max="2556" width="12.42578125" style="1332" bestFit="1" customWidth="1"/>
    <col min="2557" max="2557" width="16.28515625" style="1332" bestFit="1" customWidth="1"/>
    <col min="2558" max="2558" width="13.42578125" style="1332" customWidth="1"/>
    <col min="2559" max="2559" width="15.28515625" style="1332" bestFit="1" customWidth="1"/>
    <col min="2560" max="2560" width="14.140625" style="1332" bestFit="1" customWidth="1"/>
    <col min="2561" max="2561" width="15.28515625" style="1332" customWidth="1"/>
    <col min="2562" max="2562" width="17.7109375" style="1332" customWidth="1"/>
    <col min="2563" max="2563" width="17" style="1332" bestFit="1" customWidth="1"/>
    <col min="2564" max="2564" width="12.7109375" style="1332" customWidth="1"/>
    <col min="2565" max="2565" width="13.7109375" style="1332" customWidth="1"/>
    <col min="2566" max="2566" width="13.85546875" style="1332" bestFit="1" customWidth="1"/>
    <col min="2567" max="2567" width="19.7109375" style="1332" bestFit="1" customWidth="1"/>
    <col min="2568" max="2568" width="16.140625" style="1332" customWidth="1"/>
    <col min="2569" max="2569" width="16.7109375" style="1332" bestFit="1" customWidth="1"/>
    <col min="2570" max="2570" width="15.5703125" style="1332" bestFit="1" customWidth="1"/>
    <col min="2571" max="2571" width="20.5703125" style="1332" bestFit="1" customWidth="1"/>
    <col min="2572" max="2572" width="16.42578125" style="1332" bestFit="1" customWidth="1"/>
    <col min="2573" max="2573" width="14.28515625" style="1332" customWidth="1"/>
    <col min="2574" max="2574" width="12.85546875" style="1332" bestFit="1" customWidth="1"/>
    <col min="2575" max="2575" width="11.28515625" style="1332" bestFit="1" customWidth="1"/>
    <col min="2576" max="2576" width="12.5703125" style="1332" bestFit="1" customWidth="1"/>
    <col min="2577" max="2577" width="14" style="1332" bestFit="1" customWidth="1"/>
    <col min="2578" max="2578" width="6" style="1332" bestFit="1" customWidth="1"/>
    <col min="2579" max="2579" width="15" style="1332" customWidth="1"/>
    <col min="2580" max="2580" width="14.85546875" style="1332" bestFit="1" customWidth="1"/>
    <col min="2581" max="2581" width="16.140625" style="1332" bestFit="1" customWidth="1"/>
    <col min="2582" max="2808" width="9.140625" style="1332"/>
    <col min="2809" max="2809" width="24" style="1332" bestFit="1" customWidth="1"/>
    <col min="2810" max="2810" width="43.85546875" style="1332" customWidth="1"/>
    <col min="2811" max="2811" width="19.7109375" style="1332" bestFit="1" customWidth="1"/>
    <col min="2812" max="2812" width="12.42578125" style="1332" bestFit="1" customWidth="1"/>
    <col min="2813" max="2813" width="16.28515625" style="1332" bestFit="1" customWidth="1"/>
    <col min="2814" max="2814" width="13.42578125" style="1332" customWidth="1"/>
    <col min="2815" max="2815" width="15.28515625" style="1332" bestFit="1" customWidth="1"/>
    <col min="2816" max="2816" width="14.140625" style="1332" bestFit="1" customWidth="1"/>
    <col min="2817" max="2817" width="15.28515625" style="1332" customWidth="1"/>
    <col min="2818" max="2818" width="17.7109375" style="1332" customWidth="1"/>
    <col min="2819" max="2819" width="17" style="1332" bestFit="1" customWidth="1"/>
    <col min="2820" max="2820" width="12.7109375" style="1332" customWidth="1"/>
    <col min="2821" max="2821" width="13.7109375" style="1332" customWidth="1"/>
    <col min="2822" max="2822" width="13.85546875" style="1332" bestFit="1" customWidth="1"/>
    <col min="2823" max="2823" width="19.7109375" style="1332" bestFit="1" customWidth="1"/>
    <col min="2824" max="2824" width="16.140625" style="1332" customWidth="1"/>
    <col min="2825" max="2825" width="16.7109375" style="1332" bestFit="1" customWidth="1"/>
    <col min="2826" max="2826" width="15.5703125" style="1332" bestFit="1" customWidth="1"/>
    <col min="2827" max="2827" width="20.5703125" style="1332" bestFit="1" customWidth="1"/>
    <col min="2828" max="2828" width="16.42578125" style="1332" bestFit="1" customWidth="1"/>
    <col min="2829" max="2829" width="14.28515625" style="1332" customWidth="1"/>
    <col min="2830" max="2830" width="12.85546875" style="1332" bestFit="1" customWidth="1"/>
    <col min="2831" max="2831" width="11.28515625" style="1332" bestFit="1" customWidth="1"/>
    <col min="2832" max="2832" width="12.5703125" style="1332" bestFit="1" customWidth="1"/>
    <col min="2833" max="2833" width="14" style="1332" bestFit="1" customWidth="1"/>
    <col min="2834" max="2834" width="6" style="1332" bestFit="1" customWidth="1"/>
    <col min="2835" max="2835" width="15" style="1332" customWidth="1"/>
    <col min="2836" max="2836" width="14.85546875" style="1332" bestFit="1" customWidth="1"/>
    <col min="2837" max="2837" width="16.140625" style="1332" bestFit="1" customWidth="1"/>
    <col min="2838" max="3064" width="9.140625" style="1332"/>
    <col min="3065" max="3065" width="24" style="1332" bestFit="1" customWidth="1"/>
    <col min="3066" max="3066" width="43.85546875" style="1332" customWidth="1"/>
    <col min="3067" max="3067" width="19.7109375" style="1332" bestFit="1" customWidth="1"/>
    <col min="3068" max="3068" width="12.42578125" style="1332" bestFit="1" customWidth="1"/>
    <col min="3069" max="3069" width="16.28515625" style="1332" bestFit="1" customWidth="1"/>
    <col min="3070" max="3070" width="13.42578125" style="1332" customWidth="1"/>
    <col min="3071" max="3071" width="15.28515625" style="1332" bestFit="1" customWidth="1"/>
    <col min="3072" max="3072" width="14.140625" style="1332" bestFit="1" customWidth="1"/>
    <col min="3073" max="3073" width="15.28515625" style="1332" customWidth="1"/>
    <col min="3074" max="3074" width="17.7109375" style="1332" customWidth="1"/>
    <col min="3075" max="3075" width="17" style="1332" bestFit="1" customWidth="1"/>
    <col min="3076" max="3076" width="12.7109375" style="1332" customWidth="1"/>
    <col min="3077" max="3077" width="13.7109375" style="1332" customWidth="1"/>
    <col min="3078" max="3078" width="13.85546875" style="1332" bestFit="1" customWidth="1"/>
    <col min="3079" max="3079" width="19.7109375" style="1332" bestFit="1" customWidth="1"/>
    <col min="3080" max="3080" width="16.140625" style="1332" customWidth="1"/>
    <col min="3081" max="3081" width="16.7109375" style="1332" bestFit="1" customWidth="1"/>
    <col min="3082" max="3082" width="15.5703125" style="1332" bestFit="1" customWidth="1"/>
    <col min="3083" max="3083" width="20.5703125" style="1332" bestFit="1" customWidth="1"/>
    <col min="3084" max="3084" width="16.42578125" style="1332" bestFit="1" customWidth="1"/>
    <col min="3085" max="3085" width="14.28515625" style="1332" customWidth="1"/>
    <col min="3086" max="3086" width="12.85546875" style="1332" bestFit="1" customWidth="1"/>
    <col min="3087" max="3087" width="11.28515625" style="1332" bestFit="1" customWidth="1"/>
    <col min="3088" max="3088" width="12.5703125" style="1332" bestFit="1" customWidth="1"/>
    <col min="3089" max="3089" width="14" style="1332" bestFit="1" customWidth="1"/>
    <col min="3090" max="3090" width="6" style="1332" bestFit="1" customWidth="1"/>
    <col min="3091" max="3091" width="15" style="1332" customWidth="1"/>
    <col min="3092" max="3092" width="14.85546875" style="1332" bestFit="1" customWidth="1"/>
    <col min="3093" max="3093" width="16.140625" style="1332" bestFit="1" customWidth="1"/>
    <col min="3094" max="3320" width="9.140625" style="1332"/>
    <col min="3321" max="3321" width="24" style="1332" bestFit="1" customWidth="1"/>
    <col min="3322" max="3322" width="43.85546875" style="1332" customWidth="1"/>
    <col min="3323" max="3323" width="19.7109375" style="1332" bestFit="1" customWidth="1"/>
    <col min="3324" max="3324" width="12.42578125" style="1332" bestFit="1" customWidth="1"/>
    <col min="3325" max="3325" width="16.28515625" style="1332" bestFit="1" customWidth="1"/>
    <col min="3326" max="3326" width="13.42578125" style="1332" customWidth="1"/>
    <col min="3327" max="3327" width="15.28515625" style="1332" bestFit="1" customWidth="1"/>
    <col min="3328" max="3328" width="14.140625" style="1332" bestFit="1" customWidth="1"/>
    <col min="3329" max="3329" width="15.28515625" style="1332" customWidth="1"/>
    <col min="3330" max="3330" width="17.7109375" style="1332" customWidth="1"/>
    <col min="3331" max="3331" width="17" style="1332" bestFit="1" customWidth="1"/>
    <col min="3332" max="3332" width="12.7109375" style="1332" customWidth="1"/>
    <col min="3333" max="3333" width="13.7109375" style="1332" customWidth="1"/>
    <col min="3334" max="3334" width="13.85546875" style="1332" bestFit="1" customWidth="1"/>
    <col min="3335" max="3335" width="19.7109375" style="1332" bestFit="1" customWidth="1"/>
    <col min="3336" max="3336" width="16.140625" style="1332" customWidth="1"/>
    <col min="3337" max="3337" width="16.7109375" style="1332" bestFit="1" customWidth="1"/>
    <col min="3338" max="3338" width="15.5703125" style="1332" bestFit="1" customWidth="1"/>
    <col min="3339" max="3339" width="20.5703125" style="1332" bestFit="1" customWidth="1"/>
    <col min="3340" max="3340" width="16.42578125" style="1332" bestFit="1" customWidth="1"/>
    <col min="3341" max="3341" width="14.28515625" style="1332" customWidth="1"/>
    <col min="3342" max="3342" width="12.85546875" style="1332" bestFit="1" customWidth="1"/>
    <col min="3343" max="3343" width="11.28515625" style="1332" bestFit="1" customWidth="1"/>
    <col min="3344" max="3344" width="12.5703125" style="1332" bestFit="1" customWidth="1"/>
    <col min="3345" max="3345" width="14" style="1332" bestFit="1" customWidth="1"/>
    <col min="3346" max="3346" width="6" style="1332" bestFit="1" customWidth="1"/>
    <col min="3347" max="3347" width="15" style="1332" customWidth="1"/>
    <col min="3348" max="3348" width="14.85546875" style="1332" bestFit="1" customWidth="1"/>
    <col min="3349" max="3349" width="16.140625" style="1332" bestFit="1" customWidth="1"/>
    <col min="3350" max="3576" width="9.140625" style="1332"/>
    <col min="3577" max="3577" width="24" style="1332" bestFit="1" customWidth="1"/>
    <col min="3578" max="3578" width="43.85546875" style="1332" customWidth="1"/>
    <col min="3579" max="3579" width="19.7109375" style="1332" bestFit="1" customWidth="1"/>
    <col min="3580" max="3580" width="12.42578125" style="1332" bestFit="1" customWidth="1"/>
    <col min="3581" max="3581" width="16.28515625" style="1332" bestFit="1" customWidth="1"/>
    <col min="3582" max="3582" width="13.42578125" style="1332" customWidth="1"/>
    <col min="3583" max="3583" width="15.28515625" style="1332" bestFit="1" customWidth="1"/>
    <col min="3584" max="3584" width="14.140625" style="1332" bestFit="1" customWidth="1"/>
    <col min="3585" max="3585" width="15.28515625" style="1332" customWidth="1"/>
    <col min="3586" max="3586" width="17.7109375" style="1332" customWidth="1"/>
    <col min="3587" max="3587" width="17" style="1332" bestFit="1" customWidth="1"/>
    <col min="3588" max="3588" width="12.7109375" style="1332" customWidth="1"/>
    <col min="3589" max="3589" width="13.7109375" style="1332" customWidth="1"/>
    <col min="3590" max="3590" width="13.85546875" style="1332" bestFit="1" customWidth="1"/>
    <col min="3591" max="3591" width="19.7109375" style="1332" bestFit="1" customWidth="1"/>
    <col min="3592" max="3592" width="16.140625" style="1332" customWidth="1"/>
    <col min="3593" max="3593" width="16.7109375" style="1332" bestFit="1" customWidth="1"/>
    <col min="3594" max="3594" width="15.5703125" style="1332" bestFit="1" customWidth="1"/>
    <col min="3595" max="3595" width="20.5703125" style="1332" bestFit="1" customWidth="1"/>
    <col min="3596" max="3596" width="16.42578125" style="1332" bestFit="1" customWidth="1"/>
    <col min="3597" max="3597" width="14.28515625" style="1332" customWidth="1"/>
    <col min="3598" max="3598" width="12.85546875" style="1332" bestFit="1" customWidth="1"/>
    <col min="3599" max="3599" width="11.28515625" style="1332" bestFit="1" customWidth="1"/>
    <col min="3600" max="3600" width="12.5703125" style="1332" bestFit="1" customWidth="1"/>
    <col min="3601" max="3601" width="14" style="1332" bestFit="1" customWidth="1"/>
    <col min="3602" max="3602" width="6" style="1332" bestFit="1" customWidth="1"/>
    <col min="3603" max="3603" width="15" style="1332" customWidth="1"/>
    <col min="3604" max="3604" width="14.85546875" style="1332" bestFit="1" customWidth="1"/>
    <col min="3605" max="3605" width="16.140625" style="1332" bestFit="1" customWidth="1"/>
    <col min="3606" max="3832" width="9.140625" style="1332"/>
    <col min="3833" max="3833" width="24" style="1332" bestFit="1" customWidth="1"/>
    <col min="3834" max="3834" width="43.85546875" style="1332" customWidth="1"/>
    <col min="3835" max="3835" width="19.7109375" style="1332" bestFit="1" customWidth="1"/>
    <col min="3836" max="3836" width="12.42578125" style="1332" bestFit="1" customWidth="1"/>
    <col min="3837" max="3837" width="16.28515625" style="1332" bestFit="1" customWidth="1"/>
    <col min="3838" max="3838" width="13.42578125" style="1332" customWidth="1"/>
    <col min="3839" max="3839" width="15.28515625" style="1332" bestFit="1" customWidth="1"/>
    <col min="3840" max="3840" width="14.140625" style="1332" bestFit="1" customWidth="1"/>
    <col min="3841" max="3841" width="15.28515625" style="1332" customWidth="1"/>
    <col min="3842" max="3842" width="17.7109375" style="1332" customWidth="1"/>
    <col min="3843" max="3843" width="17" style="1332" bestFit="1" customWidth="1"/>
    <col min="3844" max="3844" width="12.7109375" style="1332" customWidth="1"/>
    <col min="3845" max="3845" width="13.7109375" style="1332" customWidth="1"/>
    <col min="3846" max="3846" width="13.85546875" style="1332" bestFit="1" customWidth="1"/>
    <col min="3847" max="3847" width="19.7109375" style="1332" bestFit="1" customWidth="1"/>
    <col min="3848" max="3848" width="16.140625" style="1332" customWidth="1"/>
    <col min="3849" max="3849" width="16.7109375" style="1332" bestFit="1" customWidth="1"/>
    <col min="3850" max="3850" width="15.5703125" style="1332" bestFit="1" customWidth="1"/>
    <col min="3851" max="3851" width="20.5703125" style="1332" bestFit="1" customWidth="1"/>
    <col min="3852" max="3852" width="16.42578125" style="1332" bestFit="1" customWidth="1"/>
    <col min="3853" max="3853" width="14.28515625" style="1332" customWidth="1"/>
    <col min="3854" max="3854" width="12.85546875" style="1332" bestFit="1" customWidth="1"/>
    <col min="3855" max="3855" width="11.28515625" style="1332" bestFit="1" customWidth="1"/>
    <col min="3856" max="3856" width="12.5703125" style="1332" bestFit="1" customWidth="1"/>
    <col min="3857" max="3857" width="14" style="1332" bestFit="1" customWidth="1"/>
    <col min="3858" max="3858" width="6" style="1332" bestFit="1" customWidth="1"/>
    <col min="3859" max="3859" width="15" style="1332" customWidth="1"/>
    <col min="3860" max="3860" width="14.85546875" style="1332" bestFit="1" customWidth="1"/>
    <col min="3861" max="3861" width="16.140625" style="1332" bestFit="1" customWidth="1"/>
    <col min="3862" max="4088" width="9.140625" style="1332"/>
    <col min="4089" max="4089" width="24" style="1332" bestFit="1" customWidth="1"/>
    <col min="4090" max="4090" width="43.85546875" style="1332" customWidth="1"/>
    <col min="4091" max="4091" width="19.7109375" style="1332" bestFit="1" customWidth="1"/>
    <col min="4092" max="4092" width="12.42578125" style="1332" bestFit="1" customWidth="1"/>
    <col min="4093" max="4093" width="16.28515625" style="1332" bestFit="1" customWidth="1"/>
    <col min="4094" max="4094" width="13.42578125" style="1332" customWidth="1"/>
    <col min="4095" max="4095" width="15.28515625" style="1332" bestFit="1" customWidth="1"/>
    <col min="4096" max="4096" width="14.140625" style="1332" bestFit="1" customWidth="1"/>
    <col min="4097" max="4097" width="15.28515625" style="1332" customWidth="1"/>
    <col min="4098" max="4098" width="17.7109375" style="1332" customWidth="1"/>
    <col min="4099" max="4099" width="17" style="1332" bestFit="1" customWidth="1"/>
    <col min="4100" max="4100" width="12.7109375" style="1332" customWidth="1"/>
    <col min="4101" max="4101" width="13.7109375" style="1332" customWidth="1"/>
    <col min="4102" max="4102" width="13.85546875" style="1332" bestFit="1" customWidth="1"/>
    <col min="4103" max="4103" width="19.7109375" style="1332" bestFit="1" customWidth="1"/>
    <col min="4104" max="4104" width="16.140625" style="1332" customWidth="1"/>
    <col min="4105" max="4105" width="16.7109375" style="1332" bestFit="1" customWidth="1"/>
    <col min="4106" max="4106" width="15.5703125" style="1332" bestFit="1" customWidth="1"/>
    <col min="4107" max="4107" width="20.5703125" style="1332" bestFit="1" customWidth="1"/>
    <col min="4108" max="4108" width="16.42578125" style="1332" bestFit="1" customWidth="1"/>
    <col min="4109" max="4109" width="14.28515625" style="1332" customWidth="1"/>
    <col min="4110" max="4110" width="12.85546875" style="1332" bestFit="1" customWidth="1"/>
    <col min="4111" max="4111" width="11.28515625" style="1332" bestFit="1" customWidth="1"/>
    <col min="4112" max="4112" width="12.5703125" style="1332" bestFit="1" customWidth="1"/>
    <col min="4113" max="4113" width="14" style="1332" bestFit="1" customWidth="1"/>
    <col min="4114" max="4114" width="6" style="1332" bestFit="1" customWidth="1"/>
    <col min="4115" max="4115" width="15" style="1332" customWidth="1"/>
    <col min="4116" max="4116" width="14.85546875" style="1332" bestFit="1" customWidth="1"/>
    <col min="4117" max="4117" width="16.140625" style="1332" bestFit="1" customWidth="1"/>
    <col min="4118" max="4344" width="9.140625" style="1332"/>
    <col min="4345" max="4345" width="24" style="1332" bestFit="1" customWidth="1"/>
    <col min="4346" max="4346" width="43.85546875" style="1332" customWidth="1"/>
    <col min="4347" max="4347" width="19.7109375" style="1332" bestFit="1" customWidth="1"/>
    <col min="4348" max="4348" width="12.42578125" style="1332" bestFit="1" customWidth="1"/>
    <col min="4349" max="4349" width="16.28515625" style="1332" bestFit="1" customWidth="1"/>
    <col min="4350" max="4350" width="13.42578125" style="1332" customWidth="1"/>
    <col min="4351" max="4351" width="15.28515625" style="1332" bestFit="1" customWidth="1"/>
    <col min="4352" max="4352" width="14.140625" style="1332" bestFit="1" customWidth="1"/>
    <col min="4353" max="4353" width="15.28515625" style="1332" customWidth="1"/>
    <col min="4354" max="4354" width="17.7109375" style="1332" customWidth="1"/>
    <col min="4355" max="4355" width="17" style="1332" bestFit="1" customWidth="1"/>
    <col min="4356" max="4356" width="12.7109375" style="1332" customWidth="1"/>
    <col min="4357" max="4357" width="13.7109375" style="1332" customWidth="1"/>
    <col min="4358" max="4358" width="13.85546875" style="1332" bestFit="1" customWidth="1"/>
    <col min="4359" max="4359" width="19.7109375" style="1332" bestFit="1" customWidth="1"/>
    <col min="4360" max="4360" width="16.140625" style="1332" customWidth="1"/>
    <col min="4361" max="4361" width="16.7109375" style="1332" bestFit="1" customWidth="1"/>
    <col min="4362" max="4362" width="15.5703125" style="1332" bestFit="1" customWidth="1"/>
    <col min="4363" max="4363" width="20.5703125" style="1332" bestFit="1" customWidth="1"/>
    <col min="4364" max="4364" width="16.42578125" style="1332" bestFit="1" customWidth="1"/>
    <col min="4365" max="4365" width="14.28515625" style="1332" customWidth="1"/>
    <col min="4366" max="4366" width="12.85546875" style="1332" bestFit="1" customWidth="1"/>
    <col min="4367" max="4367" width="11.28515625" style="1332" bestFit="1" customWidth="1"/>
    <col min="4368" max="4368" width="12.5703125" style="1332" bestFit="1" customWidth="1"/>
    <col min="4369" max="4369" width="14" style="1332" bestFit="1" customWidth="1"/>
    <col min="4370" max="4370" width="6" style="1332" bestFit="1" customWidth="1"/>
    <col min="4371" max="4371" width="15" style="1332" customWidth="1"/>
    <col min="4372" max="4372" width="14.85546875" style="1332" bestFit="1" customWidth="1"/>
    <col min="4373" max="4373" width="16.140625" style="1332" bestFit="1" customWidth="1"/>
    <col min="4374" max="4600" width="9.140625" style="1332"/>
    <col min="4601" max="4601" width="24" style="1332" bestFit="1" customWidth="1"/>
    <col min="4602" max="4602" width="43.85546875" style="1332" customWidth="1"/>
    <col min="4603" max="4603" width="19.7109375" style="1332" bestFit="1" customWidth="1"/>
    <col min="4604" max="4604" width="12.42578125" style="1332" bestFit="1" customWidth="1"/>
    <col min="4605" max="4605" width="16.28515625" style="1332" bestFit="1" customWidth="1"/>
    <col min="4606" max="4606" width="13.42578125" style="1332" customWidth="1"/>
    <col min="4607" max="4607" width="15.28515625" style="1332" bestFit="1" customWidth="1"/>
    <col min="4608" max="4608" width="14.140625" style="1332" bestFit="1" customWidth="1"/>
    <col min="4609" max="4609" width="15.28515625" style="1332" customWidth="1"/>
    <col min="4610" max="4610" width="17.7109375" style="1332" customWidth="1"/>
    <col min="4611" max="4611" width="17" style="1332" bestFit="1" customWidth="1"/>
    <col min="4612" max="4612" width="12.7109375" style="1332" customWidth="1"/>
    <col min="4613" max="4613" width="13.7109375" style="1332" customWidth="1"/>
    <col min="4614" max="4614" width="13.85546875" style="1332" bestFit="1" customWidth="1"/>
    <col min="4615" max="4615" width="19.7109375" style="1332" bestFit="1" customWidth="1"/>
    <col min="4616" max="4616" width="16.140625" style="1332" customWidth="1"/>
    <col min="4617" max="4617" width="16.7109375" style="1332" bestFit="1" customWidth="1"/>
    <col min="4618" max="4618" width="15.5703125" style="1332" bestFit="1" customWidth="1"/>
    <col min="4619" max="4619" width="20.5703125" style="1332" bestFit="1" customWidth="1"/>
    <col min="4620" max="4620" width="16.42578125" style="1332" bestFit="1" customWidth="1"/>
    <col min="4621" max="4621" width="14.28515625" style="1332" customWidth="1"/>
    <col min="4622" max="4622" width="12.85546875" style="1332" bestFit="1" customWidth="1"/>
    <col min="4623" max="4623" width="11.28515625" style="1332" bestFit="1" customWidth="1"/>
    <col min="4624" max="4624" width="12.5703125" style="1332" bestFit="1" customWidth="1"/>
    <col min="4625" max="4625" width="14" style="1332" bestFit="1" customWidth="1"/>
    <col min="4626" max="4626" width="6" style="1332" bestFit="1" customWidth="1"/>
    <col min="4627" max="4627" width="15" style="1332" customWidth="1"/>
    <col min="4628" max="4628" width="14.85546875" style="1332" bestFit="1" customWidth="1"/>
    <col min="4629" max="4629" width="16.140625" style="1332" bestFit="1" customWidth="1"/>
    <col min="4630" max="4856" width="9.140625" style="1332"/>
    <col min="4857" max="4857" width="24" style="1332" bestFit="1" customWidth="1"/>
    <col min="4858" max="4858" width="43.85546875" style="1332" customWidth="1"/>
    <col min="4859" max="4859" width="19.7109375" style="1332" bestFit="1" customWidth="1"/>
    <col min="4860" max="4860" width="12.42578125" style="1332" bestFit="1" customWidth="1"/>
    <col min="4861" max="4861" width="16.28515625" style="1332" bestFit="1" customWidth="1"/>
    <col min="4862" max="4862" width="13.42578125" style="1332" customWidth="1"/>
    <col min="4863" max="4863" width="15.28515625" style="1332" bestFit="1" customWidth="1"/>
    <col min="4864" max="4864" width="14.140625" style="1332" bestFit="1" customWidth="1"/>
    <col min="4865" max="4865" width="15.28515625" style="1332" customWidth="1"/>
    <col min="4866" max="4866" width="17.7109375" style="1332" customWidth="1"/>
    <col min="4867" max="4867" width="17" style="1332" bestFit="1" customWidth="1"/>
    <col min="4868" max="4868" width="12.7109375" style="1332" customWidth="1"/>
    <col min="4869" max="4869" width="13.7109375" style="1332" customWidth="1"/>
    <col min="4870" max="4870" width="13.85546875" style="1332" bestFit="1" customWidth="1"/>
    <col min="4871" max="4871" width="19.7109375" style="1332" bestFit="1" customWidth="1"/>
    <col min="4872" max="4872" width="16.140625" style="1332" customWidth="1"/>
    <col min="4873" max="4873" width="16.7109375" style="1332" bestFit="1" customWidth="1"/>
    <col min="4874" max="4874" width="15.5703125" style="1332" bestFit="1" customWidth="1"/>
    <col min="4875" max="4875" width="20.5703125" style="1332" bestFit="1" customWidth="1"/>
    <col min="4876" max="4876" width="16.42578125" style="1332" bestFit="1" customWidth="1"/>
    <col min="4877" max="4877" width="14.28515625" style="1332" customWidth="1"/>
    <col min="4878" max="4878" width="12.85546875" style="1332" bestFit="1" customWidth="1"/>
    <col min="4879" max="4879" width="11.28515625" style="1332" bestFit="1" customWidth="1"/>
    <col min="4880" max="4880" width="12.5703125" style="1332" bestFit="1" customWidth="1"/>
    <col min="4881" max="4881" width="14" style="1332" bestFit="1" customWidth="1"/>
    <col min="4882" max="4882" width="6" style="1332" bestFit="1" customWidth="1"/>
    <col min="4883" max="4883" width="15" style="1332" customWidth="1"/>
    <col min="4884" max="4884" width="14.85546875" style="1332" bestFit="1" customWidth="1"/>
    <col min="4885" max="4885" width="16.140625" style="1332" bestFit="1" customWidth="1"/>
    <col min="4886" max="5112" width="9.140625" style="1332"/>
    <col min="5113" max="5113" width="24" style="1332" bestFit="1" customWidth="1"/>
    <col min="5114" max="5114" width="43.85546875" style="1332" customWidth="1"/>
    <col min="5115" max="5115" width="19.7109375" style="1332" bestFit="1" customWidth="1"/>
    <col min="5116" max="5116" width="12.42578125" style="1332" bestFit="1" customWidth="1"/>
    <col min="5117" max="5117" width="16.28515625" style="1332" bestFit="1" customWidth="1"/>
    <col min="5118" max="5118" width="13.42578125" style="1332" customWidth="1"/>
    <col min="5119" max="5119" width="15.28515625" style="1332" bestFit="1" customWidth="1"/>
    <col min="5120" max="5120" width="14.140625" style="1332" bestFit="1" customWidth="1"/>
    <col min="5121" max="5121" width="15.28515625" style="1332" customWidth="1"/>
    <col min="5122" max="5122" width="17.7109375" style="1332" customWidth="1"/>
    <col min="5123" max="5123" width="17" style="1332" bestFit="1" customWidth="1"/>
    <col min="5124" max="5124" width="12.7109375" style="1332" customWidth="1"/>
    <col min="5125" max="5125" width="13.7109375" style="1332" customWidth="1"/>
    <col min="5126" max="5126" width="13.85546875" style="1332" bestFit="1" customWidth="1"/>
    <col min="5127" max="5127" width="19.7109375" style="1332" bestFit="1" customWidth="1"/>
    <col min="5128" max="5128" width="16.140625" style="1332" customWidth="1"/>
    <col min="5129" max="5129" width="16.7109375" style="1332" bestFit="1" customWidth="1"/>
    <col min="5130" max="5130" width="15.5703125" style="1332" bestFit="1" customWidth="1"/>
    <col min="5131" max="5131" width="20.5703125" style="1332" bestFit="1" customWidth="1"/>
    <col min="5132" max="5132" width="16.42578125" style="1332" bestFit="1" customWidth="1"/>
    <col min="5133" max="5133" width="14.28515625" style="1332" customWidth="1"/>
    <col min="5134" max="5134" width="12.85546875" style="1332" bestFit="1" customWidth="1"/>
    <col min="5135" max="5135" width="11.28515625" style="1332" bestFit="1" customWidth="1"/>
    <col min="5136" max="5136" width="12.5703125" style="1332" bestFit="1" customWidth="1"/>
    <col min="5137" max="5137" width="14" style="1332" bestFit="1" customWidth="1"/>
    <col min="5138" max="5138" width="6" style="1332" bestFit="1" customWidth="1"/>
    <col min="5139" max="5139" width="15" style="1332" customWidth="1"/>
    <col min="5140" max="5140" width="14.85546875" style="1332" bestFit="1" customWidth="1"/>
    <col min="5141" max="5141" width="16.140625" style="1332" bestFit="1" customWidth="1"/>
    <col min="5142" max="5368" width="9.140625" style="1332"/>
    <col min="5369" max="5369" width="24" style="1332" bestFit="1" customWidth="1"/>
    <col min="5370" max="5370" width="43.85546875" style="1332" customWidth="1"/>
    <col min="5371" max="5371" width="19.7109375" style="1332" bestFit="1" customWidth="1"/>
    <col min="5372" max="5372" width="12.42578125" style="1332" bestFit="1" customWidth="1"/>
    <col min="5373" max="5373" width="16.28515625" style="1332" bestFit="1" customWidth="1"/>
    <col min="5374" max="5374" width="13.42578125" style="1332" customWidth="1"/>
    <col min="5375" max="5375" width="15.28515625" style="1332" bestFit="1" customWidth="1"/>
    <col min="5376" max="5376" width="14.140625" style="1332" bestFit="1" customWidth="1"/>
    <col min="5377" max="5377" width="15.28515625" style="1332" customWidth="1"/>
    <col min="5378" max="5378" width="17.7109375" style="1332" customWidth="1"/>
    <col min="5379" max="5379" width="17" style="1332" bestFit="1" customWidth="1"/>
    <col min="5380" max="5380" width="12.7109375" style="1332" customWidth="1"/>
    <col min="5381" max="5381" width="13.7109375" style="1332" customWidth="1"/>
    <col min="5382" max="5382" width="13.85546875" style="1332" bestFit="1" customWidth="1"/>
    <col min="5383" max="5383" width="19.7109375" style="1332" bestFit="1" customWidth="1"/>
    <col min="5384" max="5384" width="16.140625" style="1332" customWidth="1"/>
    <col min="5385" max="5385" width="16.7109375" style="1332" bestFit="1" customWidth="1"/>
    <col min="5386" max="5386" width="15.5703125" style="1332" bestFit="1" customWidth="1"/>
    <col min="5387" max="5387" width="20.5703125" style="1332" bestFit="1" customWidth="1"/>
    <col min="5388" max="5388" width="16.42578125" style="1332" bestFit="1" customWidth="1"/>
    <col min="5389" max="5389" width="14.28515625" style="1332" customWidth="1"/>
    <col min="5390" max="5390" width="12.85546875" style="1332" bestFit="1" customWidth="1"/>
    <col min="5391" max="5391" width="11.28515625" style="1332" bestFit="1" customWidth="1"/>
    <col min="5392" max="5392" width="12.5703125" style="1332" bestFit="1" customWidth="1"/>
    <col min="5393" max="5393" width="14" style="1332" bestFit="1" customWidth="1"/>
    <col min="5394" max="5394" width="6" style="1332" bestFit="1" customWidth="1"/>
    <col min="5395" max="5395" width="15" style="1332" customWidth="1"/>
    <col min="5396" max="5396" width="14.85546875" style="1332" bestFit="1" customWidth="1"/>
    <col min="5397" max="5397" width="16.140625" style="1332" bestFit="1" customWidth="1"/>
    <col min="5398" max="5624" width="9.140625" style="1332"/>
    <col min="5625" max="5625" width="24" style="1332" bestFit="1" customWidth="1"/>
    <col min="5626" max="5626" width="43.85546875" style="1332" customWidth="1"/>
    <col min="5627" max="5627" width="19.7109375" style="1332" bestFit="1" customWidth="1"/>
    <col min="5628" max="5628" width="12.42578125" style="1332" bestFit="1" customWidth="1"/>
    <col min="5629" max="5629" width="16.28515625" style="1332" bestFit="1" customWidth="1"/>
    <col min="5630" max="5630" width="13.42578125" style="1332" customWidth="1"/>
    <col min="5631" max="5631" width="15.28515625" style="1332" bestFit="1" customWidth="1"/>
    <col min="5632" max="5632" width="14.140625" style="1332" bestFit="1" customWidth="1"/>
    <col min="5633" max="5633" width="15.28515625" style="1332" customWidth="1"/>
    <col min="5634" max="5634" width="17.7109375" style="1332" customWidth="1"/>
    <col min="5635" max="5635" width="17" style="1332" bestFit="1" customWidth="1"/>
    <col min="5636" max="5636" width="12.7109375" style="1332" customWidth="1"/>
    <col min="5637" max="5637" width="13.7109375" style="1332" customWidth="1"/>
    <col min="5638" max="5638" width="13.85546875" style="1332" bestFit="1" customWidth="1"/>
    <col min="5639" max="5639" width="19.7109375" style="1332" bestFit="1" customWidth="1"/>
    <col min="5640" max="5640" width="16.140625" style="1332" customWidth="1"/>
    <col min="5641" max="5641" width="16.7109375" style="1332" bestFit="1" customWidth="1"/>
    <col min="5642" max="5642" width="15.5703125" style="1332" bestFit="1" customWidth="1"/>
    <col min="5643" max="5643" width="20.5703125" style="1332" bestFit="1" customWidth="1"/>
    <col min="5644" max="5644" width="16.42578125" style="1332" bestFit="1" customWidth="1"/>
    <col min="5645" max="5645" width="14.28515625" style="1332" customWidth="1"/>
    <col min="5646" max="5646" width="12.85546875" style="1332" bestFit="1" customWidth="1"/>
    <col min="5647" max="5647" width="11.28515625" style="1332" bestFit="1" customWidth="1"/>
    <col min="5648" max="5648" width="12.5703125" style="1332" bestFit="1" customWidth="1"/>
    <col min="5649" max="5649" width="14" style="1332" bestFit="1" customWidth="1"/>
    <col min="5650" max="5650" width="6" style="1332" bestFit="1" customWidth="1"/>
    <col min="5651" max="5651" width="15" style="1332" customWidth="1"/>
    <col min="5652" max="5652" width="14.85546875" style="1332" bestFit="1" customWidth="1"/>
    <col min="5653" max="5653" width="16.140625" style="1332" bestFit="1" customWidth="1"/>
    <col min="5654" max="5880" width="9.140625" style="1332"/>
    <col min="5881" max="5881" width="24" style="1332" bestFit="1" customWidth="1"/>
    <col min="5882" max="5882" width="43.85546875" style="1332" customWidth="1"/>
    <col min="5883" max="5883" width="19.7109375" style="1332" bestFit="1" customWidth="1"/>
    <col min="5884" max="5884" width="12.42578125" style="1332" bestFit="1" customWidth="1"/>
    <col min="5885" max="5885" width="16.28515625" style="1332" bestFit="1" customWidth="1"/>
    <col min="5886" max="5886" width="13.42578125" style="1332" customWidth="1"/>
    <col min="5887" max="5887" width="15.28515625" style="1332" bestFit="1" customWidth="1"/>
    <col min="5888" max="5888" width="14.140625" style="1332" bestFit="1" customWidth="1"/>
    <col min="5889" max="5889" width="15.28515625" style="1332" customWidth="1"/>
    <col min="5890" max="5890" width="17.7109375" style="1332" customWidth="1"/>
    <col min="5891" max="5891" width="17" style="1332" bestFit="1" customWidth="1"/>
    <col min="5892" max="5892" width="12.7109375" style="1332" customWidth="1"/>
    <col min="5893" max="5893" width="13.7109375" style="1332" customWidth="1"/>
    <col min="5894" max="5894" width="13.85546875" style="1332" bestFit="1" customWidth="1"/>
    <col min="5895" max="5895" width="19.7109375" style="1332" bestFit="1" customWidth="1"/>
    <col min="5896" max="5896" width="16.140625" style="1332" customWidth="1"/>
    <col min="5897" max="5897" width="16.7109375" style="1332" bestFit="1" customWidth="1"/>
    <col min="5898" max="5898" width="15.5703125" style="1332" bestFit="1" customWidth="1"/>
    <col min="5899" max="5899" width="20.5703125" style="1332" bestFit="1" customWidth="1"/>
    <col min="5900" max="5900" width="16.42578125" style="1332" bestFit="1" customWidth="1"/>
    <col min="5901" max="5901" width="14.28515625" style="1332" customWidth="1"/>
    <col min="5902" max="5902" width="12.85546875" style="1332" bestFit="1" customWidth="1"/>
    <col min="5903" max="5903" width="11.28515625" style="1332" bestFit="1" customWidth="1"/>
    <col min="5904" max="5904" width="12.5703125" style="1332" bestFit="1" customWidth="1"/>
    <col min="5905" max="5905" width="14" style="1332" bestFit="1" customWidth="1"/>
    <col min="5906" max="5906" width="6" style="1332" bestFit="1" customWidth="1"/>
    <col min="5907" max="5907" width="15" style="1332" customWidth="1"/>
    <col min="5908" max="5908" width="14.85546875" style="1332" bestFit="1" customWidth="1"/>
    <col min="5909" max="5909" width="16.140625" style="1332" bestFit="1" customWidth="1"/>
    <col min="5910" max="6136" width="9.140625" style="1332"/>
    <col min="6137" max="6137" width="24" style="1332" bestFit="1" customWidth="1"/>
    <col min="6138" max="6138" width="43.85546875" style="1332" customWidth="1"/>
    <col min="6139" max="6139" width="19.7109375" style="1332" bestFit="1" customWidth="1"/>
    <col min="6140" max="6140" width="12.42578125" style="1332" bestFit="1" customWidth="1"/>
    <col min="6141" max="6141" width="16.28515625" style="1332" bestFit="1" customWidth="1"/>
    <col min="6142" max="6142" width="13.42578125" style="1332" customWidth="1"/>
    <col min="6143" max="6143" width="15.28515625" style="1332" bestFit="1" customWidth="1"/>
    <col min="6144" max="6144" width="14.140625" style="1332" bestFit="1" customWidth="1"/>
    <col min="6145" max="6145" width="15.28515625" style="1332" customWidth="1"/>
    <col min="6146" max="6146" width="17.7109375" style="1332" customWidth="1"/>
    <col min="6147" max="6147" width="17" style="1332" bestFit="1" customWidth="1"/>
    <col min="6148" max="6148" width="12.7109375" style="1332" customWidth="1"/>
    <col min="6149" max="6149" width="13.7109375" style="1332" customWidth="1"/>
    <col min="6150" max="6150" width="13.85546875" style="1332" bestFit="1" customWidth="1"/>
    <col min="6151" max="6151" width="19.7109375" style="1332" bestFit="1" customWidth="1"/>
    <col min="6152" max="6152" width="16.140625" style="1332" customWidth="1"/>
    <col min="6153" max="6153" width="16.7109375" style="1332" bestFit="1" customWidth="1"/>
    <col min="6154" max="6154" width="15.5703125" style="1332" bestFit="1" customWidth="1"/>
    <col min="6155" max="6155" width="20.5703125" style="1332" bestFit="1" customWidth="1"/>
    <col min="6156" max="6156" width="16.42578125" style="1332" bestFit="1" customWidth="1"/>
    <col min="6157" max="6157" width="14.28515625" style="1332" customWidth="1"/>
    <col min="6158" max="6158" width="12.85546875" style="1332" bestFit="1" customWidth="1"/>
    <col min="6159" max="6159" width="11.28515625" style="1332" bestFit="1" customWidth="1"/>
    <col min="6160" max="6160" width="12.5703125" style="1332" bestFit="1" customWidth="1"/>
    <col min="6161" max="6161" width="14" style="1332" bestFit="1" customWidth="1"/>
    <col min="6162" max="6162" width="6" style="1332" bestFit="1" customWidth="1"/>
    <col min="6163" max="6163" width="15" style="1332" customWidth="1"/>
    <col min="6164" max="6164" width="14.85546875" style="1332" bestFit="1" customWidth="1"/>
    <col min="6165" max="6165" width="16.140625" style="1332" bestFit="1" customWidth="1"/>
    <col min="6166" max="6392" width="9.140625" style="1332"/>
    <col min="6393" max="6393" width="24" style="1332" bestFit="1" customWidth="1"/>
    <col min="6394" max="6394" width="43.85546875" style="1332" customWidth="1"/>
    <col min="6395" max="6395" width="19.7109375" style="1332" bestFit="1" customWidth="1"/>
    <col min="6396" max="6396" width="12.42578125" style="1332" bestFit="1" customWidth="1"/>
    <col min="6397" max="6397" width="16.28515625" style="1332" bestFit="1" customWidth="1"/>
    <col min="6398" max="6398" width="13.42578125" style="1332" customWidth="1"/>
    <col min="6399" max="6399" width="15.28515625" style="1332" bestFit="1" customWidth="1"/>
    <col min="6400" max="6400" width="14.140625" style="1332" bestFit="1" customWidth="1"/>
    <col min="6401" max="6401" width="15.28515625" style="1332" customWidth="1"/>
    <col min="6402" max="6402" width="17.7109375" style="1332" customWidth="1"/>
    <col min="6403" max="6403" width="17" style="1332" bestFit="1" customWidth="1"/>
    <col min="6404" max="6404" width="12.7109375" style="1332" customWidth="1"/>
    <col min="6405" max="6405" width="13.7109375" style="1332" customWidth="1"/>
    <col min="6406" max="6406" width="13.85546875" style="1332" bestFit="1" customWidth="1"/>
    <col min="6407" max="6407" width="19.7109375" style="1332" bestFit="1" customWidth="1"/>
    <col min="6408" max="6408" width="16.140625" style="1332" customWidth="1"/>
    <col min="6409" max="6409" width="16.7109375" style="1332" bestFit="1" customWidth="1"/>
    <col min="6410" max="6410" width="15.5703125" style="1332" bestFit="1" customWidth="1"/>
    <col min="6411" max="6411" width="20.5703125" style="1332" bestFit="1" customWidth="1"/>
    <col min="6412" max="6412" width="16.42578125" style="1332" bestFit="1" customWidth="1"/>
    <col min="6413" max="6413" width="14.28515625" style="1332" customWidth="1"/>
    <col min="6414" max="6414" width="12.85546875" style="1332" bestFit="1" customWidth="1"/>
    <col min="6415" max="6415" width="11.28515625" style="1332" bestFit="1" customWidth="1"/>
    <col min="6416" max="6416" width="12.5703125" style="1332" bestFit="1" customWidth="1"/>
    <col min="6417" max="6417" width="14" style="1332" bestFit="1" customWidth="1"/>
    <col min="6418" max="6418" width="6" style="1332" bestFit="1" customWidth="1"/>
    <col min="6419" max="6419" width="15" style="1332" customWidth="1"/>
    <col min="6420" max="6420" width="14.85546875" style="1332" bestFit="1" customWidth="1"/>
    <col min="6421" max="6421" width="16.140625" style="1332" bestFit="1" customWidth="1"/>
    <col min="6422" max="6648" width="9.140625" style="1332"/>
    <col min="6649" max="6649" width="24" style="1332" bestFit="1" customWidth="1"/>
    <col min="6650" max="6650" width="43.85546875" style="1332" customWidth="1"/>
    <col min="6651" max="6651" width="19.7109375" style="1332" bestFit="1" customWidth="1"/>
    <col min="6652" max="6652" width="12.42578125" style="1332" bestFit="1" customWidth="1"/>
    <col min="6653" max="6653" width="16.28515625" style="1332" bestFit="1" customWidth="1"/>
    <col min="6654" max="6654" width="13.42578125" style="1332" customWidth="1"/>
    <col min="6655" max="6655" width="15.28515625" style="1332" bestFit="1" customWidth="1"/>
    <col min="6656" max="6656" width="14.140625" style="1332" bestFit="1" customWidth="1"/>
    <col min="6657" max="6657" width="15.28515625" style="1332" customWidth="1"/>
    <col min="6658" max="6658" width="17.7109375" style="1332" customWidth="1"/>
    <col min="6659" max="6659" width="17" style="1332" bestFit="1" customWidth="1"/>
    <col min="6660" max="6660" width="12.7109375" style="1332" customWidth="1"/>
    <col min="6661" max="6661" width="13.7109375" style="1332" customWidth="1"/>
    <col min="6662" max="6662" width="13.85546875" style="1332" bestFit="1" customWidth="1"/>
    <col min="6663" max="6663" width="19.7109375" style="1332" bestFit="1" customWidth="1"/>
    <col min="6664" max="6664" width="16.140625" style="1332" customWidth="1"/>
    <col min="6665" max="6665" width="16.7109375" style="1332" bestFit="1" customWidth="1"/>
    <col min="6666" max="6666" width="15.5703125" style="1332" bestFit="1" customWidth="1"/>
    <col min="6667" max="6667" width="20.5703125" style="1332" bestFit="1" customWidth="1"/>
    <col min="6668" max="6668" width="16.42578125" style="1332" bestFit="1" customWidth="1"/>
    <col min="6669" max="6669" width="14.28515625" style="1332" customWidth="1"/>
    <col min="6670" max="6670" width="12.85546875" style="1332" bestFit="1" customWidth="1"/>
    <col min="6671" max="6671" width="11.28515625" style="1332" bestFit="1" customWidth="1"/>
    <col min="6672" max="6672" width="12.5703125" style="1332" bestFit="1" customWidth="1"/>
    <col min="6673" max="6673" width="14" style="1332" bestFit="1" customWidth="1"/>
    <col min="6674" max="6674" width="6" style="1332" bestFit="1" customWidth="1"/>
    <col min="6675" max="6675" width="15" style="1332" customWidth="1"/>
    <col min="6676" max="6676" width="14.85546875" style="1332" bestFit="1" customWidth="1"/>
    <col min="6677" max="6677" width="16.140625" style="1332" bestFit="1" customWidth="1"/>
    <col min="6678" max="6904" width="9.140625" style="1332"/>
    <col min="6905" max="6905" width="24" style="1332" bestFit="1" customWidth="1"/>
    <col min="6906" max="6906" width="43.85546875" style="1332" customWidth="1"/>
    <col min="6907" max="6907" width="19.7109375" style="1332" bestFit="1" customWidth="1"/>
    <col min="6908" max="6908" width="12.42578125" style="1332" bestFit="1" customWidth="1"/>
    <col min="6909" max="6909" width="16.28515625" style="1332" bestFit="1" customWidth="1"/>
    <col min="6910" max="6910" width="13.42578125" style="1332" customWidth="1"/>
    <col min="6911" max="6911" width="15.28515625" style="1332" bestFit="1" customWidth="1"/>
    <col min="6912" max="6912" width="14.140625" style="1332" bestFit="1" customWidth="1"/>
    <col min="6913" max="6913" width="15.28515625" style="1332" customWidth="1"/>
    <col min="6914" max="6914" width="17.7109375" style="1332" customWidth="1"/>
    <col min="6915" max="6915" width="17" style="1332" bestFit="1" customWidth="1"/>
    <col min="6916" max="6916" width="12.7109375" style="1332" customWidth="1"/>
    <col min="6917" max="6917" width="13.7109375" style="1332" customWidth="1"/>
    <col min="6918" max="6918" width="13.85546875" style="1332" bestFit="1" customWidth="1"/>
    <col min="6919" max="6919" width="19.7109375" style="1332" bestFit="1" customWidth="1"/>
    <col min="6920" max="6920" width="16.140625" style="1332" customWidth="1"/>
    <col min="6921" max="6921" width="16.7109375" style="1332" bestFit="1" customWidth="1"/>
    <col min="6922" max="6922" width="15.5703125" style="1332" bestFit="1" customWidth="1"/>
    <col min="6923" max="6923" width="20.5703125" style="1332" bestFit="1" customWidth="1"/>
    <col min="6924" max="6924" width="16.42578125" style="1332" bestFit="1" customWidth="1"/>
    <col min="6925" max="6925" width="14.28515625" style="1332" customWidth="1"/>
    <col min="6926" max="6926" width="12.85546875" style="1332" bestFit="1" customWidth="1"/>
    <col min="6927" max="6927" width="11.28515625" style="1332" bestFit="1" customWidth="1"/>
    <col min="6928" max="6928" width="12.5703125" style="1332" bestFit="1" customWidth="1"/>
    <col min="6929" max="6929" width="14" style="1332" bestFit="1" customWidth="1"/>
    <col min="6930" max="6930" width="6" style="1332" bestFit="1" customWidth="1"/>
    <col min="6931" max="6931" width="15" style="1332" customWidth="1"/>
    <col min="6932" max="6932" width="14.85546875" style="1332" bestFit="1" customWidth="1"/>
    <col min="6933" max="6933" width="16.140625" style="1332" bestFit="1" customWidth="1"/>
    <col min="6934" max="7160" width="9.140625" style="1332"/>
    <col min="7161" max="7161" width="24" style="1332" bestFit="1" customWidth="1"/>
    <col min="7162" max="7162" width="43.85546875" style="1332" customWidth="1"/>
    <col min="7163" max="7163" width="19.7109375" style="1332" bestFit="1" customWidth="1"/>
    <col min="7164" max="7164" width="12.42578125" style="1332" bestFit="1" customWidth="1"/>
    <col min="7165" max="7165" width="16.28515625" style="1332" bestFit="1" customWidth="1"/>
    <col min="7166" max="7166" width="13.42578125" style="1332" customWidth="1"/>
    <col min="7167" max="7167" width="15.28515625" style="1332" bestFit="1" customWidth="1"/>
    <col min="7168" max="7168" width="14.140625" style="1332" bestFit="1" customWidth="1"/>
    <col min="7169" max="7169" width="15.28515625" style="1332" customWidth="1"/>
    <col min="7170" max="7170" width="17.7109375" style="1332" customWidth="1"/>
    <col min="7171" max="7171" width="17" style="1332" bestFit="1" customWidth="1"/>
    <col min="7172" max="7172" width="12.7109375" style="1332" customWidth="1"/>
    <col min="7173" max="7173" width="13.7109375" style="1332" customWidth="1"/>
    <col min="7174" max="7174" width="13.85546875" style="1332" bestFit="1" customWidth="1"/>
    <col min="7175" max="7175" width="19.7109375" style="1332" bestFit="1" customWidth="1"/>
    <col min="7176" max="7176" width="16.140625" style="1332" customWidth="1"/>
    <col min="7177" max="7177" width="16.7109375" style="1332" bestFit="1" customWidth="1"/>
    <col min="7178" max="7178" width="15.5703125" style="1332" bestFit="1" customWidth="1"/>
    <col min="7179" max="7179" width="20.5703125" style="1332" bestFit="1" customWidth="1"/>
    <col min="7180" max="7180" width="16.42578125" style="1332" bestFit="1" customWidth="1"/>
    <col min="7181" max="7181" width="14.28515625" style="1332" customWidth="1"/>
    <col min="7182" max="7182" width="12.85546875" style="1332" bestFit="1" customWidth="1"/>
    <col min="7183" max="7183" width="11.28515625" style="1332" bestFit="1" customWidth="1"/>
    <col min="7184" max="7184" width="12.5703125" style="1332" bestFit="1" customWidth="1"/>
    <col min="7185" max="7185" width="14" style="1332" bestFit="1" customWidth="1"/>
    <col min="7186" max="7186" width="6" style="1332" bestFit="1" customWidth="1"/>
    <col min="7187" max="7187" width="15" style="1332" customWidth="1"/>
    <col min="7188" max="7188" width="14.85546875" style="1332" bestFit="1" customWidth="1"/>
    <col min="7189" max="7189" width="16.140625" style="1332" bestFit="1" customWidth="1"/>
    <col min="7190" max="7416" width="9.140625" style="1332"/>
    <col min="7417" max="7417" width="24" style="1332" bestFit="1" customWidth="1"/>
    <col min="7418" max="7418" width="43.85546875" style="1332" customWidth="1"/>
    <col min="7419" max="7419" width="19.7109375" style="1332" bestFit="1" customWidth="1"/>
    <col min="7420" max="7420" width="12.42578125" style="1332" bestFit="1" customWidth="1"/>
    <col min="7421" max="7421" width="16.28515625" style="1332" bestFit="1" customWidth="1"/>
    <col min="7422" max="7422" width="13.42578125" style="1332" customWidth="1"/>
    <col min="7423" max="7423" width="15.28515625" style="1332" bestFit="1" customWidth="1"/>
    <col min="7424" max="7424" width="14.140625" style="1332" bestFit="1" customWidth="1"/>
    <col min="7425" max="7425" width="15.28515625" style="1332" customWidth="1"/>
    <col min="7426" max="7426" width="17.7109375" style="1332" customWidth="1"/>
    <col min="7427" max="7427" width="17" style="1332" bestFit="1" customWidth="1"/>
    <col min="7428" max="7428" width="12.7109375" style="1332" customWidth="1"/>
    <col min="7429" max="7429" width="13.7109375" style="1332" customWidth="1"/>
    <col min="7430" max="7430" width="13.85546875" style="1332" bestFit="1" customWidth="1"/>
    <col min="7431" max="7431" width="19.7109375" style="1332" bestFit="1" customWidth="1"/>
    <col min="7432" max="7432" width="16.140625" style="1332" customWidth="1"/>
    <col min="7433" max="7433" width="16.7109375" style="1332" bestFit="1" customWidth="1"/>
    <col min="7434" max="7434" width="15.5703125" style="1332" bestFit="1" customWidth="1"/>
    <col min="7435" max="7435" width="20.5703125" style="1332" bestFit="1" customWidth="1"/>
    <col min="7436" max="7436" width="16.42578125" style="1332" bestFit="1" customWidth="1"/>
    <col min="7437" max="7437" width="14.28515625" style="1332" customWidth="1"/>
    <col min="7438" max="7438" width="12.85546875" style="1332" bestFit="1" customWidth="1"/>
    <col min="7439" max="7439" width="11.28515625" style="1332" bestFit="1" customWidth="1"/>
    <col min="7440" max="7440" width="12.5703125" style="1332" bestFit="1" customWidth="1"/>
    <col min="7441" max="7441" width="14" style="1332" bestFit="1" customWidth="1"/>
    <col min="7442" max="7442" width="6" style="1332" bestFit="1" customWidth="1"/>
    <col min="7443" max="7443" width="15" style="1332" customWidth="1"/>
    <col min="7444" max="7444" width="14.85546875" style="1332" bestFit="1" customWidth="1"/>
    <col min="7445" max="7445" width="16.140625" style="1332" bestFit="1" customWidth="1"/>
    <col min="7446" max="7672" width="9.140625" style="1332"/>
    <col min="7673" max="7673" width="24" style="1332" bestFit="1" customWidth="1"/>
    <col min="7674" max="7674" width="43.85546875" style="1332" customWidth="1"/>
    <col min="7675" max="7675" width="19.7109375" style="1332" bestFit="1" customWidth="1"/>
    <col min="7676" max="7676" width="12.42578125" style="1332" bestFit="1" customWidth="1"/>
    <col min="7677" max="7677" width="16.28515625" style="1332" bestFit="1" customWidth="1"/>
    <col min="7678" max="7678" width="13.42578125" style="1332" customWidth="1"/>
    <col min="7679" max="7679" width="15.28515625" style="1332" bestFit="1" customWidth="1"/>
    <col min="7680" max="7680" width="14.140625" style="1332" bestFit="1" customWidth="1"/>
    <col min="7681" max="7681" width="15.28515625" style="1332" customWidth="1"/>
    <col min="7682" max="7682" width="17.7109375" style="1332" customWidth="1"/>
    <col min="7683" max="7683" width="17" style="1332" bestFit="1" customWidth="1"/>
    <col min="7684" max="7684" width="12.7109375" style="1332" customWidth="1"/>
    <col min="7685" max="7685" width="13.7109375" style="1332" customWidth="1"/>
    <col min="7686" max="7686" width="13.85546875" style="1332" bestFit="1" customWidth="1"/>
    <col min="7687" max="7687" width="19.7109375" style="1332" bestFit="1" customWidth="1"/>
    <col min="7688" max="7688" width="16.140625" style="1332" customWidth="1"/>
    <col min="7689" max="7689" width="16.7109375" style="1332" bestFit="1" customWidth="1"/>
    <col min="7690" max="7690" width="15.5703125" style="1332" bestFit="1" customWidth="1"/>
    <col min="7691" max="7691" width="20.5703125" style="1332" bestFit="1" customWidth="1"/>
    <col min="7692" max="7692" width="16.42578125" style="1332" bestFit="1" customWidth="1"/>
    <col min="7693" max="7693" width="14.28515625" style="1332" customWidth="1"/>
    <col min="7694" max="7694" width="12.85546875" style="1332" bestFit="1" customWidth="1"/>
    <col min="7695" max="7695" width="11.28515625" style="1332" bestFit="1" customWidth="1"/>
    <col min="7696" max="7696" width="12.5703125" style="1332" bestFit="1" customWidth="1"/>
    <col min="7697" max="7697" width="14" style="1332" bestFit="1" customWidth="1"/>
    <col min="7698" max="7698" width="6" style="1332" bestFit="1" customWidth="1"/>
    <col min="7699" max="7699" width="15" style="1332" customWidth="1"/>
    <col min="7700" max="7700" width="14.85546875" style="1332" bestFit="1" customWidth="1"/>
    <col min="7701" max="7701" width="16.140625" style="1332" bestFit="1" customWidth="1"/>
    <col min="7702" max="7928" width="9.140625" style="1332"/>
    <col min="7929" max="7929" width="24" style="1332" bestFit="1" customWidth="1"/>
    <col min="7930" max="7930" width="43.85546875" style="1332" customWidth="1"/>
    <col min="7931" max="7931" width="19.7109375" style="1332" bestFit="1" customWidth="1"/>
    <col min="7932" max="7932" width="12.42578125" style="1332" bestFit="1" customWidth="1"/>
    <col min="7933" max="7933" width="16.28515625" style="1332" bestFit="1" customWidth="1"/>
    <col min="7934" max="7934" width="13.42578125" style="1332" customWidth="1"/>
    <col min="7935" max="7935" width="15.28515625" style="1332" bestFit="1" customWidth="1"/>
    <col min="7936" max="7936" width="14.140625" style="1332" bestFit="1" customWidth="1"/>
    <col min="7937" max="7937" width="15.28515625" style="1332" customWidth="1"/>
    <col min="7938" max="7938" width="17.7109375" style="1332" customWidth="1"/>
    <col min="7939" max="7939" width="17" style="1332" bestFit="1" customWidth="1"/>
    <col min="7940" max="7940" width="12.7109375" style="1332" customWidth="1"/>
    <col min="7941" max="7941" width="13.7109375" style="1332" customWidth="1"/>
    <col min="7942" max="7942" width="13.85546875" style="1332" bestFit="1" customWidth="1"/>
    <col min="7943" max="7943" width="19.7109375" style="1332" bestFit="1" customWidth="1"/>
    <col min="7944" max="7944" width="16.140625" style="1332" customWidth="1"/>
    <col min="7945" max="7945" width="16.7109375" style="1332" bestFit="1" customWidth="1"/>
    <col min="7946" max="7946" width="15.5703125" style="1332" bestFit="1" customWidth="1"/>
    <col min="7947" max="7947" width="20.5703125" style="1332" bestFit="1" customWidth="1"/>
    <col min="7948" max="7948" width="16.42578125" style="1332" bestFit="1" customWidth="1"/>
    <col min="7949" max="7949" width="14.28515625" style="1332" customWidth="1"/>
    <col min="7950" max="7950" width="12.85546875" style="1332" bestFit="1" customWidth="1"/>
    <col min="7951" max="7951" width="11.28515625" style="1332" bestFit="1" customWidth="1"/>
    <col min="7952" max="7952" width="12.5703125" style="1332" bestFit="1" customWidth="1"/>
    <col min="7953" max="7953" width="14" style="1332" bestFit="1" customWidth="1"/>
    <col min="7954" max="7954" width="6" style="1332" bestFit="1" customWidth="1"/>
    <col min="7955" max="7955" width="15" style="1332" customWidth="1"/>
    <col min="7956" max="7956" width="14.85546875" style="1332" bestFit="1" customWidth="1"/>
    <col min="7957" max="7957" width="16.140625" style="1332" bestFit="1" customWidth="1"/>
    <col min="7958" max="8184" width="9.140625" style="1332"/>
    <col min="8185" max="8185" width="24" style="1332" bestFit="1" customWidth="1"/>
    <col min="8186" max="8186" width="43.85546875" style="1332" customWidth="1"/>
    <col min="8187" max="8187" width="19.7109375" style="1332" bestFit="1" customWidth="1"/>
    <col min="8188" max="8188" width="12.42578125" style="1332" bestFit="1" customWidth="1"/>
    <col min="8189" max="8189" width="16.28515625" style="1332" bestFit="1" customWidth="1"/>
    <col min="8190" max="8190" width="13.42578125" style="1332" customWidth="1"/>
    <col min="8191" max="8191" width="15.28515625" style="1332" bestFit="1" customWidth="1"/>
    <col min="8192" max="8192" width="14.140625" style="1332" bestFit="1" customWidth="1"/>
    <col min="8193" max="8193" width="15.28515625" style="1332" customWidth="1"/>
    <col min="8194" max="8194" width="17.7109375" style="1332" customWidth="1"/>
    <col min="8195" max="8195" width="17" style="1332" bestFit="1" customWidth="1"/>
    <col min="8196" max="8196" width="12.7109375" style="1332" customWidth="1"/>
    <col min="8197" max="8197" width="13.7109375" style="1332" customWidth="1"/>
    <col min="8198" max="8198" width="13.85546875" style="1332" bestFit="1" customWidth="1"/>
    <col min="8199" max="8199" width="19.7109375" style="1332" bestFit="1" customWidth="1"/>
    <col min="8200" max="8200" width="16.140625" style="1332" customWidth="1"/>
    <col min="8201" max="8201" width="16.7109375" style="1332" bestFit="1" customWidth="1"/>
    <col min="8202" max="8202" width="15.5703125" style="1332" bestFit="1" customWidth="1"/>
    <col min="8203" max="8203" width="20.5703125" style="1332" bestFit="1" customWidth="1"/>
    <col min="8204" max="8204" width="16.42578125" style="1332" bestFit="1" customWidth="1"/>
    <col min="8205" max="8205" width="14.28515625" style="1332" customWidth="1"/>
    <col min="8206" max="8206" width="12.85546875" style="1332" bestFit="1" customWidth="1"/>
    <col min="8207" max="8207" width="11.28515625" style="1332" bestFit="1" customWidth="1"/>
    <col min="8208" max="8208" width="12.5703125" style="1332" bestFit="1" customWidth="1"/>
    <col min="8209" max="8209" width="14" style="1332" bestFit="1" customWidth="1"/>
    <col min="8210" max="8210" width="6" style="1332" bestFit="1" customWidth="1"/>
    <col min="8211" max="8211" width="15" style="1332" customWidth="1"/>
    <col min="8212" max="8212" width="14.85546875" style="1332" bestFit="1" customWidth="1"/>
    <col min="8213" max="8213" width="16.140625" style="1332" bestFit="1" customWidth="1"/>
    <col min="8214" max="8440" width="9.140625" style="1332"/>
    <col min="8441" max="8441" width="24" style="1332" bestFit="1" customWidth="1"/>
    <col min="8442" max="8442" width="43.85546875" style="1332" customWidth="1"/>
    <col min="8443" max="8443" width="19.7109375" style="1332" bestFit="1" customWidth="1"/>
    <col min="8444" max="8444" width="12.42578125" style="1332" bestFit="1" customWidth="1"/>
    <col min="8445" max="8445" width="16.28515625" style="1332" bestFit="1" customWidth="1"/>
    <col min="8446" max="8446" width="13.42578125" style="1332" customWidth="1"/>
    <col min="8447" max="8447" width="15.28515625" style="1332" bestFit="1" customWidth="1"/>
    <col min="8448" max="8448" width="14.140625" style="1332" bestFit="1" customWidth="1"/>
    <col min="8449" max="8449" width="15.28515625" style="1332" customWidth="1"/>
    <col min="8450" max="8450" width="17.7109375" style="1332" customWidth="1"/>
    <col min="8451" max="8451" width="17" style="1332" bestFit="1" customWidth="1"/>
    <col min="8452" max="8452" width="12.7109375" style="1332" customWidth="1"/>
    <col min="8453" max="8453" width="13.7109375" style="1332" customWidth="1"/>
    <col min="8454" max="8454" width="13.85546875" style="1332" bestFit="1" customWidth="1"/>
    <col min="8455" max="8455" width="19.7109375" style="1332" bestFit="1" customWidth="1"/>
    <col min="8456" max="8456" width="16.140625" style="1332" customWidth="1"/>
    <col min="8457" max="8457" width="16.7109375" style="1332" bestFit="1" customWidth="1"/>
    <col min="8458" max="8458" width="15.5703125" style="1332" bestFit="1" customWidth="1"/>
    <col min="8459" max="8459" width="20.5703125" style="1332" bestFit="1" customWidth="1"/>
    <col min="8460" max="8460" width="16.42578125" style="1332" bestFit="1" customWidth="1"/>
    <col min="8461" max="8461" width="14.28515625" style="1332" customWidth="1"/>
    <col min="8462" max="8462" width="12.85546875" style="1332" bestFit="1" customWidth="1"/>
    <col min="8463" max="8463" width="11.28515625" style="1332" bestFit="1" customWidth="1"/>
    <col min="8464" max="8464" width="12.5703125" style="1332" bestFit="1" customWidth="1"/>
    <col min="8465" max="8465" width="14" style="1332" bestFit="1" customWidth="1"/>
    <col min="8466" max="8466" width="6" style="1332" bestFit="1" customWidth="1"/>
    <col min="8467" max="8467" width="15" style="1332" customWidth="1"/>
    <col min="8468" max="8468" width="14.85546875" style="1332" bestFit="1" customWidth="1"/>
    <col min="8469" max="8469" width="16.140625" style="1332" bestFit="1" customWidth="1"/>
    <col min="8470" max="8696" width="9.140625" style="1332"/>
    <col min="8697" max="8697" width="24" style="1332" bestFit="1" customWidth="1"/>
    <col min="8698" max="8698" width="43.85546875" style="1332" customWidth="1"/>
    <col min="8699" max="8699" width="19.7109375" style="1332" bestFit="1" customWidth="1"/>
    <col min="8700" max="8700" width="12.42578125" style="1332" bestFit="1" customWidth="1"/>
    <col min="8701" max="8701" width="16.28515625" style="1332" bestFit="1" customWidth="1"/>
    <col min="8702" max="8702" width="13.42578125" style="1332" customWidth="1"/>
    <col min="8703" max="8703" width="15.28515625" style="1332" bestFit="1" customWidth="1"/>
    <col min="8704" max="8704" width="14.140625" style="1332" bestFit="1" customWidth="1"/>
    <col min="8705" max="8705" width="15.28515625" style="1332" customWidth="1"/>
    <col min="8706" max="8706" width="17.7109375" style="1332" customWidth="1"/>
    <col min="8707" max="8707" width="17" style="1332" bestFit="1" customWidth="1"/>
    <col min="8708" max="8708" width="12.7109375" style="1332" customWidth="1"/>
    <col min="8709" max="8709" width="13.7109375" style="1332" customWidth="1"/>
    <col min="8710" max="8710" width="13.85546875" style="1332" bestFit="1" customWidth="1"/>
    <col min="8711" max="8711" width="19.7109375" style="1332" bestFit="1" customWidth="1"/>
    <col min="8712" max="8712" width="16.140625" style="1332" customWidth="1"/>
    <col min="8713" max="8713" width="16.7109375" style="1332" bestFit="1" customWidth="1"/>
    <col min="8714" max="8714" width="15.5703125" style="1332" bestFit="1" customWidth="1"/>
    <col min="8715" max="8715" width="20.5703125" style="1332" bestFit="1" customWidth="1"/>
    <col min="8716" max="8716" width="16.42578125" style="1332" bestFit="1" customWidth="1"/>
    <col min="8717" max="8717" width="14.28515625" style="1332" customWidth="1"/>
    <col min="8718" max="8718" width="12.85546875" style="1332" bestFit="1" customWidth="1"/>
    <col min="8719" max="8719" width="11.28515625" style="1332" bestFit="1" customWidth="1"/>
    <col min="8720" max="8720" width="12.5703125" style="1332" bestFit="1" customWidth="1"/>
    <col min="8721" max="8721" width="14" style="1332" bestFit="1" customWidth="1"/>
    <col min="8722" max="8722" width="6" style="1332" bestFit="1" customWidth="1"/>
    <col min="8723" max="8723" width="15" style="1332" customWidth="1"/>
    <col min="8724" max="8724" width="14.85546875" style="1332" bestFit="1" customWidth="1"/>
    <col min="8725" max="8725" width="16.140625" style="1332" bestFit="1" customWidth="1"/>
    <col min="8726" max="8952" width="9.140625" style="1332"/>
    <col min="8953" max="8953" width="24" style="1332" bestFit="1" customWidth="1"/>
    <col min="8954" max="8954" width="43.85546875" style="1332" customWidth="1"/>
    <col min="8955" max="8955" width="19.7109375" style="1332" bestFit="1" customWidth="1"/>
    <col min="8956" max="8956" width="12.42578125" style="1332" bestFit="1" customWidth="1"/>
    <col min="8957" max="8957" width="16.28515625" style="1332" bestFit="1" customWidth="1"/>
    <col min="8958" max="8958" width="13.42578125" style="1332" customWidth="1"/>
    <col min="8959" max="8959" width="15.28515625" style="1332" bestFit="1" customWidth="1"/>
    <col min="8960" max="8960" width="14.140625" style="1332" bestFit="1" customWidth="1"/>
    <col min="8961" max="8961" width="15.28515625" style="1332" customWidth="1"/>
    <col min="8962" max="8962" width="17.7109375" style="1332" customWidth="1"/>
    <col min="8963" max="8963" width="17" style="1332" bestFit="1" customWidth="1"/>
    <col min="8964" max="8964" width="12.7109375" style="1332" customWidth="1"/>
    <col min="8965" max="8965" width="13.7109375" style="1332" customWidth="1"/>
    <col min="8966" max="8966" width="13.85546875" style="1332" bestFit="1" customWidth="1"/>
    <col min="8967" max="8967" width="19.7109375" style="1332" bestFit="1" customWidth="1"/>
    <col min="8968" max="8968" width="16.140625" style="1332" customWidth="1"/>
    <col min="8969" max="8969" width="16.7109375" style="1332" bestFit="1" customWidth="1"/>
    <col min="8970" max="8970" width="15.5703125" style="1332" bestFit="1" customWidth="1"/>
    <col min="8971" max="8971" width="20.5703125" style="1332" bestFit="1" customWidth="1"/>
    <col min="8972" max="8972" width="16.42578125" style="1332" bestFit="1" customWidth="1"/>
    <col min="8973" max="8973" width="14.28515625" style="1332" customWidth="1"/>
    <col min="8974" max="8974" width="12.85546875" style="1332" bestFit="1" customWidth="1"/>
    <col min="8975" max="8975" width="11.28515625" style="1332" bestFit="1" customWidth="1"/>
    <col min="8976" max="8976" width="12.5703125" style="1332" bestFit="1" customWidth="1"/>
    <col min="8977" max="8977" width="14" style="1332" bestFit="1" customWidth="1"/>
    <col min="8978" max="8978" width="6" style="1332" bestFit="1" customWidth="1"/>
    <col min="8979" max="8979" width="15" style="1332" customWidth="1"/>
    <col min="8980" max="8980" width="14.85546875" style="1332" bestFit="1" customWidth="1"/>
    <col min="8981" max="8981" width="16.140625" style="1332" bestFit="1" customWidth="1"/>
    <col min="8982" max="9208" width="9.140625" style="1332"/>
    <col min="9209" max="9209" width="24" style="1332" bestFit="1" customWidth="1"/>
    <col min="9210" max="9210" width="43.85546875" style="1332" customWidth="1"/>
    <col min="9211" max="9211" width="19.7109375" style="1332" bestFit="1" customWidth="1"/>
    <col min="9212" max="9212" width="12.42578125" style="1332" bestFit="1" customWidth="1"/>
    <col min="9213" max="9213" width="16.28515625" style="1332" bestFit="1" customWidth="1"/>
    <col min="9214" max="9214" width="13.42578125" style="1332" customWidth="1"/>
    <col min="9215" max="9215" width="15.28515625" style="1332" bestFit="1" customWidth="1"/>
    <col min="9216" max="9216" width="14.140625" style="1332" bestFit="1" customWidth="1"/>
    <col min="9217" max="9217" width="15.28515625" style="1332" customWidth="1"/>
    <col min="9218" max="9218" width="17.7109375" style="1332" customWidth="1"/>
    <col min="9219" max="9219" width="17" style="1332" bestFit="1" customWidth="1"/>
    <col min="9220" max="9220" width="12.7109375" style="1332" customWidth="1"/>
    <col min="9221" max="9221" width="13.7109375" style="1332" customWidth="1"/>
    <col min="9222" max="9222" width="13.85546875" style="1332" bestFit="1" customWidth="1"/>
    <col min="9223" max="9223" width="19.7109375" style="1332" bestFit="1" customWidth="1"/>
    <col min="9224" max="9224" width="16.140625" style="1332" customWidth="1"/>
    <col min="9225" max="9225" width="16.7109375" style="1332" bestFit="1" customWidth="1"/>
    <col min="9226" max="9226" width="15.5703125" style="1332" bestFit="1" customWidth="1"/>
    <col min="9227" max="9227" width="20.5703125" style="1332" bestFit="1" customWidth="1"/>
    <col min="9228" max="9228" width="16.42578125" style="1332" bestFit="1" customWidth="1"/>
    <col min="9229" max="9229" width="14.28515625" style="1332" customWidth="1"/>
    <col min="9230" max="9230" width="12.85546875" style="1332" bestFit="1" customWidth="1"/>
    <col min="9231" max="9231" width="11.28515625" style="1332" bestFit="1" customWidth="1"/>
    <col min="9232" max="9232" width="12.5703125" style="1332" bestFit="1" customWidth="1"/>
    <col min="9233" max="9233" width="14" style="1332" bestFit="1" customWidth="1"/>
    <col min="9234" max="9234" width="6" style="1332" bestFit="1" customWidth="1"/>
    <col min="9235" max="9235" width="15" style="1332" customWidth="1"/>
    <col min="9236" max="9236" width="14.85546875" style="1332" bestFit="1" customWidth="1"/>
    <col min="9237" max="9237" width="16.140625" style="1332" bestFit="1" customWidth="1"/>
    <col min="9238" max="9464" width="9.140625" style="1332"/>
    <col min="9465" max="9465" width="24" style="1332" bestFit="1" customWidth="1"/>
    <col min="9466" max="9466" width="43.85546875" style="1332" customWidth="1"/>
    <col min="9467" max="9467" width="19.7109375" style="1332" bestFit="1" customWidth="1"/>
    <col min="9468" max="9468" width="12.42578125" style="1332" bestFit="1" customWidth="1"/>
    <col min="9469" max="9469" width="16.28515625" style="1332" bestFit="1" customWidth="1"/>
    <col min="9470" max="9470" width="13.42578125" style="1332" customWidth="1"/>
    <col min="9471" max="9471" width="15.28515625" style="1332" bestFit="1" customWidth="1"/>
    <col min="9472" max="9472" width="14.140625" style="1332" bestFit="1" customWidth="1"/>
    <col min="9473" max="9473" width="15.28515625" style="1332" customWidth="1"/>
    <col min="9474" max="9474" width="17.7109375" style="1332" customWidth="1"/>
    <col min="9475" max="9475" width="17" style="1332" bestFit="1" customWidth="1"/>
    <col min="9476" max="9476" width="12.7109375" style="1332" customWidth="1"/>
    <col min="9477" max="9477" width="13.7109375" style="1332" customWidth="1"/>
    <col min="9478" max="9478" width="13.85546875" style="1332" bestFit="1" customWidth="1"/>
    <col min="9479" max="9479" width="19.7109375" style="1332" bestFit="1" customWidth="1"/>
    <col min="9480" max="9480" width="16.140625" style="1332" customWidth="1"/>
    <col min="9481" max="9481" width="16.7109375" style="1332" bestFit="1" customWidth="1"/>
    <col min="9482" max="9482" width="15.5703125" style="1332" bestFit="1" customWidth="1"/>
    <col min="9483" max="9483" width="20.5703125" style="1332" bestFit="1" customWidth="1"/>
    <col min="9484" max="9484" width="16.42578125" style="1332" bestFit="1" customWidth="1"/>
    <col min="9485" max="9485" width="14.28515625" style="1332" customWidth="1"/>
    <col min="9486" max="9486" width="12.85546875" style="1332" bestFit="1" customWidth="1"/>
    <col min="9487" max="9487" width="11.28515625" style="1332" bestFit="1" customWidth="1"/>
    <col min="9488" max="9488" width="12.5703125" style="1332" bestFit="1" customWidth="1"/>
    <col min="9489" max="9489" width="14" style="1332" bestFit="1" customWidth="1"/>
    <col min="9490" max="9490" width="6" style="1332" bestFit="1" customWidth="1"/>
    <col min="9491" max="9491" width="15" style="1332" customWidth="1"/>
    <col min="9492" max="9492" width="14.85546875" style="1332" bestFit="1" customWidth="1"/>
    <col min="9493" max="9493" width="16.140625" style="1332" bestFit="1" customWidth="1"/>
    <col min="9494" max="9720" width="9.140625" style="1332"/>
    <col min="9721" max="9721" width="24" style="1332" bestFit="1" customWidth="1"/>
    <col min="9722" max="9722" width="43.85546875" style="1332" customWidth="1"/>
    <col min="9723" max="9723" width="19.7109375" style="1332" bestFit="1" customWidth="1"/>
    <col min="9724" max="9724" width="12.42578125" style="1332" bestFit="1" customWidth="1"/>
    <col min="9725" max="9725" width="16.28515625" style="1332" bestFit="1" customWidth="1"/>
    <col min="9726" max="9726" width="13.42578125" style="1332" customWidth="1"/>
    <col min="9727" max="9727" width="15.28515625" style="1332" bestFit="1" customWidth="1"/>
    <col min="9728" max="9728" width="14.140625" style="1332" bestFit="1" customWidth="1"/>
    <col min="9729" max="9729" width="15.28515625" style="1332" customWidth="1"/>
    <col min="9730" max="9730" width="17.7109375" style="1332" customWidth="1"/>
    <col min="9731" max="9731" width="17" style="1332" bestFit="1" customWidth="1"/>
    <col min="9732" max="9732" width="12.7109375" style="1332" customWidth="1"/>
    <col min="9733" max="9733" width="13.7109375" style="1332" customWidth="1"/>
    <col min="9734" max="9734" width="13.85546875" style="1332" bestFit="1" customWidth="1"/>
    <col min="9735" max="9735" width="19.7109375" style="1332" bestFit="1" customWidth="1"/>
    <col min="9736" max="9736" width="16.140625" style="1332" customWidth="1"/>
    <col min="9737" max="9737" width="16.7109375" style="1332" bestFit="1" customWidth="1"/>
    <col min="9738" max="9738" width="15.5703125" style="1332" bestFit="1" customWidth="1"/>
    <col min="9739" max="9739" width="20.5703125" style="1332" bestFit="1" customWidth="1"/>
    <col min="9740" max="9740" width="16.42578125" style="1332" bestFit="1" customWidth="1"/>
    <col min="9741" max="9741" width="14.28515625" style="1332" customWidth="1"/>
    <col min="9742" max="9742" width="12.85546875" style="1332" bestFit="1" customWidth="1"/>
    <col min="9743" max="9743" width="11.28515625" style="1332" bestFit="1" customWidth="1"/>
    <col min="9744" max="9744" width="12.5703125" style="1332" bestFit="1" customWidth="1"/>
    <col min="9745" max="9745" width="14" style="1332" bestFit="1" customWidth="1"/>
    <col min="9746" max="9746" width="6" style="1332" bestFit="1" customWidth="1"/>
    <col min="9747" max="9747" width="15" style="1332" customWidth="1"/>
    <col min="9748" max="9748" width="14.85546875" style="1332" bestFit="1" customWidth="1"/>
    <col min="9749" max="9749" width="16.140625" style="1332" bestFit="1" customWidth="1"/>
    <col min="9750" max="9976" width="9.140625" style="1332"/>
    <col min="9977" max="9977" width="24" style="1332" bestFit="1" customWidth="1"/>
    <col min="9978" max="9978" width="43.85546875" style="1332" customWidth="1"/>
    <col min="9979" max="9979" width="19.7109375" style="1332" bestFit="1" customWidth="1"/>
    <col min="9980" max="9980" width="12.42578125" style="1332" bestFit="1" customWidth="1"/>
    <col min="9981" max="9981" width="16.28515625" style="1332" bestFit="1" customWidth="1"/>
    <col min="9982" max="9982" width="13.42578125" style="1332" customWidth="1"/>
    <col min="9983" max="9983" width="15.28515625" style="1332" bestFit="1" customWidth="1"/>
    <col min="9984" max="9984" width="14.140625" style="1332" bestFit="1" customWidth="1"/>
    <col min="9985" max="9985" width="15.28515625" style="1332" customWidth="1"/>
    <col min="9986" max="9986" width="17.7109375" style="1332" customWidth="1"/>
    <col min="9987" max="9987" width="17" style="1332" bestFit="1" customWidth="1"/>
    <col min="9988" max="9988" width="12.7109375" style="1332" customWidth="1"/>
    <col min="9989" max="9989" width="13.7109375" style="1332" customWidth="1"/>
    <col min="9990" max="9990" width="13.85546875" style="1332" bestFit="1" customWidth="1"/>
    <col min="9991" max="9991" width="19.7109375" style="1332" bestFit="1" customWidth="1"/>
    <col min="9992" max="9992" width="16.140625" style="1332" customWidth="1"/>
    <col min="9993" max="9993" width="16.7109375" style="1332" bestFit="1" customWidth="1"/>
    <col min="9994" max="9994" width="15.5703125" style="1332" bestFit="1" customWidth="1"/>
    <col min="9995" max="9995" width="20.5703125" style="1332" bestFit="1" customWidth="1"/>
    <col min="9996" max="9996" width="16.42578125" style="1332" bestFit="1" customWidth="1"/>
    <col min="9997" max="9997" width="14.28515625" style="1332" customWidth="1"/>
    <col min="9998" max="9998" width="12.85546875" style="1332" bestFit="1" customWidth="1"/>
    <col min="9999" max="9999" width="11.28515625" style="1332" bestFit="1" customWidth="1"/>
    <col min="10000" max="10000" width="12.5703125" style="1332" bestFit="1" customWidth="1"/>
    <col min="10001" max="10001" width="14" style="1332" bestFit="1" customWidth="1"/>
    <col min="10002" max="10002" width="6" style="1332" bestFit="1" customWidth="1"/>
    <col min="10003" max="10003" width="15" style="1332" customWidth="1"/>
    <col min="10004" max="10004" width="14.85546875" style="1332" bestFit="1" customWidth="1"/>
    <col min="10005" max="10005" width="16.140625" style="1332" bestFit="1" customWidth="1"/>
    <col min="10006" max="10232" width="9.140625" style="1332"/>
    <col min="10233" max="10233" width="24" style="1332" bestFit="1" customWidth="1"/>
    <col min="10234" max="10234" width="43.85546875" style="1332" customWidth="1"/>
    <col min="10235" max="10235" width="19.7109375" style="1332" bestFit="1" customWidth="1"/>
    <col min="10236" max="10236" width="12.42578125" style="1332" bestFit="1" customWidth="1"/>
    <col min="10237" max="10237" width="16.28515625" style="1332" bestFit="1" customWidth="1"/>
    <col min="10238" max="10238" width="13.42578125" style="1332" customWidth="1"/>
    <col min="10239" max="10239" width="15.28515625" style="1332" bestFit="1" customWidth="1"/>
    <col min="10240" max="10240" width="14.140625" style="1332" bestFit="1" customWidth="1"/>
    <col min="10241" max="10241" width="15.28515625" style="1332" customWidth="1"/>
    <col min="10242" max="10242" width="17.7109375" style="1332" customWidth="1"/>
    <col min="10243" max="10243" width="17" style="1332" bestFit="1" customWidth="1"/>
    <col min="10244" max="10244" width="12.7109375" style="1332" customWidth="1"/>
    <col min="10245" max="10245" width="13.7109375" style="1332" customWidth="1"/>
    <col min="10246" max="10246" width="13.85546875" style="1332" bestFit="1" customWidth="1"/>
    <col min="10247" max="10247" width="19.7109375" style="1332" bestFit="1" customWidth="1"/>
    <col min="10248" max="10248" width="16.140625" style="1332" customWidth="1"/>
    <col min="10249" max="10249" width="16.7109375" style="1332" bestFit="1" customWidth="1"/>
    <col min="10250" max="10250" width="15.5703125" style="1332" bestFit="1" customWidth="1"/>
    <col min="10251" max="10251" width="20.5703125" style="1332" bestFit="1" customWidth="1"/>
    <col min="10252" max="10252" width="16.42578125" style="1332" bestFit="1" customWidth="1"/>
    <col min="10253" max="10253" width="14.28515625" style="1332" customWidth="1"/>
    <col min="10254" max="10254" width="12.85546875" style="1332" bestFit="1" customWidth="1"/>
    <col min="10255" max="10255" width="11.28515625" style="1332" bestFit="1" customWidth="1"/>
    <col min="10256" max="10256" width="12.5703125" style="1332" bestFit="1" customWidth="1"/>
    <col min="10257" max="10257" width="14" style="1332" bestFit="1" customWidth="1"/>
    <col min="10258" max="10258" width="6" style="1332" bestFit="1" customWidth="1"/>
    <col min="10259" max="10259" width="15" style="1332" customWidth="1"/>
    <col min="10260" max="10260" width="14.85546875" style="1332" bestFit="1" customWidth="1"/>
    <col min="10261" max="10261" width="16.140625" style="1332" bestFit="1" customWidth="1"/>
    <col min="10262" max="10488" width="9.140625" style="1332"/>
    <col min="10489" max="10489" width="24" style="1332" bestFit="1" customWidth="1"/>
    <col min="10490" max="10490" width="43.85546875" style="1332" customWidth="1"/>
    <col min="10491" max="10491" width="19.7109375" style="1332" bestFit="1" customWidth="1"/>
    <col min="10492" max="10492" width="12.42578125" style="1332" bestFit="1" customWidth="1"/>
    <col min="10493" max="10493" width="16.28515625" style="1332" bestFit="1" customWidth="1"/>
    <col min="10494" max="10494" width="13.42578125" style="1332" customWidth="1"/>
    <col min="10495" max="10495" width="15.28515625" style="1332" bestFit="1" customWidth="1"/>
    <col min="10496" max="10496" width="14.140625" style="1332" bestFit="1" customWidth="1"/>
    <col min="10497" max="10497" width="15.28515625" style="1332" customWidth="1"/>
    <col min="10498" max="10498" width="17.7109375" style="1332" customWidth="1"/>
    <col min="10499" max="10499" width="17" style="1332" bestFit="1" customWidth="1"/>
    <col min="10500" max="10500" width="12.7109375" style="1332" customWidth="1"/>
    <col min="10501" max="10501" width="13.7109375" style="1332" customWidth="1"/>
    <col min="10502" max="10502" width="13.85546875" style="1332" bestFit="1" customWidth="1"/>
    <col min="10503" max="10503" width="19.7109375" style="1332" bestFit="1" customWidth="1"/>
    <col min="10504" max="10504" width="16.140625" style="1332" customWidth="1"/>
    <col min="10505" max="10505" width="16.7109375" style="1332" bestFit="1" customWidth="1"/>
    <col min="10506" max="10506" width="15.5703125" style="1332" bestFit="1" customWidth="1"/>
    <col min="10507" max="10507" width="20.5703125" style="1332" bestFit="1" customWidth="1"/>
    <col min="10508" max="10508" width="16.42578125" style="1332" bestFit="1" customWidth="1"/>
    <col min="10509" max="10509" width="14.28515625" style="1332" customWidth="1"/>
    <col min="10510" max="10510" width="12.85546875" style="1332" bestFit="1" customWidth="1"/>
    <col min="10511" max="10511" width="11.28515625" style="1332" bestFit="1" customWidth="1"/>
    <col min="10512" max="10512" width="12.5703125" style="1332" bestFit="1" customWidth="1"/>
    <col min="10513" max="10513" width="14" style="1332" bestFit="1" customWidth="1"/>
    <col min="10514" max="10514" width="6" style="1332" bestFit="1" customWidth="1"/>
    <col min="10515" max="10515" width="15" style="1332" customWidth="1"/>
    <col min="10516" max="10516" width="14.85546875" style="1332" bestFit="1" customWidth="1"/>
    <col min="10517" max="10517" width="16.140625" style="1332" bestFit="1" customWidth="1"/>
    <col min="10518" max="10744" width="9.140625" style="1332"/>
    <col min="10745" max="10745" width="24" style="1332" bestFit="1" customWidth="1"/>
    <col min="10746" max="10746" width="43.85546875" style="1332" customWidth="1"/>
    <col min="10747" max="10747" width="19.7109375" style="1332" bestFit="1" customWidth="1"/>
    <col min="10748" max="10748" width="12.42578125" style="1332" bestFit="1" customWidth="1"/>
    <col min="10749" max="10749" width="16.28515625" style="1332" bestFit="1" customWidth="1"/>
    <col min="10750" max="10750" width="13.42578125" style="1332" customWidth="1"/>
    <col min="10751" max="10751" width="15.28515625" style="1332" bestFit="1" customWidth="1"/>
    <col min="10752" max="10752" width="14.140625" style="1332" bestFit="1" customWidth="1"/>
    <col min="10753" max="10753" width="15.28515625" style="1332" customWidth="1"/>
    <col min="10754" max="10754" width="17.7109375" style="1332" customWidth="1"/>
    <col min="10755" max="10755" width="17" style="1332" bestFit="1" customWidth="1"/>
    <col min="10756" max="10756" width="12.7109375" style="1332" customWidth="1"/>
    <col min="10757" max="10757" width="13.7109375" style="1332" customWidth="1"/>
    <col min="10758" max="10758" width="13.85546875" style="1332" bestFit="1" customWidth="1"/>
    <col min="10759" max="10759" width="19.7109375" style="1332" bestFit="1" customWidth="1"/>
    <col min="10760" max="10760" width="16.140625" style="1332" customWidth="1"/>
    <col min="10761" max="10761" width="16.7109375" style="1332" bestFit="1" customWidth="1"/>
    <col min="10762" max="10762" width="15.5703125" style="1332" bestFit="1" customWidth="1"/>
    <col min="10763" max="10763" width="20.5703125" style="1332" bestFit="1" customWidth="1"/>
    <col min="10764" max="10764" width="16.42578125" style="1332" bestFit="1" customWidth="1"/>
    <col min="10765" max="10765" width="14.28515625" style="1332" customWidth="1"/>
    <col min="10766" max="10766" width="12.85546875" style="1332" bestFit="1" customWidth="1"/>
    <col min="10767" max="10767" width="11.28515625" style="1332" bestFit="1" customWidth="1"/>
    <col min="10768" max="10768" width="12.5703125" style="1332" bestFit="1" customWidth="1"/>
    <col min="10769" max="10769" width="14" style="1332" bestFit="1" customWidth="1"/>
    <col min="10770" max="10770" width="6" style="1332" bestFit="1" customWidth="1"/>
    <col min="10771" max="10771" width="15" style="1332" customWidth="1"/>
    <col min="10772" max="10772" width="14.85546875" style="1332" bestFit="1" customWidth="1"/>
    <col min="10773" max="10773" width="16.140625" style="1332" bestFit="1" customWidth="1"/>
    <col min="10774" max="11000" width="9.140625" style="1332"/>
    <col min="11001" max="11001" width="24" style="1332" bestFit="1" customWidth="1"/>
    <col min="11002" max="11002" width="43.85546875" style="1332" customWidth="1"/>
    <col min="11003" max="11003" width="19.7109375" style="1332" bestFit="1" customWidth="1"/>
    <col min="11004" max="11004" width="12.42578125" style="1332" bestFit="1" customWidth="1"/>
    <col min="11005" max="11005" width="16.28515625" style="1332" bestFit="1" customWidth="1"/>
    <col min="11006" max="11006" width="13.42578125" style="1332" customWidth="1"/>
    <col min="11007" max="11007" width="15.28515625" style="1332" bestFit="1" customWidth="1"/>
    <col min="11008" max="11008" width="14.140625" style="1332" bestFit="1" customWidth="1"/>
    <col min="11009" max="11009" width="15.28515625" style="1332" customWidth="1"/>
    <col min="11010" max="11010" width="17.7109375" style="1332" customWidth="1"/>
    <col min="11011" max="11011" width="17" style="1332" bestFit="1" customWidth="1"/>
    <col min="11012" max="11012" width="12.7109375" style="1332" customWidth="1"/>
    <col min="11013" max="11013" width="13.7109375" style="1332" customWidth="1"/>
    <col min="11014" max="11014" width="13.85546875" style="1332" bestFit="1" customWidth="1"/>
    <col min="11015" max="11015" width="19.7109375" style="1332" bestFit="1" customWidth="1"/>
    <col min="11016" max="11016" width="16.140625" style="1332" customWidth="1"/>
    <col min="11017" max="11017" width="16.7109375" style="1332" bestFit="1" customWidth="1"/>
    <col min="11018" max="11018" width="15.5703125" style="1332" bestFit="1" customWidth="1"/>
    <col min="11019" max="11019" width="20.5703125" style="1332" bestFit="1" customWidth="1"/>
    <col min="11020" max="11020" width="16.42578125" style="1332" bestFit="1" customWidth="1"/>
    <col min="11021" max="11021" width="14.28515625" style="1332" customWidth="1"/>
    <col min="11022" max="11022" width="12.85546875" style="1332" bestFit="1" customWidth="1"/>
    <col min="11023" max="11023" width="11.28515625" style="1332" bestFit="1" customWidth="1"/>
    <col min="11024" max="11024" width="12.5703125" style="1332" bestFit="1" customWidth="1"/>
    <col min="11025" max="11025" width="14" style="1332" bestFit="1" customWidth="1"/>
    <col min="11026" max="11026" width="6" style="1332" bestFit="1" customWidth="1"/>
    <col min="11027" max="11027" width="15" style="1332" customWidth="1"/>
    <col min="11028" max="11028" width="14.85546875" style="1332" bestFit="1" customWidth="1"/>
    <col min="11029" max="11029" width="16.140625" style="1332" bestFit="1" customWidth="1"/>
    <col min="11030" max="11256" width="9.140625" style="1332"/>
    <col min="11257" max="11257" width="24" style="1332" bestFit="1" customWidth="1"/>
    <col min="11258" max="11258" width="43.85546875" style="1332" customWidth="1"/>
    <col min="11259" max="11259" width="19.7109375" style="1332" bestFit="1" customWidth="1"/>
    <col min="11260" max="11260" width="12.42578125" style="1332" bestFit="1" customWidth="1"/>
    <col min="11261" max="11261" width="16.28515625" style="1332" bestFit="1" customWidth="1"/>
    <col min="11262" max="11262" width="13.42578125" style="1332" customWidth="1"/>
    <col min="11263" max="11263" width="15.28515625" style="1332" bestFit="1" customWidth="1"/>
    <col min="11264" max="11264" width="14.140625" style="1332" bestFit="1" customWidth="1"/>
    <col min="11265" max="11265" width="15.28515625" style="1332" customWidth="1"/>
    <col min="11266" max="11266" width="17.7109375" style="1332" customWidth="1"/>
    <col min="11267" max="11267" width="17" style="1332" bestFit="1" customWidth="1"/>
    <col min="11268" max="11268" width="12.7109375" style="1332" customWidth="1"/>
    <col min="11269" max="11269" width="13.7109375" style="1332" customWidth="1"/>
    <col min="11270" max="11270" width="13.85546875" style="1332" bestFit="1" customWidth="1"/>
    <col min="11271" max="11271" width="19.7109375" style="1332" bestFit="1" customWidth="1"/>
    <col min="11272" max="11272" width="16.140625" style="1332" customWidth="1"/>
    <col min="11273" max="11273" width="16.7109375" style="1332" bestFit="1" customWidth="1"/>
    <col min="11274" max="11274" width="15.5703125" style="1332" bestFit="1" customWidth="1"/>
    <col min="11275" max="11275" width="20.5703125" style="1332" bestFit="1" customWidth="1"/>
    <col min="11276" max="11276" width="16.42578125" style="1332" bestFit="1" customWidth="1"/>
    <col min="11277" max="11277" width="14.28515625" style="1332" customWidth="1"/>
    <col min="11278" max="11278" width="12.85546875" style="1332" bestFit="1" customWidth="1"/>
    <col min="11279" max="11279" width="11.28515625" style="1332" bestFit="1" customWidth="1"/>
    <col min="11280" max="11280" width="12.5703125" style="1332" bestFit="1" customWidth="1"/>
    <col min="11281" max="11281" width="14" style="1332" bestFit="1" customWidth="1"/>
    <col min="11282" max="11282" width="6" style="1332" bestFit="1" customWidth="1"/>
    <col min="11283" max="11283" width="15" style="1332" customWidth="1"/>
    <col min="11284" max="11284" width="14.85546875" style="1332" bestFit="1" customWidth="1"/>
    <col min="11285" max="11285" width="16.140625" style="1332" bestFit="1" customWidth="1"/>
    <col min="11286" max="11512" width="9.140625" style="1332"/>
    <col min="11513" max="11513" width="24" style="1332" bestFit="1" customWidth="1"/>
    <col min="11514" max="11514" width="43.85546875" style="1332" customWidth="1"/>
    <col min="11515" max="11515" width="19.7109375" style="1332" bestFit="1" customWidth="1"/>
    <col min="11516" max="11516" width="12.42578125" style="1332" bestFit="1" customWidth="1"/>
    <col min="11517" max="11517" width="16.28515625" style="1332" bestFit="1" customWidth="1"/>
    <col min="11518" max="11518" width="13.42578125" style="1332" customWidth="1"/>
    <col min="11519" max="11519" width="15.28515625" style="1332" bestFit="1" customWidth="1"/>
    <col min="11520" max="11520" width="14.140625" style="1332" bestFit="1" customWidth="1"/>
    <col min="11521" max="11521" width="15.28515625" style="1332" customWidth="1"/>
    <col min="11522" max="11522" width="17.7109375" style="1332" customWidth="1"/>
    <col min="11523" max="11523" width="17" style="1332" bestFit="1" customWidth="1"/>
    <col min="11524" max="11524" width="12.7109375" style="1332" customWidth="1"/>
    <col min="11525" max="11525" width="13.7109375" style="1332" customWidth="1"/>
    <col min="11526" max="11526" width="13.85546875" style="1332" bestFit="1" customWidth="1"/>
    <col min="11527" max="11527" width="19.7109375" style="1332" bestFit="1" customWidth="1"/>
    <col min="11528" max="11528" width="16.140625" style="1332" customWidth="1"/>
    <col min="11529" max="11529" width="16.7109375" style="1332" bestFit="1" customWidth="1"/>
    <col min="11530" max="11530" width="15.5703125" style="1332" bestFit="1" customWidth="1"/>
    <col min="11531" max="11531" width="20.5703125" style="1332" bestFit="1" customWidth="1"/>
    <col min="11532" max="11532" width="16.42578125" style="1332" bestFit="1" customWidth="1"/>
    <col min="11533" max="11533" width="14.28515625" style="1332" customWidth="1"/>
    <col min="11534" max="11534" width="12.85546875" style="1332" bestFit="1" customWidth="1"/>
    <col min="11535" max="11535" width="11.28515625" style="1332" bestFit="1" customWidth="1"/>
    <col min="11536" max="11536" width="12.5703125" style="1332" bestFit="1" customWidth="1"/>
    <col min="11537" max="11537" width="14" style="1332" bestFit="1" customWidth="1"/>
    <col min="11538" max="11538" width="6" style="1332" bestFit="1" customWidth="1"/>
    <col min="11539" max="11539" width="15" style="1332" customWidth="1"/>
    <col min="11540" max="11540" width="14.85546875" style="1332" bestFit="1" customWidth="1"/>
    <col min="11541" max="11541" width="16.140625" style="1332" bestFit="1" customWidth="1"/>
    <col min="11542" max="11768" width="9.140625" style="1332"/>
    <col min="11769" max="11769" width="24" style="1332" bestFit="1" customWidth="1"/>
    <col min="11770" max="11770" width="43.85546875" style="1332" customWidth="1"/>
    <col min="11771" max="11771" width="19.7109375" style="1332" bestFit="1" customWidth="1"/>
    <col min="11772" max="11772" width="12.42578125" style="1332" bestFit="1" customWidth="1"/>
    <col min="11773" max="11773" width="16.28515625" style="1332" bestFit="1" customWidth="1"/>
    <col min="11774" max="11774" width="13.42578125" style="1332" customWidth="1"/>
    <col min="11775" max="11775" width="15.28515625" style="1332" bestFit="1" customWidth="1"/>
    <col min="11776" max="11776" width="14.140625" style="1332" bestFit="1" customWidth="1"/>
    <col min="11777" max="11777" width="15.28515625" style="1332" customWidth="1"/>
    <col min="11778" max="11778" width="17.7109375" style="1332" customWidth="1"/>
    <col min="11779" max="11779" width="17" style="1332" bestFit="1" customWidth="1"/>
    <col min="11780" max="11780" width="12.7109375" style="1332" customWidth="1"/>
    <col min="11781" max="11781" width="13.7109375" style="1332" customWidth="1"/>
    <col min="11782" max="11782" width="13.85546875" style="1332" bestFit="1" customWidth="1"/>
    <col min="11783" max="11783" width="19.7109375" style="1332" bestFit="1" customWidth="1"/>
    <col min="11784" max="11784" width="16.140625" style="1332" customWidth="1"/>
    <col min="11785" max="11785" width="16.7109375" style="1332" bestFit="1" customWidth="1"/>
    <col min="11786" max="11786" width="15.5703125" style="1332" bestFit="1" customWidth="1"/>
    <col min="11787" max="11787" width="20.5703125" style="1332" bestFit="1" customWidth="1"/>
    <col min="11788" max="11788" width="16.42578125" style="1332" bestFit="1" customWidth="1"/>
    <col min="11789" max="11789" width="14.28515625" style="1332" customWidth="1"/>
    <col min="11790" max="11790" width="12.85546875" style="1332" bestFit="1" customWidth="1"/>
    <col min="11791" max="11791" width="11.28515625" style="1332" bestFit="1" customWidth="1"/>
    <col min="11792" max="11792" width="12.5703125" style="1332" bestFit="1" customWidth="1"/>
    <col min="11793" max="11793" width="14" style="1332" bestFit="1" customWidth="1"/>
    <col min="11794" max="11794" width="6" style="1332" bestFit="1" customWidth="1"/>
    <col min="11795" max="11795" width="15" style="1332" customWidth="1"/>
    <col min="11796" max="11796" width="14.85546875" style="1332" bestFit="1" customWidth="1"/>
    <col min="11797" max="11797" width="16.140625" style="1332" bestFit="1" customWidth="1"/>
    <col min="11798" max="12024" width="9.140625" style="1332"/>
    <col min="12025" max="12025" width="24" style="1332" bestFit="1" customWidth="1"/>
    <col min="12026" max="12026" width="43.85546875" style="1332" customWidth="1"/>
    <col min="12027" max="12027" width="19.7109375" style="1332" bestFit="1" customWidth="1"/>
    <col min="12028" max="12028" width="12.42578125" style="1332" bestFit="1" customWidth="1"/>
    <col min="12029" max="12029" width="16.28515625" style="1332" bestFit="1" customWidth="1"/>
    <col min="12030" max="12030" width="13.42578125" style="1332" customWidth="1"/>
    <col min="12031" max="12031" width="15.28515625" style="1332" bestFit="1" customWidth="1"/>
    <col min="12032" max="12032" width="14.140625" style="1332" bestFit="1" customWidth="1"/>
    <col min="12033" max="12033" width="15.28515625" style="1332" customWidth="1"/>
    <col min="12034" max="12034" width="17.7109375" style="1332" customWidth="1"/>
    <col min="12035" max="12035" width="17" style="1332" bestFit="1" customWidth="1"/>
    <col min="12036" max="12036" width="12.7109375" style="1332" customWidth="1"/>
    <col min="12037" max="12037" width="13.7109375" style="1332" customWidth="1"/>
    <col min="12038" max="12038" width="13.85546875" style="1332" bestFit="1" customWidth="1"/>
    <col min="12039" max="12039" width="19.7109375" style="1332" bestFit="1" customWidth="1"/>
    <col min="12040" max="12040" width="16.140625" style="1332" customWidth="1"/>
    <col min="12041" max="12041" width="16.7109375" style="1332" bestFit="1" customWidth="1"/>
    <col min="12042" max="12042" width="15.5703125" style="1332" bestFit="1" customWidth="1"/>
    <col min="12043" max="12043" width="20.5703125" style="1332" bestFit="1" customWidth="1"/>
    <col min="12044" max="12044" width="16.42578125" style="1332" bestFit="1" customWidth="1"/>
    <col min="12045" max="12045" width="14.28515625" style="1332" customWidth="1"/>
    <col min="12046" max="12046" width="12.85546875" style="1332" bestFit="1" customWidth="1"/>
    <col min="12047" max="12047" width="11.28515625" style="1332" bestFit="1" customWidth="1"/>
    <col min="12048" max="12048" width="12.5703125" style="1332" bestFit="1" customWidth="1"/>
    <col min="12049" max="12049" width="14" style="1332" bestFit="1" customWidth="1"/>
    <col min="12050" max="12050" width="6" style="1332" bestFit="1" customWidth="1"/>
    <col min="12051" max="12051" width="15" style="1332" customWidth="1"/>
    <col min="12052" max="12052" width="14.85546875" style="1332" bestFit="1" customWidth="1"/>
    <col min="12053" max="12053" width="16.140625" style="1332" bestFit="1" customWidth="1"/>
    <col min="12054" max="12280" width="9.140625" style="1332"/>
    <col min="12281" max="12281" width="24" style="1332" bestFit="1" customWidth="1"/>
    <col min="12282" max="12282" width="43.85546875" style="1332" customWidth="1"/>
    <col min="12283" max="12283" width="19.7109375" style="1332" bestFit="1" customWidth="1"/>
    <col min="12284" max="12284" width="12.42578125" style="1332" bestFit="1" customWidth="1"/>
    <col min="12285" max="12285" width="16.28515625" style="1332" bestFit="1" customWidth="1"/>
    <col min="12286" max="12286" width="13.42578125" style="1332" customWidth="1"/>
    <col min="12287" max="12287" width="15.28515625" style="1332" bestFit="1" customWidth="1"/>
    <col min="12288" max="12288" width="14.140625" style="1332" bestFit="1" customWidth="1"/>
    <col min="12289" max="12289" width="15.28515625" style="1332" customWidth="1"/>
    <col min="12290" max="12290" width="17.7109375" style="1332" customWidth="1"/>
    <col min="12291" max="12291" width="17" style="1332" bestFit="1" customWidth="1"/>
    <col min="12292" max="12292" width="12.7109375" style="1332" customWidth="1"/>
    <col min="12293" max="12293" width="13.7109375" style="1332" customWidth="1"/>
    <col min="12294" max="12294" width="13.85546875" style="1332" bestFit="1" customWidth="1"/>
    <col min="12295" max="12295" width="19.7109375" style="1332" bestFit="1" customWidth="1"/>
    <col min="12296" max="12296" width="16.140625" style="1332" customWidth="1"/>
    <col min="12297" max="12297" width="16.7109375" style="1332" bestFit="1" customWidth="1"/>
    <col min="12298" max="12298" width="15.5703125" style="1332" bestFit="1" customWidth="1"/>
    <col min="12299" max="12299" width="20.5703125" style="1332" bestFit="1" customWidth="1"/>
    <col min="12300" max="12300" width="16.42578125" style="1332" bestFit="1" customWidth="1"/>
    <col min="12301" max="12301" width="14.28515625" style="1332" customWidth="1"/>
    <col min="12302" max="12302" width="12.85546875" style="1332" bestFit="1" customWidth="1"/>
    <col min="12303" max="12303" width="11.28515625" style="1332" bestFit="1" customWidth="1"/>
    <col min="12304" max="12304" width="12.5703125" style="1332" bestFit="1" customWidth="1"/>
    <col min="12305" max="12305" width="14" style="1332" bestFit="1" customWidth="1"/>
    <col min="12306" max="12306" width="6" style="1332" bestFit="1" customWidth="1"/>
    <col min="12307" max="12307" width="15" style="1332" customWidth="1"/>
    <col min="12308" max="12308" width="14.85546875" style="1332" bestFit="1" customWidth="1"/>
    <col min="12309" max="12309" width="16.140625" style="1332" bestFit="1" customWidth="1"/>
    <col min="12310" max="12536" width="9.140625" style="1332"/>
    <col min="12537" max="12537" width="24" style="1332" bestFit="1" customWidth="1"/>
    <col min="12538" max="12538" width="43.85546875" style="1332" customWidth="1"/>
    <col min="12539" max="12539" width="19.7109375" style="1332" bestFit="1" customWidth="1"/>
    <col min="12540" max="12540" width="12.42578125" style="1332" bestFit="1" customWidth="1"/>
    <col min="12541" max="12541" width="16.28515625" style="1332" bestFit="1" customWidth="1"/>
    <col min="12542" max="12542" width="13.42578125" style="1332" customWidth="1"/>
    <col min="12543" max="12543" width="15.28515625" style="1332" bestFit="1" customWidth="1"/>
    <col min="12544" max="12544" width="14.140625" style="1332" bestFit="1" customWidth="1"/>
    <col min="12545" max="12545" width="15.28515625" style="1332" customWidth="1"/>
    <col min="12546" max="12546" width="17.7109375" style="1332" customWidth="1"/>
    <col min="12547" max="12547" width="17" style="1332" bestFit="1" customWidth="1"/>
    <col min="12548" max="12548" width="12.7109375" style="1332" customWidth="1"/>
    <col min="12549" max="12549" width="13.7109375" style="1332" customWidth="1"/>
    <col min="12550" max="12550" width="13.85546875" style="1332" bestFit="1" customWidth="1"/>
    <col min="12551" max="12551" width="19.7109375" style="1332" bestFit="1" customWidth="1"/>
    <col min="12552" max="12552" width="16.140625" style="1332" customWidth="1"/>
    <col min="12553" max="12553" width="16.7109375" style="1332" bestFit="1" customWidth="1"/>
    <col min="12554" max="12554" width="15.5703125" style="1332" bestFit="1" customWidth="1"/>
    <col min="12555" max="12555" width="20.5703125" style="1332" bestFit="1" customWidth="1"/>
    <col min="12556" max="12556" width="16.42578125" style="1332" bestFit="1" customWidth="1"/>
    <col min="12557" max="12557" width="14.28515625" style="1332" customWidth="1"/>
    <col min="12558" max="12558" width="12.85546875" style="1332" bestFit="1" customWidth="1"/>
    <col min="12559" max="12559" width="11.28515625" style="1332" bestFit="1" customWidth="1"/>
    <col min="12560" max="12560" width="12.5703125" style="1332" bestFit="1" customWidth="1"/>
    <col min="12561" max="12561" width="14" style="1332" bestFit="1" customWidth="1"/>
    <col min="12562" max="12562" width="6" style="1332" bestFit="1" customWidth="1"/>
    <col min="12563" max="12563" width="15" style="1332" customWidth="1"/>
    <col min="12564" max="12564" width="14.85546875" style="1332" bestFit="1" customWidth="1"/>
    <col min="12565" max="12565" width="16.140625" style="1332" bestFit="1" customWidth="1"/>
    <col min="12566" max="12792" width="9.140625" style="1332"/>
    <col min="12793" max="12793" width="24" style="1332" bestFit="1" customWidth="1"/>
    <col min="12794" max="12794" width="43.85546875" style="1332" customWidth="1"/>
    <col min="12795" max="12795" width="19.7109375" style="1332" bestFit="1" customWidth="1"/>
    <col min="12796" max="12796" width="12.42578125" style="1332" bestFit="1" customWidth="1"/>
    <col min="12797" max="12797" width="16.28515625" style="1332" bestFit="1" customWidth="1"/>
    <col min="12798" max="12798" width="13.42578125" style="1332" customWidth="1"/>
    <col min="12799" max="12799" width="15.28515625" style="1332" bestFit="1" customWidth="1"/>
    <col min="12800" max="12800" width="14.140625" style="1332" bestFit="1" customWidth="1"/>
    <col min="12801" max="12801" width="15.28515625" style="1332" customWidth="1"/>
    <col min="12802" max="12802" width="17.7109375" style="1332" customWidth="1"/>
    <col min="12803" max="12803" width="17" style="1332" bestFit="1" customWidth="1"/>
    <col min="12804" max="12804" width="12.7109375" style="1332" customWidth="1"/>
    <col min="12805" max="12805" width="13.7109375" style="1332" customWidth="1"/>
    <col min="12806" max="12806" width="13.85546875" style="1332" bestFit="1" customWidth="1"/>
    <col min="12807" max="12807" width="19.7109375" style="1332" bestFit="1" customWidth="1"/>
    <col min="12808" max="12808" width="16.140625" style="1332" customWidth="1"/>
    <col min="12809" max="12809" width="16.7109375" style="1332" bestFit="1" customWidth="1"/>
    <col min="12810" max="12810" width="15.5703125" style="1332" bestFit="1" customWidth="1"/>
    <col min="12811" max="12811" width="20.5703125" style="1332" bestFit="1" customWidth="1"/>
    <col min="12812" max="12812" width="16.42578125" style="1332" bestFit="1" customWidth="1"/>
    <col min="12813" max="12813" width="14.28515625" style="1332" customWidth="1"/>
    <col min="12814" max="12814" width="12.85546875" style="1332" bestFit="1" customWidth="1"/>
    <col min="12815" max="12815" width="11.28515625" style="1332" bestFit="1" customWidth="1"/>
    <col min="12816" max="12816" width="12.5703125" style="1332" bestFit="1" customWidth="1"/>
    <col min="12817" max="12817" width="14" style="1332" bestFit="1" customWidth="1"/>
    <col min="12818" max="12818" width="6" style="1332" bestFit="1" customWidth="1"/>
    <col min="12819" max="12819" width="15" style="1332" customWidth="1"/>
    <col min="12820" max="12820" width="14.85546875" style="1332" bestFit="1" customWidth="1"/>
    <col min="12821" max="12821" width="16.140625" style="1332" bestFit="1" customWidth="1"/>
    <col min="12822" max="13048" width="9.140625" style="1332"/>
    <col min="13049" max="13049" width="24" style="1332" bestFit="1" customWidth="1"/>
    <col min="13050" max="13050" width="43.85546875" style="1332" customWidth="1"/>
    <col min="13051" max="13051" width="19.7109375" style="1332" bestFit="1" customWidth="1"/>
    <col min="13052" max="13052" width="12.42578125" style="1332" bestFit="1" customWidth="1"/>
    <col min="13053" max="13053" width="16.28515625" style="1332" bestFit="1" customWidth="1"/>
    <col min="13054" max="13054" width="13.42578125" style="1332" customWidth="1"/>
    <col min="13055" max="13055" width="15.28515625" style="1332" bestFit="1" customWidth="1"/>
    <col min="13056" max="13056" width="14.140625" style="1332" bestFit="1" customWidth="1"/>
    <col min="13057" max="13057" width="15.28515625" style="1332" customWidth="1"/>
    <col min="13058" max="13058" width="17.7109375" style="1332" customWidth="1"/>
    <col min="13059" max="13059" width="17" style="1332" bestFit="1" customWidth="1"/>
    <col min="13060" max="13060" width="12.7109375" style="1332" customWidth="1"/>
    <col min="13061" max="13061" width="13.7109375" style="1332" customWidth="1"/>
    <col min="13062" max="13062" width="13.85546875" style="1332" bestFit="1" customWidth="1"/>
    <col min="13063" max="13063" width="19.7109375" style="1332" bestFit="1" customWidth="1"/>
    <col min="13064" max="13064" width="16.140625" style="1332" customWidth="1"/>
    <col min="13065" max="13065" width="16.7109375" style="1332" bestFit="1" customWidth="1"/>
    <col min="13066" max="13066" width="15.5703125" style="1332" bestFit="1" customWidth="1"/>
    <col min="13067" max="13067" width="20.5703125" style="1332" bestFit="1" customWidth="1"/>
    <col min="13068" max="13068" width="16.42578125" style="1332" bestFit="1" customWidth="1"/>
    <col min="13069" max="13069" width="14.28515625" style="1332" customWidth="1"/>
    <col min="13070" max="13070" width="12.85546875" style="1332" bestFit="1" customWidth="1"/>
    <col min="13071" max="13071" width="11.28515625" style="1332" bestFit="1" customWidth="1"/>
    <col min="13072" max="13072" width="12.5703125" style="1332" bestFit="1" customWidth="1"/>
    <col min="13073" max="13073" width="14" style="1332" bestFit="1" customWidth="1"/>
    <col min="13074" max="13074" width="6" style="1332" bestFit="1" customWidth="1"/>
    <col min="13075" max="13075" width="15" style="1332" customWidth="1"/>
    <col min="13076" max="13076" width="14.85546875" style="1332" bestFit="1" customWidth="1"/>
    <col min="13077" max="13077" width="16.140625" style="1332" bestFit="1" customWidth="1"/>
    <col min="13078" max="13304" width="9.140625" style="1332"/>
    <col min="13305" max="13305" width="24" style="1332" bestFit="1" customWidth="1"/>
    <col min="13306" max="13306" width="43.85546875" style="1332" customWidth="1"/>
    <col min="13307" max="13307" width="19.7109375" style="1332" bestFit="1" customWidth="1"/>
    <col min="13308" max="13308" width="12.42578125" style="1332" bestFit="1" customWidth="1"/>
    <col min="13309" max="13309" width="16.28515625" style="1332" bestFit="1" customWidth="1"/>
    <col min="13310" max="13310" width="13.42578125" style="1332" customWidth="1"/>
    <col min="13311" max="13311" width="15.28515625" style="1332" bestFit="1" customWidth="1"/>
    <col min="13312" max="13312" width="14.140625" style="1332" bestFit="1" customWidth="1"/>
    <col min="13313" max="13313" width="15.28515625" style="1332" customWidth="1"/>
    <col min="13314" max="13314" width="17.7109375" style="1332" customWidth="1"/>
    <col min="13315" max="13315" width="17" style="1332" bestFit="1" customWidth="1"/>
    <col min="13316" max="13316" width="12.7109375" style="1332" customWidth="1"/>
    <col min="13317" max="13317" width="13.7109375" style="1332" customWidth="1"/>
    <col min="13318" max="13318" width="13.85546875" style="1332" bestFit="1" customWidth="1"/>
    <col min="13319" max="13319" width="19.7109375" style="1332" bestFit="1" customWidth="1"/>
    <col min="13320" max="13320" width="16.140625" style="1332" customWidth="1"/>
    <col min="13321" max="13321" width="16.7109375" style="1332" bestFit="1" customWidth="1"/>
    <col min="13322" max="13322" width="15.5703125" style="1332" bestFit="1" customWidth="1"/>
    <col min="13323" max="13323" width="20.5703125" style="1332" bestFit="1" customWidth="1"/>
    <col min="13324" max="13324" width="16.42578125" style="1332" bestFit="1" customWidth="1"/>
    <col min="13325" max="13325" width="14.28515625" style="1332" customWidth="1"/>
    <col min="13326" max="13326" width="12.85546875" style="1332" bestFit="1" customWidth="1"/>
    <col min="13327" max="13327" width="11.28515625" style="1332" bestFit="1" customWidth="1"/>
    <col min="13328" max="13328" width="12.5703125" style="1332" bestFit="1" customWidth="1"/>
    <col min="13329" max="13329" width="14" style="1332" bestFit="1" customWidth="1"/>
    <col min="13330" max="13330" width="6" style="1332" bestFit="1" customWidth="1"/>
    <col min="13331" max="13331" width="15" style="1332" customWidth="1"/>
    <col min="13332" max="13332" width="14.85546875" style="1332" bestFit="1" customWidth="1"/>
    <col min="13333" max="13333" width="16.140625" style="1332" bestFit="1" customWidth="1"/>
    <col min="13334" max="13560" width="9.140625" style="1332"/>
    <col min="13561" max="13561" width="24" style="1332" bestFit="1" customWidth="1"/>
    <col min="13562" max="13562" width="43.85546875" style="1332" customWidth="1"/>
    <col min="13563" max="13563" width="19.7109375" style="1332" bestFit="1" customWidth="1"/>
    <col min="13564" max="13564" width="12.42578125" style="1332" bestFit="1" customWidth="1"/>
    <col min="13565" max="13565" width="16.28515625" style="1332" bestFit="1" customWidth="1"/>
    <col min="13566" max="13566" width="13.42578125" style="1332" customWidth="1"/>
    <col min="13567" max="13567" width="15.28515625" style="1332" bestFit="1" customWidth="1"/>
    <col min="13568" max="13568" width="14.140625" style="1332" bestFit="1" customWidth="1"/>
    <col min="13569" max="13569" width="15.28515625" style="1332" customWidth="1"/>
    <col min="13570" max="13570" width="17.7109375" style="1332" customWidth="1"/>
    <col min="13571" max="13571" width="17" style="1332" bestFit="1" customWidth="1"/>
    <col min="13572" max="13572" width="12.7109375" style="1332" customWidth="1"/>
    <col min="13573" max="13573" width="13.7109375" style="1332" customWidth="1"/>
    <col min="13574" max="13574" width="13.85546875" style="1332" bestFit="1" customWidth="1"/>
    <col min="13575" max="13575" width="19.7109375" style="1332" bestFit="1" customWidth="1"/>
    <col min="13576" max="13576" width="16.140625" style="1332" customWidth="1"/>
    <col min="13577" max="13577" width="16.7109375" style="1332" bestFit="1" customWidth="1"/>
    <col min="13578" max="13578" width="15.5703125" style="1332" bestFit="1" customWidth="1"/>
    <col min="13579" max="13579" width="20.5703125" style="1332" bestFit="1" customWidth="1"/>
    <col min="13580" max="13580" width="16.42578125" style="1332" bestFit="1" customWidth="1"/>
    <col min="13581" max="13581" width="14.28515625" style="1332" customWidth="1"/>
    <col min="13582" max="13582" width="12.85546875" style="1332" bestFit="1" customWidth="1"/>
    <col min="13583" max="13583" width="11.28515625" style="1332" bestFit="1" customWidth="1"/>
    <col min="13584" max="13584" width="12.5703125" style="1332" bestFit="1" customWidth="1"/>
    <col min="13585" max="13585" width="14" style="1332" bestFit="1" customWidth="1"/>
    <col min="13586" max="13586" width="6" style="1332" bestFit="1" customWidth="1"/>
    <col min="13587" max="13587" width="15" style="1332" customWidth="1"/>
    <col min="13588" max="13588" width="14.85546875" style="1332" bestFit="1" customWidth="1"/>
    <col min="13589" max="13589" width="16.140625" style="1332" bestFit="1" customWidth="1"/>
    <col min="13590" max="13816" width="9.140625" style="1332"/>
    <col min="13817" max="13817" width="24" style="1332" bestFit="1" customWidth="1"/>
    <col min="13818" max="13818" width="43.85546875" style="1332" customWidth="1"/>
    <col min="13819" max="13819" width="19.7109375" style="1332" bestFit="1" customWidth="1"/>
    <col min="13820" max="13820" width="12.42578125" style="1332" bestFit="1" customWidth="1"/>
    <col min="13821" max="13821" width="16.28515625" style="1332" bestFit="1" customWidth="1"/>
    <col min="13822" max="13822" width="13.42578125" style="1332" customWidth="1"/>
    <col min="13823" max="13823" width="15.28515625" style="1332" bestFit="1" customWidth="1"/>
    <col min="13824" max="13824" width="14.140625" style="1332" bestFit="1" customWidth="1"/>
    <col min="13825" max="13825" width="15.28515625" style="1332" customWidth="1"/>
    <col min="13826" max="13826" width="17.7109375" style="1332" customWidth="1"/>
    <col min="13827" max="13827" width="17" style="1332" bestFit="1" customWidth="1"/>
    <col min="13828" max="13828" width="12.7109375" style="1332" customWidth="1"/>
    <col min="13829" max="13829" width="13.7109375" style="1332" customWidth="1"/>
    <col min="13830" max="13830" width="13.85546875" style="1332" bestFit="1" customWidth="1"/>
    <col min="13831" max="13831" width="19.7109375" style="1332" bestFit="1" customWidth="1"/>
    <col min="13832" max="13832" width="16.140625" style="1332" customWidth="1"/>
    <col min="13833" max="13833" width="16.7109375" style="1332" bestFit="1" customWidth="1"/>
    <col min="13834" max="13834" width="15.5703125" style="1332" bestFit="1" customWidth="1"/>
    <col min="13835" max="13835" width="20.5703125" style="1332" bestFit="1" customWidth="1"/>
    <col min="13836" max="13836" width="16.42578125" style="1332" bestFit="1" customWidth="1"/>
    <col min="13837" max="13837" width="14.28515625" style="1332" customWidth="1"/>
    <col min="13838" max="13838" width="12.85546875" style="1332" bestFit="1" customWidth="1"/>
    <col min="13839" max="13839" width="11.28515625" style="1332" bestFit="1" customWidth="1"/>
    <col min="13840" max="13840" width="12.5703125" style="1332" bestFit="1" customWidth="1"/>
    <col min="13841" max="13841" width="14" style="1332" bestFit="1" customWidth="1"/>
    <col min="13842" max="13842" width="6" style="1332" bestFit="1" customWidth="1"/>
    <col min="13843" max="13843" width="15" style="1332" customWidth="1"/>
    <col min="13844" max="13844" width="14.85546875" style="1332" bestFit="1" customWidth="1"/>
    <col min="13845" max="13845" width="16.140625" style="1332" bestFit="1" customWidth="1"/>
    <col min="13846" max="14072" width="9.140625" style="1332"/>
    <col min="14073" max="14073" width="24" style="1332" bestFit="1" customWidth="1"/>
    <col min="14074" max="14074" width="43.85546875" style="1332" customWidth="1"/>
    <col min="14075" max="14075" width="19.7109375" style="1332" bestFit="1" customWidth="1"/>
    <col min="14076" max="14076" width="12.42578125" style="1332" bestFit="1" customWidth="1"/>
    <col min="14077" max="14077" width="16.28515625" style="1332" bestFit="1" customWidth="1"/>
    <col min="14078" max="14078" width="13.42578125" style="1332" customWidth="1"/>
    <col min="14079" max="14079" width="15.28515625" style="1332" bestFit="1" customWidth="1"/>
    <col min="14080" max="14080" width="14.140625" style="1332" bestFit="1" customWidth="1"/>
    <col min="14081" max="14081" width="15.28515625" style="1332" customWidth="1"/>
    <col min="14082" max="14082" width="17.7109375" style="1332" customWidth="1"/>
    <col min="14083" max="14083" width="17" style="1332" bestFit="1" customWidth="1"/>
    <col min="14084" max="14084" width="12.7109375" style="1332" customWidth="1"/>
    <col min="14085" max="14085" width="13.7109375" style="1332" customWidth="1"/>
    <col min="14086" max="14086" width="13.85546875" style="1332" bestFit="1" customWidth="1"/>
    <col min="14087" max="14087" width="19.7109375" style="1332" bestFit="1" customWidth="1"/>
    <col min="14088" max="14088" width="16.140625" style="1332" customWidth="1"/>
    <col min="14089" max="14089" width="16.7109375" style="1332" bestFit="1" customWidth="1"/>
    <col min="14090" max="14090" width="15.5703125" style="1332" bestFit="1" customWidth="1"/>
    <col min="14091" max="14091" width="20.5703125" style="1332" bestFit="1" customWidth="1"/>
    <col min="14092" max="14092" width="16.42578125" style="1332" bestFit="1" customWidth="1"/>
    <col min="14093" max="14093" width="14.28515625" style="1332" customWidth="1"/>
    <col min="14094" max="14094" width="12.85546875" style="1332" bestFit="1" customWidth="1"/>
    <col min="14095" max="14095" width="11.28515625" style="1332" bestFit="1" customWidth="1"/>
    <col min="14096" max="14096" width="12.5703125" style="1332" bestFit="1" customWidth="1"/>
    <col min="14097" max="14097" width="14" style="1332" bestFit="1" customWidth="1"/>
    <col min="14098" max="14098" width="6" style="1332" bestFit="1" customWidth="1"/>
    <col min="14099" max="14099" width="15" style="1332" customWidth="1"/>
    <col min="14100" max="14100" width="14.85546875" style="1332" bestFit="1" customWidth="1"/>
    <col min="14101" max="14101" width="16.140625" style="1332" bestFit="1" customWidth="1"/>
    <col min="14102" max="14328" width="9.140625" style="1332"/>
    <col min="14329" max="14329" width="24" style="1332" bestFit="1" customWidth="1"/>
    <col min="14330" max="14330" width="43.85546875" style="1332" customWidth="1"/>
    <col min="14331" max="14331" width="19.7109375" style="1332" bestFit="1" customWidth="1"/>
    <col min="14332" max="14332" width="12.42578125" style="1332" bestFit="1" customWidth="1"/>
    <col min="14333" max="14333" width="16.28515625" style="1332" bestFit="1" customWidth="1"/>
    <col min="14334" max="14334" width="13.42578125" style="1332" customWidth="1"/>
    <col min="14335" max="14335" width="15.28515625" style="1332" bestFit="1" customWidth="1"/>
    <col min="14336" max="14336" width="14.140625" style="1332" bestFit="1" customWidth="1"/>
    <col min="14337" max="14337" width="15.28515625" style="1332" customWidth="1"/>
    <col min="14338" max="14338" width="17.7109375" style="1332" customWidth="1"/>
    <col min="14339" max="14339" width="17" style="1332" bestFit="1" customWidth="1"/>
    <col min="14340" max="14340" width="12.7109375" style="1332" customWidth="1"/>
    <col min="14341" max="14341" width="13.7109375" style="1332" customWidth="1"/>
    <col min="14342" max="14342" width="13.85546875" style="1332" bestFit="1" customWidth="1"/>
    <col min="14343" max="14343" width="19.7109375" style="1332" bestFit="1" customWidth="1"/>
    <col min="14344" max="14344" width="16.140625" style="1332" customWidth="1"/>
    <col min="14345" max="14345" width="16.7109375" style="1332" bestFit="1" customWidth="1"/>
    <col min="14346" max="14346" width="15.5703125" style="1332" bestFit="1" customWidth="1"/>
    <col min="14347" max="14347" width="20.5703125" style="1332" bestFit="1" customWidth="1"/>
    <col min="14348" max="14348" width="16.42578125" style="1332" bestFit="1" customWidth="1"/>
    <col min="14349" max="14349" width="14.28515625" style="1332" customWidth="1"/>
    <col min="14350" max="14350" width="12.85546875" style="1332" bestFit="1" customWidth="1"/>
    <col min="14351" max="14351" width="11.28515625" style="1332" bestFit="1" customWidth="1"/>
    <col min="14352" max="14352" width="12.5703125" style="1332" bestFit="1" customWidth="1"/>
    <col min="14353" max="14353" width="14" style="1332" bestFit="1" customWidth="1"/>
    <col min="14354" max="14354" width="6" style="1332" bestFit="1" customWidth="1"/>
    <col min="14355" max="14355" width="15" style="1332" customWidth="1"/>
    <col min="14356" max="14356" width="14.85546875" style="1332" bestFit="1" customWidth="1"/>
    <col min="14357" max="14357" width="16.140625" style="1332" bestFit="1" customWidth="1"/>
    <col min="14358" max="14584" width="9.140625" style="1332"/>
    <col min="14585" max="14585" width="24" style="1332" bestFit="1" customWidth="1"/>
    <col min="14586" max="14586" width="43.85546875" style="1332" customWidth="1"/>
    <col min="14587" max="14587" width="19.7109375" style="1332" bestFit="1" customWidth="1"/>
    <col min="14588" max="14588" width="12.42578125" style="1332" bestFit="1" customWidth="1"/>
    <col min="14589" max="14589" width="16.28515625" style="1332" bestFit="1" customWidth="1"/>
    <col min="14590" max="14590" width="13.42578125" style="1332" customWidth="1"/>
    <col min="14591" max="14591" width="15.28515625" style="1332" bestFit="1" customWidth="1"/>
    <col min="14592" max="14592" width="14.140625" style="1332" bestFit="1" customWidth="1"/>
    <col min="14593" max="14593" width="15.28515625" style="1332" customWidth="1"/>
    <col min="14594" max="14594" width="17.7109375" style="1332" customWidth="1"/>
    <col min="14595" max="14595" width="17" style="1332" bestFit="1" customWidth="1"/>
    <col min="14596" max="14596" width="12.7109375" style="1332" customWidth="1"/>
    <col min="14597" max="14597" width="13.7109375" style="1332" customWidth="1"/>
    <col min="14598" max="14598" width="13.85546875" style="1332" bestFit="1" customWidth="1"/>
    <col min="14599" max="14599" width="19.7109375" style="1332" bestFit="1" customWidth="1"/>
    <col min="14600" max="14600" width="16.140625" style="1332" customWidth="1"/>
    <col min="14601" max="14601" width="16.7109375" style="1332" bestFit="1" customWidth="1"/>
    <col min="14602" max="14602" width="15.5703125" style="1332" bestFit="1" customWidth="1"/>
    <col min="14603" max="14603" width="20.5703125" style="1332" bestFit="1" customWidth="1"/>
    <col min="14604" max="14604" width="16.42578125" style="1332" bestFit="1" customWidth="1"/>
    <col min="14605" max="14605" width="14.28515625" style="1332" customWidth="1"/>
    <col min="14606" max="14606" width="12.85546875" style="1332" bestFit="1" customWidth="1"/>
    <col min="14607" max="14607" width="11.28515625" style="1332" bestFit="1" customWidth="1"/>
    <col min="14608" max="14608" width="12.5703125" style="1332" bestFit="1" customWidth="1"/>
    <col min="14609" max="14609" width="14" style="1332" bestFit="1" customWidth="1"/>
    <col min="14610" max="14610" width="6" style="1332" bestFit="1" customWidth="1"/>
    <col min="14611" max="14611" width="15" style="1332" customWidth="1"/>
    <col min="14612" max="14612" width="14.85546875" style="1332" bestFit="1" customWidth="1"/>
    <col min="14613" max="14613" width="16.140625" style="1332" bestFit="1" customWidth="1"/>
    <col min="14614" max="14840" width="9.140625" style="1332"/>
    <col min="14841" max="14841" width="24" style="1332" bestFit="1" customWidth="1"/>
    <col min="14842" max="14842" width="43.85546875" style="1332" customWidth="1"/>
    <col min="14843" max="14843" width="19.7109375" style="1332" bestFit="1" customWidth="1"/>
    <col min="14844" max="14844" width="12.42578125" style="1332" bestFit="1" customWidth="1"/>
    <col min="14845" max="14845" width="16.28515625" style="1332" bestFit="1" customWidth="1"/>
    <col min="14846" max="14846" width="13.42578125" style="1332" customWidth="1"/>
    <col min="14847" max="14847" width="15.28515625" style="1332" bestFit="1" customWidth="1"/>
    <col min="14848" max="14848" width="14.140625" style="1332" bestFit="1" customWidth="1"/>
    <col min="14849" max="14849" width="15.28515625" style="1332" customWidth="1"/>
    <col min="14850" max="14850" width="17.7109375" style="1332" customWidth="1"/>
    <col min="14851" max="14851" width="17" style="1332" bestFit="1" customWidth="1"/>
    <col min="14852" max="14852" width="12.7109375" style="1332" customWidth="1"/>
    <col min="14853" max="14853" width="13.7109375" style="1332" customWidth="1"/>
    <col min="14854" max="14854" width="13.85546875" style="1332" bestFit="1" customWidth="1"/>
    <col min="14855" max="14855" width="19.7109375" style="1332" bestFit="1" customWidth="1"/>
    <col min="14856" max="14856" width="16.140625" style="1332" customWidth="1"/>
    <col min="14857" max="14857" width="16.7109375" style="1332" bestFit="1" customWidth="1"/>
    <col min="14858" max="14858" width="15.5703125" style="1332" bestFit="1" customWidth="1"/>
    <col min="14859" max="14859" width="20.5703125" style="1332" bestFit="1" customWidth="1"/>
    <col min="14860" max="14860" width="16.42578125" style="1332" bestFit="1" customWidth="1"/>
    <col min="14861" max="14861" width="14.28515625" style="1332" customWidth="1"/>
    <col min="14862" max="14862" width="12.85546875" style="1332" bestFit="1" customWidth="1"/>
    <col min="14863" max="14863" width="11.28515625" style="1332" bestFit="1" customWidth="1"/>
    <col min="14864" max="14864" width="12.5703125" style="1332" bestFit="1" customWidth="1"/>
    <col min="14865" max="14865" width="14" style="1332" bestFit="1" customWidth="1"/>
    <col min="14866" max="14866" width="6" style="1332" bestFit="1" customWidth="1"/>
    <col min="14867" max="14867" width="15" style="1332" customWidth="1"/>
    <col min="14868" max="14868" width="14.85546875" style="1332" bestFit="1" customWidth="1"/>
    <col min="14869" max="14869" width="16.140625" style="1332" bestFit="1" customWidth="1"/>
    <col min="14870" max="15096" width="9.140625" style="1332"/>
    <col min="15097" max="15097" width="24" style="1332" bestFit="1" customWidth="1"/>
    <col min="15098" max="15098" width="43.85546875" style="1332" customWidth="1"/>
    <col min="15099" max="15099" width="19.7109375" style="1332" bestFit="1" customWidth="1"/>
    <col min="15100" max="15100" width="12.42578125" style="1332" bestFit="1" customWidth="1"/>
    <col min="15101" max="15101" width="16.28515625" style="1332" bestFit="1" customWidth="1"/>
    <col min="15102" max="15102" width="13.42578125" style="1332" customWidth="1"/>
    <col min="15103" max="15103" width="15.28515625" style="1332" bestFit="1" customWidth="1"/>
    <col min="15104" max="15104" width="14.140625" style="1332" bestFit="1" customWidth="1"/>
    <col min="15105" max="15105" width="15.28515625" style="1332" customWidth="1"/>
    <col min="15106" max="15106" width="17.7109375" style="1332" customWidth="1"/>
    <col min="15107" max="15107" width="17" style="1332" bestFit="1" customWidth="1"/>
    <col min="15108" max="15108" width="12.7109375" style="1332" customWidth="1"/>
    <col min="15109" max="15109" width="13.7109375" style="1332" customWidth="1"/>
    <col min="15110" max="15110" width="13.85546875" style="1332" bestFit="1" customWidth="1"/>
    <col min="15111" max="15111" width="19.7109375" style="1332" bestFit="1" customWidth="1"/>
    <col min="15112" max="15112" width="16.140625" style="1332" customWidth="1"/>
    <col min="15113" max="15113" width="16.7109375" style="1332" bestFit="1" customWidth="1"/>
    <col min="15114" max="15114" width="15.5703125" style="1332" bestFit="1" customWidth="1"/>
    <col min="15115" max="15115" width="20.5703125" style="1332" bestFit="1" customWidth="1"/>
    <col min="15116" max="15116" width="16.42578125" style="1332" bestFit="1" customWidth="1"/>
    <col min="15117" max="15117" width="14.28515625" style="1332" customWidth="1"/>
    <col min="15118" max="15118" width="12.85546875" style="1332" bestFit="1" customWidth="1"/>
    <col min="15119" max="15119" width="11.28515625" style="1332" bestFit="1" customWidth="1"/>
    <col min="15120" max="15120" width="12.5703125" style="1332" bestFit="1" customWidth="1"/>
    <col min="15121" max="15121" width="14" style="1332" bestFit="1" customWidth="1"/>
    <col min="15122" max="15122" width="6" style="1332" bestFit="1" customWidth="1"/>
    <col min="15123" max="15123" width="15" style="1332" customWidth="1"/>
    <col min="15124" max="15124" width="14.85546875" style="1332" bestFit="1" customWidth="1"/>
    <col min="15125" max="15125" width="16.140625" style="1332" bestFit="1" customWidth="1"/>
    <col min="15126" max="15352" width="9.140625" style="1332"/>
    <col min="15353" max="15353" width="24" style="1332" bestFit="1" customWidth="1"/>
    <col min="15354" max="15354" width="43.85546875" style="1332" customWidth="1"/>
    <col min="15355" max="15355" width="19.7109375" style="1332" bestFit="1" customWidth="1"/>
    <col min="15356" max="15356" width="12.42578125" style="1332" bestFit="1" customWidth="1"/>
    <col min="15357" max="15357" width="16.28515625" style="1332" bestFit="1" customWidth="1"/>
    <col min="15358" max="15358" width="13.42578125" style="1332" customWidth="1"/>
    <col min="15359" max="15359" width="15.28515625" style="1332" bestFit="1" customWidth="1"/>
    <col min="15360" max="15360" width="14.140625" style="1332" bestFit="1" customWidth="1"/>
    <col min="15361" max="15361" width="15.28515625" style="1332" customWidth="1"/>
    <col min="15362" max="15362" width="17.7109375" style="1332" customWidth="1"/>
    <col min="15363" max="15363" width="17" style="1332" bestFit="1" customWidth="1"/>
    <col min="15364" max="15364" width="12.7109375" style="1332" customWidth="1"/>
    <col min="15365" max="15365" width="13.7109375" style="1332" customWidth="1"/>
    <col min="15366" max="15366" width="13.85546875" style="1332" bestFit="1" customWidth="1"/>
    <col min="15367" max="15367" width="19.7109375" style="1332" bestFit="1" customWidth="1"/>
    <col min="15368" max="15368" width="16.140625" style="1332" customWidth="1"/>
    <col min="15369" max="15369" width="16.7109375" style="1332" bestFit="1" customWidth="1"/>
    <col min="15370" max="15370" width="15.5703125" style="1332" bestFit="1" customWidth="1"/>
    <col min="15371" max="15371" width="20.5703125" style="1332" bestFit="1" customWidth="1"/>
    <col min="15372" max="15372" width="16.42578125" style="1332" bestFit="1" customWidth="1"/>
    <col min="15373" max="15373" width="14.28515625" style="1332" customWidth="1"/>
    <col min="15374" max="15374" width="12.85546875" style="1332" bestFit="1" customWidth="1"/>
    <col min="15375" max="15375" width="11.28515625" style="1332" bestFit="1" customWidth="1"/>
    <col min="15376" max="15376" width="12.5703125" style="1332" bestFit="1" customWidth="1"/>
    <col min="15377" max="15377" width="14" style="1332" bestFit="1" customWidth="1"/>
    <col min="15378" max="15378" width="6" style="1332" bestFit="1" customWidth="1"/>
    <col min="15379" max="15379" width="15" style="1332" customWidth="1"/>
    <col min="15380" max="15380" width="14.85546875" style="1332" bestFit="1" customWidth="1"/>
    <col min="15381" max="15381" width="16.140625" style="1332" bestFit="1" customWidth="1"/>
    <col min="15382" max="15608" width="9.140625" style="1332"/>
    <col min="15609" max="15609" width="24" style="1332" bestFit="1" customWidth="1"/>
    <col min="15610" max="15610" width="43.85546875" style="1332" customWidth="1"/>
    <col min="15611" max="15611" width="19.7109375" style="1332" bestFit="1" customWidth="1"/>
    <col min="15612" max="15612" width="12.42578125" style="1332" bestFit="1" customWidth="1"/>
    <col min="15613" max="15613" width="16.28515625" style="1332" bestFit="1" customWidth="1"/>
    <col min="15614" max="15614" width="13.42578125" style="1332" customWidth="1"/>
    <col min="15615" max="15615" width="15.28515625" style="1332" bestFit="1" customWidth="1"/>
    <col min="15616" max="15616" width="14.140625" style="1332" bestFit="1" customWidth="1"/>
    <col min="15617" max="15617" width="15.28515625" style="1332" customWidth="1"/>
    <col min="15618" max="15618" width="17.7109375" style="1332" customWidth="1"/>
    <col min="15619" max="15619" width="17" style="1332" bestFit="1" customWidth="1"/>
    <col min="15620" max="15620" width="12.7109375" style="1332" customWidth="1"/>
    <col min="15621" max="15621" width="13.7109375" style="1332" customWidth="1"/>
    <col min="15622" max="15622" width="13.85546875" style="1332" bestFit="1" customWidth="1"/>
    <col min="15623" max="15623" width="19.7109375" style="1332" bestFit="1" customWidth="1"/>
    <col min="15624" max="15624" width="16.140625" style="1332" customWidth="1"/>
    <col min="15625" max="15625" width="16.7109375" style="1332" bestFit="1" customWidth="1"/>
    <col min="15626" max="15626" width="15.5703125" style="1332" bestFit="1" customWidth="1"/>
    <col min="15627" max="15627" width="20.5703125" style="1332" bestFit="1" customWidth="1"/>
    <col min="15628" max="15628" width="16.42578125" style="1332" bestFit="1" customWidth="1"/>
    <col min="15629" max="15629" width="14.28515625" style="1332" customWidth="1"/>
    <col min="15630" max="15630" width="12.85546875" style="1332" bestFit="1" customWidth="1"/>
    <col min="15631" max="15631" width="11.28515625" style="1332" bestFit="1" customWidth="1"/>
    <col min="15632" max="15632" width="12.5703125" style="1332" bestFit="1" customWidth="1"/>
    <col min="15633" max="15633" width="14" style="1332" bestFit="1" customWidth="1"/>
    <col min="15634" max="15634" width="6" style="1332" bestFit="1" customWidth="1"/>
    <col min="15635" max="15635" width="15" style="1332" customWidth="1"/>
    <col min="15636" max="15636" width="14.85546875" style="1332" bestFit="1" customWidth="1"/>
    <col min="15637" max="15637" width="16.140625" style="1332" bestFit="1" customWidth="1"/>
    <col min="15638" max="15864" width="9.140625" style="1332"/>
    <col min="15865" max="15865" width="24" style="1332" bestFit="1" customWidth="1"/>
    <col min="15866" max="15866" width="43.85546875" style="1332" customWidth="1"/>
    <col min="15867" max="15867" width="19.7109375" style="1332" bestFit="1" customWidth="1"/>
    <col min="15868" max="15868" width="12.42578125" style="1332" bestFit="1" customWidth="1"/>
    <col min="15869" max="15869" width="16.28515625" style="1332" bestFit="1" customWidth="1"/>
    <col min="15870" max="15870" width="13.42578125" style="1332" customWidth="1"/>
    <col min="15871" max="15871" width="15.28515625" style="1332" bestFit="1" customWidth="1"/>
    <col min="15872" max="15872" width="14.140625" style="1332" bestFit="1" customWidth="1"/>
    <col min="15873" max="15873" width="15.28515625" style="1332" customWidth="1"/>
    <col min="15874" max="15874" width="17.7109375" style="1332" customWidth="1"/>
    <col min="15875" max="15875" width="17" style="1332" bestFit="1" customWidth="1"/>
    <col min="15876" max="15876" width="12.7109375" style="1332" customWidth="1"/>
    <col min="15877" max="15877" width="13.7109375" style="1332" customWidth="1"/>
    <col min="15878" max="15878" width="13.85546875" style="1332" bestFit="1" customWidth="1"/>
    <col min="15879" max="15879" width="19.7109375" style="1332" bestFit="1" customWidth="1"/>
    <col min="15880" max="15880" width="16.140625" style="1332" customWidth="1"/>
    <col min="15881" max="15881" width="16.7109375" style="1332" bestFit="1" customWidth="1"/>
    <col min="15882" max="15882" width="15.5703125" style="1332" bestFit="1" customWidth="1"/>
    <col min="15883" max="15883" width="20.5703125" style="1332" bestFit="1" customWidth="1"/>
    <col min="15884" max="15884" width="16.42578125" style="1332" bestFit="1" customWidth="1"/>
    <col min="15885" max="15885" width="14.28515625" style="1332" customWidth="1"/>
    <col min="15886" max="15886" width="12.85546875" style="1332" bestFit="1" customWidth="1"/>
    <col min="15887" max="15887" width="11.28515625" style="1332" bestFit="1" customWidth="1"/>
    <col min="15888" max="15888" width="12.5703125" style="1332" bestFit="1" customWidth="1"/>
    <col min="15889" max="15889" width="14" style="1332" bestFit="1" customWidth="1"/>
    <col min="15890" max="15890" width="6" style="1332" bestFit="1" customWidth="1"/>
    <col min="15891" max="15891" width="15" style="1332" customWidth="1"/>
    <col min="15892" max="15892" width="14.85546875" style="1332" bestFit="1" customWidth="1"/>
    <col min="15893" max="15893" width="16.140625" style="1332" bestFit="1" customWidth="1"/>
    <col min="15894" max="16120" width="9.140625" style="1332"/>
    <col min="16121" max="16121" width="24" style="1332" bestFit="1" customWidth="1"/>
    <col min="16122" max="16122" width="43.85546875" style="1332" customWidth="1"/>
    <col min="16123" max="16123" width="19.7109375" style="1332" bestFit="1" customWidth="1"/>
    <col min="16124" max="16124" width="12.42578125" style="1332" bestFit="1" customWidth="1"/>
    <col min="16125" max="16125" width="16.28515625" style="1332" bestFit="1" customWidth="1"/>
    <col min="16126" max="16126" width="13.42578125" style="1332" customWidth="1"/>
    <col min="16127" max="16127" width="15.28515625" style="1332" bestFit="1" customWidth="1"/>
    <col min="16128" max="16128" width="14.140625" style="1332" bestFit="1" customWidth="1"/>
    <col min="16129" max="16129" width="15.28515625" style="1332" customWidth="1"/>
    <col min="16130" max="16130" width="17.7109375" style="1332" customWidth="1"/>
    <col min="16131" max="16131" width="17" style="1332" bestFit="1" customWidth="1"/>
    <col min="16132" max="16132" width="12.7109375" style="1332" customWidth="1"/>
    <col min="16133" max="16133" width="13.7109375" style="1332" customWidth="1"/>
    <col min="16134" max="16134" width="13.85546875" style="1332" bestFit="1" customWidth="1"/>
    <col min="16135" max="16135" width="19.7109375" style="1332" bestFit="1" customWidth="1"/>
    <col min="16136" max="16136" width="16.140625" style="1332" customWidth="1"/>
    <col min="16137" max="16137" width="16.7109375" style="1332" bestFit="1" customWidth="1"/>
    <col min="16138" max="16138" width="15.5703125" style="1332" bestFit="1" customWidth="1"/>
    <col min="16139" max="16139" width="20.5703125" style="1332" bestFit="1" customWidth="1"/>
    <col min="16140" max="16140" width="16.42578125" style="1332" bestFit="1" customWidth="1"/>
    <col min="16141" max="16141" width="14.28515625" style="1332" customWidth="1"/>
    <col min="16142" max="16142" width="12.85546875" style="1332" bestFit="1" customWidth="1"/>
    <col min="16143" max="16143" width="11.28515625" style="1332" bestFit="1" customWidth="1"/>
    <col min="16144" max="16144" width="12.5703125" style="1332" bestFit="1" customWidth="1"/>
    <col min="16145" max="16145" width="14" style="1332" bestFit="1" customWidth="1"/>
    <col min="16146" max="16146" width="6" style="1332" bestFit="1" customWidth="1"/>
    <col min="16147" max="16147" width="15" style="1332" customWidth="1"/>
    <col min="16148" max="16148" width="14.85546875" style="1332" bestFit="1" customWidth="1"/>
    <col min="16149" max="16149" width="16.140625" style="1332" bestFit="1" customWidth="1"/>
    <col min="16150" max="16384" width="9.140625" style="1332"/>
  </cols>
  <sheetData>
    <row r="1" spans="1:26" ht="54" customHeight="1" thickBot="1">
      <c r="C1" s="1808" t="s">
        <v>259</v>
      </c>
      <c r="D1" s="1808" t="s">
        <v>291</v>
      </c>
      <c r="E1" s="1808" t="s">
        <v>6</v>
      </c>
      <c r="F1" s="2945"/>
      <c r="G1" s="1808" t="s">
        <v>31</v>
      </c>
      <c r="J1" s="1334"/>
      <c r="M1" s="1808" t="s">
        <v>259</v>
      </c>
      <c r="N1" s="1808" t="s">
        <v>291</v>
      </c>
      <c r="O1" s="1808" t="s">
        <v>6</v>
      </c>
      <c r="P1" s="1812"/>
      <c r="Q1" s="1808" t="s">
        <v>31</v>
      </c>
      <c r="V1" s="1808" t="s">
        <v>259</v>
      </c>
      <c r="W1" s="1808" t="s">
        <v>291</v>
      </c>
      <c r="X1" s="1808" t="s">
        <v>6</v>
      </c>
      <c r="Y1" s="1808"/>
      <c r="Z1" s="1808" t="s">
        <v>31</v>
      </c>
    </row>
    <row r="2" spans="1:26" ht="17.25" customHeight="1" thickBot="1">
      <c r="C2" s="1334"/>
      <c r="D2" s="1335"/>
      <c r="H2" s="1576" t="s">
        <v>674</v>
      </c>
      <c r="R2" s="3596"/>
      <c r="S2" s="3596"/>
      <c r="T2" s="3597" t="s">
        <v>36</v>
      </c>
      <c r="U2" s="3598"/>
      <c r="V2" s="3599"/>
      <c r="W2" s="3594" t="s">
        <v>37</v>
      </c>
    </row>
    <row r="3" spans="1:26" ht="39" thickBot="1">
      <c r="A3" s="1808" t="s">
        <v>259</v>
      </c>
      <c r="B3" s="1808"/>
      <c r="D3" s="1834" t="s">
        <v>260</v>
      </c>
      <c r="H3" s="1577" t="s">
        <v>8</v>
      </c>
      <c r="I3" s="1538" t="s">
        <v>9</v>
      </c>
      <c r="J3" s="1538" t="s">
        <v>10</v>
      </c>
      <c r="K3" s="1538" t="s">
        <v>11</v>
      </c>
      <c r="L3" s="2037" t="s">
        <v>504</v>
      </c>
      <c r="M3" s="1538" t="s">
        <v>12</v>
      </c>
      <c r="N3" s="1538" t="s">
        <v>13</v>
      </c>
      <c r="O3" s="1538" t="s">
        <v>14</v>
      </c>
      <c r="P3" s="1538" t="s">
        <v>38</v>
      </c>
      <c r="Q3" s="1538" t="s">
        <v>39</v>
      </c>
      <c r="R3" s="1578" t="s">
        <v>16</v>
      </c>
      <c r="S3" s="1995" t="s">
        <v>40</v>
      </c>
      <c r="T3" s="1336" t="s">
        <v>41</v>
      </c>
      <c r="U3" s="1336" t="s">
        <v>11</v>
      </c>
      <c r="V3" s="1337" t="s">
        <v>42</v>
      </c>
      <c r="W3" s="3595"/>
    </row>
    <row r="4" spans="1:26" ht="16.5" thickBot="1">
      <c r="A4" s="1808" t="s">
        <v>291</v>
      </c>
      <c r="B4" s="1808"/>
      <c r="C4" s="1335"/>
      <c r="D4" s="1836"/>
      <c r="G4" s="1704" t="s">
        <v>668</v>
      </c>
      <c r="H4" s="2003">
        <v>0</v>
      </c>
      <c r="I4" s="2002">
        <v>0</v>
      </c>
      <c r="J4" s="2002">
        <v>0</v>
      </c>
      <c r="K4" s="2002">
        <v>0</v>
      </c>
      <c r="L4" s="2002">
        <v>0</v>
      </c>
      <c r="M4" s="2002">
        <v>0</v>
      </c>
      <c r="N4" s="2002">
        <v>0</v>
      </c>
      <c r="O4" s="2002">
        <v>0</v>
      </c>
      <c r="P4" s="2002">
        <v>0</v>
      </c>
      <c r="Q4" s="2002">
        <v>0</v>
      </c>
      <c r="R4" s="2000">
        <v>0</v>
      </c>
      <c r="S4" s="1998" t="s">
        <v>686</v>
      </c>
      <c r="T4" s="1338" t="e">
        <f>P4/R4</f>
        <v>#DIV/0!</v>
      </c>
      <c r="U4" s="1338" t="e">
        <f>(K4+(I4*1.63))/R4</f>
        <v>#DIV/0!</v>
      </c>
      <c r="V4" s="1338" t="e">
        <f>M4/R4</f>
        <v>#DIV/0!</v>
      </c>
      <c r="W4" s="1325" t="e">
        <f>R4/S4</f>
        <v>#VALUE!</v>
      </c>
    </row>
    <row r="5" spans="1:26" ht="16.5" thickBot="1">
      <c r="A5" s="1808" t="s">
        <v>6</v>
      </c>
      <c r="B5" s="1808"/>
      <c r="C5" s="1334"/>
      <c r="D5" s="1836"/>
      <c r="G5" s="1334">
        <v>2016</v>
      </c>
      <c r="H5" s="1582">
        <f>D15</f>
        <v>0</v>
      </c>
      <c r="I5" s="1549">
        <f>D21</f>
        <v>0</v>
      </c>
      <c r="J5" s="1549">
        <f>D27</f>
        <v>0</v>
      </c>
      <c r="K5" s="1549">
        <f>D34</f>
        <v>0</v>
      </c>
      <c r="L5" s="1549">
        <f>D40</f>
        <v>0</v>
      </c>
      <c r="M5" s="1549">
        <f>D46</f>
        <v>0</v>
      </c>
      <c r="N5" s="1549">
        <f>D52</f>
        <v>0</v>
      </c>
      <c r="O5" s="1549">
        <f>D58</f>
        <v>0</v>
      </c>
      <c r="P5" s="1549">
        <f>D64</f>
        <v>16650</v>
      </c>
      <c r="Q5" s="1549">
        <f>D65</f>
        <v>0</v>
      </c>
      <c r="R5" s="2001">
        <f>SUM(H5:Q5)</f>
        <v>16650</v>
      </c>
      <c r="S5" s="2042">
        <f>T15</f>
        <v>46930</v>
      </c>
      <c r="T5" s="1339">
        <f>P5/R5</f>
        <v>1</v>
      </c>
      <c r="U5" s="1339">
        <f>(K5+(I5*1.63))/R5</f>
        <v>0</v>
      </c>
      <c r="V5" s="1339">
        <f>M5/R5</f>
        <v>0</v>
      </c>
      <c r="W5" s="1326">
        <f>R5/S5</f>
        <v>0.35478372043468998</v>
      </c>
    </row>
    <row r="6" spans="1:26" ht="16.5" thickBot="1">
      <c r="A6" s="1808"/>
      <c r="B6" s="1808"/>
      <c r="C6" s="1592"/>
      <c r="D6" s="1836"/>
      <c r="E6" s="1867"/>
      <c r="F6" s="1866"/>
      <c r="G6" s="1334">
        <v>2017</v>
      </c>
      <c r="H6" s="57">
        <f>E15</f>
        <v>0</v>
      </c>
      <c r="I6" s="1990">
        <f>E21</f>
        <v>0</v>
      </c>
      <c r="J6" s="1989">
        <f>E27</f>
        <v>0</v>
      </c>
      <c r="K6" s="58">
        <f>E34</f>
        <v>0</v>
      </c>
      <c r="L6" s="58">
        <f>E40</f>
        <v>0</v>
      </c>
      <c r="M6" s="58">
        <f>E46</f>
        <v>0</v>
      </c>
      <c r="N6" s="58">
        <f>E52</f>
        <v>0</v>
      </c>
      <c r="O6" s="58">
        <f>E58</f>
        <v>0</v>
      </c>
      <c r="P6" s="58">
        <f>E64</f>
        <v>16650</v>
      </c>
      <c r="Q6" s="58">
        <f>E65</f>
        <v>0</v>
      </c>
      <c r="R6" s="1997">
        <f>SUM(H6:Q6)</f>
        <v>16650</v>
      </c>
      <c r="S6" s="2043">
        <f>U15</f>
        <v>46930</v>
      </c>
      <c r="T6" s="1339">
        <f>P6/R6</f>
        <v>1</v>
      </c>
      <c r="U6" s="1339">
        <f>(K6+(I6*1.63))/R6</f>
        <v>0</v>
      </c>
      <c r="V6" s="1339">
        <f>M6/R6</f>
        <v>0</v>
      </c>
      <c r="W6" s="1326">
        <f>R6/S6</f>
        <v>0.35478372043468998</v>
      </c>
    </row>
    <row r="7" spans="1:26" ht="16.5" thickBot="1">
      <c r="A7" s="1808" t="s">
        <v>31</v>
      </c>
      <c r="B7" s="1808"/>
      <c r="C7" s="1592"/>
      <c r="D7" s="1836"/>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33300</v>
      </c>
      <c r="Q7" s="1991">
        <f t="shared" si="0"/>
        <v>0</v>
      </c>
      <c r="R7" s="1993">
        <f>SUM(H7:Q7)</f>
        <v>33300</v>
      </c>
      <c r="S7" s="2600">
        <f>SUM(S5:S6)</f>
        <v>93860</v>
      </c>
      <c r="T7" s="1339">
        <f>P7/R7</f>
        <v>1</v>
      </c>
      <c r="U7" s="1339">
        <f>(K7+(I7*1.63))/R7</f>
        <v>0</v>
      </c>
      <c r="V7" s="1339">
        <f>M7/R7</f>
        <v>0</v>
      </c>
      <c r="W7" s="1326">
        <f>R7/S7</f>
        <v>0.35478372043468998</v>
      </c>
    </row>
    <row r="8" spans="1:26" ht="15.75">
      <c r="B8" s="1808"/>
      <c r="C8" s="1592"/>
      <c r="D8" s="1836"/>
      <c r="E8" s="1867"/>
      <c r="F8" s="1866"/>
    </row>
    <row r="9" spans="1:26" ht="15.75">
      <c r="A9" s="1808"/>
      <c r="B9" s="1808"/>
      <c r="C9" s="1592"/>
      <c r="D9" s="1836"/>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C12" s="1887" t="s">
        <v>314</v>
      </c>
      <c r="D12" s="1924">
        <f>D15+D21+D27+D34+D40+D46+D52+D58+D64</f>
        <v>16650</v>
      </c>
      <c r="E12" s="1948">
        <f>E15+E21+E27+E34+E40+E46+E52+E58+E64</f>
        <v>16650</v>
      </c>
      <c r="F12" s="1924">
        <f>D12+E12</f>
        <v>33300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1911">
        <f>SUM(D16:D19)</f>
        <v>0</v>
      </c>
      <c r="E15" s="1926">
        <f>SUM(E16:E19)</f>
        <v>0</v>
      </c>
      <c r="F15" s="1924">
        <f>D15+E15</f>
        <v>0</v>
      </c>
      <c r="H15" s="1938" t="s">
        <v>327</v>
      </c>
      <c r="I15" s="1939"/>
      <c r="J15" s="1939"/>
      <c r="K15" s="1940"/>
      <c r="L15" s="1941">
        <f>SUMPRODUCT(L16:L179,S16:S179)</f>
        <v>33300</v>
      </c>
      <c r="M15" s="1941">
        <f>SUM(M16:M179)</f>
        <v>3.33</v>
      </c>
      <c r="N15" s="1942">
        <f>SUM(N16:N21)</f>
        <v>0.99999999999999989</v>
      </c>
      <c r="O15" s="3112">
        <f>IFERROR(ROUND(SUMPRODUCT(O16:O165,V16:V165)/V15,0),"N/A")</f>
        <v>12</v>
      </c>
      <c r="P15" s="1940"/>
      <c r="Q15" s="1940"/>
      <c r="R15" s="1940"/>
      <c r="S15" s="1940"/>
      <c r="T15" s="1943">
        <f>SUM(T16:T65)</f>
        <v>46930</v>
      </c>
      <c r="U15" s="1943">
        <f>SUM(U16:U65)</f>
        <v>46930</v>
      </c>
      <c r="V15" s="1943">
        <f>SUM(V16:V65)</f>
        <v>93860</v>
      </c>
      <c r="W15" s="1941">
        <f>SUM(W16:W39)</f>
        <v>16650</v>
      </c>
      <c r="X15" s="1941">
        <f t="shared" ref="X15:Y15" si="1">SUM(X16:X39)</f>
        <v>16650</v>
      </c>
      <c r="Y15" s="1941">
        <f t="shared" si="1"/>
        <v>33300</v>
      </c>
      <c r="Z15" s="1945">
        <v>0</v>
      </c>
    </row>
    <row r="16" spans="1:26">
      <c r="B16" s="1885"/>
      <c r="C16" s="1876"/>
      <c r="D16" s="1907"/>
      <c r="E16" s="1906"/>
      <c r="F16" s="1879">
        <f>SUM(D16:E16)</f>
        <v>0</v>
      </c>
      <c r="H16" s="2603" t="s">
        <v>946</v>
      </c>
      <c r="I16" s="2927">
        <v>1.2</v>
      </c>
      <c r="J16" s="1932" t="s">
        <v>582</v>
      </c>
      <c r="K16" s="1922" t="s">
        <v>909</v>
      </c>
      <c r="L16" s="1929">
        <v>0</v>
      </c>
      <c r="M16" s="1929">
        <v>0</v>
      </c>
      <c r="N16" s="1923">
        <v>0.15341998721500105</v>
      </c>
      <c r="O16" s="1922">
        <v>14</v>
      </c>
      <c r="P16" s="1925" t="s">
        <v>910</v>
      </c>
      <c r="Q16" s="1928">
        <v>6000</v>
      </c>
      <c r="R16" s="1928">
        <v>6000</v>
      </c>
      <c r="S16" s="1931">
        <f t="shared" ref="S16:S21" si="2">SUM(Q16:R16)</f>
        <v>12000</v>
      </c>
      <c r="T16" s="1931">
        <f t="shared" ref="T16:T21" si="3">Q16*I16</f>
        <v>7200</v>
      </c>
      <c r="U16" s="1931">
        <f t="shared" ref="U16:U21" si="4">R16*I16</f>
        <v>7200</v>
      </c>
      <c r="V16" s="1931">
        <f t="shared" ref="V16:V21" si="5">SUM(T16:U16)</f>
        <v>14400</v>
      </c>
      <c r="W16" s="1921">
        <f t="shared" ref="W16:W21" si="6">Q16*M16</f>
        <v>0</v>
      </c>
      <c r="X16" s="1921">
        <f t="shared" ref="X16:X21" si="7">R16*M16</f>
        <v>0</v>
      </c>
      <c r="Y16" s="1921">
        <f t="shared" ref="Y16:Y21" si="8">SUM(W16:X16)</f>
        <v>0</v>
      </c>
      <c r="Z16" s="1946">
        <v>0</v>
      </c>
    </row>
    <row r="17" spans="2:26">
      <c r="B17" s="1885"/>
      <c r="C17" s="1876"/>
      <c r="D17" s="1905"/>
      <c r="E17" s="1904"/>
      <c r="F17" s="1879">
        <f t="shared" ref="F17:F19" si="9">SUM(D17:E17)</f>
        <v>0</v>
      </c>
      <c r="H17" s="2603" t="s">
        <v>947</v>
      </c>
      <c r="I17" s="2927">
        <v>1.9</v>
      </c>
      <c r="J17" s="1932" t="s">
        <v>582</v>
      </c>
      <c r="K17" s="1922" t="s">
        <v>909</v>
      </c>
      <c r="L17" s="1929">
        <v>0</v>
      </c>
      <c r="M17" s="1929">
        <v>0</v>
      </c>
      <c r="N17" s="1923">
        <v>0.18218623481781376</v>
      </c>
      <c r="O17" s="1922">
        <v>14</v>
      </c>
      <c r="P17" s="1925" t="s">
        <v>910</v>
      </c>
      <c r="Q17" s="1928">
        <v>4500</v>
      </c>
      <c r="R17" s="1928">
        <v>4500</v>
      </c>
      <c r="S17" s="1931">
        <f t="shared" si="2"/>
        <v>9000</v>
      </c>
      <c r="T17" s="1931">
        <f t="shared" si="3"/>
        <v>8550</v>
      </c>
      <c r="U17" s="1931">
        <f t="shared" si="4"/>
        <v>8550</v>
      </c>
      <c r="V17" s="1931">
        <f t="shared" si="5"/>
        <v>17100</v>
      </c>
      <c r="W17" s="1921">
        <f t="shared" si="6"/>
        <v>0</v>
      </c>
      <c r="X17" s="1921">
        <f t="shared" si="7"/>
        <v>0</v>
      </c>
      <c r="Y17" s="1921">
        <f t="shared" si="8"/>
        <v>0</v>
      </c>
      <c r="Z17" s="1946">
        <v>0</v>
      </c>
    </row>
    <row r="18" spans="2:26">
      <c r="B18" s="1885"/>
      <c r="C18" s="1876"/>
      <c r="D18" s="1905"/>
      <c r="E18" s="1904"/>
      <c r="F18" s="1879">
        <f t="shared" si="9"/>
        <v>0</v>
      </c>
      <c r="H18" s="2603" t="s">
        <v>948</v>
      </c>
      <c r="I18" s="2927">
        <v>2</v>
      </c>
      <c r="J18" s="1932" t="s">
        <v>582</v>
      </c>
      <c r="K18" s="1922" t="s">
        <v>909</v>
      </c>
      <c r="L18" s="1929">
        <v>0</v>
      </c>
      <c r="M18" s="1929">
        <v>0</v>
      </c>
      <c r="N18" s="1923">
        <v>0.12784998934583422</v>
      </c>
      <c r="O18" s="1922">
        <v>14</v>
      </c>
      <c r="P18" s="1925" t="s">
        <v>910</v>
      </c>
      <c r="Q18" s="1928">
        <v>3000</v>
      </c>
      <c r="R18" s="1928">
        <v>3000</v>
      </c>
      <c r="S18" s="1931">
        <f t="shared" si="2"/>
        <v>6000</v>
      </c>
      <c r="T18" s="1931">
        <f t="shared" si="3"/>
        <v>6000</v>
      </c>
      <c r="U18" s="1931">
        <f t="shared" si="4"/>
        <v>6000</v>
      </c>
      <c r="V18" s="1931">
        <f t="shared" si="5"/>
        <v>12000</v>
      </c>
      <c r="W18" s="1921">
        <f t="shared" si="6"/>
        <v>0</v>
      </c>
      <c r="X18" s="1921">
        <f t="shared" si="7"/>
        <v>0</v>
      </c>
      <c r="Y18" s="1921">
        <f t="shared" si="8"/>
        <v>0</v>
      </c>
      <c r="Z18" s="1946">
        <v>0</v>
      </c>
    </row>
    <row r="19" spans="2:26">
      <c r="B19" s="1885"/>
      <c r="C19" s="1876"/>
      <c r="D19" s="1903"/>
      <c r="E19" s="1902"/>
      <c r="F19" s="1879">
        <f t="shared" si="9"/>
        <v>0</v>
      </c>
      <c r="H19" s="2603" t="s">
        <v>956</v>
      </c>
      <c r="I19" s="2927">
        <v>5</v>
      </c>
      <c r="J19" s="1932" t="s">
        <v>582</v>
      </c>
      <c r="K19" s="1922" t="s">
        <v>909</v>
      </c>
      <c r="L19" s="1929">
        <v>3.33</v>
      </c>
      <c r="M19" s="1929">
        <v>3.33</v>
      </c>
      <c r="N19" s="1923">
        <v>0.53270828894097588</v>
      </c>
      <c r="O19" s="1922">
        <v>10</v>
      </c>
      <c r="P19" s="1925" t="s">
        <v>910</v>
      </c>
      <c r="Q19" s="1928">
        <v>5000</v>
      </c>
      <c r="R19" s="1928">
        <v>5000</v>
      </c>
      <c r="S19" s="1931">
        <f t="shared" si="2"/>
        <v>10000</v>
      </c>
      <c r="T19" s="1931">
        <f t="shared" si="3"/>
        <v>25000</v>
      </c>
      <c r="U19" s="1931">
        <f t="shared" si="4"/>
        <v>25000</v>
      </c>
      <c r="V19" s="1931">
        <f t="shared" si="5"/>
        <v>50000</v>
      </c>
      <c r="W19" s="1921">
        <f t="shared" si="6"/>
        <v>16650</v>
      </c>
      <c r="X19" s="1921">
        <f t="shared" si="7"/>
        <v>16650</v>
      </c>
      <c r="Y19" s="1921">
        <f t="shared" si="8"/>
        <v>33300</v>
      </c>
      <c r="Z19" s="1946">
        <v>0</v>
      </c>
    </row>
    <row r="20" spans="2:26">
      <c r="B20" s="1908"/>
      <c r="C20" s="1952"/>
      <c r="D20" s="1954"/>
      <c r="E20" s="1955"/>
      <c r="F20" s="1957"/>
      <c r="H20" s="2603" t="s">
        <v>957</v>
      </c>
      <c r="I20" s="2927">
        <v>0.09</v>
      </c>
      <c r="J20" s="1932" t="s">
        <v>582</v>
      </c>
      <c r="K20" s="1922" t="s">
        <v>909</v>
      </c>
      <c r="L20" s="1929">
        <v>0</v>
      </c>
      <c r="M20" s="1929">
        <v>0</v>
      </c>
      <c r="N20" s="1923">
        <v>3.8354996803750267E-3</v>
      </c>
      <c r="O20" s="1922">
        <v>14</v>
      </c>
      <c r="P20" s="1925" t="s">
        <v>910</v>
      </c>
      <c r="Q20" s="1928">
        <v>2000</v>
      </c>
      <c r="R20" s="1928">
        <v>2000</v>
      </c>
      <c r="S20" s="1931">
        <f t="shared" si="2"/>
        <v>4000</v>
      </c>
      <c r="T20" s="1931">
        <f t="shared" si="3"/>
        <v>180</v>
      </c>
      <c r="U20" s="1931">
        <f t="shared" si="4"/>
        <v>180</v>
      </c>
      <c r="V20" s="1931">
        <f t="shared" si="5"/>
        <v>360</v>
      </c>
      <c r="W20" s="1921">
        <f t="shared" si="6"/>
        <v>0</v>
      </c>
      <c r="X20" s="1921">
        <f t="shared" si="7"/>
        <v>0</v>
      </c>
      <c r="Y20" s="1921">
        <f t="shared" si="8"/>
        <v>0</v>
      </c>
      <c r="Z20" s="1946">
        <v>0</v>
      </c>
    </row>
    <row r="21" spans="2:26">
      <c r="C21" s="1910" t="s">
        <v>47</v>
      </c>
      <c r="D21" s="1911">
        <f>SUM(D22:D25)</f>
        <v>0</v>
      </c>
      <c r="E21" s="1926">
        <f>SUM(E22:E25)</f>
        <v>0</v>
      </c>
      <c r="F21" s="2157">
        <f>D21+E21</f>
        <v>0</v>
      </c>
      <c r="H21" s="2603"/>
      <c r="I21" s="2658"/>
      <c r="J21" s="1932"/>
      <c r="K21" s="1922"/>
      <c r="L21" s="1929"/>
      <c r="M21" s="1929"/>
      <c r="N21" s="1923"/>
      <c r="O21" s="1922"/>
      <c r="P21" s="1925"/>
      <c r="Q21" s="1928"/>
      <c r="R21" s="1928"/>
      <c r="S21" s="1931">
        <f t="shared" si="2"/>
        <v>0</v>
      </c>
      <c r="T21" s="1931">
        <f t="shared" si="3"/>
        <v>0</v>
      </c>
      <c r="U21" s="1931">
        <f t="shared" si="4"/>
        <v>0</v>
      </c>
      <c r="V21" s="1931">
        <f t="shared" si="5"/>
        <v>0</v>
      </c>
      <c r="W21" s="1921">
        <f t="shared" si="6"/>
        <v>0</v>
      </c>
      <c r="X21" s="1921">
        <f t="shared" si="7"/>
        <v>0</v>
      </c>
      <c r="Y21" s="1921">
        <f t="shared" si="8"/>
        <v>0</v>
      </c>
      <c r="Z21" s="1946"/>
    </row>
    <row r="22" spans="2:26">
      <c r="C22" s="1876"/>
      <c r="D22" s="1907"/>
      <c r="E22" s="1906"/>
      <c r="F22" s="1879">
        <f t="shared" ref="F22:F25" si="10">SUM(D22:E22)</f>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1900"/>
      <c r="E23" s="1899"/>
      <c r="F23" s="1879">
        <f t="shared" si="10"/>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10"/>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10"/>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1911">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778</v>
      </c>
      <c r="D29" s="1971">
        <f>D15*D28</f>
        <v>0</v>
      </c>
      <c r="E29" s="1972">
        <f>E15*E28</f>
        <v>0</v>
      </c>
      <c r="F29" s="1879">
        <f t="shared" ref="F29:F32" si="11">SUM(D29:E29)</f>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779</v>
      </c>
      <c r="D30" s="1973">
        <f>D21*D28</f>
        <v>0</v>
      </c>
      <c r="E30" s="1972">
        <f>E21*E28</f>
        <v>0</v>
      </c>
      <c r="F30" s="1879">
        <f t="shared" si="1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11"/>
        <v>0</v>
      </c>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11"/>
        <v>0</v>
      </c>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ht="38.25">
      <c r="A34" s="1808" t="s">
        <v>259</v>
      </c>
      <c r="C34" s="1910" t="s">
        <v>49</v>
      </c>
      <c r="D34" s="1911">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c r="D35" s="1971"/>
      <c r="E35" s="1988"/>
      <c r="F35" s="1879">
        <f t="shared" ref="F35:F38" si="1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6</v>
      </c>
      <c r="C36" s="1876"/>
      <c r="D36" s="1971"/>
      <c r="E36" s="1988"/>
      <c r="F36" s="1879">
        <f t="shared" si="1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2945"/>
      <c r="C37" s="1876"/>
      <c r="D37" s="1971"/>
      <c r="E37" s="1988"/>
      <c r="F37" s="1879">
        <f t="shared" si="1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31</v>
      </c>
      <c r="C38" s="1876"/>
      <c r="D38" s="1971"/>
      <c r="E38" s="1988"/>
      <c r="F38" s="1879">
        <f t="shared" si="1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1911">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1876"/>
      <c r="D41" s="1971"/>
      <c r="E41" s="1988"/>
      <c r="F41" s="1879">
        <f t="shared" ref="F41:F44" si="13">SUM(D41:E41)</f>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1876"/>
      <c r="D42" s="1971"/>
      <c r="E42" s="1988"/>
      <c r="F42" s="1879">
        <f t="shared" si="13"/>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13"/>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13"/>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1911">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c r="D47" s="1971"/>
      <c r="E47" s="1988"/>
      <c r="F47" s="1879">
        <f t="shared" ref="F47:F50" si="14">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14"/>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14"/>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4"/>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1911">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c r="E53" s="1972"/>
      <c r="F53" s="1879">
        <f t="shared" ref="F53:F56" si="15">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c r="E59" s="1988"/>
      <c r="F59" s="1879">
        <f t="shared" ref="F59:F62" si="16">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38.25">
      <c r="A64" s="1808" t="s">
        <v>259</v>
      </c>
      <c r="C64" s="1910" t="s">
        <v>53</v>
      </c>
      <c r="D64" s="1911">
        <f>W15</f>
        <v>16650</v>
      </c>
      <c r="E64" s="1926">
        <f>X15</f>
        <v>16650</v>
      </c>
      <c r="F64" s="1924">
        <f>D64+E64</f>
        <v>33300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18230432</v>
      </c>
      <c r="C67" s="1959" t="s">
        <v>54</v>
      </c>
      <c r="D67" s="1971">
        <v>0</v>
      </c>
      <c r="E67" s="1971">
        <v>0</v>
      </c>
      <c r="F67" s="1956">
        <v>0</v>
      </c>
    </row>
    <row r="68" spans="1:26">
      <c r="A68" s="1808" t="s">
        <v>31</v>
      </c>
    </row>
  </sheetData>
  <customSheetViews>
    <customSheetView guid="{074EB09C-6289-46D7-9513-012B68BCA7BF}" showGridLines="0">
      <pane xSplit="1" ySplit="1" topLeftCell="N2" activePane="bottomRight" state="frozen"/>
      <selection pane="bottomRight" activeCell="G25" sqref="G25"/>
      <pageMargins left="0.17" right="0.18" top="0.34" bottom="0.28000000000000003" header="0.3" footer="0.3"/>
      <pageSetup paperSize="17" scale="48" orientation="landscape" r:id="rId1"/>
    </customSheetView>
    <customSheetView guid="{D9EFFE19-D14B-4C6F-BDF4-FF696F73968D}" showGridLines="0">
      <pane xSplit="1" ySplit="1" topLeftCell="B2" activePane="bottomRight" state="frozen"/>
      <selection pane="bottomRight" activeCell="A6" sqref="A6"/>
      <pageMargins left="0.17" right="0.18" top="0.34" bottom="0.28000000000000003" header="0.3" footer="0.3"/>
      <pageSetup paperSize="17" scale="48" orientation="landscape" r:id="rId2"/>
    </customSheetView>
  </customSheetViews>
  <mergeCells count="8">
    <mergeCell ref="R2:S2"/>
    <mergeCell ref="T2:V2"/>
    <mergeCell ref="W2:W3"/>
    <mergeCell ref="H10:P10"/>
    <mergeCell ref="H12:P12"/>
    <mergeCell ref="Q12:S12"/>
    <mergeCell ref="T12:V12"/>
    <mergeCell ref="W12:Y12"/>
  </mergeCells>
  <pageMargins left="0.17" right="0.18" top="0.34" bottom="0.28000000000000003" header="0.3" footer="0.3"/>
  <pageSetup paperSize="17" scale="48" orientation="landscape" r:id="rId3"/>
  <ignoredErrors>
    <ignoredError sqref="R7" formula="1"/>
  </ignoredErrors>
  <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5.85546875" style="1544" customWidth="1"/>
    <col min="2" max="2" width="15.85546875" style="1866" customWidth="1"/>
    <col min="3" max="3" width="27" style="1544" customWidth="1"/>
    <col min="4" max="4" width="19.85546875" style="1544" customWidth="1"/>
    <col min="5" max="5" width="12.5703125" style="1545" customWidth="1"/>
    <col min="6" max="6" width="12.5703125" style="1544" customWidth="1"/>
    <col min="7" max="7" width="16.28515625" style="1544" bestFit="1" customWidth="1"/>
    <col min="8" max="8" width="13.42578125" style="1544" customWidth="1"/>
    <col min="9" max="9" width="15.28515625" style="1544" bestFit="1" customWidth="1"/>
    <col min="10" max="10" width="14.140625" style="1544" bestFit="1" customWidth="1"/>
    <col min="11" max="11" width="15.28515625" style="1544" customWidth="1"/>
    <col min="12" max="12" width="17.7109375" style="1544" customWidth="1"/>
    <col min="13" max="13" width="17" style="1544" bestFit="1" customWidth="1"/>
    <col min="14" max="14" width="12.7109375" style="1544" customWidth="1"/>
    <col min="15" max="15" width="13.7109375" style="1544" customWidth="1"/>
    <col min="16" max="16" width="13.85546875" style="1544" bestFit="1" customWidth="1"/>
    <col min="17" max="17" width="19.7109375" style="1544" bestFit="1" customWidth="1"/>
    <col min="18" max="18" width="16.140625" style="1544" customWidth="1"/>
    <col min="19" max="19" width="16.7109375" style="1544" bestFit="1" customWidth="1"/>
    <col min="20" max="20" width="15.5703125" style="1544" bestFit="1" customWidth="1"/>
    <col min="21" max="21" width="20.5703125" style="1544" bestFit="1" customWidth="1"/>
    <col min="22" max="22" width="16.42578125" style="1544" bestFit="1" customWidth="1"/>
    <col min="23" max="23" width="14.28515625" style="1544" customWidth="1"/>
    <col min="24" max="24" width="12.85546875" style="1544" bestFit="1" customWidth="1"/>
    <col min="25" max="25" width="11.28515625" style="1544" bestFit="1" customWidth="1"/>
    <col min="26" max="26" width="12.5703125" style="1544" bestFit="1" customWidth="1"/>
    <col min="27" max="27" width="14" style="1544" bestFit="1" customWidth="1"/>
    <col min="28" max="28" width="6" style="1544" bestFit="1" customWidth="1"/>
    <col min="29" max="29" width="15" style="1544" customWidth="1"/>
    <col min="30" max="30" width="14.85546875" style="1544" bestFit="1" customWidth="1"/>
    <col min="31" max="31" width="16.140625" style="1544" bestFit="1" customWidth="1"/>
    <col min="32" max="255" width="9.140625" style="1544"/>
    <col min="256" max="256" width="24" style="1544" bestFit="1" customWidth="1"/>
    <col min="257" max="257" width="43.85546875" style="1544" customWidth="1"/>
    <col min="258" max="258" width="19.7109375" style="1544" bestFit="1" customWidth="1"/>
    <col min="259" max="259" width="12.42578125" style="1544" bestFit="1" customWidth="1"/>
    <col min="260" max="260" width="16.28515625" style="1544" bestFit="1" customWidth="1"/>
    <col min="261" max="261" width="13.42578125" style="1544" customWidth="1"/>
    <col min="262" max="262" width="15.28515625" style="1544" bestFit="1" customWidth="1"/>
    <col min="263" max="263" width="14.140625" style="1544" bestFit="1" customWidth="1"/>
    <col min="264" max="264" width="15.28515625" style="1544" customWidth="1"/>
    <col min="265" max="265" width="17.7109375" style="1544" customWidth="1"/>
    <col min="266" max="266" width="17" style="1544" bestFit="1" customWidth="1"/>
    <col min="267" max="267" width="12.7109375" style="1544" customWidth="1"/>
    <col min="268" max="268" width="13.7109375" style="1544" customWidth="1"/>
    <col min="269" max="269" width="13.85546875" style="1544" bestFit="1" customWidth="1"/>
    <col min="270" max="270" width="19.7109375" style="1544" bestFit="1" customWidth="1"/>
    <col min="271" max="271" width="16.140625" style="1544" customWidth="1"/>
    <col min="272" max="272" width="16.7109375" style="1544" bestFit="1" customWidth="1"/>
    <col min="273" max="273" width="15.5703125" style="1544" bestFit="1" customWidth="1"/>
    <col min="274" max="274" width="20.5703125" style="1544" bestFit="1" customWidth="1"/>
    <col min="275" max="275" width="16.42578125" style="1544" bestFit="1" customWidth="1"/>
    <col min="276" max="276" width="14.28515625" style="1544" customWidth="1"/>
    <col min="277" max="277" width="12.85546875" style="1544" bestFit="1" customWidth="1"/>
    <col min="278" max="278" width="11.28515625" style="1544" bestFit="1" customWidth="1"/>
    <col min="279" max="279" width="12.5703125" style="1544" bestFit="1" customWidth="1"/>
    <col min="280" max="280" width="14" style="1544" bestFit="1" customWidth="1"/>
    <col min="281" max="281" width="6" style="1544" bestFit="1" customWidth="1"/>
    <col min="282" max="282" width="15" style="1544" customWidth="1"/>
    <col min="283" max="283" width="14.85546875" style="1544" bestFit="1" customWidth="1"/>
    <col min="284" max="284" width="16.140625" style="1544" bestFit="1" customWidth="1"/>
    <col min="285" max="511" width="9.140625" style="1544"/>
    <col min="512" max="512" width="24" style="1544" bestFit="1" customWidth="1"/>
    <col min="513" max="513" width="43.85546875" style="1544" customWidth="1"/>
    <col min="514" max="514" width="19.7109375" style="1544" bestFit="1" customWidth="1"/>
    <col min="515" max="515" width="12.42578125" style="1544" bestFit="1" customWidth="1"/>
    <col min="516" max="516" width="16.28515625" style="1544" bestFit="1" customWidth="1"/>
    <col min="517" max="517" width="13.42578125" style="1544" customWidth="1"/>
    <col min="518" max="518" width="15.28515625" style="1544" bestFit="1" customWidth="1"/>
    <col min="519" max="519" width="14.140625" style="1544" bestFit="1" customWidth="1"/>
    <col min="520" max="520" width="15.28515625" style="1544" customWidth="1"/>
    <col min="521" max="521" width="17.7109375" style="1544" customWidth="1"/>
    <col min="522" max="522" width="17" style="1544" bestFit="1" customWidth="1"/>
    <col min="523" max="523" width="12.7109375" style="1544" customWidth="1"/>
    <col min="524" max="524" width="13.7109375" style="1544" customWidth="1"/>
    <col min="525" max="525" width="13.85546875" style="1544" bestFit="1" customWidth="1"/>
    <col min="526" max="526" width="19.7109375" style="1544" bestFit="1" customWidth="1"/>
    <col min="527" max="527" width="16.140625" style="1544" customWidth="1"/>
    <col min="528" max="528" width="16.7109375" style="1544" bestFit="1" customWidth="1"/>
    <col min="529" max="529" width="15.5703125" style="1544" bestFit="1" customWidth="1"/>
    <col min="530" max="530" width="20.5703125" style="1544" bestFit="1" customWidth="1"/>
    <col min="531" max="531" width="16.42578125" style="1544" bestFit="1" customWidth="1"/>
    <col min="532" max="532" width="14.28515625" style="1544" customWidth="1"/>
    <col min="533" max="533" width="12.85546875" style="1544" bestFit="1" customWidth="1"/>
    <col min="534" max="534" width="11.28515625" style="1544" bestFit="1" customWidth="1"/>
    <col min="535" max="535" width="12.5703125" style="1544" bestFit="1" customWidth="1"/>
    <col min="536" max="536" width="14" style="1544" bestFit="1" customWidth="1"/>
    <col min="537" max="537" width="6" style="1544" bestFit="1" customWidth="1"/>
    <col min="538" max="538" width="15" style="1544" customWidth="1"/>
    <col min="539" max="539" width="14.85546875" style="1544" bestFit="1" customWidth="1"/>
    <col min="540" max="540" width="16.140625" style="1544" bestFit="1" customWidth="1"/>
    <col min="541" max="767" width="9.140625" style="1544"/>
    <col min="768" max="768" width="24" style="1544" bestFit="1" customWidth="1"/>
    <col min="769" max="769" width="43.85546875" style="1544" customWidth="1"/>
    <col min="770" max="770" width="19.7109375" style="1544" bestFit="1" customWidth="1"/>
    <col min="771" max="771" width="12.42578125" style="1544" bestFit="1" customWidth="1"/>
    <col min="772" max="772" width="16.28515625" style="1544" bestFit="1" customWidth="1"/>
    <col min="773" max="773" width="13.42578125" style="1544" customWidth="1"/>
    <col min="774" max="774" width="15.28515625" style="1544" bestFit="1" customWidth="1"/>
    <col min="775" max="775" width="14.140625" style="1544" bestFit="1" customWidth="1"/>
    <col min="776" max="776" width="15.28515625" style="1544" customWidth="1"/>
    <col min="777" max="777" width="17.7109375" style="1544" customWidth="1"/>
    <col min="778" max="778" width="17" style="1544" bestFit="1" customWidth="1"/>
    <col min="779" max="779" width="12.7109375" style="1544" customWidth="1"/>
    <col min="780" max="780" width="13.7109375" style="1544" customWidth="1"/>
    <col min="781" max="781" width="13.85546875" style="1544" bestFit="1" customWidth="1"/>
    <col min="782" max="782" width="19.7109375" style="1544" bestFit="1" customWidth="1"/>
    <col min="783" max="783" width="16.140625" style="1544" customWidth="1"/>
    <col min="784" max="784" width="16.7109375" style="1544" bestFit="1" customWidth="1"/>
    <col min="785" max="785" width="15.5703125" style="1544" bestFit="1" customWidth="1"/>
    <col min="786" max="786" width="20.5703125" style="1544" bestFit="1" customWidth="1"/>
    <col min="787" max="787" width="16.42578125" style="1544" bestFit="1" customWidth="1"/>
    <col min="788" max="788" width="14.28515625" style="1544" customWidth="1"/>
    <col min="789" max="789" width="12.85546875" style="1544" bestFit="1" customWidth="1"/>
    <col min="790" max="790" width="11.28515625" style="1544" bestFit="1" customWidth="1"/>
    <col min="791" max="791" width="12.5703125" style="1544" bestFit="1" customWidth="1"/>
    <col min="792" max="792" width="14" style="1544" bestFit="1" customWidth="1"/>
    <col min="793" max="793" width="6" style="1544" bestFit="1" customWidth="1"/>
    <col min="794" max="794" width="15" style="1544" customWidth="1"/>
    <col min="795" max="795" width="14.85546875" style="1544" bestFit="1" customWidth="1"/>
    <col min="796" max="796" width="16.140625" style="1544" bestFit="1" customWidth="1"/>
    <col min="797" max="1023" width="9.140625" style="1544"/>
    <col min="1024" max="1024" width="24" style="1544" bestFit="1" customWidth="1"/>
    <col min="1025" max="1025" width="43.85546875" style="1544" customWidth="1"/>
    <col min="1026" max="1026" width="19.7109375" style="1544" bestFit="1" customWidth="1"/>
    <col min="1027" max="1027" width="12.42578125" style="1544" bestFit="1" customWidth="1"/>
    <col min="1028" max="1028" width="16.28515625" style="1544" bestFit="1" customWidth="1"/>
    <col min="1029" max="1029" width="13.42578125" style="1544" customWidth="1"/>
    <col min="1030" max="1030" width="15.28515625" style="1544" bestFit="1" customWidth="1"/>
    <col min="1031" max="1031" width="14.140625" style="1544" bestFit="1" customWidth="1"/>
    <col min="1032" max="1032" width="15.28515625" style="1544" customWidth="1"/>
    <col min="1033" max="1033" width="17.7109375" style="1544" customWidth="1"/>
    <col min="1034" max="1034" width="17" style="1544" bestFit="1" customWidth="1"/>
    <col min="1035" max="1035" width="12.7109375" style="1544" customWidth="1"/>
    <col min="1036" max="1036" width="13.7109375" style="1544" customWidth="1"/>
    <col min="1037" max="1037" width="13.85546875" style="1544" bestFit="1" customWidth="1"/>
    <col min="1038" max="1038" width="19.7109375" style="1544" bestFit="1" customWidth="1"/>
    <col min="1039" max="1039" width="16.140625" style="1544" customWidth="1"/>
    <col min="1040" max="1040" width="16.7109375" style="1544" bestFit="1" customWidth="1"/>
    <col min="1041" max="1041" width="15.5703125" style="1544" bestFit="1" customWidth="1"/>
    <col min="1042" max="1042" width="20.5703125" style="1544" bestFit="1" customWidth="1"/>
    <col min="1043" max="1043" width="16.42578125" style="1544" bestFit="1" customWidth="1"/>
    <col min="1044" max="1044" width="14.28515625" style="1544" customWidth="1"/>
    <col min="1045" max="1045" width="12.85546875" style="1544" bestFit="1" customWidth="1"/>
    <col min="1046" max="1046" width="11.28515625" style="1544" bestFit="1" customWidth="1"/>
    <col min="1047" max="1047" width="12.5703125" style="1544" bestFit="1" customWidth="1"/>
    <col min="1048" max="1048" width="14" style="1544" bestFit="1" customWidth="1"/>
    <col min="1049" max="1049" width="6" style="1544" bestFit="1" customWidth="1"/>
    <col min="1050" max="1050" width="15" style="1544" customWidth="1"/>
    <col min="1051" max="1051" width="14.85546875" style="1544" bestFit="1" customWidth="1"/>
    <col min="1052" max="1052" width="16.140625" style="1544" bestFit="1" customWidth="1"/>
    <col min="1053" max="1279" width="9.140625" style="1544"/>
    <col min="1280" max="1280" width="24" style="1544" bestFit="1" customWidth="1"/>
    <col min="1281" max="1281" width="43.85546875" style="1544" customWidth="1"/>
    <col min="1282" max="1282" width="19.7109375" style="1544" bestFit="1" customWidth="1"/>
    <col min="1283" max="1283" width="12.42578125" style="1544" bestFit="1" customWidth="1"/>
    <col min="1284" max="1284" width="16.28515625" style="1544" bestFit="1" customWidth="1"/>
    <col min="1285" max="1285" width="13.42578125" style="1544" customWidth="1"/>
    <col min="1286" max="1286" width="15.28515625" style="1544" bestFit="1" customWidth="1"/>
    <col min="1287" max="1287" width="14.140625" style="1544" bestFit="1" customWidth="1"/>
    <col min="1288" max="1288" width="15.28515625" style="1544" customWidth="1"/>
    <col min="1289" max="1289" width="17.7109375" style="1544" customWidth="1"/>
    <col min="1290" max="1290" width="17" style="1544" bestFit="1" customWidth="1"/>
    <col min="1291" max="1291" width="12.7109375" style="1544" customWidth="1"/>
    <col min="1292" max="1292" width="13.7109375" style="1544" customWidth="1"/>
    <col min="1293" max="1293" width="13.85546875" style="1544" bestFit="1" customWidth="1"/>
    <col min="1294" max="1294" width="19.7109375" style="1544" bestFit="1" customWidth="1"/>
    <col min="1295" max="1295" width="16.140625" style="1544" customWidth="1"/>
    <col min="1296" max="1296" width="16.7109375" style="1544" bestFit="1" customWidth="1"/>
    <col min="1297" max="1297" width="15.5703125" style="1544" bestFit="1" customWidth="1"/>
    <col min="1298" max="1298" width="20.5703125" style="1544" bestFit="1" customWidth="1"/>
    <col min="1299" max="1299" width="16.42578125" style="1544" bestFit="1" customWidth="1"/>
    <col min="1300" max="1300" width="14.28515625" style="1544" customWidth="1"/>
    <col min="1301" max="1301" width="12.85546875" style="1544" bestFit="1" customWidth="1"/>
    <col min="1302" max="1302" width="11.28515625" style="1544" bestFit="1" customWidth="1"/>
    <col min="1303" max="1303" width="12.5703125" style="1544" bestFit="1" customWidth="1"/>
    <col min="1304" max="1304" width="14" style="1544" bestFit="1" customWidth="1"/>
    <col min="1305" max="1305" width="6" style="1544" bestFit="1" customWidth="1"/>
    <col min="1306" max="1306" width="15" style="1544" customWidth="1"/>
    <col min="1307" max="1307" width="14.85546875" style="1544" bestFit="1" customWidth="1"/>
    <col min="1308" max="1308" width="16.140625" style="1544" bestFit="1" customWidth="1"/>
    <col min="1309" max="1535" width="9.140625" style="1544"/>
    <col min="1536" max="1536" width="24" style="1544" bestFit="1" customWidth="1"/>
    <col min="1537" max="1537" width="43.85546875" style="1544" customWidth="1"/>
    <col min="1538" max="1538" width="19.7109375" style="1544" bestFit="1" customWidth="1"/>
    <col min="1539" max="1539" width="12.42578125" style="1544" bestFit="1" customWidth="1"/>
    <col min="1540" max="1540" width="16.28515625" style="1544" bestFit="1" customWidth="1"/>
    <col min="1541" max="1541" width="13.42578125" style="1544" customWidth="1"/>
    <col min="1542" max="1542" width="15.28515625" style="1544" bestFit="1" customWidth="1"/>
    <col min="1543" max="1543" width="14.140625" style="1544" bestFit="1" customWidth="1"/>
    <col min="1544" max="1544" width="15.28515625" style="1544" customWidth="1"/>
    <col min="1545" max="1545" width="17.7109375" style="1544" customWidth="1"/>
    <col min="1546" max="1546" width="17" style="1544" bestFit="1" customWidth="1"/>
    <col min="1547" max="1547" width="12.7109375" style="1544" customWidth="1"/>
    <col min="1548" max="1548" width="13.7109375" style="1544" customWidth="1"/>
    <col min="1549" max="1549" width="13.85546875" style="1544" bestFit="1" customWidth="1"/>
    <col min="1550" max="1550" width="19.7109375" style="1544" bestFit="1" customWidth="1"/>
    <col min="1551" max="1551" width="16.140625" style="1544" customWidth="1"/>
    <col min="1552" max="1552" width="16.7109375" style="1544" bestFit="1" customWidth="1"/>
    <col min="1553" max="1553" width="15.5703125" style="1544" bestFit="1" customWidth="1"/>
    <col min="1554" max="1554" width="20.5703125" style="1544" bestFit="1" customWidth="1"/>
    <col min="1555" max="1555" width="16.42578125" style="1544" bestFit="1" customWidth="1"/>
    <col min="1556" max="1556" width="14.28515625" style="1544" customWidth="1"/>
    <col min="1557" max="1557" width="12.85546875" style="1544" bestFit="1" customWidth="1"/>
    <col min="1558" max="1558" width="11.28515625" style="1544" bestFit="1" customWidth="1"/>
    <col min="1559" max="1559" width="12.5703125" style="1544" bestFit="1" customWidth="1"/>
    <col min="1560" max="1560" width="14" style="1544" bestFit="1" customWidth="1"/>
    <col min="1561" max="1561" width="6" style="1544" bestFit="1" customWidth="1"/>
    <col min="1562" max="1562" width="15" style="1544" customWidth="1"/>
    <col min="1563" max="1563" width="14.85546875" style="1544" bestFit="1" customWidth="1"/>
    <col min="1564" max="1564" width="16.140625" style="1544" bestFit="1" customWidth="1"/>
    <col min="1565" max="1791" width="9.140625" style="1544"/>
    <col min="1792" max="1792" width="24" style="1544" bestFit="1" customWidth="1"/>
    <col min="1793" max="1793" width="43.85546875" style="1544" customWidth="1"/>
    <col min="1794" max="1794" width="19.7109375" style="1544" bestFit="1" customWidth="1"/>
    <col min="1795" max="1795" width="12.42578125" style="1544" bestFit="1" customWidth="1"/>
    <col min="1796" max="1796" width="16.28515625" style="1544" bestFit="1" customWidth="1"/>
    <col min="1797" max="1797" width="13.42578125" style="1544" customWidth="1"/>
    <col min="1798" max="1798" width="15.28515625" style="1544" bestFit="1" customWidth="1"/>
    <col min="1799" max="1799" width="14.140625" style="1544" bestFit="1" customWidth="1"/>
    <col min="1800" max="1800" width="15.28515625" style="1544" customWidth="1"/>
    <col min="1801" max="1801" width="17.7109375" style="1544" customWidth="1"/>
    <col min="1802" max="1802" width="17" style="1544" bestFit="1" customWidth="1"/>
    <col min="1803" max="1803" width="12.7109375" style="1544" customWidth="1"/>
    <col min="1804" max="1804" width="13.7109375" style="1544" customWidth="1"/>
    <col min="1805" max="1805" width="13.85546875" style="1544" bestFit="1" customWidth="1"/>
    <col min="1806" max="1806" width="19.7109375" style="1544" bestFit="1" customWidth="1"/>
    <col min="1807" max="1807" width="16.140625" style="1544" customWidth="1"/>
    <col min="1808" max="1808" width="16.7109375" style="1544" bestFit="1" customWidth="1"/>
    <col min="1809" max="1809" width="15.5703125" style="1544" bestFit="1" customWidth="1"/>
    <col min="1810" max="1810" width="20.5703125" style="1544" bestFit="1" customWidth="1"/>
    <col min="1811" max="1811" width="16.42578125" style="1544" bestFit="1" customWidth="1"/>
    <col min="1812" max="1812" width="14.28515625" style="1544" customWidth="1"/>
    <col min="1813" max="1813" width="12.85546875" style="1544" bestFit="1" customWidth="1"/>
    <col min="1814" max="1814" width="11.28515625" style="1544" bestFit="1" customWidth="1"/>
    <col min="1815" max="1815" width="12.5703125" style="1544" bestFit="1" customWidth="1"/>
    <col min="1816" max="1816" width="14" style="1544" bestFit="1" customWidth="1"/>
    <col min="1817" max="1817" width="6" style="1544" bestFit="1" customWidth="1"/>
    <col min="1818" max="1818" width="15" style="1544" customWidth="1"/>
    <col min="1819" max="1819" width="14.85546875" style="1544" bestFit="1" customWidth="1"/>
    <col min="1820" max="1820" width="16.140625" style="1544" bestFit="1" customWidth="1"/>
    <col min="1821" max="2047" width="9.140625" style="1544"/>
    <col min="2048" max="2048" width="24" style="1544" bestFit="1" customWidth="1"/>
    <col min="2049" max="2049" width="43.85546875" style="1544" customWidth="1"/>
    <col min="2050" max="2050" width="19.7109375" style="1544" bestFit="1" customWidth="1"/>
    <col min="2051" max="2051" width="12.42578125" style="1544" bestFit="1" customWidth="1"/>
    <col min="2052" max="2052" width="16.28515625" style="1544" bestFit="1" customWidth="1"/>
    <col min="2053" max="2053" width="13.42578125" style="1544" customWidth="1"/>
    <col min="2054" max="2054" width="15.28515625" style="1544" bestFit="1" customWidth="1"/>
    <col min="2055" max="2055" width="14.140625" style="1544" bestFit="1" customWidth="1"/>
    <col min="2056" max="2056" width="15.28515625" style="1544" customWidth="1"/>
    <col min="2057" max="2057" width="17.7109375" style="1544" customWidth="1"/>
    <col min="2058" max="2058" width="17" style="1544" bestFit="1" customWidth="1"/>
    <col min="2059" max="2059" width="12.7109375" style="1544" customWidth="1"/>
    <col min="2060" max="2060" width="13.7109375" style="1544" customWidth="1"/>
    <col min="2061" max="2061" width="13.85546875" style="1544" bestFit="1" customWidth="1"/>
    <col min="2062" max="2062" width="19.7109375" style="1544" bestFit="1" customWidth="1"/>
    <col min="2063" max="2063" width="16.140625" style="1544" customWidth="1"/>
    <col min="2064" max="2064" width="16.7109375" style="1544" bestFit="1" customWidth="1"/>
    <col min="2065" max="2065" width="15.5703125" style="1544" bestFit="1" customWidth="1"/>
    <col min="2066" max="2066" width="20.5703125" style="1544" bestFit="1" customWidth="1"/>
    <col min="2067" max="2067" width="16.42578125" style="1544" bestFit="1" customWidth="1"/>
    <col min="2068" max="2068" width="14.28515625" style="1544" customWidth="1"/>
    <col min="2069" max="2069" width="12.85546875" style="1544" bestFit="1" customWidth="1"/>
    <col min="2070" max="2070" width="11.28515625" style="1544" bestFit="1" customWidth="1"/>
    <col min="2071" max="2071" width="12.5703125" style="1544" bestFit="1" customWidth="1"/>
    <col min="2072" max="2072" width="14" style="1544" bestFit="1" customWidth="1"/>
    <col min="2073" max="2073" width="6" style="1544" bestFit="1" customWidth="1"/>
    <col min="2074" max="2074" width="15" style="1544" customWidth="1"/>
    <col min="2075" max="2075" width="14.85546875" style="1544" bestFit="1" customWidth="1"/>
    <col min="2076" max="2076" width="16.140625" style="1544" bestFit="1" customWidth="1"/>
    <col min="2077" max="2303" width="9.140625" style="1544"/>
    <col min="2304" max="2304" width="24" style="1544" bestFit="1" customWidth="1"/>
    <col min="2305" max="2305" width="43.85546875" style="1544" customWidth="1"/>
    <col min="2306" max="2306" width="19.7109375" style="1544" bestFit="1" customWidth="1"/>
    <col min="2307" max="2307" width="12.42578125" style="1544" bestFit="1" customWidth="1"/>
    <col min="2308" max="2308" width="16.28515625" style="1544" bestFit="1" customWidth="1"/>
    <col min="2309" max="2309" width="13.42578125" style="1544" customWidth="1"/>
    <col min="2310" max="2310" width="15.28515625" style="1544" bestFit="1" customWidth="1"/>
    <col min="2311" max="2311" width="14.140625" style="1544" bestFit="1" customWidth="1"/>
    <col min="2312" max="2312" width="15.28515625" style="1544" customWidth="1"/>
    <col min="2313" max="2313" width="17.7109375" style="1544" customWidth="1"/>
    <col min="2314" max="2314" width="17" style="1544" bestFit="1" customWidth="1"/>
    <col min="2315" max="2315" width="12.7109375" style="1544" customWidth="1"/>
    <col min="2316" max="2316" width="13.7109375" style="1544" customWidth="1"/>
    <col min="2317" max="2317" width="13.85546875" style="1544" bestFit="1" customWidth="1"/>
    <col min="2318" max="2318" width="19.7109375" style="1544" bestFit="1" customWidth="1"/>
    <col min="2319" max="2319" width="16.140625" style="1544" customWidth="1"/>
    <col min="2320" max="2320" width="16.7109375" style="1544" bestFit="1" customWidth="1"/>
    <col min="2321" max="2321" width="15.5703125" style="1544" bestFit="1" customWidth="1"/>
    <col min="2322" max="2322" width="20.5703125" style="1544" bestFit="1" customWidth="1"/>
    <col min="2323" max="2323" width="16.42578125" style="1544" bestFit="1" customWidth="1"/>
    <col min="2324" max="2324" width="14.28515625" style="1544" customWidth="1"/>
    <col min="2325" max="2325" width="12.85546875" style="1544" bestFit="1" customWidth="1"/>
    <col min="2326" max="2326" width="11.28515625" style="1544" bestFit="1" customWidth="1"/>
    <col min="2327" max="2327" width="12.5703125" style="1544" bestFit="1" customWidth="1"/>
    <col min="2328" max="2328" width="14" style="1544" bestFit="1" customWidth="1"/>
    <col min="2329" max="2329" width="6" style="1544" bestFit="1" customWidth="1"/>
    <col min="2330" max="2330" width="15" style="1544" customWidth="1"/>
    <col min="2331" max="2331" width="14.85546875" style="1544" bestFit="1" customWidth="1"/>
    <col min="2332" max="2332" width="16.140625" style="1544" bestFit="1" customWidth="1"/>
    <col min="2333" max="2559" width="9.140625" style="1544"/>
    <col min="2560" max="2560" width="24" style="1544" bestFit="1" customWidth="1"/>
    <col min="2561" max="2561" width="43.85546875" style="1544" customWidth="1"/>
    <col min="2562" max="2562" width="19.7109375" style="1544" bestFit="1" customWidth="1"/>
    <col min="2563" max="2563" width="12.42578125" style="1544" bestFit="1" customWidth="1"/>
    <col min="2564" max="2564" width="16.28515625" style="1544" bestFit="1" customWidth="1"/>
    <col min="2565" max="2565" width="13.42578125" style="1544" customWidth="1"/>
    <col min="2566" max="2566" width="15.28515625" style="1544" bestFit="1" customWidth="1"/>
    <col min="2567" max="2567" width="14.140625" style="1544" bestFit="1" customWidth="1"/>
    <col min="2568" max="2568" width="15.28515625" style="1544" customWidth="1"/>
    <col min="2569" max="2569" width="17.7109375" style="1544" customWidth="1"/>
    <col min="2570" max="2570" width="17" style="1544" bestFit="1" customWidth="1"/>
    <col min="2571" max="2571" width="12.7109375" style="1544" customWidth="1"/>
    <col min="2572" max="2572" width="13.7109375" style="1544" customWidth="1"/>
    <col min="2573" max="2573" width="13.85546875" style="1544" bestFit="1" customWidth="1"/>
    <col min="2574" max="2574" width="19.7109375" style="1544" bestFit="1" customWidth="1"/>
    <col min="2575" max="2575" width="16.140625" style="1544" customWidth="1"/>
    <col min="2576" max="2576" width="16.7109375" style="1544" bestFit="1" customWidth="1"/>
    <col min="2577" max="2577" width="15.5703125" style="1544" bestFit="1" customWidth="1"/>
    <col min="2578" max="2578" width="20.5703125" style="1544" bestFit="1" customWidth="1"/>
    <col min="2579" max="2579" width="16.42578125" style="1544" bestFit="1" customWidth="1"/>
    <col min="2580" max="2580" width="14.28515625" style="1544" customWidth="1"/>
    <col min="2581" max="2581" width="12.85546875" style="1544" bestFit="1" customWidth="1"/>
    <col min="2582" max="2582" width="11.28515625" style="1544" bestFit="1" customWidth="1"/>
    <col min="2583" max="2583" width="12.5703125" style="1544" bestFit="1" customWidth="1"/>
    <col min="2584" max="2584" width="14" style="1544" bestFit="1" customWidth="1"/>
    <col min="2585" max="2585" width="6" style="1544" bestFit="1" customWidth="1"/>
    <col min="2586" max="2586" width="15" style="1544" customWidth="1"/>
    <col min="2587" max="2587" width="14.85546875" style="1544" bestFit="1" customWidth="1"/>
    <col min="2588" max="2588" width="16.140625" style="1544" bestFit="1" customWidth="1"/>
    <col min="2589" max="2815" width="9.140625" style="1544"/>
    <col min="2816" max="2816" width="24" style="1544" bestFit="1" customWidth="1"/>
    <col min="2817" max="2817" width="43.85546875" style="1544" customWidth="1"/>
    <col min="2818" max="2818" width="19.7109375" style="1544" bestFit="1" customWidth="1"/>
    <col min="2819" max="2819" width="12.42578125" style="1544" bestFit="1" customWidth="1"/>
    <col min="2820" max="2820" width="16.28515625" style="1544" bestFit="1" customWidth="1"/>
    <col min="2821" max="2821" width="13.42578125" style="1544" customWidth="1"/>
    <col min="2822" max="2822" width="15.28515625" style="1544" bestFit="1" customWidth="1"/>
    <col min="2823" max="2823" width="14.140625" style="1544" bestFit="1" customWidth="1"/>
    <col min="2824" max="2824" width="15.28515625" style="1544" customWidth="1"/>
    <col min="2825" max="2825" width="17.7109375" style="1544" customWidth="1"/>
    <col min="2826" max="2826" width="17" style="1544" bestFit="1" customWidth="1"/>
    <col min="2827" max="2827" width="12.7109375" style="1544" customWidth="1"/>
    <col min="2828" max="2828" width="13.7109375" style="1544" customWidth="1"/>
    <col min="2829" max="2829" width="13.85546875" style="1544" bestFit="1" customWidth="1"/>
    <col min="2830" max="2830" width="19.7109375" style="1544" bestFit="1" customWidth="1"/>
    <col min="2831" max="2831" width="16.140625" style="1544" customWidth="1"/>
    <col min="2832" max="2832" width="16.7109375" style="1544" bestFit="1" customWidth="1"/>
    <col min="2833" max="2833" width="15.5703125" style="1544" bestFit="1" customWidth="1"/>
    <col min="2834" max="2834" width="20.5703125" style="1544" bestFit="1" customWidth="1"/>
    <col min="2835" max="2835" width="16.42578125" style="1544" bestFit="1" customWidth="1"/>
    <col min="2836" max="2836" width="14.28515625" style="1544" customWidth="1"/>
    <col min="2837" max="2837" width="12.85546875" style="1544" bestFit="1" customWidth="1"/>
    <col min="2838" max="2838" width="11.28515625" style="1544" bestFit="1" customWidth="1"/>
    <col min="2839" max="2839" width="12.5703125" style="1544" bestFit="1" customWidth="1"/>
    <col min="2840" max="2840" width="14" style="1544" bestFit="1" customWidth="1"/>
    <col min="2841" max="2841" width="6" style="1544" bestFit="1" customWidth="1"/>
    <col min="2842" max="2842" width="15" style="1544" customWidth="1"/>
    <col min="2843" max="2843" width="14.85546875" style="1544" bestFit="1" customWidth="1"/>
    <col min="2844" max="2844" width="16.140625" style="1544" bestFit="1" customWidth="1"/>
    <col min="2845" max="3071" width="9.140625" style="1544"/>
    <col min="3072" max="3072" width="24" style="1544" bestFit="1" customWidth="1"/>
    <col min="3073" max="3073" width="43.85546875" style="1544" customWidth="1"/>
    <col min="3074" max="3074" width="19.7109375" style="1544" bestFit="1" customWidth="1"/>
    <col min="3075" max="3075" width="12.42578125" style="1544" bestFit="1" customWidth="1"/>
    <col min="3076" max="3076" width="16.28515625" style="1544" bestFit="1" customWidth="1"/>
    <col min="3077" max="3077" width="13.42578125" style="1544" customWidth="1"/>
    <col min="3078" max="3078" width="15.28515625" style="1544" bestFit="1" customWidth="1"/>
    <col min="3079" max="3079" width="14.140625" style="1544" bestFit="1" customWidth="1"/>
    <col min="3080" max="3080" width="15.28515625" style="1544" customWidth="1"/>
    <col min="3081" max="3081" width="17.7109375" style="1544" customWidth="1"/>
    <col min="3082" max="3082" width="17" style="1544" bestFit="1" customWidth="1"/>
    <col min="3083" max="3083" width="12.7109375" style="1544" customWidth="1"/>
    <col min="3084" max="3084" width="13.7109375" style="1544" customWidth="1"/>
    <col min="3085" max="3085" width="13.85546875" style="1544" bestFit="1" customWidth="1"/>
    <col min="3086" max="3086" width="19.7109375" style="1544" bestFit="1" customWidth="1"/>
    <col min="3087" max="3087" width="16.140625" style="1544" customWidth="1"/>
    <col min="3088" max="3088" width="16.7109375" style="1544" bestFit="1" customWidth="1"/>
    <col min="3089" max="3089" width="15.5703125" style="1544" bestFit="1" customWidth="1"/>
    <col min="3090" max="3090" width="20.5703125" style="1544" bestFit="1" customWidth="1"/>
    <col min="3091" max="3091" width="16.42578125" style="1544" bestFit="1" customWidth="1"/>
    <col min="3092" max="3092" width="14.28515625" style="1544" customWidth="1"/>
    <col min="3093" max="3093" width="12.85546875" style="1544" bestFit="1" customWidth="1"/>
    <col min="3094" max="3094" width="11.28515625" style="1544" bestFit="1" customWidth="1"/>
    <col min="3095" max="3095" width="12.5703125" style="1544" bestFit="1" customWidth="1"/>
    <col min="3096" max="3096" width="14" style="1544" bestFit="1" customWidth="1"/>
    <col min="3097" max="3097" width="6" style="1544" bestFit="1" customWidth="1"/>
    <col min="3098" max="3098" width="15" style="1544" customWidth="1"/>
    <col min="3099" max="3099" width="14.85546875" style="1544" bestFit="1" customWidth="1"/>
    <col min="3100" max="3100" width="16.140625" style="1544" bestFit="1" customWidth="1"/>
    <col min="3101" max="3327" width="9.140625" style="1544"/>
    <col min="3328" max="3328" width="24" style="1544" bestFit="1" customWidth="1"/>
    <col min="3329" max="3329" width="43.85546875" style="1544" customWidth="1"/>
    <col min="3330" max="3330" width="19.7109375" style="1544" bestFit="1" customWidth="1"/>
    <col min="3331" max="3331" width="12.42578125" style="1544" bestFit="1" customWidth="1"/>
    <col min="3332" max="3332" width="16.28515625" style="1544" bestFit="1" customWidth="1"/>
    <col min="3333" max="3333" width="13.42578125" style="1544" customWidth="1"/>
    <col min="3334" max="3334" width="15.28515625" style="1544" bestFit="1" customWidth="1"/>
    <col min="3335" max="3335" width="14.140625" style="1544" bestFit="1" customWidth="1"/>
    <col min="3336" max="3336" width="15.28515625" style="1544" customWidth="1"/>
    <col min="3337" max="3337" width="17.7109375" style="1544" customWidth="1"/>
    <col min="3338" max="3338" width="17" style="1544" bestFit="1" customWidth="1"/>
    <col min="3339" max="3339" width="12.7109375" style="1544" customWidth="1"/>
    <col min="3340" max="3340" width="13.7109375" style="1544" customWidth="1"/>
    <col min="3341" max="3341" width="13.85546875" style="1544" bestFit="1" customWidth="1"/>
    <col min="3342" max="3342" width="19.7109375" style="1544" bestFit="1" customWidth="1"/>
    <col min="3343" max="3343" width="16.140625" style="1544" customWidth="1"/>
    <col min="3344" max="3344" width="16.7109375" style="1544" bestFit="1" customWidth="1"/>
    <col min="3345" max="3345" width="15.5703125" style="1544" bestFit="1" customWidth="1"/>
    <col min="3346" max="3346" width="20.5703125" style="1544" bestFit="1" customWidth="1"/>
    <col min="3347" max="3347" width="16.42578125" style="1544" bestFit="1" customWidth="1"/>
    <col min="3348" max="3348" width="14.28515625" style="1544" customWidth="1"/>
    <col min="3349" max="3349" width="12.85546875" style="1544" bestFit="1" customWidth="1"/>
    <col min="3350" max="3350" width="11.28515625" style="1544" bestFit="1" customWidth="1"/>
    <col min="3351" max="3351" width="12.5703125" style="1544" bestFit="1" customWidth="1"/>
    <col min="3352" max="3352" width="14" style="1544" bestFit="1" customWidth="1"/>
    <col min="3353" max="3353" width="6" style="1544" bestFit="1" customWidth="1"/>
    <col min="3354" max="3354" width="15" style="1544" customWidth="1"/>
    <col min="3355" max="3355" width="14.85546875" style="1544" bestFit="1" customWidth="1"/>
    <col min="3356" max="3356" width="16.140625" style="1544" bestFit="1" customWidth="1"/>
    <col min="3357" max="3583" width="9.140625" style="1544"/>
    <col min="3584" max="3584" width="24" style="1544" bestFit="1" customWidth="1"/>
    <col min="3585" max="3585" width="43.85546875" style="1544" customWidth="1"/>
    <col min="3586" max="3586" width="19.7109375" style="1544" bestFit="1" customWidth="1"/>
    <col min="3587" max="3587" width="12.42578125" style="1544" bestFit="1" customWidth="1"/>
    <col min="3588" max="3588" width="16.28515625" style="1544" bestFit="1" customWidth="1"/>
    <col min="3589" max="3589" width="13.42578125" style="1544" customWidth="1"/>
    <col min="3590" max="3590" width="15.28515625" style="1544" bestFit="1" customWidth="1"/>
    <col min="3591" max="3591" width="14.140625" style="1544" bestFit="1" customWidth="1"/>
    <col min="3592" max="3592" width="15.28515625" style="1544" customWidth="1"/>
    <col min="3593" max="3593" width="17.7109375" style="1544" customWidth="1"/>
    <col min="3594" max="3594" width="17" style="1544" bestFit="1" customWidth="1"/>
    <col min="3595" max="3595" width="12.7109375" style="1544" customWidth="1"/>
    <col min="3596" max="3596" width="13.7109375" style="1544" customWidth="1"/>
    <col min="3597" max="3597" width="13.85546875" style="1544" bestFit="1" customWidth="1"/>
    <col min="3598" max="3598" width="19.7109375" style="1544" bestFit="1" customWidth="1"/>
    <col min="3599" max="3599" width="16.140625" style="1544" customWidth="1"/>
    <col min="3600" max="3600" width="16.7109375" style="1544" bestFit="1" customWidth="1"/>
    <col min="3601" max="3601" width="15.5703125" style="1544" bestFit="1" customWidth="1"/>
    <col min="3602" max="3602" width="20.5703125" style="1544" bestFit="1" customWidth="1"/>
    <col min="3603" max="3603" width="16.42578125" style="1544" bestFit="1" customWidth="1"/>
    <col min="3604" max="3604" width="14.28515625" style="1544" customWidth="1"/>
    <col min="3605" max="3605" width="12.85546875" style="1544" bestFit="1" customWidth="1"/>
    <col min="3606" max="3606" width="11.28515625" style="1544" bestFit="1" customWidth="1"/>
    <col min="3607" max="3607" width="12.5703125" style="1544" bestFit="1" customWidth="1"/>
    <col min="3608" max="3608" width="14" style="1544" bestFit="1" customWidth="1"/>
    <col min="3609" max="3609" width="6" style="1544" bestFit="1" customWidth="1"/>
    <col min="3610" max="3610" width="15" style="1544" customWidth="1"/>
    <col min="3611" max="3611" width="14.85546875" style="1544" bestFit="1" customWidth="1"/>
    <col min="3612" max="3612" width="16.140625" style="1544" bestFit="1" customWidth="1"/>
    <col min="3613" max="3839" width="9.140625" style="1544"/>
    <col min="3840" max="3840" width="24" style="1544" bestFit="1" customWidth="1"/>
    <col min="3841" max="3841" width="43.85546875" style="1544" customWidth="1"/>
    <col min="3842" max="3842" width="19.7109375" style="1544" bestFit="1" customWidth="1"/>
    <col min="3843" max="3843" width="12.42578125" style="1544" bestFit="1" customWidth="1"/>
    <col min="3844" max="3844" width="16.28515625" style="1544" bestFit="1" customWidth="1"/>
    <col min="3845" max="3845" width="13.42578125" style="1544" customWidth="1"/>
    <col min="3846" max="3846" width="15.28515625" style="1544" bestFit="1" customWidth="1"/>
    <col min="3847" max="3847" width="14.140625" style="1544" bestFit="1" customWidth="1"/>
    <col min="3848" max="3848" width="15.28515625" style="1544" customWidth="1"/>
    <col min="3849" max="3849" width="17.7109375" style="1544" customWidth="1"/>
    <col min="3850" max="3850" width="17" style="1544" bestFit="1" customWidth="1"/>
    <col min="3851" max="3851" width="12.7109375" style="1544" customWidth="1"/>
    <col min="3852" max="3852" width="13.7109375" style="1544" customWidth="1"/>
    <col min="3853" max="3853" width="13.85546875" style="1544" bestFit="1" customWidth="1"/>
    <col min="3854" max="3854" width="19.7109375" style="1544" bestFit="1" customWidth="1"/>
    <col min="3855" max="3855" width="16.140625" style="1544" customWidth="1"/>
    <col min="3856" max="3856" width="16.7109375" style="1544" bestFit="1" customWidth="1"/>
    <col min="3857" max="3857" width="15.5703125" style="1544" bestFit="1" customWidth="1"/>
    <col min="3858" max="3858" width="20.5703125" style="1544" bestFit="1" customWidth="1"/>
    <col min="3859" max="3859" width="16.42578125" style="1544" bestFit="1" customWidth="1"/>
    <col min="3860" max="3860" width="14.28515625" style="1544" customWidth="1"/>
    <col min="3861" max="3861" width="12.85546875" style="1544" bestFit="1" customWidth="1"/>
    <col min="3862" max="3862" width="11.28515625" style="1544" bestFit="1" customWidth="1"/>
    <col min="3863" max="3863" width="12.5703125" style="1544" bestFit="1" customWidth="1"/>
    <col min="3864" max="3864" width="14" style="1544" bestFit="1" customWidth="1"/>
    <col min="3865" max="3865" width="6" style="1544" bestFit="1" customWidth="1"/>
    <col min="3866" max="3866" width="15" style="1544" customWidth="1"/>
    <col min="3867" max="3867" width="14.85546875" style="1544" bestFit="1" customWidth="1"/>
    <col min="3868" max="3868" width="16.140625" style="1544" bestFit="1" customWidth="1"/>
    <col min="3869" max="4095" width="9.140625" style="1544"/>
    <col min="4096" max="4096" width="24" style="1544" bestFit="1" customWidth="1"/>
    <col min="4097" max="4097" width="43.85546875" style="1544" customWidth="1"/>
    <col min="4098" max="4098" width="19.7109375" style="1544" bestFit="1" customWidth="1"/>
    <col min="4099" max="4099" width="12.42578125" style="1544" bestFit="1" customWidth="1"/>
    <col min="4100" max="4100" width="16.28515625" style="1544" bestFit="1" customWidth="1"/>
    <col min="4101" max="4101" width="13.42578125" style="1544" customWidth="1"/>
    <col min="4102" max="4102" width="15.28515625" style="1544" bestFit="1" customWidth="1"/>
    <col min="4103" max="4103" width="14.140625" style="1544" bestFit="1" customWidth="1"/>
    <col min="4104" max="4104" width="15.28515625" style="1544" customWidth="1"/>
    <col min="4105" max="4105" width="17.7109375" style="1544" customWidth="1"/>
    <col min="4106" max="4106" width="17" style="1544" bestFit="1" customWidth="1"/>
    <col min="4107" max="4107" width="12.7109375" style="1544" customWidth="1"/>
    <col min="4108" max="4108" width="13.7109375" style="1544" customWidth="1"/>
    <col min="4109" max="4109" width="13.85546875" style="1544" bestFit="1" customWidth="1"/>
    <col min="4110" max="4110" width="19.7109375" style="1544" bestFit="1" customWidth="1"/>
    <col min="4111" max="4111" width="16.140625" style="1544" customWidth="1"/>
    <col min="4112" max="4112" width="16.7109375" style="1544" bestFit="1" customWidth="1"/>
    <col min="4113" max="4113" width="15.5703125" style="1544" bestFit="1" customWidth="1"/>
    <col min="4114" max="4114" width="20.5703125" style="1544" bestFit="1" customWidth="1"/>
    <col min="4115" max="4115" width="16.42578125" style="1544" bestFit="1" customWidth="1"/>
    <col min="4116" max="4116" width="14.28515625" style="1544" customWidth="1"/>
    <col min="4117" max="4117" width="12.85546875" style="1544" bestFit="1" customWidth="1"/>
    <col min="4118" max="4118" width="11.28515625" style="1544" bestFit="1" customWidth="1"/>
    <col min="4119" max="4119" width="12.5703125" style="1544" bestFit="1" customWidth="1"/>
    <col min="4120" max="4120" width="14" style="1544" bestFit="1" customWidth="1"/>
    <col min="4121" max="4121" width="6" style="1544" bestFit="1" customWidth="1"/>
    <col min="4122" max="4122" width="15" style="1544" customWidth="1"/>
    <col min="4123" max="4123" width="14.85546875" style="1544" bestFit="1" customWidth="1"/>
    <col min="4124" max="4124" width="16.140625" style="1544" bestFit="1" customWidth="1"/>
    <col min="4125" max="4351" width="9.140625" style="1544"/>
    <col min="4352" max="4352" width="24" style="1544" bestFit="1" customWidth="1"/>
    <col min="4353" max="4353" width="43.85546875" style="1544" customWidth="1"/>
    <col min="4354" max="4354" width="19.7109375" style="1544" bestFit="1" customWidth="1"/>
    <col min="4355" max="4355" width="12.42578125" style="1544" bestFit="1" customWidth="1"/>
    <col min="4356" max="4356" width="16.28515625" style="1544" bestFit="1" customWidth="1"/>
    <col min="4357" max="4357" width="13.42578125" style="1544" customWidth="1"/>
    <col min="4358" max="4358" width="15.28515625" style="1544" bestFit="1" customWidth="1"/>
    <col min="4359" max="4359" width="14.140625" style="1544" bestFit="1" customWidth="1"/>
    <col min="4360" max="4360" width="15.28515625" style="1544" customWidth="1"/>
    <col min="4361" max="4361" width="17.7109375" style="1544" customWidth="1"/>
    <col min="4362" max="4362" width="17" style="1544" bestFit="1" customWidth="1"/>
    <col min="4363" max="4363" width="12.7109375" style="1544" customWidth="1"/>
    <col min="4364" max="4364" width="13.7109375" style="1544" customWidth="1"/>
    <col min="4365" max="4365" width="13.85546875" style="1544" bestFit="1" customWidth="1"/>
    <col min="4366" max="4366" width="19.7109375" style="1544" bestFit="1" customWidth="1"/>
    <col min="4367" max="4367" width="16.140625" style="1544" customWidth="1"/>
    <col min="4368" max="4368" width="16.7109375" style="1544" bestFit="1" customWidth="1"/>
    <col min="4369" max="4369" width="15.5703125" style="1544" bestFit="1" customWidth="1"/>
    <col min="4370" max="4370" width="20.5703125" style="1544" bestFit="1" customWidth="1"/>
    <col min="4371" max="4371" width="16.42578125" style="1544" bestFit="1" customWidth="1"/>
    <col min="4372" max="4372" width="14.28515625" style="1544" customWidth="1"/>
    <col min="4373" max="4373" width="12.85546875" style="1544" bestFit="1" customWidth="1"/>
    <col min="4374" max="4374" width="11.28515625" style="1544" bestFit="1" customWidth="1"/>
    <col min="4375" max="4375" width="12.5703125" style="1544" bestFit="1" customWidth="1"/>
    <col min="4376" max="4376" width="14" style="1544" bestFit="1" customWidth="1"/>
    <col min="4377" max="4377" width="6" style="1544" bestFit="1" customWidth="1"/>
    <col min="4378" max="4378" width="15" style="1544" customWidth="1"/>
    <col min="4379" max="4379" width="14.85546875" style="1544" bestFit="1" customWidth="1"/>
    <col min="4380" max="4380" width="16.140625" style="1544" bestFit="1" customWidth="1"/>
    <col min="4381" max="4607" width="9.140625" style="1544"/>
    <col min="4608" max="4608" width="24" style="1544" bestFit="1" customWidth="1"/>
    <col min="4609" max="4609" width="43.85546875" style="1544" customWidth="1"/>
    <col min="4610" max="4610" width="19.7109375" style="1544" bestFit="1" customWidth="1"/>
    <col min="4611" max="4611" width="12.42578125" style="1544" bestFit="1" customWidth="1"/>
    <col min="4612" max="4612" width="16.28515625" style="1544" bestFit="1" customWidth="1"/>
    <col min="4613" max="4613" width="13.42578125" style="1544" customWidth="1"/>
    <col min="4614" max="4614" width="15.28515625" style="1544" bestFit="1" customWidth="1"/>
    <col min="4615" max="4615" width="14.140625" style="1544" bestFit="1" customWidth="1"/>
    <col min="4616" max="4616" width="15.28515625" style="1544" customWidth="1"/>
    <col min="4617" max="4617" width="17.7109375" style="1544" customWidth="1"/>
    <col min="4618" max="4618" width="17" style="1544" bestFit="1" customWidth="1"/>
    <col min="4619" max="4619" width="12.7109375" style="1544" customWidth="1"/>
    <col min="4620" max="4620" width="13.7109375" style="1544" customWidth="1"/>
    <col min="4621" max="4621" width="13.85546875" style="1544" bestFit="1" customWidth="1"/>
    <col min="4622" max="4622" width="19.7109375" style="1544" bestFit="1" customWidth="1"/>
    <col min="4623" max="4623" width="16.140625" style="1544" customWidth="1"/>
    <col min="4624" max="4624" width="16.7109375" style="1544" bestFit="1" customWidth="1"/>
    <col min="4625" max="4625" width="15.5703125" style="1544" bestFit="1" customWidth="1"/>
    <col min="4626" max="4626" width="20.5703125" style="1544" bestFit="1" customWidth="1"/>
    <col min="4627" max="4627" width="16.42578125" style="1544" bestFit="1" customWidth="1"/>
    <col min="4628" max="4628" width="14.28515625" style="1544" customWidth="1"/>
    <col min="4629" max="4629" width="12.85546875" style="1544" bestFit="1" customWidth="1"/>
    <col min="4630" max="4630" width="11.28515625" style="1544" bestFit="1" customWidth="1"/>
    <col min="4631" max="4631" width="12.5703125" style="1544" bestFit="1" customWidth="1"/>
    <col min="4632" max="4632" width="14" style="1544" bestFit="1" customWidth="1"/>
    <col min="4633" max="4633" width="6" style="1544" bestFit="1" customWidth="1"/>
    <col min="4634" max="4634" width="15" style="1544" customWidth="1"/>
    <col min="4635" max="4635" width="14.85546875" style="1544" bestFit="1" customWidth="1"/>
    <col min="4636" max="4636" width="16.140625" style="1544" bestFit="1" customWidth="1"/>
    <col min="4637" max="4863" width="9.140625" style="1544"/>
    <col min="4864" max="4864" width="24" style="1544" bestFit="1" customWidth="1"/>
    <col min="4865" max="4865" width="43.85546875" style="1544" customWidth="1"/>
    <col min="4866" max="4866" width="19.7109375" style="1544" bestFit="1" customWidth="1"/>
    <col min="4867" max="4867" width="12.42578125" style="1544" bestFit="1" customWidth="1"/>
    <col min="4868" max="4868" width="16.28515625" style="1544" bestFit="1" customWidth="1"/>
    <col min="4869" max="4869" width="13.42578125" style="1544" customWidth="1"/>
    <col min="4870" max="4870" width="15.28515625" style="1544" bestFit="1" customWidth="1"/>
    <col min="4871" max="4871" width="14.140625" style="1544" bestFit="1" customWidth="1"/>
    <col min="4872" max="4872" width="15.28515625" style="1544" customWidth="1"/>
    <col min="4873" max="4873" width="17.7109375" style="1544" customWidth="1"/>
    <col min="4874" max="4874" width="17" style="1544" bestFit="1" customWidth="1"/>
    <col min="4875" max="4875" width="12.7109375" style="1544" customWidth="1"/>
    <col min="4876" max="4876" width="13.7109375" style="1544" customWidth="1"/>
    <col min="4877" max="4877" width="13.85546875" style="1544" bestFit="1" customWidth="1"/>
    <col min="4878" max="4878" width="19.7109375" style="1544" bestFit="1" customWidth="1"/>
    <col min="4879" max="4879" width="16.140625" style="1544" customWidth="1"/>
    <col min="4880" max="4880" width="16.7109375" style="1544" bestFit="1" customWidth="1"/>
    <col min="4881" max="4881" width="15.5703125" style="1544" bestFit="1" customWidth="1"/>
    <col min="4882" max="4882" width="20.5703125" style="1544" bestFit="1" customWidth="1"/>
    <col min="4883" max="4883" width="16.42578125" style="1544" bestFit="1" customWidth="1"/>
    <col min="4884" max="4884" width="14.28515625" style="1544" customWidth="1"/>
    <col min="4885" max="4885" width="12.85546875" style="1544" bestFit="1" customWidth="1"/>
    <col min="4886" max="4886" width="11.28515625" style="1544" bestFit="1" customWidth="1"/>
    <col min="4887" max="4887" width="12.5703125" style="1544" bestFit="1" customWidth="1"/>
    <col min="4888" max="4888" width="14" style="1544" bestFit="1" customWidth="1"/>
    <col min="4889" max="4889" width="6" style="1544" bestFit="1" customWidth="1"/>
    <col min="4890" max="4890" width="15" style="1544" customWidth="1"/>
    <col min="4891" max="4891" width="14.85546875" style="1544" bestFit="1" customWidth="1"/>
    <col min="4892" max="4892" width="16.140625" style="1544" bestFit="1" customWidth="1"/>
    <col min="4893" max="5119" width="9.140625" style="1544"/>
    <col min="5120" max="5120" width="24" style="1544" bestFit="1" customWidth="1"/>
    <col min="5121" max="5121" width="43.85546875" style="1544" customWidth="1"/>
    <col min="5122" max="5122" width="19.7109375" style="1544" bestFit="1" customWidth="1"/>
    <col min="5123" max="5123" width="12.42578125" style="1544" bestFit="1" customWidth="1"/>
    <col min="5124" max="5124" width="16.28515625" style="1544" bestFit="1" customWidth="1"/>
    <col min="5125" max="5125" width="13.42578125" style="1544" customWidth="1"/>
    <col min="5126" max="5126" width="15.28515625" style="1544" bestFit="1" customWidth="1"/>
    <col min="5127" max="5127" width="14.140625" style="1544" bestFit="1" customWidth="1"/>
    <col min="5128" max="5128" width="15.28515625" style="1544" customWidth="1"/>
    <col min="5129" max="5129" width="17.7109375" style="1544" customWidth="1"/>
    <col min="5130" max="5130" width="17" style="1544" bestFit="1" customWidth="1"/>
    <col min="5131" max="5131" width="12.7109375" style="1544" customWidth="1"/>
    <col min="5132" max="5132" width="13.7109375" style="1544" customWidth="1"/>
    <col min="5133" max="5133" width="13.85546875" style="1544" bestFit="1" customWidth="1"/>
    <col min="5134" max="5134" width="19.7109375" style="1544" bestFit="1" customWidth="1"/>
    <col min="5135" max="5135" width="16.140625" style="1544" customWidth="1"/>
    <col min="5136" max="5136" width="16.7109375" style="1544" bestFit="1" customWidth="1"/>
    <col min="5137" max="5137" width="15.5703125" style="1544" bestFit="1" customWidth="1"/>
    <col min="5138" max="5138" width="20.5703125" style="1544" bestFit="1" customWidth="1"/>
    <col min="5139" max="5139" width="16.42578125" style="1544" bestFit="1" customWidth="1"/>
    <col min="5140" max="5140" width="14.28515625" style="1544" customWidth="1"/>
    <col min="5141" max="5141" width="12.85546875" style="1544" bestFit="1" customWidth="1"/>
    <col min="5142" max="5142" width="11.28515625" style="1544" bestFit="1" customWidth="1"/>
    <col min="5143" max="5143" width="12.5703125" style="1544" bestFit="1" customWidth="1"/>
    <col min="5144" max="5144" width="14" style="1544" bestFit="1" customWidth="1"/>
    <col min="5145" max="5145" width="6" style="1544" bestFit="1" customWidth="1"/>
    <col min="5146" max="5146" width="15" style="1544" customWidth="1"/>
    <col min="5147" max="5147" width="14.85546875" style="1544" bestFit="1" customWidth="1"/>
    <col min="5148" max="5148" width="16.140625" style="1544" bestFit="1" customWidth="1"/>
    <col min="5149" max="5375" width="9.140625" style="1544"/>
    <col min="5376" max="5376" width="24" style="1544" bestFit="1" customWidth="1"/>
    <col min="5377" max="5377" width="43.85546875" style="1544" customWidth="1"/>
    <col min="5378" max="5378" width="19.7109375" style="1544" bestFit="1" customWidth="1"/>
    <col min="5379" max="5379" width="12.42578125" style="1544" bestFit="1" customWidth="1"/>
    <col min="5380" max="5380" width="16.28515625" style="1544" bestFit="1" customWidth="1"/>
    <col min="5381" max="5381" width="13.42578125" style="1544" customWidth="1"/>
    <col min="5382" max="5382" width="15.28515625" style="1544" bestFit="1" customWidth="1"/>
    <col min="5383" max="5383" width="14.140625" style="1544" bestFit="1" customWidth="1"/>
    <col min="5384" max="5384" width="15.28515625" style="1544" customWidth="1"/>
    <col min="5385" max="5385" width="17.7109375" style="1544" customWidth="1"/>
    <col min="5386" max="5386" width="17" style="1544" bestFit="1" customWidth="1"/>
    <col min="5387" max="5387" width="12.7109375" style="1544" customWidth="1"/>
    <col min="5388" max="5388" width="13.7109375" style="1544" customWidth="1"/>
    <col min="5389" max="5389" width="13.85546875" style="1544" bestFit="1" customWidth="1"/>
    <col min="5390" max="5390" width="19.7109375" style="1544" bestFit="1" customWidth="1"/>
    <col min="5391" max="5391" width="16.140625" style="1544" customWidth="1"/>
    <col min="5392" max="5392" width="16.7109375" style="1544" bestFit="1" customWidth="1"/>
    <col min="5393" max="5393" width="15.5703125" style="1544" bestFit="1" customWidth="1"/>
    <col min="5394" max="5394" width="20.5703125" style="1544" bestFit="1" customWidth="1"/>
    <col min="5395" max="5395" width="16.42578125" style="1544" bestFit="1" customWidth="1"/>
    <col min="5396" max="5396" width="14.28515625" style="1544" customWidth="1"/>
    <col min="5397" max="5397" width="12.85546875" style="1544" bestFit="1" customWidth="1"/>
    <col min="5398" max="5398" width="11.28515625" style="1544" bestFit="1" customWidth="1"/>
    <col min="5399" max="5399" width="12.5703125" style="1544" bestFit="1" customWidth="1"/>
    <col min="5400" max="5400" width="14" style="1544" bestFit="1" customWidth="1"/>
    <col min="5401" max="5401" width="6" style="1544" bestFit="1" customWidth="1"/>
    <col min="5402" max="5402" width="15" style="1544" customWidth="1"/>
    <col min="5403" max="5403" width="14.85546875" style="1544" bestFit="1" customWidth="1"/>
    <col min="5404" max="5404" width="16.140625" style="1544" bestFit="1" customWidth="1"/>
    <col min="5405" max="5631" width="9.140625" style="1544"/>
    <col min="5632" max="5632" width="24" style="1544" bestFit="1" customWidth="1"/>
    <col min="5633" max="5633" width="43.85546875" style="1544" customWidth="1"/>
    <col min="5634" max="5634" width="19.7109375" style="1544" bestFit="1" customWidth="1"/>
    <col min="5635" max="5635" width="12.42578125" style="1544" bestFit="1" customWidth="1"/>
    <col min="5636" max="5636" width="16.28515625" style="1544" bestFit="1" customWidth="1"/>
    <col min="5637" max="5637" width="13.42578125" style="1544" customWidth="1"/>
    <col min="5638" max="5638" width="15.28515625" style="1544" bestFit="1" customWidth="1"/>
    <col min="5639" max="5639" width="14.140625" style="1544" bestFit="1" customWidth="1"/>
    <col min="5640" max="5640" width="15.28515625" style="1544" customWidth="1"/>
    <col min="5641" max="5641" width="17.7109375" style="1544" customWidth="1"/>
    <col min="5642" max="5642" width="17" style="1544" bestFit="1" customWidth="1"/>
    <col min="5643" max="5643" width="12.7109375" style="1544" customWidth="1"/>
    <col min="5644" max="5644" width="13.7109375" style="1544" customWidth="1"/>
    <col min="5645" max="5645" width="13.85546875" style="1544" bestFit="1" customWidth="1"/>
    <col min="5646" max="5646" width="19.7109375" style="1544" bestFit="1" customWidth="1"/>
    <col min="5647" max="5647" width="16.140625" style="1544" customWidth="1"/>
    <col min="5648" max="5648" width="16.7109375" style="1544" bestFit="1" customWidth="1"/>
    <col min="5649" max="5649" width="15.5703125" style="1544" bestFit="1" customWidth="1"/>
    <col min="5650" max="5650" width="20.5703125" style="1544" bestFit="1" customWidth="1"/>
    <col min="5651" max="5651" width="16.42578125" style="1544" bestFit="1" customWidth="1"/>
    <col min="5652" max="5652" width="14.28515625" style="1544" customWidth="1"/>
    <col min="5653" max="5653" width="12.85546875" style="1544" bestFit="1" customWidth="1"/>
    <col min="5654" max="5654" width="11.28515625" style="1544" bestFit="1" customWidth="1"/>
    <col min="5655" max="5655" width="12.5703125" style="1544" bestFit="1" customWidth="1"/>
    <col min="5656" max="5656" width="14" style="1544" bestFit="1" customWidth="1"/>
    <col min="5657" max="5657" width="6" style="1544" bestFit="1" customWidth="1"/>
    <col min="5658" max="5658" width="15" style="1544" customWidth="1"/>
    <col min="5659" max="5659" width="14.85546875" style="1544" bestFit="1" customWidth="1"/>
    <col min="5660" max="5660" width="16.140625" style="1544" bestFit="1" customWidth="1"/>
    <col min="5661" max="5887" width="9.140625" style="1544"/>
    <col min="5888" max="5888" width="24" style="1544" bestFit="1" customWidth="1"/>
    <col min="5889" max="5889" width="43.85546875" style="1544" customWidth="1"/>
    <col min="5890" max="5890" width="19.7109375" style="1544" bestFit="1" customWidth="1"/>
    <col min="5891" max="5891" width="12.42578125" style="1544" bestFit="1" customWidth="1"/>
    <col min="5892" max="5892" width="16.28515625" style="1544" bestFit="1" customWidth="1"/>
    <col min="5893" max="5893" width="13.42578125" style="1544" customWidth="1"/>
    <col min="5894" max="5894" width="15.28515625" style="1544" bestFit="1" customWidth="1"/>
    <col min="5895" max="5895" width="14.140625" style="1544" bestFit="1" customWidth="1"/>
    <col min="5896" max="5896" width="15.28515625" style="1544" customWidth="1"/>
    <col min="5897" max="5897" width="17.7109375" style="1544" customWidth="1"/>
    <col min="5898" max="5898" width="17" style="1544" bestFit="1" customWidth="1"/>
    <col min="5899" max="5899" width="12.7109375" style="1544" customWidth="1"/>
    <col min="5900" max="5900" width="13.7109375" style="1544" customWidth="1"/>
    <col min="5901" max="5901" width="13.85546875" style="1544" bestFit="1" customWidth="1"/>
    <col min="5902" max="5902" width="19.7109375" style="1544" bestFit="1" customWidth="1"/>
    <col min="5903" max="5903" width="16.140625" style="1544" customWidth="1"/>
    <col min="5904" max="5904" width="16.7109375" style="1544" bestFit="1" customWidth="1"/>
    <col min="5905" max="5905" width="15.5703125" style="1544" bestFit="1" customWidth="1"/>
    <col min="5906" max="5906" width="20.5703125" style="1544" bestFit="1" customWidth="1"/>
    <col min="5907" max="5907" width="16.42578125" style="1544" bestFit="1" customWidth="1"/>
    <col min="5908" max="5908" width="14.28515625" style="1544" customWidth="1"/>
    <col min="5909" max="5909" width="12.85546875" style="1544" bestFit="1" customWidth="1"/>
    <col min="5910" max="5910" width="11.28515625" style="1544" bestFit="1" customWidth="1"/>
    <col min="5911" max="5911" width="12.5703125" style="1544" bestFit="1" customWidth="1"/>
    <col min="5912" max="5912" width="14" style="1544" bestFit="1" customWidth="1"/>
    <col min="5913" max="5913" width="6" style="1544" bestFit="1" customWidth="1"/>
    <col min="5914" max="5914" width="15" style="1544" customWidth="1"/>
    <col min="5915" max="5915" width="14.85546875" style="1544" bestFit="1" customWidth="1"/>
    <col min="5916" max="5916" width="16.140625" style="1544" bestFit="1" customWidth="1"/>
    <col min="5917" max="6143" width="9.140625" style="1544"/>
    <col min="6144" max="6144" width="24" style="1544" bestFit="1" customWidth="1"/>
    <col min="6145" max="6145" width="43.85546875" style="1544" customWidth="1"/>
    <col min="6146" max="6146" width="19.7109375" style="1544" bestFit="1" customWidth="1"/>
    <col min="6147" max="6147" width="12.42578125" style="1544" bestFit="1" customWidth="1"/>
    <col min="6148" max="6148" width="16.28515625" style="1544" bestFit="1" customWidth="1"/>
    <col min="6149" max="6149" width="13.42578125" style="1544" customWidth="1"/>
    <col min="6150" max="6150" width="15.28515625" style="1544" bestFit="1" customWidth="1"/>
    <col min="6151" max="6151" width="14.140625" style="1544" bestFit="1" customWidth="1"/>
    <col min="6152" max="6152" width="15.28515625" style="1544" customWidth="1"/>
    <col min="6153" max="6153" width="17.7109375" style="1544" customWidth="1"/>
    <col min="6154" max="6154" width="17" style="1544" bestFit="1" customWidth="1"/>
    <col min="6155" max="6155" width="12.7109375" style="1544" customWidth="1"/>
    <col min="6156" max="6156" width="13.7109375" style="1544" customWidth="1"/>
    <col min="6157" max="6157" width="13.85546875" style="1544" bestFit="1" customWidth="1"/>
    <col min="6158" max="6158" width="19.7109375" style="1544" bestFit="1" customWidth="1"/>
    <col min="6159" max="6159" width="16.140625" style="1544" customWidth="1"/>
    <col min="6160" max="6160" width="16.7109375" style="1544" bestFit="1" customWidth="1"/>
    <col min="6161" max="6161" width="15.5703125" style="1544" bestFit="1" customWidth="1"/>
    <col min="6162" max="6162" width="20.5703125" style="1544" bestFit="1" customWidth="1"/>
    <col min="6163" max="6163" width="16.42578125" style="1544" bestFit="1" customWidth="1"/>
    <col min="6164" max="6164" width="14.28515625" style="1544" customWidth="1"/>
    <col min="6165" max="6165" width="12.85546875" style="1544" bestFit="1" customWidth="1"/>
    <col min="6166" max="6166" width="11.28515625" style="1544" bestFit="1" customWidth="1"/>
    <col min="6167" max="6167" width="12.5703125" style="1544" bestFit="1" customWidth="1"/>
    <col min="6168" max="6168" width="14" style="1544" bestFit="1" customWidth="1"/>
    <col min="6169" max="6169" width="6" style="1544" bestFit="1" customWidth="1"/>
    <col min="6170" max="6170" width="15" style="1544" customWidth="1"/>
    <col min="6171" max="6171" width="14.85546875" style="1544" bestFit="1" customWidth="1"/>
    <col min="6172" max="6172" width="16.140625" style="1544" bestFit="1" customWidth="1"/>
    <col min="6173" max="6399" width="9.140625" style="1544"/>
    <col min="6400" max="6400" width="24" style="1544" bestFit="1" customWidth="1"/>
    <col min="6401" max="6401" width="43.85546875" style="1544" customWidth="1"/>
    <col min="6402" max="6402" width="19.7109375" style="1544" bestFit="1" customWidth="1"/>
    <col min="6403" max="6403" width="12.42578125" style="1544" bestFit="1" customWidth="1"/>
    <col min="6404" max="6404" width="16.28515625" style="1544" bestFit="1" customWidth="1"/>
    <col min="6405" max="6405" width="13.42578125" style="1544" customWidth="1"/>
    <col min="6406" max="6406" width="15.28515625" style="1544" bestFit="1" customWidth="1"/>
    <col min="6407" max="6407" width="14.140625" style="1544" bestFit="1" customWidth="1"/>
    <col min="6408" max="6408" width="15.28515625" style="1544" customWidth="1"/>
    <col min="6409" max="6409" width="17.7109375" style="1544" customWidth="1"/>
    <col min="6410" max="6410" width="17" style="1544" bestFit="1" customWidth="1"/>
    <col min="6411" max="6411" width="12.7109375" style="1544" customWidth="1"/>
    <col min="6412" max="6412" width="13.7109375" style="1544" customWidth="1"/>
    <col min="6413" max="6413" width="13.85546875" style="1544" bestFit="1" customWidth="1"/>
    <col min="6414" max="6414" width="19.7109375" style="1544" bestFit="1" customWidth="1"/>
    <col min="6415" max="6415" width="16.140625" style="1544" customWidth="1"/>
    <col min="6416" max="6416" width="16.7109375" style="1544" bestFit="1" customWidth="1"/>
    <col min="6417" max="6417" width="15.5703125" style="1544" bestFit="1" customWidth="1"/>
    <col min="6418" max="6418" width="20.5703125" style="1544" bestFit="1" customWidth="1"/>
    <col min="6419" max="6419" width="16.42578125" style="1544" bestFit="1" customWidth="1"/>
    <col min="6420" max="6420" width="14.28515625" style="1544" customWidth="1"/>
    <col min="6421" max="6421" width="12.85546875" style="1544" bestFit="1" customWidth="1"/>
    <col min="6422" max="6422" width="11.28515625" style="1544" bestFit="1" customWidth="1"/>
    <col min="6423" max="6423" width="12.5703125" style="1544" bestFit="1" customWidth="1"/>
    <col min="6424" max="6424" width="14" style="1544" bestFit="1" customWidth="1"/>
    <col min="6425" max="6425" width="6" style="1544" bestFit="1" customWidth="1"/>
    <col min="6426" max="6426" width="15" style="1544" customWidth="1"/>
    <col min="6427" max="6427" width="14.85546875" style="1544" bestFit="1" customWidth="1"/>
    <col min="6428" max="6428" width="16.140625" style="1544" bestFit="1" customWidth="1"/>
    <col min="6429" max="6655" width="9.140625" style="1544"/>
    <col min="6656" max="6656" width="24" style="1544" bestFit="1" customWidth="1"/>
    <col min="6657" max="6657" width="43.85546875" style="1544" customWidth="1"/>
    <col min="6658" max="6658" width="19.7109375" style="1544" bestFit="1" customWidth="1"/>
    <col min="6659" max="6659" width="12.42578125" style="1544" bestFit="1" customWidth="1"/>
    <col min="6660" max="6660" width="16.28515625" style="1544" bestFit="1" customWidth="1"/>
    <col min="6661" max="6661" width="13.42578125" style="1544" customWidth="1"/>
    <col min="6662" max="6662" width="15.28515625" style="1544" bestFit="1" customWidth="1"/>
    <col min="6663" max="6663" width="14.140625" style="1544" bestFit="1" customWidth="1"/>
    <col min="6664" max="6664" width="15.28515625" style="1544" customWidth="1"/>
    <col min="6665" max="6665" width="17.7109375" style="1544" customWidth="1"/>
    <col min="6666" max="6666" width="17" style="1544" bestFit="1" customWidth="1"/>
    <col min="6667" max="6667" width="12.7109375" style="1544" customWidth="1"/>
    <col min="6668" max="6668" width="13.7109375" style="1544" customWidth="1"/>
    <col min="6669" max="6669" width="13.85546875" style="1544" bestFit="1" customWidth="1"/>
    <col min="6670" max="6670" width="19.7109375" style="1544" bestFit="1" customWidth="1"/>
    <col min="6671" max="6671" width="16.140625" style="1544" customWidth="1"/>
    <col min="6672" max="6672" width="16.7109375" style="1544" bestFit="1" customWidth="1"/>
    <col min="6673" max="6673" width="15.5703125" style="1544" bestFit="1" customWidth="1"/>
    <col min="6674" max="6674" width="20.5703125" style="1544" bestFit="1" customWidth="1"/>
    <col min="6675" max="6675" width="16.42578125" style="1544" bestFit="1" customWidth="1"/>
    <col min="6676" max="6676" width="14.28515625" style="1544" customWidth="1"/>
    <col min="6677" max="6677" width="12.85546875" style="1544" bestFit="1" customWidth="1"/>
    <col min="6678" max="6678" width="11.28515625" style="1544" bestFit="1" customWidth="1"/>
    <col min="6679" max="6679" width="12.5703125" style="1544" bestFit="1" customWidth="1"/>
    <col min="6680" max="6680" width="14" style="1544" bestFit="1" customWidth="1"/>
    <col min="6681" max="6681" width="6" style="1544" bestFit="1" customWidth="1"/>
    <col min="6682" max="6682" width="15" style="1544" customWidth="1"/>
    <col min="6683" max="6683" width="14.85546875" style="1544" bestFit="1" customWidth="1"/>
    <col min="6684" max="6684" width="16.140625" style="1544" bestFit="1" customWidth="1"/>
    <col min="6685" max="6911" width="9.140625" style="1544"/>
    <col min="6912" max="6912" width="24" style="1544" bestFit="1" customWidth="1"/>
    <col min="6913" max="6913" width="43.85546875" style="1544" customWidth="1"/>
    <col min="6914" max="6914" width="19.7109375" style="1544" bestFit="1" customWidth="1"/>
    <col min="6915" max="6915" width="12.42578125" style="1544" bestFit="1" customWidth="1"/>
    <col min="6916" max="6916" width="16.28515625" style="1544" bestFit="1" customWidth="1"/>
    <col min="6917" max="6917" width="13.42578125" style="1544" customWidth="1"/>
    <col min="6918" max="6918" width="15.28515625" style="1544" bestFit="1" customWidth="1"/>
    <col min="6919" max="6919" width="14.140625" style="1544" bestFit="1" customWidth="1"/>
    <col min="6920" max="6920" width="15.28515625" style="1544" customWidth="1"/>
    <col min="6921" max="6921" width="17.7109375" style="1544" customWidth="1"/>
    <col min="6922" max="6922" width="17" style="1544" bestFit="1" customWidth="1"/>
    <col min="6923" max="6923" width="12.7109375" style="1544" customWidth="1"/>
    <col min="6924" max="6924" width="13.7109375" style="1544" customWidth="1"/>
    <col min="6925" max="6925" width="13.85546875" style="1544" bestFit="1" customWidth="1"/>
    <col min="6926" max="6926" width="19.7109375" style="1544" bestFit="1" customWidth="1"/>
    <col min="6927" max="6927" width="16.140625" style="1544" customWidth="1"/>
    <col min="6928" max="6928" width="16.7109375" style="1544" bestFit="1" customWidth="1"/>
    <col min="6929" max="6929" width="15.5703125" style="1544" bestFit="1" customWidth="1"/>
    <col min="6930" max="6930" width="20.5703125" style="1544" bestFit="1" customWidth="1"/>
    <col min="6931" max="6931" width="16.42578125" style="1544" bestFit="1" customWidth="1"/>
    <col min="6932" max="6932" width="14.28515625" style="1544" customWidth="1"/>
    <col min="6933" max="6933" width="12.85546875" style="1544" bestFit="1" customWidth="1"/>
    <col min="6934" max="6934" width="11.28515625" style="1544" bestFit="1" customWidth="1"/>
    <col min="6935" max="6935" width="12.5703125" style="1544" bestFit="1" customWidth="1"/>
    <col min="6936" max="6936" width="14" style="1544" bestFit="1" customWidth="1"/>
    <col min="6937" max="6937" width="6" style="1544" bestFit="1" customWidth="1"/>
    <col min="6938" max="6938" width="15" style="1544" customWidth="1"/>
    <col min="6939" max="6939" width="14.85546875" style="1544" bestFit="1" customWidth="1"/>
    <col min="6940" max="6940" width="16.140625" style="1544" bestFit="1" customWidth="1"/>
    <col min="6941" max="7167" width="9.140625" style="1544"/>
    <col min="7168" max="7168" width="24" style="1544" bestFit="1" customWidth="1"/>
    <col min="7169" max="7169" width="43.85546875" style="1544" customWidth="1"/>
    <col min="7170" max="7170" width="19.7109375" style="1544" bestFit="1" customWidth="1"/>
    <col min="7171" max="7171" width="12.42578125" style="1544" bestFit="1" customWidth="1"/>
    <col min="7172" max="7172" width="16.28515625" style="1544" bestFit="1" customWidth="1"/>
    <col min="7173" max="7173" width="13.42578125" style="1544" customWidth="1"/>
    <col min="7174" max="7174" width="15.28515625" style="1544" bestFit="1" customWidth="1"/>
    <col min="7175" max="7175" width="14.140625" style="1544" bestFit="1" customWidth="1"/>
    <col min="7176" max="7176" width="15.28515625" style="1544" customWidth="1"/>
    <col min="7177" max="7177" width="17.7109375" style="1544" customWidth="1"/>
    <col min="7178" max="7178" width="17" style="1544" bestFit="1" customWidth="1"/>
    <col min="7179" max="7179" width="12.7109375" style="1544" customWidth="1"/>
    <col min="7180" max="7180" width="13.7109375" style="1544" customWidth="1"/>
    <col min="7181" max="7181" width="13.85546875" style="1544" bestFit="1" customWidth="1"/>
    <col min="7182" max="7182" width="19.7109375" style="1544" bestFit="1" customWidth="1"/>
    <col min="7183" max="7183" width="16.140625" style="1544" customWidth="1"/>
    <col min="7184" max="7184" width="16.7109375" style="1544" bestFit="1" customWidth="1"/>
    <col min="7185" max="7185" width="15.5703125" style="1544" bestFit="1" customWidth="1"/>
    <col min="7186" max="7186" width="20.5703125" style="1544" bestFit="1" customWidth="1"/>
    <col min="7187" max="7187" width="16.42578125" style="1544" bestFit="1" customWidth="1"/>
    <col min="7188" max="7188" width="14.28515625" style="1544" customWidth="1"/>
    <col min="7189" max="7189" width="12.85546875" style="1544" bestFit="1" customWidth="1"/>
    <col min="7190" max="7190" width="11.28515625" style="1544" bestFit="1" customWidth="1"/>
    <col min="7191" max="7191" width="12.5703125" style="1544" bestFit="1" customWidth="1"/>
    <col min="7192" max="7192" width="14" style="1544" bestFit="1" customWidth="1"/>
    <col min="7193" max="7193" width="6" style="1544" bestFit="1" customWidth="1"/>
    <col min="7194" max="7194" width="15" style="1544" customWidth="1"/>
    <col min="7195" max="7195" width="14.85546875" style="1544" bestFit="1" customWidth="1"/>
    <col min="7196" max="7196" width="16.140625" style="1544" bestFit="1" customWidth="1"/>
    <col min="7197" max="7423" width="9.140625" style="1544"/>
    <col min="7424" max="7424" width="24" style="1544" bestFit="1" customWidth="1"/>
    <col min="7425" max="7425" width="43.85546875" style="1544" customWidth="1"/>
    <col min="7426" max="7426" width="19.7109375" style="1544" bestFit="1" customWidth="1"/>
    <col min="7427" max="7427" width="12.42578125" style="1544" bestFit="1" customWidth="1"/>
    <col min="7428" max="7428" width="16.28515625" style="1544" bestFit="1" customWidth="1"/>
    <col min="7429" max="7429" width="13.42578125" style="1544" customWidth="1"/>
    <col min="7430" max="7430" width="15.28515625" style="1544" bestFit="1" customWidth="1"/>
    <col min="7431" max="7431" width="14.140625" style="1544" bestFit="1" customWidth="1"/>
    <col min="7432" max="7432" width="15.28515625" style="1544" customWidth="1"/>
    <col min="7433" max="7433" width="17.7109375" style="1544" customWidth="1"/>
    <col min="7434" max="7434" width="17" style="1544" bestFit="1" customWidth="1"/>
    <col min="7435" max="7435" width="12.7109375" style="1544" customWidth="1"/>
    <col min="7436" max="7436" width="13.7109375" style="1544" customWidth="1"/>
    <col min="7437" max="7437" width="13.85546875" style="1544" bestFit="1" customWidth="1"/>
    <col min="7438" max="7438" width="19.7109375" style="1544" bestFit="1" customWidth="1"/>
    <col min="7439" max="7439" width="16.140625" style="1544" customWidth="1"/>
    <col min="7440" max="7440" width="16.7109375" style="1544" bestFit="1" customWidth="1"/>
    <col min="7441" max="7441" width="15.5703125" style="1544" bestFit="1" customWidth="1"/>
    <col min="7442" max="7442" width="20.5703125" style="1544" bestFit="1" customWidth="1"/>
    <col min="7443" max="7443" width="16.42578125" style="1544" bestFit="1" customWidth="1"/>
    <col min="7444" max="7444" width="14.28515625" style="1544" customWidth="1"/>
    <col min="7445" max="7445" width="12.85546875" style="1544" bestFit="1" customWidth="1"/>
    <col min="7446" max="7446" width="11.28515625" style="1544" bestFit="1" customWidth="1"/>
    <col min="7447" max="7447" width="12.5703125" style="1544" bestFit="1" customWidth="1"/>
    <col min="7448" max="7448" width="14" style="1544" bestFit="1" customWidth="1"/>
    <col min="7449" max="7449" width="6" style="1544" bestFit="1" customWidth="1"/>
    <col min="7450" max="7450" width="15" style="1544" customWidth="1"/>
    <col min="7451" max="7451" width="14.85546875" style="1544" bestFit="1" customWidth="1"/>
    <col min="7452" max="7452" width="16.140625" style="1544" bestFit="1" customWidth="1"/>
    <col min="7453" max="7679" width="9.140625" style="1544"/>
    <col min="7680" max="7680" width="24" style="1544" bestFit="1" customWidth="1"/>
    <col min="7681" max="7681" width="43.85546875" style="1544" customWidth="1"/>
    <col min="7682" max="7682" width="19.7109375" style="1544" bestFit="1" customWidth="1"/>
    <col min="7683" max="7683" width="12.42578125" style="1544" bestFit="1" customWidth="1"/>
    <col min="7684" max="7684" width="16.28515625" style="1544" bestFit="1" customWidth="1"/>
    <col min="7685" max="7685" width="13.42578125" style="1544" customWidth="1"/>
    <col min="7686" max="7686" width="15.28515625" style="1544" bestFit="1" customWidth="1"/>
    <col min="7687" max="7687" width="14.140625" style="1544" bestFit="1" customWidth="1"/>
    <col min="7688" max="7688" width="15.28515625" style="1544" customWidth="1"/>
    <col min="7689" max="7689" width="17.7109375" style="1544" customWidth="1"/>
    <col min="7690" max="7690" width="17" style="1544" bestFit="1" customWidth="1"/>
    <col min="7691" max="7691" width="12.7109375" style="1544" customWidth="1"/>
    <col min="7692" max="7692" width="13.7109375" style="1544" customWidth="1"/>
    <col min="7693" max="7693" width="13.85546875" style="1544" bestFit="1" customWidth="1"/>
    <col min="7694" max="7694" width="19.7109375" style="1544" bestFit="1" customWidth="1"/>
    <col min="7695" max="7695" width="16.140625" style="1544" customWidth="1"/>
    <col min="7696" max="7696" width="16.7109375" style="1544" bestFit="1" customWidth="1"/>
    <col min="7697" max="7697" width="15.5703125" style="1544" bestFit="1" customWidth="1"/>
    <col min="7698" max="7698" width="20.5703125" style="1544" bestFit="1" customWidth="1"/>
    <col min="7699" max="7699" width="16.42578125" style="1544" bestFit="1" customWidth="1"/>
    <col min="7700" max="7700" width="14.28515625" style="1544" customWidth="1"/>
    <col min="7701" max="7701" width="12.85546875" style="1544" bestFit="1" customWidth="1"/>
    <col min="7702" max="7702" width="11.28515625" style="1544" bestFit="1" customWidth="1"/>
    <col min="7703" max="7703" width="12.5703125" style="1544" bestFit="1" customWidth="1"/>
    <col min="7704" max="7704" width="14" style="1544" bestFit="1" customWidth="1"/>
    <col min="7705" max="7705" width="6" style="1544" bestFit="1" customWidth="1"/>
    <col min="7706" max="7706" width="15" style="1544" customWidth="1"/>
    <col min="7707" max="7707" width="14.85546875" style="1544" bestFit="1" customWidth="1"/>
    <col min="7708" max="7708" width="16.140625" style="1544" bestFit="1" customWidth="1"/>
    <col min="7709" max="7935" width="9.140625" style="1544"/>
    <col min="7936" max="7936" width="24" style="1544" bestFit="1" customWidth="1"/>
    <col min="7937" max="7937" width="43.85546875" style="1544" customWidth="1"/>
    <col min="7938" max="7938" width="19.7109375" style="1544" bestFit="1" customWidth="1"/>
    <col min="7939" max="7939" width="12.42578125" style="1544" bestFit="1" customWidth="1"/>
    <col min="7940" max="7940" width="16.28515625" style="1544" bestFit="1" customWidth="1"/>
    <col min="7941" max="7941" width="13.42578125" style="1544" customWidth="1"/>
    <col min="7942" max="7942" width="15.28515625" style="1544" bestFit="1" customWidth="1"/>
    <col min="7943" max="7943" width="14.140625" style="1544" bestFit="1" customWidth="1"/>
    <col min="7944" max="7944" width="15.28515625" style="1544" customWidth="1"/>
    <col min="7945" max="7945" width="17.7109375" style="1544" customWidth="1"/>
    <col min="7946" max="7946" width="17" style="1544" bestFit="1" customWidth="1"/>
    <col min="7947" max="7947" width="12.7109375" style="1544" customWidth="1"/>
    <col min="7948" max="7948" width="13.7109375" style="1544" customWidth="1"/>
    <col min="7949" max="7949" width="13.85546875" style="1544" bestFit="1" customWidth="1"/>
    <col min="7950" max="7950" width="19.7109375" style="1544" bestFit="1" customWidth="1"/>
    <col min="7951" max="7951" width="16.140625" style="1544" customWidth="1"/>
    <col min="7952" max="7952" width="16.7109375" style="1544" bestFit="1" customWidth="1"/>
    <col min="7953" max="7953" width="15.5703125" style="1544" bestFit="1" customWidth="1"/>
    <col min="7954" max="7954" width="20.5703125" style="1544" bestFit="1" customWidth="1"/>
    <col min="7955" max="7955" width="16.42578125" style="1544" bestFit="1" customWidth="1"/>
    <col min="7956" max="7956" width="14.28515625" style="1544" customWidth="1"/>
    <col min="7957" max="7957" width="12.85546875" style="1544" bestFit="1" customWidth="1"/>
    <col min="7958" max="7958" width="11.28515625" style="1544" bestFit="1" customWidth="1"/>
    <col min="7959" max="7959" width="12.5703125" style="1544" bestFit="1" customWidth="1"/>
    <col min="7960" max="7960" width="14" style="1544" bestFit="1" customWidth="1"/>
    <col min="7961" max="7961" width="6" style="1544" bestFit="1" customWidth="1"/>
    <col min="7962" max="7962" width="15" style="1544" customWidth="1"/>
    <col min="7963" max="7963" width="14.85546875" style="1544" bestFit="1" customWidth="1"/>
    <col min="7964" max="7964" width="16.140625" style="1544" bestFit="1" customWidth="1"/>
    <col min="7965" max="8191" width="9.140625" style="1544"/>
    <col min="8192" max="8192" width="24" style="1544" bestFit="1" customWidth="1"/>
    <col min="8193" max="8193" width="43.85546875" style="1544" customWidth="1"/>
    <col min="8194" max="8194" width="19.7109375" style="1544" bestFit="1" customWidth="1"/>
    <col min="8195" max="8195" width="12.42578125" style="1544" bestFit="1" customWidth="1"/>
    <col min="8196" max="8196" width="16.28515625" style="1544" bestFit="1" customWidth="1"/>
    <col min="8197" max="8197" width="13.42578125" style="1544" customWidth="1"/>
    <col min="8198" max="8198" width="15.28515625" style="1544" bestFit="1" customWidth="1"/>
    <col min="8199" max="8199" width="14.140625" style="1544" bestFit="1" customWidth="1"/>
    <col min="8200" max="8200" width="15.28515625" style="1544" customWidth="1"/>
    <col min="8201" max="8201" width="17.7109375" style="1544" customWidth="1"/>
    <col min="8202" max="8202" width="17" style="1544" bestFit="1" customWidth="1"/>
    <col min="8203" max="8203" width="12.7109375" style="1544" customWidth="1"/>
    <col min="8204" max="8204" width="13.7109375" style="1544" customWidth="1"/>
    <col min="8205" max="8205" width="13.85546875" style="1544" bestFit="1" customWidth="1"/>
    <col min="8206" max="8206" width="19.7109375" style="1544" bestFit="1" customWidth="1"/>
    <col min="8207" max="8207" width="16.140625" style="1544" customWidth="1"/>
    <col min="8208" max="8208" width="16.7109375" style="1544" bestFit="1" customWidth="1"/>
    <col min="8209" max="8209" width="15.5703125" style="1544" bestFit="1" customWidth="1"/>
    <col min="8210" max="8210" width="20.5703125" style="1544" bestFit="1" customWidth="1"/>
    <col min="8211" max="8211" width="16.42578125" style="1544" bestFit="1" customWidth="1"/>
    <col min="8212" max="8212" width="14.28515625" style="1544" customWidth="1"/>
    <col min="8213" max="8213" width="12.85546875" style="1544" bestFit="1" customWidth="1"/>
    <col min="8214" max="8214" width="11.28515625" style="1544" bestFit="1" customWidth="1"/>
    <col min="8215" max="8215" width="12.5703125" style="1544" bestFit="1" customWidth="1"/>
    <col min="8216" max="8216" width="14" style="1544" bestFit="1" customWidth="1"/>
    <col min="8217" max="8217" width="6" style="1544" bestFit="1" customWidth="1"/>
    <col min="8218" max="8218" width="15" style="1544" customWidth="1"/>
    <col min="8219" max="8219" width="14.85546875" style="1544" bestFit="1" customWidth="1"/>
    <col min="8220" max="8220" width="16.140625" style="1544" bestFit="1" customWidth="1"/>
    <col min="8221" max="8447" width="9.140625" style="1544"/>
    <col min="8448" max="8448" width="24" style="1544" bestFit="1" customWidth="1"/>
    <col min="8449" max="8449" width="43.85546875" style="1544" customWidth="1"/>
    <col min="8450" max="8450" width="19.7109375" style="1544" bestFit="1" customWidth="1"/>
    <col min="8451" max="8451" width="12.42578125" style="1544" bestFit="1" customWidth="1"/>
    <col min="8452" max="8452" width="16.28515625" style="1544" bestFit="1" customWidth="1"/>
    <col min="8453" max="8453" width="13.42578125" style="1544" customWidth="1"/>
    <col min="8454" max="8454" width="15.28515625" style="1544" bestFit="1" customWidth="1"/>
    <col min="8455" max="8455" width="14.140625" style="1544" bestFit="1" customWidth="1"/>
    <col min="8456" max="8456" width="15.28515625" style="1544" customWidth="1"/>
    <col min="8457" max="8457" width="17.7109375" style="1544" customWidth="1"/>
    <col min="8458" max="8458" width="17" style="1544" bestFit="1" customWidth="1"/>
    <col min="8459" max="8459" width="12.7109375" style="1544" customWidth="1"/>
    <col min="8460" max="8460" width="13.7109375" style="1544" customWidth="1"/>
    <col min="8461" max="8461" width="13.85546875" style="1544" bestFit="1" customWidth="1"/>
    <col min="8462" max="8462" width="19.7109375" style="1544" bestFit="1" customWidth="1"/>
    <col min="8463" max="8463" width="16.140625" style="1544" customWidth="1"/>
    <col min="8464" max="8464" width="16.7109375" style="1544" bestFit="1" customWidth="1"/>
    <col min="8465" max="8465" width="15.5703125" style="1544" bestFit="1" customWidth="1"/>
    <col min="8466" max="8466" width="20.5703125" style="1544" bestFit="1" customWidth="1"/>
    <col min="8467" max="8467" width="16.42578125" style="1544" bestFit="1" customWidth="1"/>
    <col min="8468" max="8468" width="14.28515625" style="1544" customWidth="1"/>
    <col min="8469" max="8469" width="12.85546875" style="1544" bestFit="1" customWidth="1"/>
    <col min="8470" max="8470" width="11.28515625" style="1544" bestFit="1" customWidth="1"/>
    <col min="8471" max="8471" width="12.5703125" style="1544" bestFit="1" customWidth="1"/>
    <col min="8472" max="8472" width="14" style="1544" bestFit="1" customWidth="1"/>
    <col min="8473" max="8473" width="6" style="1544" bestFit="1" customWidth="1"/>
    <col min="8474" max="8474" width="15" style="1544" customWidth="1"/>
    <col min="8475" max="8475" width="14.85546875" style="1544" bestFit="1" customWidth="1"/>
    <col min="8476" max="8476" width="16.140625" style="1544" bestFit="1" customWidth="1"/>
    <col min="8477" max="8703" width="9.140625" style="1544"/>
    <col min="8704" max="8704" width="24" style="1544" bestFit="1" customWidth="1"/>
    <col min="8705" max="8705" width="43.85546875" style="1544" customWidth="1"/>
    <col min="8706" max="8706" width="19.7109375" style="1544" bestFit="1" customWidth="1"/>
    <col min="8707" max="8707" width="12.42578125" style="1544" bestFit="1" customWidth="1"/>
    <col min="8708" max="8708" width="16.28515625" style="1544" bestFit="1" customWidth="1"/>
    <col min="8709" max="8709" width="13.42578125" style="1544" customWidth="1"/>
    <col min="8710" max="8710" width="15.28515625" style="1544" bestFit="1" customWidth="1"/>
    <col min="8711" max="8711" width="14.140625" style="1544" bestFit="1" customWidth="1"/>
    <col min="8712" max="8712" width="15.28515625" style="1544" customWidth="1"/>
    <col min="8713" max="8713" width="17.7109375" style="1544" customWidth="1"/>
    <col min="8714" max="8714" width="17" style="1544" bestFit="1" customWidth="1"/>
    <col min="8715" max="8715" width="12.7109375" style="1544" customWidth="1"/>
    <col min="8716" max="8716" width="13.7109375" style="1544" customWidth="1"/>
    <col min="8717" max="8717" width="13.85546875" style="1544" bestFit="1" customWidth="1"/>
    <col min="8718" max="8718" width="19.7109375" style="1544" bestFit="1" customWidth="1"/>
    <col min="8719" max="8719" width="16.140625" style="1544" customWidth="1"/>
    <col min="8720" max="8720" width="16.7109375" style="1544" bestFit="1" customWidth="1"/>
    <col min="8721" max="8721" width="15.5703125" style="1544" bestFit="1" customWidth="1"/>
    <col min="8722" max="8722" width="20.5703125" style="1544" bestFit="1" customWidth="1"/>
    <col min="8723" max="8723" width="16.42578125" style="1544" bestFit="1" customWidth="1"/>
    <col min="8724" max="8724" width="14.28515625" style="1544" customWidth="1"/>
    <col min="8725" max="8725" width="12.85546875" style="1544" bestFit="1" customWidth="1"/>
    <col min="8726" max="8726" width="11.28515625" style="1544" bestFit="1" customWidth="1"/>
    <col min="8727" max="8727" width="12.5703125" style="1544" bestFit="1" customWidth="1"/>
    <col min="8728" max="8728" width="14" style="1544" bestFit="1" customWidth="1"/>
    <col min="8729" max="8729" width="6" style="1544" bestFit="1" customWidth="1"/>
    <col min="8730" max="8730" width="15" style="1544" customWidth="1"/>
    <col min="8731" max="8731" width="14.85546875" style="1544" bestFit="1" customWidth="1"/>
    <col min="8732" max="8732" width="16.140625" style="1544" bestFit="1" customWidth="1"/>
    <col min="8733" max="8959" width="9.140625" style="1544"/>
    <col min="8960" max="8960" width="24" style="1544" bestFit="1" customWidth="1"/>
    <col min="8961" max="8961" width="43.85546875" style="1544" customWidth="1"/>
    <col min="8962" max="8962" width="19.7109375" style="1544" bestFit="1" customWidth="1"/>
    <col min="8963" max="8963" width="12.42578125" style="1544" bestFit="1" customWidth="1"/>
    <col min="8964" max="8964" width="16.28515625" style="1544" bestFit="1" customWidth="1"/>
    <col min="8965" max="8965" width="13.42578125" style="1544" customWidth="1"/>
    <col min="8966" max="8966" width="15.28515625" style="1544" bestFit="1" customWidth="1"/>
    <col min="8967" max="8967" width="14.140625" style="1544" bestFit="1" customWidth="1"/>
    <col min="8968" max="8968" width="15.28515625" style="1544" customWidth="1"/>
    <col min="8969" max="8969" width="17.7109375" style="1544" customWidth="1"/>
    <col min="8970" max="8970" width="17" style="1544" bestFit="1" customWidth="1"/>
    <col min="8971" max="8971" width="12.7109375" style="1544" customWidth="1"/>
    <col min="8972" max="8972" width="13.7109375" style="1544" customWidth="1"/>
    <col min="8973" max="8973" width="13.85546875" style="1544" bestFit="1" customWidth="1"/>
    <col min="8974" max="8974" width="19.7109375" style="1544" bestFit="1" customWidth="1"/>
    <col min="8975" max="8975" width="16.140625" style="1544" customWidth="1"/>
    <col min="8976" max="8976" width="16.7109375" style="1544" bestFit="1" customWidth="1"/>
    <col min="8977" max="8977" width="15.5703125" style="1544" bestFit="1" customWidth="1"/>
    <col min="8978" max="8978" width="20.5703125" style="1544" bestFit="1" customWidth="1"/>
    <col min="8979" max="8979" width="16.42578125" style="1544" bestFit="1" customWidth="1"/>
    <col min="8980" max="8980" width="14.28515625" style="1544" customWidth="1"/>
    <col min="8981" max="8981" width="12.85546875" style="1544" bestFit="1" customWidth="1"/>
    <col min="8982" max="8982" width="11.28515625" style="1544" bestFit="1" customWidth="1"/>
    <col min="8983" max="8983" width="12.5703125" style="1544" bestFit="1" customWidth="1"/>
    <col min="8984" max="8984" width="14" style="1544" bestFit="1" customWidth="1"/>
    <col min="8985" max="8985" width="6" style="1544" bestFit="1" customWidth="1"/>
    <col min="8986" max="8986" width="15" style="1544" customWidth="1"/>
    <col min="8987" max="8987" width="14.85546875" style="1544" bestFit="1" customWidth="1"/>
    <col min="8988" max="8988" width="16.140625" style="1544" bestFit="1" customWidth="1"/>
    <col min="8989" max="9215" width="9.140625" style="1544"/>
    <col min="9216" max="9216" width="24" style="1544" bestFit="1" customWidth="1"/>
    <col min="9217" max="9217" width="43.85546875" style="1544" customWidth="1"/>
    <col min="9218" max="9218" width="19.7109375" style="1544" bestFit="1" customWidth="1"/>
    <col min="9219" max="9219" width="12.42578125" style="1544" bestFit="1" customWidth="1"/>
    <col min="9220" max="9220" width="16.28515625" style="1544" bestFit="1" customWidth="1"/>
    <col min="9221" max="9221" width="13.42578125" style="1544" customWidth="1"/>
    <col min="9222" max="9222" width="15.28515625" style="1544" bestFit="1" customWidth="1"/>
    <col min="9223" max="9223" width="14.140625" style="1544" bestFit="1" customWidth="1"/>
    <col min="9224" max="9224" width="15.28515625" style="1544" customWidth="1"/>
    <col min="9225" max="9225" width="17.7109375" style="1544" customWidth="1"/>
    <col min="9226" max="9226" width="17" style="1544" bestFit="1" customWidth="1"/>
    <col min="9227" max="9227" width="12.7109375" style="1544" customWidth="1"/>
    <col min="9228" max="9228" width="13.7109375" style="1544" customWidth="1"/>
    <col min="9229" max="9229" width="13.85546875" style="1544" bestFit="1" customWidth="1"/>
    <col min="9230" max="9230" width="19.7109375" style="1544" bestFit="1" customWidth="1"/>
    <col min="9231" max="9231" width="16.140625" style="1544" customWidth="1"/>
    <col min="9232" max="9232" width="16.7109375" style="1544" bestFit="1" customWidth="1"/>
    <col min="9233" max="9233" width="15.5703125" style="1544" bestFit="1" customWidth="1"/>
    <col min="9234" max="9234" width="20.5703125" style="1544" bestFit="1" customWidth="1"/>
    <col min="9235" max="9235" width="16.42578125" style="1544" bestFit="1" customWidth="1"/>
    <col min="9236" max="9236" width="14.28515625" style="1544" customWidth="1"/>
    <col min="9237" max="9237" width="12.85546875" style="1544" bestFit="1" customWidth="1"/>
    <col min="9238" max="9238" width="11.28515625" style="1544" bestFit="1" customWidth="1"/>
    <col min="9239" max="9239" width="12.5703125" style="1544" bestFit="1" customWidth="1"/>
    <col min="9240" max="9240" width="14" style="1544" bestFit="1" customWidth="1"/>
    <col min="9241" max="9241" width="6" style="1544" bestFit="1" customWidth="1"/>
    <col min="9242" max="9242" width="15" style="1544" customWidth="1"/>
    <col min="9243" max="9243" width="14.85546875" style="1544" bestFit="1" customWidth="1"/>
    <col min="9244" max="9244" width="16.140625" style="1544" bestFit="1" customWidth="1"/>
    <col min="9245" max="9471" width="9.140625" style="1544"/>
    <col min="9472" max="9472" width="24" style="1544" bestFit="1" customWidth="1"/>
    <col min="9473" max="9473" width="43.85546875" style="1544" customWidth="1"/>
    <col min="9474" max="9474" width="19.7109375" style="1544" bestFit="1" customWidth="1"/>
    <col min="9475" max="9475" width="12.42578125" style="1544" bestFit="1" customWidth="1"/>
    <col min="9476" max="9476" width="16.28515625" style="1544" bestFit="1" customWidth="1"/>
    <col min="9477" max="9477" width="13.42578125" style="1544" customWidth="1"/>
    <col min="9478" max="9478" width="15.28515625" style="1544" bestFit="1" customWidth="1"/>
    <col min="9479" max="9479" width="14.140625" style="1544" bestFit="1" customWidth="1"/>
    <col min="9480" max="9480" width="15.28515625" style="1544" customWidth="1"/>
    <col min="9481" max="9481" width="17.7109375" style="1544" customWidth="1"/>
    <col min="9482" max="9482" width="17" style="1544" bestFit="1" customWidth="1"/>
    <col min="9483" max="9483" width="12.7109375" style="1544" customWidth="1"/>
    <col min="9484" max="9484" width="13.7109375" style="1544" customWidth="1"/>
    <col min="9485" max="9485" width="13.85546875" style="1544" bestFit="1" customWidth="1"/>
    <col min="9486" max="9486" width="19.7109375" style="1544" bestFit="1" customWidth="1"/>
    <col min="9487" max="9487" width="16.140625" style="1544" customWidth="1"/>
    <col min="9488" max="9488" width="16.7109375" style="1544" bestFit="1" customWidth="1"/>
    <col min="9489" max="9489" width="15.5703125" style="1544" bestFit="1" customWidth="1"/>
    <col min="9490" max="9490" width="20.5703125" style="1544" bestFit="1" customWidth="1"/>
    <col min="9491" max="9491" width="16.42578125" style="1544" bestFit="1" customWidth="1"/>
    <col min="9492" max="9492" width="14.28515625" style="1544" customWidth="1"/>
    <col min="9493" max="9493" width="12.85546875" style="1544" bestFit="1" customWidth="1"/>
    <col min="9494" max="9494" width="11.28515625" style="1544" bestFit="1" customWidth="1"/>
    <col min="9495" max="9495" width="12.5703125" style="1544" bestFit="1" customWidth="1"/>
    <col min="9496" max="9496" width="14" style="1544" bestFit="1" customWidth="1"/>
    <col min="9497" max="9497" width="6" style="1544" bestFit="1" customWidth="1"/>
    <col min="9498" max="9498" width="15" style="1544" customWidth="1"/>
    <col min="9499" max="9499" width="14.85546875" style="1544" bestFit="1" customWidth="1"/>
    <col min="9500" max="9500" width="16.140625" style="1544" bestFit="1" customWidth="1"/>
    <col min="9501" max="9727" width="9.140625" style="1544"/>
    <col min="9728" max="9728" width="24" style="1544" bestFit="1" customWidth="1"/>
    <col min="9729" max="9729" width="43.85546875" style="1544" customWidth="1"/>
    <col min="9730" max="9730" width="19.7109375" style="1544" bestFit="1" customWidth="1"/>
    <col min="9731" max="9731" width="12.42578125" style="1544" bestFit="1" customWidth="1"/>
    <col min="9732" max="9732" width="16.28515625" style="1544" bestFit="1" customWidth="1"/>
    <col min="9733" max="9733" width="13.42578125" style="1544" customWidth="1"/>
    <col min="9734" max="9734" width="15.28515625" style="1544" bestFit="1" customWidth="1"/>
    <col min="9735" max="9735" width="14.140625" style="1544" bestFit="1" customWidth="1"/>
    <col min="9736" max="9736" width="15.28515625" style="1544" customWidth="1"/>
    <col min="9737" max="9737" width="17.7109375" style="1544" customWidth="1"/>
    <col min="9738" max="9738" width="17" style="1544" bestFit="1" customWidth="1"/>
    <col min="9739" max="9739" width="12.7109375" style="1544" customWidth="1"/>
    <col min="9740" max="9740" width="13.7109375" style="1544" customWidth="1"/>
    <col min="9741" max="9741" width="13.85546875" style="1544" bestFit="1" customWidth="1"/>
    <col min="9742" max="9742" width="19.7109375" style="1544" bestFit="1" customWidth="1"/>
    <col min="9743" max="9743" width="16.140625" style="1544" customWidth="1"/>
    <col min="9744" max="9744" width="16.7109375" style="1544" bestFit="1" customWidth="1"/>
    <col min="9745" max="9745" width="15.5703125" style="1544" bestFit="1" customWidth="1"/>
    <col min="9746" max="9746" width="20.5703125" style="1544" bestFit="1" customWidth="1"/>
    <col min="9747" max="9747" width="16.42578125" style="1544" bestFit="1" customWidth="1"/>
    <col min="9748" max="9748" width="14.28515625" style="1544" customWidth="1"/>
    <col min="9749" max="9749" width="12.85546875" style="1544" bestFit="1" customWidth="1"/>
    <col min="9750" max="9750" width="11.28515625" style="1544" bestFit="1" customWidth="1"/>
    <col min="9751" max="9751" width="12.5703125" style="1544" bestFit="1" customWidth="1"/>
    <col min="9752" max="9752" width="14" style="1544" bestFit="1" customWidth="1"/>
    <col min="9753" max="9753" width="6" style="1544" bestFit="1" customWidth="1"/>
    <col min="9754" max="9754" width="15" style="1544" customWidth="1"/>
    <col min="9755" max="9755" width="14.85546875" style="1544" bestFit="1" customWidth="1"/>
    <col min="9756" max="9756" width="16.140625" style="1544" bestFit="1" customWidth="1"/>
    <col min="9757" max="9983" width="9.140625" style="1544"/>
    <col min="9984" max="9984" width="24" style="1544" bestFit="1" customWidth="1"/>
    <col min="9985" max="9985" width="43.85546875" style="1544" customWidth="1"/>
    <col min="9986" max="9986" width="19.7109375" style="1544" bestFit="1" customWidth="1"/>
    <col min="9987" max="9987" width="12.42578125" style="1544" bestFit="1" customWidth="1"/>
    <col min="9988" max="9988" width="16.28515625" style="1544" bestFit="1" customWidth="1"/>
    <col min="9989" max="9989" width="13.42578125" style="1544" customWidth="1"/>
    <col min="9990" max="9990" width="15.28515625" style="1544" bestFit="1" customWidth="1"/>
    <col min="9991" max="9991" width="14.140625" style="1544" bestFit="1" customWidth="1"/>
    <col min="9992" max="9992" width="15.28515625" style="1544" customWidth="1"/>
    <col min="9993" max="9993" width="17.7109375" style="1544" customWidth="1"/>
    <col min="9994" max="9994" width="17" style="1544" bestFit="1" customWidth="1"/>
    <col min="9995" max="9995" width="12.7109375" style="1544" customWidth="1"/>
    <col min="9996" max="9996" width="13.7109375" style="1544" customWidth="1"/>
    <col min="9997" max="9997" width="13.85546875" style="1544" bestFit="1" customWidth="1"/>
    <col min="9998" max="9998" width="19.7109375" style="1544" bestFit="1" customWidth="1"/>
    <col min="9999" max="9999" width="16.140625" style="1544" customWidth="1"/>
    <col min="10000" max="10000" width="16.7109375" style="1544" bestFit="1" customWidth="1"/>
    <col min="10001" max="10001" width="15.5703125" style="1544" bestFit="1" customWidth="1"/>
    <col min="10002" max="10002" width="20.5703125" style="1544" bestFit="1" customWidth="1"/>
    <col min="10003" max="10003" width="16.42578125" style="1544" bestFit="1" customWidth="1"/>
    <col min="10004" max="10004" width="14.28515625" style="1544" customWidth="1"/>
    <col min="10005" max="10005" width="12.85546875" style="1544" bestFit="1" customWidth="1"/>
    <col min="10006" max="10006" width="11.28515625" style="1544" bestFit="1" customWidth="1"/>
    <col min="10007" max="10007" width="12.5703125" style="1544" bestFit="1" customWidth="1"/>
    <col min="10008" max="10008" width="14" style="1544" bestFit="1" customWidth="1"/>
    <col min="10009" max="10009" width="6" style="1544" bestFit="1" customWidth="1"/>
    <col min="10010" max="10010" width="15" style="1544" customWidth="1"/>
    <col min="10011" max="10011" width="14.85546875" style="1544" bestFit="1" customWidth="1"/>
    <col min="10012" max="10012" width="16.140625" style="1544" bestFit="1" customWidth="1"/>
    <col min="10013" max="10239" width="9.140625" style="1544"/>
    <col min="10240" max="10240" width="24" style="1544" bestFit="1" customWidth="1"/>
    <col min="10241" max="10241" width="43.85546875" style="1544" customWidth="1"/>
    <col min="10242" max="10242" width="19.7109375" style="1544" bestFit="1" customWidth="1"/>
    <col min="10243" max="10243" width="12.42578125" style="1544" bestFit="1" customWidth="1"/>
    <col min="10244" max="10244" width="16.28515625" style="1544" bestFit="1" customWidth="1"/>
    <col min="10245" max="10245" width="13.42578125" style="1544" customWidth="1"/>
    <col min="10246" max="10246" width="15.28515625" style="1544" bestFit="1" customWidth="1"/>
    <col min="10247" max="10247" width="14.140625" style="1544" bestFit="1" customWidth="1"/>
    <col min="10248" max="10248" width="15.28515625" style="1544" customWidth="1"/>
    <col min="10249" max="10249" width="17.7109375" style="1544" customWidth="1"/>
    <col min="10250" max="10250" width="17" style="1544" bestFit="1" customWidth="1"/>
    <col min="10251" max="10251" width="12.7109375" style="1544" customWidth="1"/>
    <col min="10252" max="10252" width="13.7109375" style="1544" customWidth="1"/>
    <col min="10253" max="10253" width="13.85546875" style="1544" bestFit="1" customWidth="1"/>
    <col min="10254" max="10254" width="19.7109375" style="1544" bestFit="1" customWidth="1"/>
    <col min="10255" max="10255" width="16.140625" style="1544" customWidth="1"/>
    <col min="10256" max="10256" width="16.7109375" style="1544" bestFit="1" customWidth="1"/>
    <col min="10257" max="10257" width="15.5703125" style="1544" bestFit="1" customWidth="1"/>
    <col min="10258" max="10258" width="20.5703125" style="1544" bestFit="1" customWidth="1"/>
    <col min="10259" max="10259" width="16.42578125" style="1544" bestFit="1" customWidth="1"/>
    <col min="10260" max="10260" width="14.28515625" style="1544" customWidth="1"/>
    <col min="10261" max="10261" width="12.85546875" style="1544" bestFit="1" customWidth="1"/>
    <col min="10262" max="10262" width="11.28515625" style="1544" bestFit="1" customWidth="1"/>
    <col min="10263" max="10263" width="12.5703125" style="1544" bestFit="1" customWidth="1"/>
    <col min="10264" max="10264" width="14" style="1544" bestFit="1" customWidth="1"/>
    <col min="10265" max="10265" width="6" style="1544" bestFit="1" customWidth="1"/>
    <col min="10266" max="10266" width="15" style="1544" customWidth="1"/>
    <col min="10267" max="10267" width="14.85546875" style="1544" bestFit="1" customWidth="1"/>
    <col min="10268" max="10268" width="16.140625" style="1544" bestFit="1" customWidth="1"/>
    <col min="10269" max="10495" width="9.140625" style="1544"/>
    <col min="10496" max="10496" width="24" style="1544" bestFit="1" customWidth="1"/>
    <col min="10497" max="10497" width="43.85546875" style="1544" customWidth="1"/>
    <col min="10498" max="10498" width="19.7109375" style="1544" bestFit="1" customWidth="1"/>
    <col min="10499" max="10499" width="12.42578125" style="1544" bestFit="1" customWidth="1"/>
    <col min="10500" max="10500" width="16.28515625" style="1544" bestFit="1" customWidth="1"/>
    <col min="10501" max="10501" width="13.42578125" style="1544" customWidth="1"/>
    <col min="10502" max="10502" width="15.28515625" style="1544" bestFit="1" customWidth="1"/>
    <col min="10503" max="10503" width="14.140625" style="1544" bestFit="1" customWidth="1"/>
    <col min="10504" max="10504" width="15.28515625" style="1544" customWidth="1"/>
    <col min="10505" max="10505" width="17.7109375" style="1544" customWidth="1"/>
    <col min="10506" max="10506" width="17" style="1544" bestFit="1" customWidth="1"/>
    <col min="10507" max="10507" width="12.7109375" style="1544" customWidth="1"/>
    <col min="10508" max="10508" width="13.7109375" style="1544" customWidth="1"/>
    <col min="10509" max="10509" width="13.85546875" style="1544" bestFit="1" customWidth="1"/>
    <col min="10510" max="10510" width="19.7109375" style="1544" bestFit="1" customWidth="1"/>
    <col min="10511" max="10511" width="16.140625" style="1544" customWidth="1"/>
    <col min="10512" max="10512" width="16.7109375" style="1544" bestFit="1" customWidth="1"/>
    <col min="10513" max="10513" width="15.5703125" style="1544" bestFit="1" customWidth="1"/>
    <col min="10514" max="10514" width="20.5703125" style="1544" bestFit="1" customWidth="1"/>
    <col min="10515" max="10515" width="16.42578125" style="1544" bestFit="1" customWidth="1"/>
    <col min="10516" max="10516" width="14.28515625" style="1544" customWidth="1"/>
    <col min="10517" max="10517" width="12.85546875" style="1544" bestFit="1" customWidth="1"/>
    <col min="10518" max="10518" width="11.28515625" style="1544" bestFit="1" customWidth="1"/>
    <col min="10519" max="10519" width="12.5703125" style="1544" bestFit="1" customWidth="1"/>
    <col min="10520" max="10520" width="14" style="1544" bestFit="1" customWidth="1"/>
    <col min="10521" max="10521" width="6" style="1544" bestFit="1" customWidth="1"/>
    <col min="10522" max="10522" width="15" style="1544" customWidth="1"/>
    <col min="10523" max="10523" width="14.85546875" style="1544" bestFit="1" customWidth="1"/>
    <col min="10524" max="10524" width="16.140625" style="1544" bestFit="1" customWidth="1"/>
    <col min="10525" max="10751" width="9.140625" style="1544"/>
    <col min="10752" max="10752" width="24" style="1544" bestFit="1" customWidth="1"/>
    <col min="10753" max="10753" width="43.85546875" style="1544" customWidth="1"/>
    <col min="10754" max="10754" width="19.7109375" style="1544" bestFit="1" customWidth="1"/>
    <col min="10755" max="10755" width="12.42578125" style="1544" bestFit="1" customWidth="1"/>
    <col min="10756" max="10756" width="16.28515625" style="1544" bestFit="1" customWidth="1"/>
    <col min="10757" max="10757" width="13.42578125" style="1544" customWidth="1"/>
    <col min="10758" max="10758" width="15.28515625" style="1544" bestFit="1" customWidth="1"/>
    <col min="10759" max="10759" width="14.140625" style="1544" bestFit="1" customWidth="1"/>
    <col min="10760" max="10760" width="15.28515625" style="1544" customWidth="1"/>
    <col min="10761" max="10761" width="17.7109375" style="1544" customWidth="1"/>
    <col min="10762" max="10762" width="17" style="1544" bestFit="1" customWidth="1"/>
    <col min="10763" max="10763" width="12.7109375" style="1544" customWidth="1"/>
    <col min="10764" max="10764" width="13.7109375" style="1544" customWidth="1"/>
    <col min="10765" max="10765" width="13.85546875" style="1544" bestFit="1" customWidth="1"/>
    <col min="10766" max="10766" width="19.7109375" style="1544" bestFit="1" customWidth="1"/>
    <col min="10767" max="10767" width="16.140625" style="1544" customWidth="1"/>
    <col min="10768" max="10768" width="16.7109375" style="1544" bestFit="1" customWidth="1"/>
    <col min="10769" max="10769" width="15.5703125" style="1544" bestFit="1" customWidth="1"/>
    <col min="10770" max="10770" width="20.5703125" style="1544" bestFit="1" customWidth="1"/>
    <col min="10771" max="10771" width="16.42578125" style="1544" bestFit="1" customWidth="1"/>
    <col min="10772" max="10772" width="14.28515625" style="1544" customWidth="1"/>
    <col min="10773" max="10773" width="12.85546875" style="1544" bestFit="1" customWidth="1"/>
    <col min="10774" max="10774" width="11.28515625" style="1544" bestFit="1" customWidth="1"/>
    <col min="10775" max="10775" width="12.5703125" style="1544" bestFit="1" customWidth="1"/>
    <col min="10776" max="10776" width="14" style="1544" bestFit="1" customWidth="1"/>
    <col min="10777" max="10777" width="6" style="1544" bestFit="1" customWidth="1"/>
    <col min="10778" max="10778" width="15" style="1544" customWidth="1"/>
    <col min="10779" max="10779" width="14.85546875" style="1544" bestFit="1" customWidth="1"/>
    <col min="10780" max="10780" width="16.140625" style="1544" bestFit="1" customWidth="1"/>
    <col min="10781" max="11007" width="9.140625" style="1544"/>
    <col min="11008" max="11008" width="24" style="1544" bestFit="1" customWidth="1"/>
    <col min="11009" max="11009" width="43.85546875" style="1544" customWidth="1"/>
    <col min="11010" max="11010" width="19.7109375" style="1544" bestFit="1" customWidth="1"/>
    <col min="11011" max="11011" width="12.42578125" style="1544" bestFit="1" customWidth="1"/>
    <col min="11012" max="11012" width="16.28515625" style="1544" bestFit="1" customWidth="1"/>
    <col min="11013" max="11013" width="13.42578125" style="1544" customWidth="1"/>
    <col min="11014" max="11014" width="15.28515625" style="1544" bestFit="1" customWidth="1"/>
    <col min="11015" max="11015" width="14.140625" style="1544" bestFit="1" customWidth="1"/>
    <col min="11016" max="11016" width="15.28515625" style="1544" customWidth="1"/>
    <col min="11017" max="11017" width="17.7109375" style="1544" customWidth="1"/>
    <col min="11018" max="11018" width="17" style="1544" bestFit="1" customWidth="1"/>
    <col min="11019" max="11019" width="12.7109375" style="1544" customWidth="1"/>
    <col min="11020" max="11020" width="13.7109375" style="1544" customWidth="1"/>
    <col min="11021" max="11021" width="13.85546875" style="1544" bestFit="1" customWidth="1"/>
    <col min="11022" max="11022" width="19.7109375" style="1544" bestFit="1" customWidth="1"/>
    <col min="11023" max="11023" width="16.140625" style="1544" customWidth="1"/>
    <col min="11024" max="11024" width="16.7109375" style="1544" bestFit="1" customWidth="1"/>
    <col min="11025" max="11025" width="15.5703125" style="1544" bestFit="1" customWidth="1"/>
    <col min="11026" max="11026" width="20.5703125" style="1544" bestFit="1" customWidth="1"/>
    <col min="11027" max="11027" width="16.42578125" style="1544" bestFit="1" customWidth="1"/>
    <col min="11028" max="11028" width="14.28515625" style="1544" customWidth="1"/>
    <col min="11029" max="11029" width="12.85546875" style="1544" bestFit="1" customWidth="1"/>
    <col min="11030" max="11030" width="11.28515625" style="1544" bestFit="1" customWidth="1"/>
    <col min="11031" max="11031" width="12.5703125" style="1544" bestFit="1" customWidth="1"/>
    <col min="11032" max="11032" width="14" style="1544" bestFit="1" customWidth="1"/>
    <col min="11033" max="11033" width="6" style="1544" bestFit="1" customWidth="1"/>
    <col min="11034" max="11034" width="15" style="1544" customWidth="1"/>
    <col min="11035" max="11035" width="14.85546875" style="1544" bestFit="1" customWidth="1"/>
    <col min="11036" max="11036" width="16.140625" style="1544" bestFit="1" customWidth="1"/>
    <col min="11037" max="11263" width="9.140625" style="1544"/>
    <col min="11264" max="11264" width="24" style="1544" bestFit="1" customWidth="1"/>
    <col min="11265" max="11265" width="43.85546875" style="1544" customWidth="1"/>
    <col min="11266" max="11266" width="19.7109375" style="1544" bestFit="1" customWidth="1"/>
    <col min="11267" max="11267" width="12.42578125" style="1544" bestFit="1" customWidth="1"/>
    <col min="11268" max="11268" width="16.28515625" style="1544" bestFit="1" customWidth="1"/>
    <col min="11269" max="11269" width="13.42578125" style="1544" customWidth="1"/>
    <col min="11270" max="11270" width="15.28515625" style="1544" bestFit="1" customWidth="1"/>
    <col min="11271" max="11271" width="14.140625" style="1544" bestFit="1" customWidth="1"/>
    <col min="11272" max="11272" width="15.28515625" style="1544" customWidth="1"/>
    <col min="11273" max="11273" width="17.7109375" style="1544" customWidth="1"/>
    <col min="11274" max="11274" width="17" style="1544" bestFit="1" customWidth="1"/>
    <col min="11275" max="11275" width="12.7109375" style="1544" customWidth="1"/>
    <col min="11276" max="11276" width="13.7109375" style="1544" customWidth="1"/>
    <col min="11277" max="11277" width="13.85546875" style="1544" bestFit="1" customWidth="1"/>
    <col min="11278" max="11278" width="19.7109375" style="1544" bestFit="1" customWidth="1"/>
    <col min="11279" max="11279" width="16.140625" style="1544" customWidth="1"/>
    <col min="11280" max="11280" width="16.7109375" style="1544" bestFit="1" customWidth="1"/>
    <col min="11281" max="11281" width="15.5703125" style="1544" bestFit="1" customWidth="1"/>
    <col min="11282" max="11282" width="20.5703125" style="1544" bestFit="1" customWidth="1"/>
    <col min="11283" max="11283" width="16.42578125" style="1544" bestFit="1" customWidth="1"/>
    <col min="11284" max="11284" width="14.28515625" style="1544" customWidth="1"/>
    <col min="11285" max="11285" width="12.85546875" style="1544" bestFit="1" customWidth="1"/>
    <col min="11286" max="11286" width="11.28515625" style="1544" bestFit="1" customWidth="1"/>
    <col min="11287" max="11287" width="12.5703125" style="1544" bestFit="1" customWidth="1"/>
    <col min="11288" max="11288" width="14" style="1544" bestFit="1" customWidth="1"/>
    <col min="11289" max="11289" width="6" style="1544" bestFit="1" customWidth="1"/>
    <col min="11290" max="11290" width="15" style="1544" customWidth="1"/>
    <col min="11291" max="11291" width="14.85546875" style="1544" bestFit="1" customWidth="1"/>
    <col min="11292" max="11292" width="16.140625" style="1544" bestFit="1" customWidth="1"/>
    <col min="11293" max="11519" width="9.140625" style="1544"/>
    <col min="11520" max="11520" width="24" style="1544" bestFit="1" customWidth="1"/>
    <col min="11521" max="11521" width="43.85546875" style="1544" customWidth="1"/>
    <col min="11522" max="11522" width="19.7109375" style="1544" bestFit="1" customWidth="1"/>
    <col min="11523" max="11523" width="12.42578125" style="1544" bestFit="1" customWidth="1"/>
    <col min="11524" max="11524" width="16.28515625" style="1544" bestFit="1" customWidth="1"/>
    <col min="11525" max="11525" width="13.42578125" style="1544" customWidth="1"/>
    <col min="11526" max="11526" width="15.28515625" style="1544" bestFit="1" customWidth="1"/>
    <col min="11527" max="11527" width="14.140625" style="1544" bestFit="1" customWidth="1"/>
    <col min="11528" max="11528" width="15.28515625" style="1544" customWidth="1"/>
    <col min="11529" max="11529" width="17.7109375" style="1544" customWidth="1"/>
    <col min="11530" max="11530" width="17" style="1544" bestFit="1" customWidth="1"/>
    <col min="11531" max="11531" width="12.7109375" style="1544" customWidth="1"/>
    <col min="11532" max="11532" width="13.7109375" style="1544" customWidth="1"/>
    <col min="11533" max="11533" width="13.85546875" style="1544" bestFit="1" customWidth="1"/>
    <col min="11534" max="11534" width="19.7109375" style="1544" bestFit="1" customWidth="1"/>
    <col min="11535" max="11535" width="16.140625" style="1544" customWidth="1"/>
    <col min="11536" max="11536" width="16.7109375" style="1544" bestFit="1" customWidth="1"/>
    <col min="11537" max="11537" width="15.5703125" style="1544" bestFit="1" customWidth="1"/>
    <col min="11538" max="11538" width="20.5703125" style="1544" bestFit="1" customWidth="1"/>
    <col min="11539" max="11539" width="16.42578125" style="1544" bestFit="1" customWidth="1"/>
    <col min="11540" max="11540" width="14.28515625" style="1544" customWidth="1"/>
    <col min="11541" max="11541" width="12.85546875" style="1544" bestFit="1" customWidth="1"/>
    <col min="11542" max="11542" width="11.28515625" style="1544" bestFit="1" customWidth="1"/>
    <col min="11543" max="11543" width="12.5703125" style="1544" bestFit="1" customWidth="1"/>
    <col min="11544" max="11544" width="14" style="1544" bestFit="1" customWidth="1"/>
    <col min="11545" max="11545" width="6" style="1544" bestFit="1" customWidth="1"/>
    <col min="11546" max="11546" width="15" style="1544" customWidth="1"/>
    <col min="11547" max="11547" width="14.85546875" style="1544" bestFit="1" customWidth="1"/>
    <col min="11548" max="11548" width="16.140625" style="1544" bestFit="1" customWidth="1"/>
    <col min="11549" max="11775" width="9.140625" style="1544"/>
    <col min="11776" max="11776" width="24" style="1544" bestFit="1" customWidth="1"/>
    <col min="11777" max="11777" width="43.85546875" style="1544" customWidth="1"/>
    <col min="11778" max="11778" width="19.7109375" style="1544" bestFit="1" customWidth="1"/>
    <col min="11779" max="11779" width="12.42578125" style="1544" bestFit="1" customWidth="1"/>
    <col min="11780" max="11780" width="16.28515625" style="1544" bestFit="1" customWidth="1"/>
    <col min="11781" max="11781" width="13.42578125" style="1544" customWidth="1"/>
    <col min="11782" max="11782" width="15.28515625" style="1544" bestFit="1" customWidth="1"/>
    <col min="11783" max="11783" width="14.140625" style="1544" bestFit="1" customWidth="1"/>
    <col min="11784" max="11784" width="15.28515625" style="1544" customWidth="1"/>
    <col min="11785" max="11785" width="17.7109375" style="1544" customWidth="1"/>
    <col min="11786" max="11786" width="17" style="1544" bestFit="1" customWidth="1"/>
    <col min="11787" max="11787" width="12.7109375" style="1544" customWidth="1"/>
    <col min="11788" max="11788" width="13.7109375" style="1544" customWidth="1"/>
    <col min="11789" max="11789" width="13.85546875" style="1544" bestFit="1" customWidth="1"/>
    <col min="11790" max="11790" width="19.7109375" style="1544" bestFit="1" customWidth="1"/>
    <col min="11791" max="11791" width="16.140625" style="1544" customWidth="1"/>
    <col min="11792" max="11792" width="16.7109375" style="1544" bestFit="1" customWidth="1"/>
    <col min="11793" max="11793" width="15.5703125" style="1544" bestFit="1" customWidth="1"/>
    <col min="11794" max="11794" width="20.5703125" style="1544" bestFit="1" customWidth="1"/>
    <col min="11795" max="11795" width="16.42578125" style="1544" bestFit="1" customWidth="1"/>
    <col min="11796" max="11796" width="14.28515625" style="1544" customWidth="1"/>
    <col min="11797" max="11797" width="12.85546875" style="1544" bestFit="1" customWidth="1"/>
    <col min="11798" max="11798" width="11.28515625" style="1544" bestFit="1" customWidth="1"/>
    <col min="11799" max="11799" width="12.5703125" style="1544" bestFit="1" customWidth="1"/>
    <col min="11800" max="11800" width="14" style="1544" bestFit="1" customWidth="1"/>
    <col min="11801" max="11801" width="6" style="1544" bestFit="1" customWidth="1"/>
    <col min="11802" max="11802" width="15" style="1544" customWidth="1"/>
    <col min="11803" max="11803" width="14.85546875" style="1544" bestFit="1" customWidth="1"/>
    <col min="11804" max="11804" width="16.140625" style="1544" bestFit="1" customWidth="1"/>
    <col min="11805" max="12031" width="9.140625" style="1544"/>
    <col min="12032" max="12032" width="24" style="1544" bestFit="1" customWidth="1"/>
    <col min="12033" max="12033" width="43.85546875" style="1544" customWidth="1"/>
    <col min="12034" max="12034" width="19.7109375" style="1544" bestFit="1" customWidth="1"/>
    <col min="12035" max="12035" width="12.42578125" style="1544" bestFit="1" customWidth="1"/>
    <col min="12036" max="12036" width="16.28515625" style="1544" bestFit="1" customWidth="1"/>
    <col min="12037" max="12037" width="13.42578125" style="1544" customWidth="1"/>
    <col min="12038" max="12038" width="15.28515625" style="1544" bestFit="1" customWidth="1"/>
    <col min="12039" max="12039" width="14.140625" style="1544" bestFit="1" customWidth="1"/>
    <col min="12040" max="12040" width="15.28515625" style="1544" customWidth="1"/>
    <col min="12041" max="12041" width="17.7109375" style="1544" customWidth="1"/>
    <col min="12042" max="12042" width="17" style="1544" bestFit="1" customWidth="1"/>
    <col min="12043" max="12043" width="12.7109375" style="1544" customWidth="1"/>
    <col min="12044" max="12044" width="13.7109375" style="1544" customWidth="1"/>
    <col min="12045" max="12045" width="13.85546875" style="1544" bestFit="1" customWidth="1"/>
    <col min="12046" max="12046" width="19.7109375" style="1544" bestFit="1" customWidth="1"/>
    <col min="12047" max="12047" width="16.140625" style="1544" customWidth="1"/>
    <col min="12048" max="12048" width="16.7109375" style="1544" bestFit="1" customWidth="1"/>
    <col min="12049" max="12049" width="15.5703125" style="1544" bestFit="1" customWidth="1"/>
    <col min="12050" max="12050" width="20.5703125" style="1544" bestFit="1" customWidth="1"/>
    <col min="12051" max="12051" width="16.42578125" style="1544" bestFit="1" customWidth="1"/>
    <col min="12052" max="12052" width="14.28515625" style="1544" customWidth="1"/>
    <col min="12053" max="12053" width="12.85546875" style="1544" bestFit="1" customWidth="1"/>
    <col min="12054" max="12054" width="11.28515625" style="1544" bestFit="1" customWidth="1"/>
    <col min="12055" max="12055" width="12.5703125" style="1544" bestFit="1" customWidth="1"/>
    <col min="12056" max="12056" width="14" style="1544" bestFit="1" customWidth="1"/>
    <col min="12057" max="12057" width="6" style="1544" bestFit="1" customWidth="1"/>
    <col min="12058" max="12058" width="15" style="1544" customWidth="1"/>
    <col min="12059" max="12059" width="14.85546875" style="1544" bestFit="1" customWidth="1"/>
    <col min="12060" max="12060" width="16.140625" style="1544" bestFit="1" customWidth="1"/>
    <col min="12061" max="12287" width="9.140625" style="1544"/>
    <col min="12288" max="12288" width="24" style="1544" bestFit="1" customWidth="1"/>
    <col min="12289" max="12289" width="43.85546875" style="1544" customWidth="1"/>
    <col min="12290" max="12290" width="19.7109375" style="1544" bestFit="1" customWidth="1"/>
    <col min="12291" max="12291" width="12.42578125" style="1544" bestFit="1" customWidth="1"/>
    <col min="12292" max="12292" width="16.28515625" style="1544" bestFit="1" customWidth="1"/>
    <col min="12293" max="12293" width="13.42578125" style="1544" customWidth="1"/>
    <col min="12294" max="12294" width="15.28515625" style="1544" bestFit="1" customWidth="1"/>
    <col min="12295" max="12295" width="14.140625" style="1544" bestFit="1" customWidth="1"/>
    <col min="12296" max="12296" width="15.28515625" style="1544" customWidth="1"/>
    <col min="12297" max="12297" width="17.7109375" style="1544" customWidth="1"/>
    <col min="12298" max="12298" width="17" style="1544" bestFit="1" customWidth="1"/>
    <col min="12299" max="12299" width="12.7109375" style="1544" customWidth="1"/>
    <col min="12300" max="12300" width="13.7109375" style="1544" customWidth="1"/>
    <col min="12301" max="12301" width="13.85546875" style="1544" bestFit="1" customWidth="1"/>
    <col min="12302" max="12302" width="19.7109375" style="1544" bestFit="1" customWidth="1"/>
    <col min="12303" max="12303" width="16.140625" style="1544" customWidth="1"/>
    <col min="12304" max="12304" width="16.7109375" style="1544" bestFit="1" customWidth="1"/>
    <col min="12305" max="12305" width="15.5703125" style="1544" bestFit="1" customWidth="1"/>
    <col min="12306" max="12306" width="20.5703125" style="1544" bestFit="1" customWidth="1"/>
    <col min="12307" max="12307" width="16.42578125" style="1544" bestFit="1" customWidth="1"/>
    <col min="12308" max="12308" width="14.28515625" style="1544" customWidth="1"/>
    <col min="12309" max="12309" width="12.85546875" style="1544" bestFit="1" customWidth="1"/>
    <col min="12310" max="12310" width="11.28515625" style="1544" bestFit="1" customWidth="1"/>
    <col min="12311" max="12311" width="12.5703125" style="1544" bestFit="1" customWidth="1"/>
    <col min="12312" max="12312" width="14" style="1544" bestFit="1" customWidth="1"/>
    <col min="12313" max="12313" width="6" style="1544" bestFit="1" customWidth="1"/>
    <col min="12314" max="12314" width="15" style="1544" customWidth="1"/>
    <col min="12315" max="12315" width="14.85546875" style="1544" bestFit="1" customWidth="1"/>
    <col min="12316" max="12316" width="16.140625" style="1544" bestFit="1" customWidth="1"/>
    <col min="12317" max="12543" width="9.140625" style="1544"/>
    <col min="12544" max="12544" width="24" style="1544" bestFit="1" customWidth="1"/>
    <col min="12545" max="12545" width="43.85546875" style="1544" customWidth="1"/>
    <col min="12546" max="12546" width="19.7109375" style="1544" bestFit="1" customWidth="1"/>
    <col min="12547" max="12547" width="12.42578125" style="1544" bestFit="1" customWidth="1"/>
    <col min="12548" max="12548" width="16.28515625" style="1544" bestFit="1" customWidth="1"/>
    <col min="12549" max="12549" width="13.42578125" style="1544" customWidth="1"/>
    <col min="12550" max="12550" width="15.28515625" style="1544" bestFit="1" customWidth="1"/>
    <col min="12551" max="12551" width="14.140625" style="1544" bestFit="1" customWidth="1"/>
    <col min="12552" max="12552" width="15.28515625" style="1544" customWidth="1"/>
    <col min="12553" max="12553" width="17.7109375" style="1544" customWidth="1"/>
    <col min="12554" max="12554" width="17" style="1544" bestFit="1" customWidth="1"/>
    <col min="12555" max="12555" width="12.7109375" style="1544" customWidth="1"/>
    <col min="12556" max="12556" width="13.7109375" style="1544" customWidth="1"/>
    <col min="12557" max="12557" width="13.85546875" style="1544" bestFit="1" customWidth="1"/>
    <col min="12558" max="12558" width="19.7109375" style="1544" bestFit="1" customWidth="1"/>
    <col min="12559" max="12559" width="16.140625" style="1544" customWidth="1"/>
    <col min="12560" max="12560" width="16.7109375" style="1544" bestFit="1" customWidth="1"/>
    <col min="12561" max="12561" width="15.5703125" style="1544" bestFit="1" customWidth="1"/>
    <col min="12562" max="12562" width="20.5703125" style="1544" bestFit="1" customWidth="1"/>
    <col min="12563" max="12563" width="16.42578125" style="1544" bestFit="1" customWidth="1"/>
    <col min="12564" max="12564" width="14.28515625" style="1544" customWidth="1"/>
    <col min="12565" max="12565" width="12.85546875" style="1544" bestFit="1" customWidth="1"/>
    <col min="12566" max="12566" width="11.28515625" style="1544" bestFit="1" customWidth="1"/>
    <col min="12567" max="12567" width="12.5703125" style="1544" bestFit="1" customWidth="1"/>
    <col min="12568" max="12568" width="14" style="1544" bestFit="1" customWidth="1"/>
    <col min="12569" max="12569" width="6" style="1544" bestFit="1" customWidth="1"/>
    <col min="12570" max="12570" width="15" style="1544" customWidth="1"/>
    <col min="12571" max="12571" width="14.85546875" style="1544" bestFit="1" customWidth="1"/>
    <col min="12572" max="12572" width="16.140625" style="1544" bestFit="1" customWidth="1"/>
    <col min="12573" max="12799" width="9.140625" style="1544"/>
    <col min="12800" max="12800" width="24" style="1544" bestFit="1" customWidth="1"/>
    <col min="12801" max="12801" width="43.85546875" style="1544" customWidth="1"/>
    <col min="12802" max="12802" width="19.7109375" style="1544" bestFit="1" customWidth="1"/>
    <col min="12803" max="12803" width="12.42578125" style="1544" bestFit="1" customWidth="1"/>
    <col min="12804" max="12804" width="16.28515625" style="1544" bestFit="1" customWidth="1"/>
    <col min="12805" max="12805" width="13.42578125" style="1544" customWidth="1"/>
    <col min="12806" max="12806" width="15.28515625" style="1544" bestFit="1" customWidth="1"/>
    <col min="12807" max="12807" width="14.140625" style="1544" bestFit="1" customWidth="1"/>
    <col min="12808" max="12808" width="15.28515625" style="1544" customWidth="1"/>
    <col min="12809" max="12809" width="17.7109375" style="1544" customWidth="1"/>
    <col min="12810" max="12810" width="17" style="1544" bestFit="1" customWidth="1"/>
    <col min="12811" max="12811" width="12.7109375" style="1544" customWidth="1"/>
    <col min="12812" max="12812" width="13.7109375" style="1544" customWidth="1"/>
    <col min="12813" max="12813" width="13.85546875" style="1544" bestFit="1" customWidth="1"/>
    <col min="12814" max="12814" width="19.7109375" style="1544" bestFit="1" customWidth="1"/>
    <col min="12815" max="12815" width="16.140625" style="1544" customWidth="1"/>
    <col min="12816" max="12816" width="16.7109375" style="1544" bestFit="1" customWidth="1"/>
    <col min="12817" max="12817" width="15.5703125" style="1544" bestFit="1" customWidth="1"/>
    <col min="12818" max="12818" width="20.5703125" style="1544" bestFit="1" customWidth="1"/>
    <col min="12819" max="12819" width="16.42578125" style="1544" bestFit="1" customWidth="1"/>
    <col min="12820" max="12820" width="14.28515625" style="1544" customWidth="1"/>
    <col min="12821" max="12821" width="12.85546875" style="1544" bestFit="1" customWidth="1"/>
    <col min="12822" max="12822" width="11.28515625" style="1544" bestFit="1" customWidth="1"/>
    <col min="12823" max="12823" width="12.5703125" style="1544" bestFit="1" customWidth="1"/>
    <col min="12824" max="12824" width="14" style="1544" bestFit="1" customWidth="1"/>
    <col min="12825" max="12825" width="6" style="1544" bestFit="1" customWidth="1"/>
    <col min="12826" max="12826" width="15" style="1544" customWidth="1"/>
    <col min="12827" max="12827" width="14.85546875" style="1544" bestFit="1" customWidth="1"/>
    <col min="12828" max="12828" width="16.140625" style="1544" bestFit="1" customWidth="1"/>
    <col min="12829" max="13055" width="9.140625" style="1544"/>
    <col min="13056" max="13056" width="24" style="1544" bestFit="1" customWidth="1"/>
    <col min="13057" max="13057" width="43.85546875" style="1544" customWidth="1"/>
    <col min="13058" max="13058" width="19.7109375" style="1544" bestFit="1" customWidth="1"/>
    <col min="13059" max="13059" width="12.42578125" style="1544" bestFit="1" customWidth="1"/>
    <col min="13060" max="13060" width="16.28515625" style="1544" bestFit="1" customWidth="1"/>
    <col min="13061" max="13061" width="13.42578125" style="1544" customWidth="1"/>
    <col min="13062" max="13062" width="15.28515625" style="1544" bestFit="1" customWidth="1"/>
    <col min="13063" max="13063" width="14.140625" style="1544" bestFit="1" customWidth="1"/>
    <col min="13064" max="13064" width="15.28515625" style="1544" customWidth="1"/>
    <col min="13065" max="13065" width="17.7109375" style="1544" customWidth="1"/>
    <col min="13066" max="13066" width="17" style="1544" bestFit="1" customWidth="1"/>
    <col min="13067" max="13067" width="12.7109375" style="1544" customWidth="1"/>
    <col min="13068" max="13068" width="13.7109375" style="1544" customWidth="1"/>
    <col min="13069" max="13069" width="13.85546875" style="1544" bestFit="1" customWidth="1"/>
    <col min="13070" max="13070" width="19.7109375" style="1544" bestFit="1" customWidth="1"/>
    <col min="13071" max="13071" width="16.140625" style="1544" customWidth="1"/>
    <col min="13072" max="13072" width="16.7109375" style="1544" bestFit="1" customWidth="1"/>
    <col min="13073" max="13073" width="15.5703125" style="1544" bestFit="1" customWidth="1"/>
    <col min="13074" max="13074" width="20.5703125" style="1544" bestFit="1" customWidth="1"/>
    <col min="13075" max="13075" width="16.42578125" style="1544" bestFit="1" customWidth="1"/>
    <col min="13076" max="13076" width="14.28515625" style="1544" customWidth="1"/>
    <col min="13077" max="13077" width="12.85546875" style="1544" bestFit="1" customWidth="1"/>
    <col min="13078" max="13078" width="11.28515625" style="1544" bestFit="1" customWidth="1"/>
    <col min="13079" max="13079" width="12.5703125" style="1544" bestFit="1" customWidth="1"/>
    <col min="13080" max="13080" width="14" style="1544" bestFit="1" customWidth="1"/>
    <col min="13081" max="13081" width="6" style="1544" bestFit="1" customWidth="1"/>
    <col min="13082" max="13082" width="15" style="1544" customWidth="1"/>
    <col min="13083" max="13083" width="14.85546875" style="1544" bestFit="1" customWidth="1"/>
    <col min="13084" max="13084" width="16.140625" style="1544" bestFit="1" customWidth="1"/>
    <col min="13085" max="13311" width="9.140625" style="1544"/>
    <col min="13312" max="13312" width="24" style="1544" bestFit="1" customWidth="1"/>
    <col min="13313" max="13313" width="43.85546875" style="1544" customWidth="1"/>
    <col min="13314" max="13314" width="19.7109375" style="1544" bestFit="1" customWidth="1"/>
    <col min="13315" max="13315" width="12.42578125" style="1544" bestFit="1" customWidth="1"/>
    <col min="13316" max="13316" width="16.28515625" style="1544" bestFit="1" customWidth="1"/>
    <col min="13317" max="13317" width="13.42578125" style="1544" customWidth="1"/>
    <col min="13318" max="13318" width="15.28515625" style="1544" bestFit="1" customWidth="1"/>
    <col min="13319" max="13319" width="14.140625" style="1544" bestFit="1" customWidth="1"/>
    <col min="13320" max="13320" width="15.28515625" style="1544" customWidth="1"/>
    <col min="13321" max="13321" width="17.7109375" style="1544" customWidth="1"/>
    <col min="13322" max="13322" width="17" style="1544" bestFit="1" customWidth="1"/>
    <col min="13323" max="13323" width="12.7109375" style="1544" customWidth="1"/>
    <col min="13324" max="13324" width="13.7109375" style="1544" customWidth="1"/>
    <col min="13325" max="13325" width="13.85546875" style="1544" bestFit="1" customWidth="1"/>
    <col min="13326" max="13326" width="19.7109375" style="1544" bestFit="1" customWidth="1"/>
    <col min="13327" max="13327" width="16.140625" style="1544" customWidth="1"/>
    <col min="13328" max="13328" width="16.7109375" style="1544" bestFit="1" customWidth="1"/>
    <col min="13329" max="13329" width="15.5703125" style="1544" bestFit="1" customWidth="1"/>
    <col min="13330" max="13330" width="20.5703125" style="1544" bestFit="1" customWidth="1"/>
    <col min="13331" max="13331" width="16.42578125" style="1544" bestFit="1" customWidth="1"/>
    <col min="13332" max="13332" width="14.28515625" style="1544" customWidth="1"/>
    <col min="13333" max="13333" width="12.85546875" style="1544" bestFit="1" customWidth="1"/>
    <col min="13334" max="13334" width="11.28515625" style="1544" bestFit="1" customWidth="1"/>
    <col min="13335" max="13335" width="12.5703125" style="1544" bestFit="1" customWidth="1"/>
    <col min="13336" max="13336" width="14" style="1544" bestFit="1" customWidth="1"/>
    <col min="13337" max="13337" width="6" style="1544" bestFit="1" customWidth="1"/>
    <col min="13338" max="13338" width="15" style="1544" customWidth="1"/>
    <col min="13339" max="13339" width="14.85546875" style="1544" bestFit="1" customWidth="1"/>
    <col min="13340" max="13340" width="16.140625" style="1544" bestFit="1" customWidth="1"/>
    <col min="13341" max="13567" width="9.140625" style="1544"/>
    <col min="13568" max="13568" width="24" style="1544" bestFit="1" customWidth="1"/>
    <col min="13569" max="13569" width="43.85546875" style="1544" customWidth="1"/>
    <col min="13570" max="13570" width="19.7109375" style="1544" bestFit="1" customWidth="1"/>
    <col min="13571" max="13571" width="12.42578125" style="1544" bestFit="1" customWidth="1"/>
    <col min="13572" max="13572" width="16.28515625" style="1544" bestFit="1" customWidth="1"/>
    <col min="13573" max="13573" width="13.42578125" style="1544" customWidth="1"/>
    <col min="13574" max="13574" width="15.28515625" style="1544" bestFit="1" customWidth="1"/>
    <col min="13575" max="13575" width="14.140625" style="1544" bestFit="1" customWidth="1"/>
    <col min="13576" max="13576" width="15.28515625" style="1544" customWidth="1"/>
    <col min="13577" max="13577" width="17.7109375" style="1544" customWidth="1"/>
    <col min="13578" max="13578" width="17" style="1544" bestFit="1" customWidth="1"/>
    <col min="13579" max="13579" width="12.7109375" style="1544" customWidth="1"/>
    <col min="13580" max="13580" width="13.7109375" style="1544" customWidth="1"/>
    <col min="13581" max="13581" width="13.85546875" style="1544" bestFit="1" customWidth="1"/>
    <col min="13582" max="13582" width="19.7109375" style="1544" bestFit="1" customWidth="1"/>
    <col min="13583" max="13583" width="16.140625" style="1544" customWidth="1"/>
    <col min="13584" max="13584" width="16.7109375" style="1544" bestFit="1" customWidth="1"/>
    <col min="13585" max="13585" width="15.5703125" style="1544" bestFit="1" customWidth="1"/>
    <col min="13586" max="13586" width="20.5703125" style="1544" bestFit="1" customWidth="1"/>
    <col min="13587" max="13587" width="16.42578125" style="1544" bestFit="1" customWidth="1"/>
    <col min="13588" max="13588" width="14.28515625" style="1544" customWidth="1"/>
    <col min="13589" max="13589" width="12.85546875" style="1544" bestFit="1" customWidth="1"/>
    <col min="13590" max="13590" width="11.28515625" style="1544" bestFit="1" customWidth="1"/>
    <col min="13591" max="13591" width="12.5703125" style="1544" bestFit="1" customWidth="1"/>
    <col min="13592" max="13592" width="14" style="1544" bestFit="1" customWidth="1"/>
    <col min="13593" max="13593" width="6" style="1544" bestFit="1" customWidth="1"/>
    <col min="13594" max="13594" width="15" style="1544" customWidth="1"/>
    <col min="13595" max="13595" width="14.85546875" style="1544" bestFit="1" customWidth="1"/>
    <col min="13596" max="13596" width="16.140625" style="1544" bestFit="1" customWidth="1"/>
    <col min="13597" max="13823" width="9.140625" style="1544"/>
    <col min="13824" max="13824" width="24" style="1544" bestFit="1" customWidth="1"/>
    <col min="13825" max="13825" width="43.85546875" style="1544" customWidth="1"/>
    <col min="13826" max="13826" width="19.7109375" style="1544" bestFit="1" customWidth="1"/>
    <col min="13827" max="13827" width="12.42578125" style="1544" bestFit="1" customWidth="1"/>
    <col min="13828" max="13828" width="16.28515625" style="1544" bestFit="1" customWidth="1"/>
    <col min="13829" max="13829" width="13.42578125" style="1544" customWidth="1"/>
    <col min="13830" max="13830" width="15.28515625" style="1544" bestFit="1" customWidth="1"/>
    <col min="13831" max="13831" width="14.140625" style="1544" bestFit="1" customWidth="1"/>
    <col min="13832" max="13832" width="15.28515625" style="1544" customWidth="1"/>
    <col min="13833" max="13833" width="17.7109375" style="1544" customWidth="1"/>
    <col min="13834" max="13834" width="17" style="1544" bestFit="1" customWidth="1"/>
    <col min="13835" max="13835" width="12.7109375" style="1544" customWidth="1"/>
    <col min="13836" max="13836" width="13.7109375" style="1544" customWidth="1"/>
    <col min="13837" max="13837" width="13.85546875" style="1544" bestFit="1" customWidth="1"/>
    <col min="13838" max="13838" width="19.7109375" style="1544" bestFit="1" customWidth="1"/>
    <col min="13839" max="13839" width="16.140625" style="1544" customWidth="1"/>
    <col min="13840" max="13840" width="16.7109375" style="1544" bestFit="1" customWidth="1"/>
    <col min="13841" max="13841" width="15.5703125" style="1544" bestFit="1" customWidth="1"/>
    <col min="13842" max="13842" width="20.5703125" style="1544" bestFit="1" customWidth="1"/>
    <col min="13843" max="13843" width="16.42578125" style="1544" bestFit="1" customWidth="1"/>
    <col min="13844" max="13844" width="14.28515625" style="1544" customWidth="1"/>
    <col min="13845" max="13845" width="12.85546875" style="1544" bestFit="1" customWidth="1"/>
    <col min="13846" max="13846" width="11.28515625" style="1544" bestFit="1" customWidth="1"/>
    <col min="13847" max="13847" width="12.5703125" style="1544" bestFit="1" customWidth="1"/>
    <col min="13848" max="13848" width="14" style="1544" bestFit="1" customWidth="1"/>
    <col min="13849" max="13849" width="6" style="1544" bestFit="1" customWidth="1"/>
    <col min="13850" max="13850" width="15" style="1544" customWidth="1"/>
    <col min="13851" max="13851" width="14.85546875" style="1544" bestFit="1" customWidth="1"/>
    <col min="13852" max="13852" width="16.140625" style="1544" bestFit="1" customWidth="1"/>
    <col min="13853" max="14079" width="9.140625" style="1544"/>
    <col min="14080" max="14080" width="24" style="1544" bestFit="1" customWidth="1"/>
    <col min="14081" max="14081" width="43.85546875" style="1544" customWidth="1"/>
    <col min="14082" max="14082" width="19.7109375" style="1544" bestFit="1" customWidth="1"/>
    <col min="14083" max="14083" width="12.42578125" style="1544" bestFit="1" customWidth="1"/>
    <col min="14084" max="14084" width="16.28515625" style="1544" bestFit="1" customWidth="1"/>
    <col min="14085" max="14085" width="13.42578125" style="1544" customWidth="1"/>
    <col min="14086" max="14086" width="15.28515625" style="1544" bestFit="1" customWidth="1"/>
    <col min="14087" max="14087" width="14.140625" style="1544" bestFit="1" customWidth="1"/>
    <col min="14088" max="14088" width="15.28515625" style="1544" customWidth="1"/>
    <col min="14089" max="14089" width="17.7109375" style="1544" customWidth="1"/>
    <col min="14090" max="14090" width="17" style="1544" bestFit="1" customWidth="1"/>
    <col min="14091" max="14091" width="12.7109375" style="1544" customWidth="1"/>
    <col min="14092" max="14092" width="13.7109375" style="1544" customWidth="1"/>
    <col min="14093" max="14093" width="13.85546875" style="1544" bestFit="1" customWidth="1"/>
    <col min="14094" max="14094" width="19.7109375" style="1544" bestFit="1" customWidth="1"/>
    <col min="14095" max="14095" width="16.140625" style="1544" customWidth="1"/>
    <col min="14096" max="14096" width="16.7109375" style="1544" bestFit="1" customWidth="1"/>
    <col min="14097" max="14097" width="15.5703125" style="1544" bestFit="1" customWidth="1"/>
    <col min="14098" max="14098" width="20.5703125" style="1544" bestFit="1" customWidth="1"/>
    <col min="14099" max="14099" width="16.42578125" style="1544" bestFit="1" customWidth="1"/>
    <col min="14100" max="14100" width="14.28515625" style="1544" customWidth="1"/>
    <col min="14101" max="14101" width="12.85546875" style="1544" bestFit="1" customWidth="1"/>
    <col min="14102" max="14102" width="11.28515625" style="1544" bestFit="1" customWidth="1"/>
    <col min="14103" max="14103" width="12.5703125" style="1544" bestFit="1" customWidth="1"/>
    <col min="14104" max="14104" width="14" style="1544" bestFit="1" customWidth="1"/>
    <col min="14105" max="14105" width="6" style="1544" bestFit="1" customWidth="1"/>
    <col min="14106" max="14106" width="15" style="1544" customWidth="1"/>
    <col min="14107" max="14107" width="14.85546875" style="1544" bestFit="1" customWidth="1"/>
    <col min="14108" max="14108" width="16.140625" style="1544" bestFit="1" customWidth="1"/>
    <col min="14109" max="14335" width="9.140625" style="1544"/>
    <col min="14336" max="14336" width="24" style="1544" bestFit="1" customWidth="1"/>
    <col min="14337" max="14337" width="43.85546875" style="1544" customWidth="1"/>
    <col min="14338" max="14338" width="19.7109375" style="1544" bestFit="1" customWidth="1"/>
    <col min="14339" max="14339" width="12.42578125" style="1544" bestFit="1" customWidth="1"/>
    <col min="14340" max="14340" width="16.28515625" style="1544" bestFit="1" customWidth="1"/>
    <col min="14341" max="14341" width="13.42578125" style="1544" customWidth="1"/>
    <col min="14342" max="14342" width="15.28515625" style="1544" bestFit="1" customWidth="1"/>
    <col min="14343" max="14343" width="14.140625" style="1544" bestFit="1" customWidth="1"/>
    <col min="14344" max="14344" width="15.28515625" style="1544" customWidth="1"/>
    <col min="14345" max="14345" width="17.7109375" style="1544" customWidth="1"/>
    <col min="14346" max="14346" width="17" style="1544" bestFit="1" customWidth="1"/>
    <col min="14347" max="14347" width="12.7109375" style="1544" customWidth="1"/>
    <col min="14348" max="14348" width="13.7109375" style="1544" customWidth="1"/>
    <col min="14349" max="14349" width="13.85546875" style="1544" bestFit="1" customWidth="1"/>
    <col min="14350" max="14350" width="19.7109375" style="1544" bestFit="1" customWidth="1"/>
    <col min="14351" max="14351" width="16.140625" style="1544" customWidth="1"/>
    <col min="14352" max="14352" width="16.7109375" style="1544" bestFit="1" customWidth="1"/>
    <col min="14353" max="14353" width="15.5703125" style="1544" bestFit="1" customWidth="1"/>
    <col min="14354" max="14354" width="20.5703125" style="1544" bestFit="1" customWidth="1"/>
    <col min="14355" max="14355" width="16.42578125" style="1544" bestFit="1" customWidth="1"/>
    <col min="14356" max="14356" width="14.28515625" style="1544" customWidth="1"/>
    <col min="14357" max="14357" width="12.85546875" style="1544" bestFit="1" customWidth="1"/>
    <col min="14358" max="14358" width="11.28515625" style="1544" bestFit="1" customWidth="1"/>
    <col min="14359" max="14359" width="12.5703125" style="1544" bestFit="1" customWidth="1"/>
    <col min="14360" max="14360" width="14" style="1544" bestFit="1" customWidth="1"/>
    <col min="14361" max="14361" width="6" style="1544" bestFit="1" customWidth="1"/>
    <col min="14362" max="14362" width="15" style="1544" customWidth="1"/>
    <col min="14363" max="14363" width="14.85546875" style="1544" bestFit="1" customWidth="1"/>
    <col min="14364" max="14364" width="16.140625" style="1544" bestFit="1" customWidth="1"/>
    <col min="14365" max="14591" width="9.140625" style="1544"/>
    <col min="14592" max="14592" width="24" style="1544" bestFit="1" customWidth="1"/>
    <col min="14593" max="14593" width="43.85546875" style="1544" customWidth="1"/>
    <col min="14594" max="14594" width="19.7109375" style="1544" bestFit="1" customWidth="1"/>
    <col min="14595" max="14595" width="12.42578125" style="1544" bestFit="1" customWidth="1"/>
    <col min="14596" max="14596" width="16.28515625" style="1544" bestFit="1" customWidth="1"/>
    <col min="14597" max="14597" width="13.42578125" style="1544" customWidth="1"/>
    <col min="14598" max="14598" width="15.28515625" style="1544" bestFit="1" customWidth="1"/>
    <col min="14599" max="14599" width="14.140625" style="1544" bestFit="1" customWidth="1"/>
    <col min="14600" max="14600" width="15.28515625" style="1544" customWidth="1"/>
    <col min="14601" max="14601" width="17.7109375" style="1544" customWidth="1"/>
    <col min="14602" max="14602" width="17" style="1544" bestFit="1" customWidth="1"/>
    <col min="14603" max="14603" width="12.7109375" style="1544" customWidth="1"/>
    <col min="14604" max="14604" width="13.7109375" style="1544" customWidth="1"/>
    <col min="14605" max="14605" width="13.85546875" style="1544" bestFit="1" customWidth="1"/>
    <col min="14606" max="14606" width="19.7109375" style="1544" bestFit="1" customWidth="1"/>
    <col min="14607" max="14607" width="16.140625" style="1544" customWidth="1"/>
    <col min="14608" max="14608" width="16.7109375" style="1544" bestFit="1" customWidth="1"/>
    <col min="14609" max="14609" width="15.5703125" style="1544" bestFit="1" customWidth="1"/>
    <col min="14610" max="14610" width="20.5703125" style="1544" bestFit="1" customWidth="1"/>
    <col min="14611" max="14611" width="16.42578125" style="1544" bestFit="1" customWidth="1"/>
    <col min="14612" max="14612" width="14.28515625" style="1544" customWidth="1"/>
    <col min="14613" max="14613" width="12.85546875" style="1544" bestFit="1" customWidth="1"/>
    <col min="14614" max="14614" width="11.28515625" style="1544" bestFit="1" customWidth="1"/>
    <col min="14615" max="14615" width="12.5703125" style="1544" bestFit="1" customWidth="1"/>
    <col min="14616" max="14616" width="14" style="1544" bestFit="1" customWidth="1"/>
    <col min="14617" max="14617" width="6" style="1544" bestFit="1" customWidth="1"/>
    <col min="14618" max="14618" width="15" style="1544" customWidth="1"/>
    <col min="14619" max="14619" width="14.85546875" style="1544" bestFit="1" customWidth="1"/>
    <col min="14620" max="14620" width="16.140625" style="1544" bestFit="1" customWidth="1"/>
    <col min="14621" max="14847" width="9.140625" style="1544"/>
    <col min="14848" max="14848" width="24" style="1544" bestFit="1" customWidth="1"/>
    <col min="14849" max="14849" width="43.85546875" style="1544" customWidth="1"/>
    <col min="14850" max="14850" width="19.7109375" style="1544" bestFit="1" customWidth="1"/>
    <col min="14851" max="14851" width="12.42578125" style="1544" bestFit="1" customWidth="1"/>
    <col min="14852" max="14852" width="16.28515625" style="1544" bestFit="1" customWidth="1"/>
    <col min="14853" max="14853" width="13.42578125" style="1544" customWidth="1"/>
    <col min="14854" max="14854" width="15.28515625" style="1544" bestFit="1" customWidth="1"/>
    <col min="14855" max="14855" width="14.140625" style="1544" bestFit="1" customWidth="1"/>
    <col min="14856" max="14856" width="15.28515625" style="1544" customWidth="1"/>
    <col min="14857" max="14857" width="17.7109375" style="1544" customWidth="1"/>
    <col min="14858" max="14858" width="17" style="1544" bestFit="1" customWidth="1"/>
    <col min="14859" max="14859" width="12.7109375" style="1544" customWidth="1"/>
    <col min="14860" max="14860" width="13.7109375" style="1544" customWidth="1"/>
    <col min="14861" max="14861" width="13.85546875" style="1544" bestFit="1" customWidth="1"/>
    <col min="14862" max="14862" width="19.7109375" style="1544" bestFit="1" customWidth="1"/>
    <col min="14863" max="14863" width="16.140625" style="1544" customWidth="1"/>
    <col min="14864" max="14864" width="16.7109375" style="1544" bestFit="1" customWidth="1"/>
    <col min="14865" max="14865" width="15.5703125" style="1544" bestFit="1" customWidth="1"/>
    <col min="14866" max="14866" width="20.5703125" style="1544" bestFit="1" customWidth="1"/>
    <col min="14867" max="14867" width="16.42578125" style="1544" bestFit="1" customWidth="1"/>
    <col min="14868" max="14868" width="14.28515625" style="1544" customWidth="1"/>
    <col min="14869" max="14869" width="12.85546875" style="1544" bestFit="1" customWidth="1"/>
    <col min="14870" max="14870" width="11.28515625" style="1544" bestFit="1" customWidth="1"/>
    <col min="14871" max="14871" width="12.5703125" style="1544" bestFit="1" customWidth="1"/>
    <col min="14872" max="14872" width="14" style="1544" bestFit="1" customWidth="1"/>
    <col min="14873" max="14873" width="6" style="1544" bestFit="1" customWidth="1"/>
    <col min="14874" max="14874" width="15" style="1544" customWidth="1"/>
    <col min="14875" max="14875" width="14.85546875" style="1544" bestFit="1" customWidth="1"/>
    <col min="14876" max="14876" width="16.140625" style="1544" bestFit="1" customWidth="1"/>
    <col min="14877" max="15103" width="9.140625" style="1544"/>
    <col min="15104" max="15104" width="24" style="1544" bestFit="1" customWidth="1"/>
    <col min="15105" max="15105" width="43.85546875" style="1544" customWidth="1"/>
    <col min="15106" max="15106" width="19.7109375" style="1544" bestFit="1" customWidth="1"/>
    <col min="15107" max="15107" width="12.42578125" style="1544" bestFit="1" customWidth="1"/>
    <col min="15108" max="15108" width="16.28515625" style="1544" bestFit="1" customWidth="1"/>
    <col min="15109" max="15109" width="13.42578125" style="1544" customWidth="1"/>
    <col min="15110" max="15110" width="15.28515625" style="1544" bestFit="1" customWidth="1"/>
    <col min="15111" max="15111" width="14.140625" style="1544" bestFit="1" customWidth="1"/>
    <col min="15112" max="15112" width="15.28515625" style="1544" customWidth="1"/>
    <col min="15113" max="15113" width="17.7109375" style="1544" customWidth="1"/>
    <col min="15114" max="15114" width="17" style="1544" bestFit="1" customWidth="1"/>
    <col min="15115" max="15115" width="12.7109375" style="1544" customWidth="1"/>
    <col min="15116" max="15116" width="13.7109375" style="1544" customWidth="1"/>
    <col min="15117" max="15117" width="13.85546875" style="1544" bestFit="1" customWidth="1"/>
    <col min="15118" max="15118" width="19.7109375" style="1544" bestFit="1" customWidth="1"/>
    <col min="15119" max="15119" width="16.140625" style="1544" customWidth="1"/>
    <col min="15120" max="15120" width="16.7109375" style="1544" bestFit="1" customWidth="1"/>
    <col min="15121" max="15121" width="15.5703125" style="1544" bestFit="1" customWidth="1"/>
    <col min="15122" max="15122" width="20.5703125" style="1544" bestFit="1" customWidth="1"/>
    <col min="15123" max="15123" width="16.42578125" style="1544" bestFit="1" customWidth="1"/>
    <col min="15124" max="15124" width="14.28515625" style="1544" customWidth="1"/>
    <col min="15125" max="15125" width="12.85546875" style="1544" bestFit="1" customWidth="1"/>
    <col min="15126" max="15126" width="11.28515625" style="1544" bestFit="1" customWidth="1"/>
    <col min="15127" max="15127" width="12.5703125" style="1544" bestFit="1" customWidth="1"/>
    <col min="15128" max="15128" width="14" style="1544" bestFit="1" customWidth="1"/>
    <col min="15129" max="15129" width="6" style="1544" bestFit="1" customWidth="1"/>
    <col min="15130" max="15130" width="15" style="1544" customWidth="1"/>
    <col min="15131" max="15131" width="14.85546875" style="1544" bestFit="1" customWidth="1"/>
    <col min="15132" max="15132" width="16.140625" style="1544" bestFit="1" customWidth="1"/>
    <col min="15133" max="15359" width="9.140625" style="1544"/>
    <col min="15360" max="15360" width="24" style="1544" bestFit="1" customWidth="1"/>
    <col min="15361" max="15361" width="43.85546875" style="1544" customWidth="1"/>
    <col min="15362" max="15362" width="19.7109375" style="1544" bestFit="1" customWidth="1"/>
    <col min="15363" max="15363" width="12.42578125" style="1544" bestFit="1" customWidth="1"/>
    <col min="15364" max="15364" width="16.28515625" style="1544" bestFit="1" customWidth="1"/>
    <col min="15365" max="15365" width="13.42578125" style="1544" customWidth="1"/>
    <col min="15366" max="15366" width="15.28515625" style="1544" bestFit="1" customWidth="1"/>
    <col min="15367" max="15367" width="14.140625" style="1544" bestFit="1" customWidth="1"/>
    <col min="15368" max="15368" width="15.28515625" style="1544" customWidth="1"/>
    <col min="15369" max="15369" width="17.7109375" style="1544" customWidth="1"/>
    <col min="15370" max="15370" width="17" style="1544" bestFit="1" customWidth="1"/>
    <col min="15371" max="15371" width="12.7109375" style="1544" customWidth="1"/>
    <col min="15372" max="15372" width="13.7109375" style="1544" customWidth="1"/>
    <col min="15373" max="15373" width="13.85546875" style="1544" bestFit="1" customWidth="1"/>
    <col min="15374" max="15374" width="19.7109375" style="1544" bestFit="1" customWidth="1"/>
    <col min="15375" max="15375" width="16.140625" style="1544" customWidth="1"/>
    <col min="15376" max="15376" width="16.7109375" style="1544" bestFit="1" customWidth="1"/>
    <col min="15377" max="15377" width="15.5703125" style="1544" bestFit="1" customWidth="1"/>
    <col min="15378" max="15378" width="20.5703125" style="1544" bestFit="1" customWidth="1"/>
    <col min="15379" max="15379" width="16.42578125" style="1544" bestFit="1" customWidth="1"/>
    <col min="15380" max="15380" width="14.28515625" style="1544" customWidth="1"/>
    <col min="15381" max="15381" width="12.85546875" style="1544" bestFit="1" customWidth="1"/>
    <col min="15382" max="15382" width="11.28515625" style="1544" bestFit="1" customWidth="1"/>
    <col min="15383" max="15383" width="12.5703125" style="1544" bestFit="1" customWidth="1"/>
    <col min="15384" max="15384" width="14" style="1544" bestFit="1" customWidth="1"/>
    <col min="15385" max="15385" width="6" style="1544" bestFit="1" customWidth="1"/>
    <col min="15386" max="15386" width="15" style="1544" customWidth="1"/>
    <col min="15387" max="15387" width="14.85546875" style="1544" bestFit="1" customWidth="1"/>
    <col min="15388" max="15388" width="16.140625" style="1544" bestFit="1" customWidth="1"/>
    <col min="15389" max="15615" width="9.140625" style="1544"/>
    <col min="15616" max="15616" width="24" style="1544" bestFit="1" customWidth="1"/>
    <col min="15617" max="15617" width="43.85546875" style="1544" customWidth="1"/>
    <col min="15618" max="15618" width="19.7109375" style="1544" bestFit="1" customWidth="1"/>
    <col min="15619" max="15619" width="12.42578125" style="1544" bestFit="1" customWidth="1"/>
    <col min="15620" max="15620" width="16.28515625" style="1544" bestFit="1" customWidth="1"/>
    <col min="15621" max="15621" width="13.42578125" style="1544" customWidth="1"/>
    <col min="15622" max="15622" width="15.28515625" style="1544" bestFit="1" customWidth="1"/>
    <col min="15623" max="15623" width="14.140625" style="1544" bestFit="1" customWidth="1"/>
    <col min="15624" max="15624" width="15.28515625" style="1544" customWidth="1"/>
    <col min="15625" max="15625" width="17.7109375" style="1544" customWidth="1"/>
    <col min="15626" max="15626" width="17" style="1544" bestFit="1" customWidth="1"/>
    <col min="15627" max="15627" width="12.7109375" style="1544" customWidth="1"/>
    <col min="15628" max="15628" width="13.7109375" style="1544" customWidth="1"/>
    <col min="15629" max="15629" width="13.85546875" style="1544" bestFit="1" customWidth="1"/>
    <col min="15630" max="15630" width="19.7109375" style="1544" bestFit="1" customWidth="1"/>
    <col min="15631" max="15631" width="16.140625" style="1544" customWidth="1"/>
    <col min="15632" max="15632" width="16.7109375" style="1544" bestFit="1" customWidth="1"/>
    <col min="15633" max="15633" width="15.5703125" style="1544" bestFit="1" customWidth="1"/>
    <col min="15634" max="15634" width="20.5703125" style="1544" bestFit="1" customWidth="1"/>
    <col min="15635" max="15635" width="16.42578125" style="1544" bestFit="1" customWidth="1"/>
    <col min="15636" max="15636" width="14.28515625" style="1544" customWidth="1"/>
    <col min="15637" max="15637" width="12.85546875" style="1544" bestFit="1" customWidth="1"/>
    <col min="15638" max="15638" width="11.28515625" style="1544" bestFit="1" customWidth="1"/>
    <col min="15639" max="15639" width="12.5703125" style="1544" bestFit="1" customWidth="1"/>
    <col min="15640" max="15640" width="14" style="1544" bestFit="1" customWidth="1"/>
    <col min="15641" max="15641" width="6" style="1544" bestFit="1" customWidth="1"/>
    <col min="15642" max="15642" width="15" style="1544" customWidth="1"/>
    <col min="15643" max="15643" width="14.85546875" style="1544" bestFit="1" customWidth="1"/>
    <col min="15644" max="15644" width="16.140625" style="1544" bestFit="1" customWidth="1"/>
    <col min="15645" max="15871" width="9.140625" style="1544"/>
    <col min="15872" max="15872" width="24" style="1544" bestFit="1" customWidth="1"/>
    <col min="15873" max="15873" width="43.85546875" style="1544" customWidth="1"/>
    <col min="15874" max="15874" width="19.7109375" style="1544" bestFit="1" customWidth="1"/>
    <col min="15875" max="15875" width="12.42578125" style="1544" bestFit="1" customWidth="1"/>
    <col min="15876" max="15876" width="16.28515625" style="1544" bestFit="1" customWidth="1"/>
    <col min="15877" max="15877" width="13.42578125" style="1544" customWidth="1"/>
    <col min="15878" max="15878" width="15.28515625" style="1544" bestFit="1" customWidth="1"/>
    <col min="15879" max="15879" width="14.140625" style="1544" bestFit="1" customWidth="1"/>
    <col min="15880" max="15880" width="15.28515625" style="1544" customWidth="1"/>
    <col min="15881" max="15881" width="17.7109375" style="1544" customWidth="1"/>
    <col min="15882" max="15882" width="17" style="1544" bestFit="1" customWidth="1"/>
    <col min="15883" max="15883" width="12.7109375" style="1544" customWidth="1"/>
    <col min="15884" max="15884" width="13.7109375" style="1544" customWidth="1"/>
    <col min="15885" max="15885" width="13.85546875" style="1544" bestFit="1" customWidth="1"/>
    <col min="15886" max="15886" width="19.7109375" style="1544" bestFit="1" customWidth="1"/>
    <col min="15887" max="15887" width="16.140625" style="1544" customWidth="1"/>
    <col min="15888" max="15888" width="16.7109375" style="1544" bestFit="1" customWidth="1"/>
    <col min="15889" max="15889" width="15.5703125" style="1544" bestFit="1" customWidth="1"/>
    <col min="15890" max="15890" width="20.5703125" style="1544" bestFit="1" customWidth="1"/>
    <col min="15891" max="15891" width="16.42578125" style="1544" bestFit="1" customWidth="1"/>
    <col min="15892" max="15892" width="14.28515625" style="1544" customWidth="1"/>
    <col min="15893" max="15893" width="12.85546875" style="1544" bestFit="1" customWidth="1"/>
    <col min="15894" max="15894" width="11.28515625" style="1544" bestFit="1" customWidth="1"/>
    <col min="15895" max="15895" width="12.5703125" style="1544" bestFit="1" customWidth="1"/>
    <col min="15896" max="15896" width="14" style="1544" bestFit="1" customWidth="1"/>
    <col min="15897" max="15897" width="6" style="1544" bestFit="1" customWidth="1"/>
    <col min="15898" max="15898" width="15" style="1544" customWidth="1"/>
    <col min="15899" max="15899" width="14.85546875" style="1544" bestFit="1" customWidth="1"/>
    <col min="15900" max="15900" width="16.140625" style="1544" bestFit="1" customWidth="1"/>
    <col min="15901" max="16127" width="9.140625" style="1544"/>
    <col min="16128" max="16128" width="24" style="1544" bestFit="1" customWidth="1"/>
    <col min="16129" max="16129" width="43.85546875" style="1544" customWidth="1"/>
    <col min="16130" max="16130" width="19.7109375" style="1544" bestFit="1" customWidth="1"/>
    <col min="16131" max="16131" width="12.42578125" style="1544" bestFit="1" customWidth="1"/>
    <col min="16132" max="16132" width="16.28515625" style="1544" bestFit="1" customWidth="1"/>
    <col min="16133" max="16133" width="13.42578125" style="1544" customWidth="1"/>
    <col min="16134" max="16134" width="15.28515625" style="1544" bestFit="1" customWidth="1"/>
    <col min="16135" max="16135" width="14.140625" style="1544" bestFit="1" customWidth="1"/>
    <col min="16136" max="16136" width="15.28515625" style="1544" customWidth="1"/>
    <col min="16137" max="16137" width="17.7109375" style="1544" customWidth="1"/>
    <col min="16138" max="16138" width="17" style="1544" bestFit="1" customWidth="1"/>
    <col min="16139" max="16139" width="12.7109375" style="1544" customWidth="1"/>
    <col min="16140" max="16140" width="13.7109375" style="1544" customWidth="1"/>
    <col min="16141" max="16141" width="13.85546875" style="1544" bestFit="1" customWidth="1"/>
    <col min="16142" max="16142" width="19.7109375" style="1544" bestFit="1" customWidth="1"/>
    <col min="16143" max="16143" width="16.140625" style="1544" customWidth="1"/>
    <col min="16144" max="16144" width="16.7109375" style="1544" bestFit="1" customWidth="1"/>
    <col min="16145" max="16145" width="15.5703125" style="1544" bestFit="1" customWidth="1"/>
    <col min="16146" max="16146" width="20.5703125" style="1544" bestFit="1" customWidth="1"/>
    <col min="16147" max="16147" width="16.42578125" style="1544" bestFit="1" customWidth="1"/>
    <col min="16148" max="16148" width="14.28515625" style="1544" customWidth="1"/>
    <col min="16149" max="16149" width="12.85546875" style="1544" bestFit="1" customWidth="1"/>
    <col min="16150" max="16150" width="11.28515625" style="1544" bestFit="1" customWidth="1"/>
    <col min="16151" max="16151" width="12.5703125" style="1544" bestFit="1" customWidth="1"/>
    <col min="16152" max="16152" width="14" style="1544" bestFit="1" customWidth="1"/>
    <col min="16153" max="16153" width="6" style="1544" bestFit="1" customWidth="1"/>
    <col min="16154" max="16154" width="15" style="1544" customWidth="1"/>
    <col min="16155" max="16155" width="14.85546875" style="1544" bestFit="1" customWidth="1"/>
    <col min="16156" max="16156" width="16.140625" style="1544" bestFit="1" customWidth="1"/>
    <col min="16157" max="16384" width="9.140625" style="1544"/>
  </cols>
  <sheetData>
    <row r="1" spans="1:33" ht="42.75" customHeight="1" thickBot="1">
      <c r="C1" s="1812" t="s">
        <v>292</v>
      </c>
      <c r="D1" s="1812" t="s">
        <v>291</v>
      </c>
      <c r="E1" s="1812" t="s">
        <v>6</v>
      </c>
      <c r="F1" s="1812">
        <v>18230680</v>
      </c>
      <c r="G1" s="1812" t="s">
        <v>31</v>
      </c>
      <c r="J1" s="1546"/>
      <c r="M1" s="1812" t="s">
        <v>292</v>
      </c>
      <c r="N1" s="1812" t="s">
        <v>291</v>
      </c>
      <c r="O1" s="1812" t="s">
        <v>6</v>
      </c>
      <c r="P1" s="1812">
        <v>18230680</v>
      </c>
      <c r="Q1" s="1812" t="s">
        <v>31</v>
      </c>
      <c r="V1" s="1812" t="s">
        <v>292</v>
      </c>
      <c r="W1" s="1812" t="s">
        <v>291</v>
      </c>
      <c r="X1" s="1812" t="s">
        <v>6</v>
      </c>
      <c r="Y1" s="1812">
        <v>18230680</v>
      </c>
      <c r="Z1" s="1812" t="s">
        <v>31</v>
      </c>
    </row>
    <row r="2" spans="1:33" ht="16.5" thickBot="1">
      <c r="C2" s="1546"/>
      <c r="D2" s="1547"/>
      <c r="H2" s="1576" t="s">
        <v>674</v>
      </c>
      <c r="R2" s="3596"/>
      <c r="S2" s="3596"/>
      <c r="T2" s="3597" t="s">
        <v>36</v>
      </c>
      <c r="U2" s="3598"/>
      <c r="V2" s="3599"/>
      <c r="W2" s="3594" t="s">
        <v>37</v>
      </c>
    </row>
    <row r="3" spans="1:33" ht="26.25" thickBot="1">
      <c r="A3" s="1808" t="s">
        <v>292</v>
      </c>
      <c r="B3" s="1808"/>
      <c r="E3" s="1544"/>
      <c r="H3" s="1577" t="s">
        <v>8</v>
      </c>
      <c r="I3" s="1538" t="s">
        <v>9</v>
      </c>
      <c r="J3" s="1538" t="s">
        <v>10</v>
      </c>
      <c r="K3" s="1538" t="s">
        <v>11</v>
      </c>
      <c r="L3" s="2037" t="s">
        <v>504</v>
      </c>
      <c r="M3" s="1538" t="s">
        <v>12</v>
      </c>
      <c r="N3" s="1538" t="s">
        <v>13</v>
      </c>
      <c r="O3" s="1538" t="s">
        <v>14</v>
      </c>
      <c r="P3" s="1538" t="s">
        <v>38</v>
      </c>
      <c r="Q3" s="1538" t="s">
        <v>39</v>
      </c>
      <c r="R3" s="1578" t="s">
        <v>16</v>
      </c>
      <c r="S3" s="1995" t="s">
        <v>40</v>
      </c>
      <c r="T3" s="1548" t="s">
        <v>41</v>
      </c>
      <c r="U3" s="1548" t="s">
        <v>11</v>
      </c>
      <c r="V3" s="1543" t="s">
        <v>42</v>
      </c>
      <c r="W3" s="3595"/>
    </row>
    <row r="4" spans="1:33" ht="16.5" thickBot="1">
      <c r="A4" s="1808" t="s">
        <v>291</v>
      </c>
      <c r="B4" s="1808"/>
      <c r="C4" s="1547"/>
      <c r="E4" s="1551"/>
      <c r="G4" s="1704" t="s">
        <v>668</v>
      </c>
      <c r="H4" s="2003">
        <v>0</v>
      </c>
      <c r="I4" s="2002">
        <v>0</v>
      </c>
      <c r="J4" s="2002">
        <v>0</v>
      </c>
      <c r="K4" s="2002">
        <v>0</v>
      </c>
      <c r="L4" s="2002">
        <v>0</v>
      </c>
      <c r="M4" s="2002">
        <v>0</v>
      </c>
      <c r="N4" s="2002">
        <v>0</v>
      </c>
      <c r="O4" s="2002">
        <v>0</v>
      </c>
      <c r="P4" s="2002">
        <v>0</v>
      </c>
      <c r="Q4" s="2002">
        <v>0</v>
      </c>
      <c r="R4" s="2000">
        <v>0</v>
      </c>
      <c r="S4" s="1998">
        <v>0</v>
      </c>
      <c r="T4" s="1541" t="e">
        <f>P4/R4</f>
        <v>#DIV/0!</v>
      </c>
      <c r="U4" s="1541" t="e">
        <f>(K4+(I4*1.63))/R4</f>
        <v>#DIV/0!</v>
      </c>
      <c r="V4" s="1541" t="e">
        <f>M4/R4</f>
        <v>#DIV/0!</v>
      </c>
      <c r="W4" s="1539" t="e">
        <f>R4/S4</f>
        <v>#DIV/0!</v>
      </c>
    </row>
    <row r="5" spans="1:33" ht="16.5" thickBot="1">
      <c r="A5" s="1808" t="s">
        <v>6</v>
      </c>
      <c r="B5" s="1808"/>
      <c r="C5" s="1546"/>
      <c r="D5" s="1547"/>
      <c r="E5"/>
      <c r="G5" s="1546">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1808">
        <v>18230680</v>
      </c>
      <c r="B6" s="1808"/>
      <c r="D6" s="1550"/>
      <c r="E6"/>
      <c r="G6" s="1546">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1808" t="s">
        <v>31</v>
      </c>
      <c r="B7" s="1808"/>
      <c r="C7" s="1866"/>
      <c r="D7" s="1584"/>
      <c r="E7" s="1866"/>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S5+S6</f>
        <v>0</v>
      </c>
      <c r="T7" s="1542" t="e">
        <f>P7/R7</f>
        <v>#DIV/0!</v>
      </c>
      <c r="U7" s="1542" t="e">
        <f>(K7+(I7*1.63))/R7</f>
        <v>#DIV/0!</v>
      </c>
      <c r="V7" s="1542" t="e">
        <f>M7/R7</f>
        <v>#DIV/0!</v>
      </c>
      <c r="W7" s="1540" t="e">
        <f>R7/S7</f>
        <v>#DIV/0!</v>
      </c>
    </row>
    <row r="8" spans="1:33" ht="15.75">
      <c r="B8" s="1808"/>
      <c r="C8" s="1866"/>
      <c r="D8" s="1584"/>
      <c r="E8" s="1866"/>
      <c r="F8" s="1866"/>
    </row>
    <row r="9" spans="1:33" ht="15.75">
      <c r="A9" s="1808"/>
      <c r="B9" s="1808"/>
      <c r="C9" s="1866"/>
      <c r="D9" s="1584"/>
      <c r="E9" s="1866"/>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292</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291</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18230680</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292</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291</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18230680</v>
      </c>
      <c r="C67" s="1959" t="s">
        <v>54</v>
      </c>
      <c r="D67" s="1971">
        <v>0</v>
      </c>
      <c r="E67" s="1971">
        <v>0</v>
      </c>
      <c r="F67" s="1956">
        <v>0</v>
      </c>
    </row>
    <row r="68" spans="1:33">
      <c r="A68" s="1808" t="s">
        <v>31</v>
      </c>
    </row>
  </sheetData>
  <customSheetViews>
    <customSheetView guid="{074EB09C-6289-46D7-9513-012B68BCA7BF}" showGridLines="0" fitToPage="1">
      <pane xSplit="1" ySplit="1" topLeftCell="B2" activePane="bottomRight" state="frozen"/>
      <selection pane="bottomRight"/>
      <pageMargins left="0.28000000000000003" right="0.22" top="0.36" bottom="0.45" header="0.3" footer="0.3"/>
      <pageSetup paperSize="3" scale="43" orientation="landscape" r:id="rId1"/>
    </customSheetView>
    <customSheetView guid="{D9EFFE19-D14B-4C6F-BDF4-FF696F73968D}" showGridLines="0" fitToPage="1">
      <pane xSplit="1" ySplit="1" topLeftCell="I2" activePane="bottomRight" state="frozen"/>
      <selection pane="bottomRight" activeCell="I30" sqref="I30"/>
      <pageMargins left="0.28000000000000003" right="0.22" top="0.36" bottom="0.45" header="0.3" footer="0.3"/>
      <pageSetup paperSize="3" scale="43"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8000000000000003" right="0.22" top="0.36" bottom="0.45" header="0.3" footer="0.3"/>
  <pageSetup paperSize="3" scale="43" orientation="landscape" r:id="rId3"/>
  <drawing r:id="rId4"/>
  <legacy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A995C1"/>
  </sheetPr>
  <dimension ref="A1:Z68"/>
  <sheetViews>
    <sheetView showGridLines="0" workbookViewId="0">
      <pane xSplit="1" ySplit="1" topLeftCell="B2" activePane="bottomRight" state="frozen"/>
      <selection pane="topRight" activeCell="B1" sqref="B1"/>
      <selection pane="bottomLeft" activeCell="A2" sqref="A2"/>
      <selection pane="bottomRight" activeCell="C3" sqref="C3"/>
    </sheetView>
  </sheetViews>
  <sheetFormatPr defaultRowHeight="12.75"/>
  <cols>
    <col min="1" max="1" width="18.42578125" customWidth="1"/>
    <col min="2" max="2" width="15.7109375" style="1866" customWidth="1"/>
    <col min="3" max="3" width="27.7109375" customWidth="1"/>
    <col min="4" max="7" width="17" customWidth="1"/>
    <col min="8" max="8" width="21.85546875" customWidth="1"/>
    <col min="9" max="23" width="16.140625" customWidth="1"/>
    <col min="24" max="25" width="15" customWidth="1"/>
    <col min="26" max="26" width="15.28515625" customWidth="1"/>
  </cols>
  <sheetData>
    <row r="1" spans="1:26" ht="55.5" customHeight="1" thickBot="1">
      <c r="C1" s="1812" t="s">
        <v>263</v>
      </c>
      <c r="D1" s="1812" t="s">
        <v>291</v>
      </c>
      <c r="E1" s="1812" t="s">
        <v>6</v>
      </c>
      <c r="F1" s="1812">
        <v>18230687</v>
      </c>
      <c r="G1" s="1812" t="s">
        <v>31</v>
      </c>
      <c r="J1" s="1552"/>
      <c r="K1" s="1568"/>
      <c r="L1" s="1568"/>
      <c r="M1" s="1812" t="s">
        <v>263</v>
      </c>
      <c r="N1" s="1812" t="s">
        <v>291</v>
      </c>
      <c r="O1" s="1812" t="s">
        <v>6</v>
      </c>
      <c r="P1" s="1812">
        <v>18230687</v>
      </c>
      <c r="Q1" s="1812" t="s">
        <v>31</v>
      </c>
      <c r="R1" s="1556"/>
      <c r="S1" s="1556"/>
      <c r="T1" s="1556"/>
      <c r="U1" s="1556"/>
      <c r="V1" s="1812" t="s">
        <v>263</v>
      </c>
      <c r="W1" s="1812" t="s">
        <v>291</v>
      </c>
      <c r="X1" s="1812" t="s">
        <v>6</v>
      </c>
      <c r="Y1" s="1812">
        <v>18230687</v>
      </c>
      <c r="Z1" s="1812" t="s">
        <v>31</v>
      </c>
    </row>
    <row r="2" spans="1:26" ht="21" customHeight="1" thickBot="1">
      <c r="C2" s="1557"/>
      <c r="D2" s="1567"/>
      <c r="E2" s="1568"/>
      <c r="F2" s="1568"/>
      <c r="G2" s="1568"/>
      <c r="H2" s="1576" t="s">
        <v>674</v>
      </c>
      <c r="I2" s="1568"/>
      <c r="J2" s="1568"/>
      <c r="K2" s="1568"/>
      <c r="L2" s="1568"/>
      <c r="M2" s="1568"/>
      <c r="N2" s="1556"/>
      <c r="O2" s="1556"/>
      <c r="P2" s="1556"/>
      <c r="Q2" s="1556"/>
      <c r="R2" s="3596"/>
      <c r="S2" s="3596"/>
      <c r="T2" s="3613" t="s">
        <v>36</v>
      </c>
      <c r="U2" s="3614"/>
      <c r="V2" s="3615"/>
      <c r="W2" s="3616" t="s">
        <v>37</v>
      </c>
    </row>
    <row r="3" spans="1:26" ht="39" thickBot="1">
      <c r="A3" s="1808" t="s">
        <v>263</v>
      </c>
      <c r="B3" s="1808"/>
      <c r="E3" s="1568"/>
      <c r="F3" s="1568"/>
      <c r="G3" s="1568"/>
      <c r="H3" s="1577" t="s">
        <v>8</v>
      </c>
      <c r="I3" s="1538" t="s">
        <v>9</v>
      </c>
      <c r="J3" s="1538" t="s">
        <v>10</v>
      </c>
      <c r="K3" s="1538" t="s">
        <v>11</v>
      </c>
      <c r="L3" s="2037" t="s">
        <v>504</v>
      </c>
      <c r="M3" s="1538" t="s">
        <v>12</v>
      </c>
      <c r="N3" s="1538" t="s">
        <v>13</v>
      </c>
      <c r="O3" s="1538" t="s">
        <v>14</v>
      </c>
      <c r="P3" s="1538" t="s">
        <v>38</v>
      </c>
      <c r="Q3" s="1538" t="s">
        <v>39</v>
      </c>
      <c r="R3" s="1578" t="s">
        <v>16</v>
      </c>
      <c r="S3" s="1995" t="s">
        <v>40</v>
      </c>
      <c r="T3" s="1559" t="s">
        <v>41</v>
      </c>
      <c r="U3" s="1559" t="s">
        <v>11</v>
      </c>
      <c r="V3" s="1560" t="s">
        <v>42</v>
      </c>
      <c r="W3" s="3595"/>
    </row>
    <row r="4" spans="1:26" ht="16.5" thickBot="1">
      <c r="A4" s="1808" t="s">
        <v>291</v>
      </c>
      <c r="B4" s="1808"/>
      <c r="C4" s="1558"/>
      <c r="E4" s="1568"/>
      <c r="F4" s="1568"/>
      <c r="G4" s="1704" t="s">
        <v>668</v>
      </c>
      <c r="H4" s="2003">
        <v>25000</v>
      </c>
      <c r="I4" s="2002">
        <v>2500</v>
      </c>
      <c r="J4" s="2002">
        <v>19443</v>
      </c>
      <c r="K4" s="2002">
        <v>20000</v>
      </c>
      <c r="L4" s="2002">
        <v>500</v>
      </c>
      <c r="M4" s="2002">
        <v>0</v>
      </c>
      <c r="N4" s="2002">
        <v>500</v>
      </c>
      <c r="O4" s="2002">
        <v>500</v>
      </c>
      <c r="P4" s="2002">
        <v>255000</v>
      </c>
      <c r="Q4" s="2002">
        <v>0</v>
      </c>
      <c r="R4" s="2000">
        <v>323443</v>
      </c>
      <c r="S4" s="2969" t="s">
        <v>687</v>
      </c>
      <c r="T4" s="1565" t="e">
        <v>#DIV/0!</v>
      </c>
      <c r="U4" s="1565" t="e">
        <v>#DIV/0!</v>
      </c>
      <c r="V4" s="1565" t="e">
        <v>#DIV/0!</v>
      </c>
      <c r="W4" s="1561" t="e">
        <v>#DIV/0!</v>
      </c>
    </row>
    <row r="5" spans="1:26" ht="16.5" thickBot="1">
      <c r="A5" s="1808" t="s">
        <v>6</v>
      </c>
      <c r="B5" s="1808"/>
      <c r="C5" s="1557"/>
      <c r="D5" s="1567"/>
      <c r="E5" s="1568"/>
      <c r="F5" s="1568"/>
      <c r="G5" s="1554">
        <v>2016</v>
      </c>
      <c r="H5" s="1582">
        <f>D15</f>
        <v>12045.54</v>
      </c>
      <c r="I5" s="1549">
        <f>D21</f>
        <v>1250</v>
      </c>
      <c r="J5" s="1549">
        <f>D27</f>
        <v>8868.1251800000009</v>
      </c>
      <c r="K5" s="1549">
        <f>D34</f>
        <v>19911</v>
      </c>
      <c r="L5" s="1549">
        <f>D40</f>
        <v>250</v>
      </c>
      <c r="M5" s="1549">
        <f>D46</f>
        <v>10000</v>
      </c>
      <c r="N5" s="1549">
        <f>D52</f>
        <v>250</v>
      </c>
      <c r="O5" s="1549">
        <f>D58</f>
        <v>250</v>
      </c>
      <c r="P5" s="1549">
        <f>D64</f>
        <v>150000</v>
      </c>
      <c r="Q5" s="1549">
        <v>0</v>
      </c>
      <c r="R5" s="2001">
        <f>SUM(H5:Q5)</f>
        <v>202824.66518000001</v>
      </c>
      <c r="S5" s="2042">
        <f>T15</f>
        <v>34000</v>
      </c>
      <c r="T5" s="1566" t="e">
        <v>#DIV/0!</v>
      </c>
      <c r="U5" s="1566" t="e">
        <v>#DIV/0!</v>
      </c>
      <c r="V5" s="1566" t="e">
        <v>#DIV/0!</v>
      </c>
      <c r="W5" s="1562" t="e">
        <v>#DIV/0!</v>
      </c>
    </row>
    <row r="6" spans="1:26" ht="16.5" thickBot="1">
      <c r="A6" s="1808">
        <v>18230687</v>
      </c>
      <c r="B6" s="1808"/>
      <c r="C6" s="1557"/>
      <c r="D6" s="1563"/>
      <c r="E6" s="1568"/>
      <c r="F6" s="1568"/>
      <c r="G6" s="1554">
        <v>2017</v>
      </c>
      <c r="H6" s="57">
        <f>E15</f>
        <v>12346.6785</v>
      </c>
      <c r="I6" s="1990">
        <f>E21</f>
        <v>1282</v>
      </c>
      <c r="J6" s="1989">
        <f>E27</f>
        <v>9267.5013800000015</v>
      </c>
      <c r="K6" s="58">
        <f>E34</f>
        <v>19911.150000000001</v>
      </c>
      <c r="L6" s="58">
        <f>E40</f>
        <v>250</v>
      </c>
      <c r="M6" s="58">
        <f>E46</f>
        <v>10000</v>
      </c>
      <c r="N6" s="58">
        <f>E52</f>
        <v>250</v>
      </c>
      <c r="O6" s="58">
        <f>E58</f>
        <v>250</v>
      </c>
      <c r="P6" s="58">
        <f>E64</f>
        <v>150000</v>
      </c>
      <c r="Q6" s="58">
        <v>0</v>
      </c>
      <c r="R6" s="1997">
        <f>SUM(H6:Q6)</f>
        <v>203557.32988</v>
      </c>
      <c r="S6" s="2043">
        <f>U15</f>
        <v>34000</v>
      </c>
      <c r="T6" s="1566">
        <v>0.56433512986987144</v>
      </c>
      <c r="U6" s="1566">
        <v>1.8007544630546931E-2</v>
      </c>
      <c r="V6" s="1566">
        <v>0.3558043194643184</v>
      </c>
      <c r="W6" s="1562">
        <v>0.42221572462492302</v>
      </c>
    </row>
    <row r="7" spans="1:26" ht="16.5" thickBot="1">
      <c r="A7" s="1808" t="s">
        <v>31</v>
      </c>
      <c r="B7" s="1808"/>
      <c r="C7" s="1592"/>
      <c r="D7" s="1584"/>
      <c r="E7" s="1761"/>
      <c r="F7" s="1761"/>
      <c r="G7" s="1608" t="s">
        <v>23</v>
      </c>
      <c r="H7" s="1564">
        <f>SUM(H5:H6)</f>
        <v>24392.218500000003</v>
      </c>
      <c r="I7" s="1991">
        <f>SUM(I5:I6)</f>
        <v>2532</v>
      </c>
      <c r="J7" s="1991">
        <f t="shared" ref="J7:R7" si="0">SUM(J5:J6)</f>
        <v>18135.626560000004</v>
      </c>
      <c r="K7" s="1991">
        <f t="shared" si="0"/>
        <v>39822.15</v>
      </c>
      <c r="L7" s="1991">
        <f t="shared" si="0"/>
        <v>500</v>
      </c>
      <c r="M7" s="1991">
        <f t="shared" si="0"/>
        <v>20000</v>
      </c>
      <c r="N7" s="1991">
        <f t="shared" si="0"/>
        <v>500</v>
      </c>
      <c r="O7" s="1991">
        <f t="shared" si="0"/>
        <v>500</v>
      </c>
      <c r="P7" s="1991">
        <f t="shared" si="0"/>
        <v>300000</v>
      </c>
      <c r="Q7" s="1991">
        <f t="shared" si="0"/>
        <v>0</v>
      </c>
      <c r="R7" s="1991">
        <f t="shared" si="0"/>
        <v>406381.99505999999</v>
      </c>
      <c r="S7" s="2600">
        <f>S5+S6</f>
        <v>68000</v>
      </c>
      <c r="T7" s="1566">
        <v>0.85659614171526566</v>
      </c>
      <c r="U7" s="1566">
        <v>4.2961591107565627E-3</v>
      </c>
      <c r="V7" s="1566">
        <v>0.1098200181686238</v>
      </c>
      <c r="W7" s="1562">
        <v>8.4313037037037049</v>
      </c>
    </row>
    <row r="8" spans="1:26" ht="15.75">
      <c r="B8" s="1808"/>
      <c r="C8" s="1592"/>
      <c r="D8" s="1584"/>
      <c r="E8" s="1761"/>
      <c r="F8" s="1761"/>
    </row>
    <row r="9" spans="1:26" ht="15.75">
      <c r="A9" s="1808"/>
      <c r="B9" s="1808"/>
      <c r="C9" s="1592"/>
      <c r="D9" s="1584"/>
      <c r="E9" s="1761"/>
      <c r="F9" s="1761"/>
      <c r="H9" s="1556"/>
      <c r="I9" s="1556"/>
      <c r="J9" s="1556"/>
      <c r="K9" s="155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53"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1808"/>
      <c r="C12" s="1887" t="s">
        <v>314</v>
      </c>
      <c r="D12" s="2114">
        <f>D15+D21+D27+D34+D40+D46+D52+D58+D64</f>
        <v>202824.66518000001</v>
      </c>
      <c r="E12" s="2532">
        <f>E15+E21+E27+E34+E40+E46+E52+E58+E64</f>
        <v>203557.32988</v>
      </c>
      <c r="F12" s="1924">
        <f>D12+E12</f>
        <v>406381.99505999999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54"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2106" t="s">
        <v>46</v>
      </c>
      <c r="D15" s="2183">
        <f>SUM(D16:D19)</f>
        <v>12045.54</v>
      </c>
      <c r="E15" s="2184">
        <f>SUM(E16:E19)</f>
        <v>12346.6785</v>
      </c>
      <c r="F15" s="2114">
        <f>D15+E15</f>
        <v>24392.218500000003</v>
      </c>
      <c r="H15" s="1938" t="s">
        <v>327</v>
      </c>
      <c r="I15" s="1939"/>
      <c r="J15" s="1939"/>
      <c r="K15" s="1940"/>
      <c r="L15" s="1941">
        <f>SUMPRODUCT(L16:L179,S16:S179)</f>
        <v>959060</v>
      </c>
      <c r="M15" s="1941">
        <f>SUM(M16:M179)</f>
        <v>150</v>
      </c>
      <c r="N15" s="1942"/>
      <c r="O15" s="1940">
        <v>20</v>
      </c>
      <c r="P15" s="1940"/>
      <c r="Q15" s="1940"/>
      <c r="R15" s="1940"/>
      <c r="S15" s="1940"/>
      <c r="T15" s="1943">
        <f t="shared" ref="T15:Y15" si="1">SUM(T16:T65)</f>
        <v>34000</v>
      </c>
      <c r="U15" s="1943">
        <f t="shared" si="1"/>
        <v>34000</v>
      </c>
      <c r="V15" s="1943">
        <f t="shared" si="1"/>
        <v>68000</v>
      </c>
      <c r="W15" s="1941">
        <f t="shared" si="1"/>
        <v>150000</v>
      </c>
      <c r="X15" s="1941">
        <f t="shared" si="1"/>
        <v>150000</v>
      </c>
      <c r="Y15" s="1941">
        <f t="shared" si="1"/>
        <v>300000</v>
      </c>
      <c r="Z15" s="1945">
        <v>0</v>
      </c>
    </row>
    <row r="16" spans="1:26">
      <c r="B16" s="1885">
        <v>0.125</v>
      </c>
      <c r="C16" s="2197" t="s">
        <v>792</v>
      </c>
      <c r="D16" s="2201">
        <v>12045.54</v>
      </c>
      <c r="E16" s="2200">
        <v>12346.6785</v>
      </c>
      <c r="F16" s="1879">
        <f>SUM(D16:E16)</f>
        <v>24392.218500000003</v>
      </c>
      <c r="H16" s="1922" t="s">
        <v>1129</v>
      </c>
      <c r="I16" s="2927">
        <v>17</v>
      </c>
      <c r="J16" s="1932" t="s">
        <v>582</v>
      </c>
      <c r="K16" s="1922" t="s">
        <v>909</v>
      </c>
      <c r="L16" s="1929">
        <v>187.35</v>
      </c>
      <c r="M16" s="1929">
        <v>75</v>
      </c>
      <c r="N16" s="1923">
        <v>0.5</v>
      </c>
      <c r="O16" s="1922">
        <v>20</v>
      </c>
      <c r="P16" s="1925" t="s">
        <v>1084</v>
      </c>
      <c r="Q16" s="1928">
        <v>1000</v>
      </c>
      <c r="R16" s="1928">
        <v>1000</v>
      </c>
      <c r="S16" s="1931">
        <f>SUM(Q16:R16)</f>
        <v>2000</v>
      </c>
      <c r="T16" s="1931">
        <f>Q16*I16</f>
        <v>17000</v>
      </c>
      <c r="U16" s="1931">
        <f>R16*I16</f>
        <v>17000</v>
      </c>
      <c r="V16" s="1931">
        <f>SUM(T16:U16)</f>
        <v>34000</v>
      </c>
      <c r="W16" s="1921">
        <f>Q16*M16</f>
        <v>75000</v>
      </c>
      <c r="X16" s="1921">
        <f>R16*M16</f>
        <v>75000</v>
      </c>
      <c r="Y16" s="1921">
        <f>SUM(W16:X16)</f>
        <v>150000</v>
      </c>
      <c r="Z16" s="1946">
        <v>0</v>
      </c>
    </row>
    <row r="17" spans="2:26">
      <c r="B17" s="1885"/>
      <c r="C17" s="2197"/>
      <c r="D17" s="2199"/>
      <c r="E17" s="2198"/>
      <c r="F17" s="1879">
        <f t="shared" ref="F17:F19" si="2">SUM(D17:E17)</f>
        <v>0</v>
      </c>
      <c r="H17" s="1922" t="s">
        <v>1130</v>
      </c>
      <c r="I17" s="2927">
        <v>17</v>
      </c>
      <c r="J17" s="1932" t="s">
        <v>582</v>
      </c>
      <c r="K17" s="1922" t="s">
        <v>909</v>
      </c>
      <c r="L17" s="1929">
        <v>292.18</v>
      </c>
      <c r="M17" s="1929">
        <v>75</v>
      </c>
      <c r="N17" s="1923">
        <v>0.5</v>
      </c>
      <c r="O17" s="1922">
        <v>20</v>
      </c>
      <c r="P17" s="1925" t="s">
        <v>1084</v>
      </c>
      <c r="Q17" s="1928">
        <v>1000</v>
      </c>
      <c r="R17" s="1928">
        <v>1000</v>
      </c>
      <c r="S17" s="1931">
        <f t="shared" ref="S17:S43" si="3">SUM(Q17:R17)</f>
        <v>2000</v>
      </c>
      <c r="T17" s="1931">
        <f t="shared" ref="T17:T43" si="4">Q17*I17</f>
        <v>17000</v>
      </c>
      <c r="U17" s="1931">
        <f t="shared" ref="U17:U43" si="5">R17*I17</f>
        <v>17000</v>
      </c>
      <c r="V17" s="1931">
        <f t="shared" ref="V17:V43" si="6">SUM(T17:U17)</f>
        <v>34000</v>
      </c>
      <c r="W17" s="1921">
        <f t="shared" ref="W17:W43" si="7">Q17*M17</f>
        <v>75000</v>
      </c>
      <c r="X17" s="1921">
        <f t="shared" ref="X17:X43" si="8">R17*M17</f>
        <v>75000</v>
      </c>
      <c r="Y17" s="1921">
        <f t="shared" ref="Y17:Y43" si="9">SUM(W17:X17)</f>
        <v>150000</v>
      </c>
      <c r="Z17" s="1946">
        <v>0</v>
      </c>
    </row>
    <row r="18" spans="2:26">
      <c r="B18" s="2597"/>
      <c r="C18" s="2197"/>
      <c r="D18" s="2199"/>
      <c r="E18" s="2198"/>
      <c r="F18" s="1879">
        <f t="shared" si="2"/>
        <v>0</v>
      </c>
      <c r="H18" s="1922"/>
      <c r="I18" s="2927"/>
      <c r="J18" s="1932" t="s">
        <v>241</v>
      </c>
      <c r="K18" s="1922"/>
      <c r="L18" s="1929"/>
      <c r="M18" s="1929"/>
      <c r="N18" s="1923"/>
      <c r="O18" s="1922"/>
      <c r="P18" s="1925"/>
      <c r="Q18" s="1928"/>
      <c r="R18" s="1928"/>
      <c r="S18" s="1931">
        <f t="shared" si="3"/>
        <v>0</v>
      </c>
      <c r="T18" s="1931">
        <f t="shared" si="4"/>
        <v>0</v>
      </c>
      <c r="U18" s="1931">
        <f t="shared" si="5"/>
        <v>0</v>
      </c>
      <c r="V18" s="1931">
        <f t="shared" si="6"/>
        <v>0</v>
      </c>
      <c r="W18" s="1921">
        <f t="shared" si="7"/>
        <v>0</v>
      </c>
      <c r="X18" s="1921">
        <f t="shared" si="8"/>
        <v>0</v>
      </c>
      <c r="Y18" s="1921">
        <f t="shared" si="9"/>
        <v>0</v>
      </c>
      <c r="Z18" s="1946"/>
    </row>
    <row r="19" spans="2:26">
      <c r="B19" s="2597"/>
      <c r="C19" s="2197"/>
      <c r="D19" s="1903"/>
      <c r="E19" s="1902"/>
      <c r="F19" s="1879">
        <f t="shared" si="2"/>
        <v>0</v>
      </c>
      <c r="H19" s="1922"/>
      <c r="I19" s="2927"/>
      <c r="J19" s="1932" t="s">
        <v>241</v>
      </c>
      <c r="K19" s="1922"/>
      <c r="L19" s="1929"/>
      <c r="M19" s="1929"/>
      <c r="N19" s="1923"/>
      <c r="O19" s="1922"/>
      <c r="P19" s="1925"/>
      <c r="Q19" s="1928"/>
      <c r="R19" s="1928"/>
      <c r="S19" s="1931">
        <f t="shared" si="3"/>
        <v>0</v>
      </c>
      <c r="T19" s="1931">
        <f t="shared" si="4"/>
        <v>0</v>
      </c>
      <c r="U19" s="1931">
        <f t="shared" si="5"/>
        <v>0</v>
      </c>
      <c r="V19" s="1931">
        <f t="shared" si="6"/>
        <v>0</v>
      </c>
      <c r="W19" s="1921">
        <f t="shared" si="7"/>
        <v>0</v>
      </c>
      <c r="X19" s="1921">
        <f t="shared" si="8"/>
        <v>0</v>
      </c>
      <c r="Y19" s="1921">
        <f t="shared" si="9"/>
        <v>0</v>
      </c>
      <c r="Z19" s="1946"/>
    </row>
    <row r="20" spans="2:26">
      <c r="B20" s="2926">
        <f>SUM(B16:B19)</f>
        <v>0.125</v>
      </c>
      <c r="C20" s="1952"/>
      <c r="D20" s="1954"/>
      <c r="E20" s="1955"/>
      <c r="F20" s="1957"/>
      <c r="H20" s="1922"/>
      <c r="I20" s="2927"/>
      <c r="J20" s="1932" t="s">
        <v>241</v>
      </c>
      <c r="K20" s="1922"/>
      <c r="L20" s="1929"/>
      <c r="M20" s="1929"/>
      <c r="N20" s="1923"/>
      <c r="O20" s="1922"/>
      <c r="P20" s="1925"/>
      <c r="Q20" s="1928"/>
      <c r="R20" s="1928"/>
      <c r="S20" s="1931">
        <f t="shared" si="3"/>
        <v>0</v>
      </c>
      <c r="T20" s="1931">
        <f t="shared" si="4"/>
        <v>0</v>
      </c>
      <c r="U20" s="1931">
        <f t="shared" si="5"/>
        <v>0</v>
      </c>
      <c r="V20" s="1931">
        <f t="shared" si="6"/>
        <v>0</v>
      </c>
      <c r="W20" s="1921">
        <f t="shared" si="7"/>
        <v>0</v>
      </c>
      <c r="X20" s="1921">
        <f t="shared" si="8"/>
        <v>0</v>
      </c>
      <c r="Y20" s="1921">
        <f t="shared" si="9"/>
        <v>0</v>
      </c>
      <c r="Z20" s="1946"/>
    </row>
    <row r="21" spans="2:26">
      <c r="C21" s="1910" t="s">
        <v>47</v>
      </c>
      <c r="D21" s="2183">
        <f>SUM(D22:D25)</f>
        <v>1250</v>
      </c>
      <c r="E21" s="2184">
        <f>SUM(E22:E25)</f>
        <v>1282</v>
      </c>
      <c r="F21" s="2114">
        <f>D21+E21</f>
        <v>2532</v>
      </c>
      <c r="H21" s="1922"/>
      <c r="I21" s="2927"/>
      <c r="J21" s="1932" t="s">
        <v>241</v>
      </c>
      <c r="K21" s="1922"/>
      <c r="L21" s="1929"/>
      <c r="M21" s="1929"/>
      <c r="N21" s="1923"/>
      <c r="O21" s="1922"/>
      <c r="P21" s="1925"/>
      <c r="Q21" s="1928"/>
      <c r="R21" s="1928"/>
      <c r="S21" s="1931">
        <f t="shared" si="3"/>
        <v>0</v>
      </c>
      <c r="T21" s="1931">
        <f t="shared" si="4"/>
        <v>0</v>
      </c>
      <c r="U21" s="1931">
        <f t="shared" si="5"/>
        <v>0</v>
      </c>
      <c r="V21" s="1931">
        <f t="shared" si="6"/>
        <v>0</v>
      </c>
      <c r="W21" s="1921">
        <f t="shared" si="7"/>
        <v>0</v>
      </c>
      <c r="X21" s="1921">
        <f t="shared" si="8"/>
        <v>0</v>
      </c>
      <c r="Y21" s="1921">
        <f t="shared" si="9"/>
        <v>0</v>
      </c>
      <c r="Z21" s="1946"/>
    </row>
    <row r="22" spans="2:26">
      <c r="C22" s="1876"/>
      <c r="D22" s="1907">
        <v>1250</v>
      </c>
      <c r="E22" s="1906">
        <v>1282</v>
      </c>
      <c r="F22" s="1879">
        <f t="shared" ref="F22:F25" si="10">SUM(D22:E22)</f>
        <v>2532</v>
      </c>
      <c r="H22" s="1922"/>
      <c r="I22" s="2927"/>
      <c r="J22" s="1932" t="s">
        <v>241</v>
      </c>
      <c r="K22" s="1922"/>
      <c r="L22" s="1929"/>
      <c r="M22" s="1929"/>
      <c r="N22" s="1923"/>
      <c r="O22" s="1922"/>
      <c r="P22" s="1925"/>
      <c r="Q22" s="1928"/>
      <c r="R22" s="1928"/>
      <c r="S22" s="1931">
        <f t="shared" si="3"/>
        <v>0</v>
      </c>
      <c r="T22" s="1931">
        <f t="shared" si="4"/>
        <v>0</v>
      </c>
      <c r="U22" s="1931">
        <f t="shared" si="5"/>
        <v>0</v>
      </c>
      <c r="V22" s="1931">
        <f t="shared" si="6"/>
        <v>0</v>
      </c>
      <c r="W22" s="1921">
        <f t="shared" si="7"/>
        <v>0</v>
      </c>
      <c r="X22" s="1921">
        <f t="shared" si="8"/>
        <v>0</v>
      </c>
      <c r="Y22" s="1921">
        <f t="shared" si="9"/>
        <v>0</v>
      </c>
      <c r="Z22" s="1946"/>
    </row>
    <row r="23" spans="2:26">
      <c r="B23" s="1607"/>
      <c r="C23" s="2197"/>
      <c r="D23" s="1900"/>
      <c r="E23" s="1899"/>
      <c r="F23" s="1879">
        <f t="shared" si="10"/>
        <v>0</v>
      </c>
      <c r="H23" s="1922"/>
      <c r="I23" s="2927"/>
      <c r="J23" s="1932" t="s">
        <v>241</v>
      </c>
      <c r="K23" s="1922"/>
      <c r="L23" s="1929"/>
      <c r="M23" s="1929"/>
      <c r="N23" s="1923"/>
      <c r="O23" s="1922"/>
      <c r="P23" s="1925"/>
      <c r="Q23" s="1928"/>
      <c r="R23" s="1928"/>
      <c r="S23" s="1931">
        <f t="shared" si="3"/>
        <v>0</v>
      </c>
      <c r="T23" s="1931">
        <f t="shared" si="4"/>
        <v>0</v>
      </c>
      <c r="U23" s="1931">
        <f t="shared" si="5"/>
        <v>0</v>
      </c>
      <c r="V23" s="1931">
        <f t="shared" si="6"/>
        <v>0</v>
      </c>
      <c r="W23" s="1921">
        <f t="shared" si="7"/>
        <v>0</v>
      </c>
      <c r="X23" s="1921">
        <f t="shared" si="8"/>
        <v>0</v>
      </c>
      <c r="Y23" s="1921">
        <f t="shared" si="9"/>
        <v>0</v>
      </c>
      <c r="Z23" s="1946"/>
    </row>
    <row r="24" spans="2:26">
      <c r="B24" s="1607"/>
      <c r="C24" s="2197"/>
      <c r="D24" s="1898"/>
      <c r="E24" s="1897"/>
      <c r="F24" s="1879">
        <f t="shared" si="10"/>
        <v>0</v>
      </c>
      <c r="H24" s="1922"/>
      <c r="I24" s="2927"/>
      <c r="J24" s="1932" t="s">
        <v>241</v>
      </c>
      <c r="K24" s="1922"/>
      <c r="L24" s="1929"/>
      <c r="M24" s="1929"/>
      <c r="N24" s="1923"/>
      <c r="O24" s="1922"/>
      <c r="P24" s="1925"/>
      <c r="Q24" s="1928"/>
      <c r="R24" s="1928"/>
      <c r="S24" s="1931">
        <f t="shared" si="3"/>
        <v>0</v>
      </c>
      <c r="T24" s="1931">
        <f t="shared" si="4"/>
        <v>0</v>
      </c>
      <c r="U24" s="1931">
        <f t="shared" si="5"/>
        <v>0</v>
      </c>
      <c r="V24" s="1931">
        <f t="shared" si="6"/>
        <v>0</v>
      </c>
      <c r="W24" s="1921">
        <f t="shared" si="7"/>
        <v>0</v>
      </c>
      <c r="X24" s="1921">
        <f t="shared" si="8"/>
        <v>0</v>
      </c>
      <c r="Y24" s="1921">
        <f t="shared" si="9"/>
        <v>0</v>
      </c>
      <c r="Z24" s="1946"/>
    </row>
    <row r="25" spans="2:26">
      <c r="B25" s="2177"/>
      <c r="C25" s="2197"/>
      <c r="D25" s="1896"/>
      <c r="E25" s="1899"/>
      <c r="F25" s="1879">
        <f t="shared" si="10"/>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row>
    <row r="26" spans="2:26">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row>
    <row r="27" spans="2:26">
      <c r="C27" s="1910" t="s">
        <v>48</v>
      </c>
      <c r="D27" s="2183">
        <f>SUM(D29:D32)</f>
        <v>8868.1251800000009</v>
      </c>
      <c r="E27" s="2184">
        <f>SUM(E29:E32)</f>
        <v>9267.5013800000015</v>
      </c>
      <c r="F27" s="2114">
        <f>D27+E27</f>
        <v>18135.626560000004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row>
    <row r="29" spans="2:26">
      <c r="C29" s="1876" t="s">
        <v>778</v>
      </c>
      <c r="D29" s="1971">
        <f>D15*D28</f>
        <v>8034.3751800000009</v>
      </c>
      <c r="E29" s="1972">
        <f>E15*E28</f>
        <v>8395.7413800000013</v>
      </c>
      <c r="F29" s="1879">
        <f t="shared" ref="F29:F32" si="11">SUM(D29:E29)</f>
        <v>16430.116560000002</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row>
    <row r="30" spans="2:26">
      <c r="C30" s="1876" t="s">
        <v>779</v>
      </c>
      <c r="D30" s="1973">
        <f>D21*D28</f>
        <v>833.75</v>
      </c>
      <c r="E30" s="1972">
        <f>E21*E28</f>
        <v>871.7600000000001</v>
      </c>
      <c r="F30" s="1879">
        <f t="shared" si="11"/>
        <v>1705.5100000000002</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row>
    <row r="31" spans="2:26">
      <c r="C31" s="1901"/>
      <c r="D31" s="1898"/>
      <c r="E31" s="1897"/>
      <c r="F31" s="1879">
        <f t="shared" si="11"/>
        <v>0</v>
      </c>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row>
    <row r="32" spans="2:26">
      <c r="C32" s="1901"/>
      <c r="D32" s="1896"/>
      <c r="E32" s="1899"/>
      <c r="F32" s="1879">
        <f t="shared" si="11"/>
        <v>0</v>
      </c>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row>
    <row r="33" spans="1:26">
      <c r="C33" s="1952"/>
      <c r="D33" s="1958"/>
      <c r="E33" s="1955"/>
      <c r="F33" s="1958"/>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row>
    <row r="34" spans="1:26" ht="38.25">
      <c r="A34" s="1808" t="s">
        <v>263</v>
      </c>
      <c r="C34" s="1910" t="s">
        <v>49</v>
      </c>
      <c r="D34" s="1911">
        <f>SUM(D35:D38)</f>
        <v>19911</v>
      </c>
      <c r="E34" s="2184">
        <f>SUM(E35:E38)</f>
        <v>19911.150000000001</v>
      </c>
      <c r="F34" s="2114">
        <f>D34+E34</f>
        <v>39822.15</v>
      </c>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row>
    <row r="35" spans="1:26">
      <c r="A35" s="1808" t="s">
        <v>291</v>
      </c>
      <c r="C35" s="1876" t="s">
        <v>887</v>
      </c>
      <c r="D35" s="1971">
        <v>19911</v>
      </c>
      <c r="E35" s="1988">
        <v>19911.150000000001</v>
      </c>
      <c r="F35" s="1879">
        <f t="shared" ref="F35:F38" si="12">SUM(D35:E35)</f>
        <v>39822.15</v>
      </c>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row>
    <row r="36" spans="1:26">
      <c r="A36" s="1808" t="s">
        <v>6</v>
      </c>
      <c r="C36" s="1876"/>
      <c r="D36" s="1971"/>
      <c r="E36" s="1988"/>
      <c r="F36" s="1879">
        <f t="shared" si="12"/>
        <v>0</v>
      </c>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row>
    <row r="37" spans="1:26">
      <c r="A37" s="1808">
        <v>18230687</v>
      </c>
      <c r="C37" s="1876"/>
      <c r="D37" s="1971"/>
      <c r="E37" s="1988"/>
      <c r="F37" s="1879">
        <f t="shared" si="12"/>
        <v>0</v>
      </c>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row>
    <row r="38" spans="1:26">
      <c r="A38" s="1808" t="s">
        <v>31</v>
      </c>
      <c r="C38" s="1876"/>
      <c r="D38" s="1971"/>
      <c r="E38" s="1988"/>
      <c r="F38" s="1879">
        <f t="shared" si="12"/>
        <v>0</v>
      </c>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row>
    <row r="39" spans="1:26">
      <c r="C39" s="1952"/>
      <c r="D39" s="1958"/>
      <c r="E39" s="1955"/>
      <c r="F39" s="1958"/>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row>
    <row r="40" spans="1:26">
      <c r="C40" s="2106" t="s">
        <v>506</v>
      </c>
      <c r="D40" s="2183">
        <f>SUM(D41:D44)</f>
        <v>250</v>
      </c>
      <c r="E40" s="2184">
        <f>SUM(E41:E44)</f>
        <v>250</v>
      </c>
      <c r="F40" s="2114">
        <f>D40+E40</f>
        <v>500</v>
      </c>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row>
    <row r="41" spans="1:26">
      <c r="C41" s="1876"/>
      <c r="D41" s="1971">
        <v>250</v>
      </c>
      <c r="E41" s="1988">
        <v>250</v>
      </c>
      <c r="F41" s="1879">
        <f t="shared" ref="F41:F44" si="13">SUM(D41:E41)</f>
        <v>500</v>
      </c>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row>
    <row r="42" spans="1:26">
      <c r="C42" s="1876"/>
      <c r="D42" s="1971"/>
      <c r="E42" s="1988"/>
      <c r="F42" s="1879">
        <f t="shared" si="13"/>
        <v>0</v>
      </c>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row>
    <row r="43" spans="1:26">
      <c r="C43" s="1876"/>
      <c r="D43" s="1971"/>
      <c r="E43" s="1988"/>
      <c r="F43" s="1879">
        <f t="shared" si="13"/>
        <v>0</v>
      </c>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row>
    <row r="44" spans="1:26">
      <c r="C44" s="1876"/>
      <c r="D44" s="1971"/>
      <c r="E44" s="1988"/>
      <c r="F44" s="1879">
        <f t="shared" si="1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10000</v>
      </c>
      <c r="E46" s="2184">
        <f>SUM(E47:E50)</f>
        <v>10000</v>
      </c>
      <c r="F46" s="2114">
        <f>D46+E46</f>
        <v>20000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2197" t="s">
        <v>890</v>
      </c>
      <c r="D47" s="1971">
        <v>5000</v>
      </c>
      <c r="E47" s="1988">
        <v>5000</v>
      </c>
      <c r="F47" s="1879">
        <f t="shared" ref="F47:F50" si="14">SUM(D47:E47)</f>
        <v>10000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t="s">
        <v>891</v>
      </c>
      <c r="D48" s="1971">
        <v>5000</v>
      </c>
      <c r="E48" s="1988">
        <v>5000</v>
      </c>
      <c r="F48" s="1879">
        <f t="shared" si="14"/>
        <v>10000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1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1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250</v>
      </c>
      <c r="E52" s="2184">
        <f>SUM(E53:E56)</f>
        <v>250</v>
      </c>
      <c r="F52" s="2114">
        <f>D52+E52</f>
        <v>500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c r="D53" s="1971">
        <v>250</v>
      </c>
      <c r="E53" s="1972">
        <v>250</v>
      </c>
      <c r="F53" s="1879">
        <f t="shared" ref="F53:F56" si="15">SUM(D53:E53)</f>
        <v>500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15"/>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15"/>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15"/>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250</v>
      </c>
      <c r="E58" s="2184">
        <f>SUM(E59:E62)</f>
        <v>250</v>
      </c>
      <c r="F58" s="2114">
        <f>D58+E58</f>
        <v>500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c r="D59" s="1971">
        <v>250</v>
      </c>
      <c r="E59" s="1988">
        <v>250</v>
      </c>
      <c r="F59" s="1879">
        <f t="shared" ref="F59:F62" si="16">SUM(D59:E59)</f>
        <v>500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16"/>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1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1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38.25">
      <c r="A64" s="1808" t="s">
        <v>263</v>
      </c>
      <c r="C64" s="1910" t="s">
        <v>53</v>
      </c>
      <c r="D64" s="1911">
        <f>W15</f>
        <v>150000</v>
      </c>
      <c r="E64" s="1926">
        <f>X15</f>
        <v>150000</v>
      </c>
      <c r="F64" s="1924">
        <f>D64+E64</f>
        <v>300000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0.73955502338376888</v>
      </c>
      <c r="E65" s="2616">
        <f>E64/E12</f>
        <v>0.73689314007226947</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18230687</v>
      </c>
      <c r="C67" s="1959" t="s">
        <v>54</v>
      </c>
      <c r="D67" s="1971">
        <v>0</v>
      </c>
      <c r="E67" s="1971">
        <v>0</v>
      </c>
      <c r="F67" s="1956">
        <v>0</v>
      </c>
    </row>
    <row r="68" spans="1:26">
      <c r="A68" s="1808" t="s">
        <v>31</v>
      </c>
    </row>
  </sheetData>
  <customSheetViews>
    <customSheetView guid="{074EB09C-6289-46D7-9513-012B68BCA7BF}" showGridLines="0">
      <pane xSplit="1" ySplit="1" topLeftCell="B2" activePane="bottomRight" state="frozen"/>
      <selection pane="bottomRight" activeCell="G50" sqref="G50"/>
      <pageMargins left="0.22" right="0.25" top="0.44" bottom="0.43" header="0.3" footer="0.3"/>
      <pageSetup paperSize="3" scale="48" orientation="landscape" r:id="rId1"/>
    </customSheetView>
    <customSheetView guid="{D9EFFE19-D14B-4C6F-BDF4-FF696F73968D}" showGridLines="0">
      <pane xSplit="1" ySplit="1" topLeftCell="I2" activePane="bottomRight" state="frozen"/>
      <selection pane="bottomRight" activeCell="O16" sqref="O16"/>
      <pageMargins left="0.22" right="0.25" top="0.44" bottom="0.43" header="0.3" footer="0.3"/>
      <pageSetup paperSize="3" scale="48" orientation="landscape" r:id="rId2"/>
    </customSheetView>
  </customSheetViews>
  <mergeCells count="8">
    <mergeCell ref="H12:P12"/>
    <mergeCell ref="Q12:S12"/>
    <mergeCell ref="T12:V12"/>
    <mergeCell ref="W12:Y12"/>
    <mergeCell ref="R2:S2"/>
    <mergeCell ref="T2:V2"/>
    <mergeCell ref="W2:W3"/>
    <mergeCell ref="H10:P10"/>
  </mergeCells>
  <pageMargins left="0.22" right="0.25" top="0.44" bottom="0.43" header="0.3" footer="0.3"/>
  <pageSetup paperSize="3" scale="48" orientation="landscape" r:id="rId3"/>
  <ignoredErrors>
    <ignoredError sqref="Q7" formulaRange="1"/>
  </ignoredError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A995C1"/>
  </sheetPr>
  <dimension ref="A1:Z68"/>
  <sheetViews>
    <sheetView showGridLines="0" workbookViewId="0">
      <pane xSplit="1" ySplit="1" topLeftCell="M2" activePane="bottomRight" state="frozen"/>
      <selection pane="topRight" activeCell="B1" sqref="B1"/>
      <selection pane="bottomLeft" activeCell="A2" sqref="A2"/>
      <selection pane="bottomRight"/>
    </sheetView>
  </sheetViews>
  <sheetFormatPr defaultRowHeight="12.75"/>
  <cols>
    <col min="1" max="1" width="17.5703125" customWidth="1"/>
    <col min="2" max="2" width="15.7109375" style="1866" customWidth="1"/>
    <col min="3" max="3" width="28.28515625" customWidth="1"/>
    <col min="4" max="4" width="20.28515625" customWidth="1"/>
    <col min="5" max="7" width="16.42578125" customWidth="1"/>
    <col min="8" max="8" width="36.140625" customWidth="1"/>
    <col min="9" max="23" width="17.5703125" customWidth="1"/>
    <col min="24" max="25" width="15.85546875" customWidth="1"/>
  </cols>
  <sheetData>
    <row r="1" spans="1:26" ht="54" customHeight="1" thickBot="1">
      <c r="C1" s="1812" t="s">
        <v>290</v>
      </c>
      <c r="D1" s="1812" t="s">
        <v>291</v>
      </c>
      <c r="E1" s="1812" t="s">
        <v>6</v>
      </c>
      <c r="F1" s="1812">
        <v>18230738</v>
      </c>
      <c r="G1" s="1812" t="s">
        <v>31</v>
      </c>
      <c r="J1" s="1574"/>
      <c r="K1" s="1572"/>
      <c r="L1" s="1572"/>
      <c r="M1" s="1812" t="s">
        <v>290</v>
      </c>
      <c r="N1" s="1812" t="s">
        <v>291</v>
      </c>
      <c r="O1" s="1812" t="s">
        <v>6</v>
      </c>
      <c r="P1" s="1812">
        <v>18230738</v>
      </c>
      <c r="Q1" s="1812" t="s">
        <v>31</v>
      </c>
      <c r="R1" s="1572"/>
      <c r="S1" s="1572"/>
      <c r="T1" s="1572"/>
      <c r="U1" s="1572"/>
      <c r="V1" s="1812" t="s">
        <v>290</v>
      </c>
      <c r="W1" s="1812" t="s">
        <v>291</v>
      </c>
      <c r="X1" s="1812" t="s">
        <v>6</v>
      </c>
      <c r="Y1" s="1812">
        <v>18230738</v>
      </c>
      <c r="Z1" s="1812" t="s">
        <v>31</v>
      </c>
    </row>
    <row r="2" spans="1:26" ht="20.25" customHeight="1" thickBot="1">
      <c r="C2" s="1574"/>
      <c r="D2" s="1575"/>
      <c r="E2" s="1572"/>
      <c r="F2" s="1572"/>
      <c r="G2" s="1572"/>
      <c r="H2" s="1576" t="s">
        <v>674</v>
      </c>
      <c r="I2" s="1572"/>
      <c r="J2" s="1572"/>
      <c r="K2" s="1572"/>
      <c r="L2" s="1572"/>
      <c r="M2" s="1572"/>
      <c r="N2" s="1572"/>
      <c r="O2" s="1572"/>
      <c r="P2" s="1572"/>
      <c r="Q2" s="1572"/>
      <c r="R2" s="3606"/>
      <c r="S2" s="3606"/>
      <c r="T2" s="3597" t="s">
        <v>36</v>
      </c>
      <c r="U2" s="3614"/>
      <c r="V2" s="3615"/>
      <c r="W2" s="3616" t="s">
        <v>37</v>
      </c>
    </row>
    <row r="3" spans="1:26" ht="26.25" thickBot="1">
      <c r="A3" s="1808" t="s">
        <v>290</v>
      </c>
      <c r="B3" s="1808"/>
      <c r="E3" s="1587"/>
      <c r="F3" s="1572"/>
      <c r="G3" s="157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80" t="s">
        <v>42</v>
      </c>
      <c r="W3" s="3595"/>
    </row>
    <row r="4" spans="1:26" ht="16.5" thickBot="1">
      <c r="A4" s="1808" t="s">
        <v>291</v>
      </c>
      <c r="B4" s="1808"/>
      <c r="C4" s="1575"/>
      <c r="E4" s="1572"/>
      <c r="F4" s="1572"/>
      <c r="G4" s="1704" t="s">
        <v>668</v>
      </c>
      <c r="H4" s="2003">
        <v>8587.7250000000004</v>
      </c>
      <c r="I4" s="2002">
        <v>6150</v>
      </c>
      <c r="J4" s="2002">
        <v>10419.571575</v>
      </c>
      <c r="K4" s="2002">
        <v>0</v>
      </c>
      <c r="L4" s="2002">
        <v>0</v>
      </c>
      <c r="M4" s="2002">
        <v>37149</v>
      </c>
      <c r="N4" s="2002">
        <v>0</v>
      </c>
      <c r="O4" s="2002">
        <v>0</v>
      </c>
      <c r="P4" s="2002">
        <v>37149</v>
      </c>
      <c r="Q4" s="2002">
        <v>0</v>
      </c>
      <c r="R4" s="2000">
        <v>99455.296575</v>
      </c>
      <c r="S4" s="2041">
        <v>346724</v>
      </c>
      <c r="T4" s="1585">
        <v>0.37997371344525982</v>
      </c>
      <c r="U4" s="1585">
        <v>2.1733347936974855E-2</v>
      </c>
      <c r="V4" s="1585">
        <v>0.52076716058268535</v>
      </c>
      <c r="W4" s="1581" t="e">
        <v>#DIV/0!</v>
      </c>
    </row>
    <row r="5" spans="1:26" ht="16.5" thickBot="1">
      <c r="A5" s="1808" t="s">
        <v>6</v>
      </c>
      <c r="B5" s="1808"/>
      <c r="C5" s="1574"/>
      <c r="D5" s="1574"/>
      <c r="E5" s="1572"/>
      <c r="F5" s="1572"/>
      <c r="G5" s="1588">
        <v>2016</v>
      </c>
      <c r="H5" s="1582">
        <f>D15</f>
        <v>2779.74</v>
      </c>
      <c r="I5" s="1549">
        <f>D21</f>
        <v>0</v>
      </c>
      <c r="J5" s="1549">
        <f>D27</f>
        <v>1854.0865799999999</v>
      </c>
      <c r="K5" s="1549">
        <f>D34</f>
        <v>10142.77</v>
      </c>
      <c r="L5" s="1549">
        <f>D40</f>
        <v>250</v>
      </c>
      <c r="M5" s="1549">
        <f>D46</f>
        <v>25243</v>
      </c>
      <c r="N5" s="1549">
        <f>D52</f>
        <v>100</v>
      </c>
      <c r="O5" s="1549">
        <f>D58</f>
        <v>150</v>
      </c>
      <c r="P5" s="1549">
        <f>D64</f>
        <v>25658.01</v>
      </c>
      <c r="Q5" s="1549">
        <v>0</v>
      </c>
      <c r="R5" s="2001">
        <f>SUM(H5:Q5)</f>
        <v>66177.606579999992</v>
      </c>
      <c r="S5" s="2042">
        <f>T15</f>
        <v>239967</v>
      </c>
      <c r="T5" s="1586">
        <v>0.38035887349637992</v>
      </c>
      <c r="U5" s="1586">
        <v>0.10013485646436231</v>
      </c>
      <c r="V5" s="1586">
        <v>0.38035887349637992</v>
      </c>
      <c r="W5" s="1583">
        <v>0.28168885915021746</v>
      </c>
    </row>
    <row r="6" spans="1:26" ht="16.5" thickBot="1">
      <c r="A6" s="1808">
        <v>18230738</v>
      </c>
      <c r="B6" s="1808"/>
      <c r="C6" s="1574"/>
      <c r="D6" s="1572"/>
      <c r="E6" s="1573"/>
      <c r="F6" s="1572"/>
      <c r="G6" s="1589">
        <v>2017</v>
      </c>
      <c r="H6" s="57">
        <f>E15</f>
        <v>0</v>
      </c>
      <c r="I6" s="1990">
        <f>E21</f>
        <v>0</v>
      </c>
      <c r="J6" s="1989">
        <f>E27</f>
        <v>0</v>
      </c>
      <c r="K6" s="58">
        <f>E34</f>
        <v>0</v>
      </c>
      <c r="L6" s="58">
        <f>E40</f>
        <v>0</v>
      </c>
      <c r="M6" s="58">
        <f>E46</f>
        <v>0</v>
      </c>
      <c r="N6" s="58">
        <f>E52</f>
        <v>0</v>
      </c>
      <c r="O6" s="58">
        <f>E58</f>
        <v>0</v>
      </c>
      <c r="P6" s="58">
        <f>E64</f>
        <v>0</v>
      </c>
      <c r="Q6" s="58">
        <v>0</v>
      </c>
      <c r="R6" s="1997">
        <f>SUM(H6:Q6)</f>
        <v>0</v>
      </c>
      <c r="S6" s="2043">
        <f>U15</f>
        <v>0</v>
      </c>
      <c r="T6" s="1586">
        <v>0.37783578314944705</v>
      </c>
      <c r="U6" s="1586">
        <v>0.10195738265314362</v>
      </c>
      <c r="V6" s="1586">
        <v>0.37783578314944705</v>
      </c>
      <c r="W6" s="1583">
        <v>0.28356990502532275</v>
      </c>
    </row>
    <row r="7" spans="1:26" ht="16.5" thickBot="1">
      <c r="A7" s="1808" t="s">
        <v>31</v>
      </c>
      <c r="B7" s="1808"/>
      <c r="C7" s="1592"/>
      <c r="D7" s="1866"/>
      <c r="E7" s="1867"/>
      <c r="F7" s="1866"/>
      <c r="G7" s="1608" t="s">
        <v>23</v>
      </c>
      <c r="H7" s="1564">
        <f>SUM(H5:H6)</f>
        <v>2779.74</v>
      </c>
      <c r="I7" s="1991">
        <f>SUM(I5:I6)</f>
        <v>0</v>
      </c>
      <c r="J7" s="1991">
        <f t="shared" ref="J7:Q7" si="0">SUM(J5:J6)</f>
        <v>1854.0865799999999</v>
      </c>
      <c r="K7" s="1991">
        <f t="shared" si="0"/>
        <v>10142.77</v>
      </c>
      <c r="L7" s="1991">
        <f t="shared" si="0"/>
        <v>250</v>
      </c>
      <c r="M7" s="1991">
        <f t="shared" si="0"/>
        <v>25243</v>
      </c>
      <c r="N7" s="1991">
        <f t="shared" si="0"/>
        <v>100</v>
      </c>
      <c r="O7" s="1991">
        <f t="shared" si="0"/>
        <v>150</v>
      </c>
      <c r="P7" s="1991">
        <f t="shared" si="0"/>
        <v>25658.01</v>
      </c>
      <c r="Q7" s="1991">
        <f t="shared" si="0"/>
        <v>0</v>
      </c>
      <c r="R7" s="1991">
        <f>SUM(R5:R6)</f>
        <v>66177.606579999992</v>
      </c>
      <c r="S7" s="2600">
        <f>SUM(S5:S6)</f>
        <v>239967</v>
      </c>
      <c r="T7" s="1586">
        <v>0.37691075961401105</v>
      </c>
      <c r="U7" s="1586">
        <v>0.10046743033157934</v>
      </c>
      <c r="V7" s="1586">
        <v>0.37691075961401105</v>
      </c>
      <c r="W7" s="1583">
        <v>0.28426584916965653</v>
      </c>
    </row>
    <row r="8" spans="1:26" ht="15.75">
      <c r="B8" s="1808"/>
      <c r="C8" s="1592"/>
      <c r="D8" s="1866"/>
      <c r="E8" s="1867"/>
      <c r="F8" s="1866"/>
    </row>
    <row r="9" spans="1:26" ht="15.75">
      <c r="A9" s="1808"/>
      <c r="B9" s="1808"/>
      <c r="C9" s="1592"/>
      <c r="D9" s="1866"/>
      <c r="E9" s="1867"/>
      <c r="F9" s="1866"/>
      <c r="H9" s="1572"/>
      <c r="I9" s="1572"/>
      <c r="J9" s="1572"/>
      <c r="K9" s="1572"/>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1808"/>
      <c r="C12" s="1887" t="s">
        <v>314</v>
      </c>
      <c r="D12" s="2114">
        <f>D15+D21+D27+D34+D40+D46+D52+D58+D64</f>
        <v>66177.606579999992</v>
      </c>
      <c r="E12" s="2532">
        <f>E15+E21+E27+E34+E40+E46+E52+E58+E64</f>
        <v>0</v>
      </c>
      <c r="F12" s="1924">
        <f>D12+E12</f>
        <v>66177.606579999992</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1910" t="s">
        <v>46</v>
      </c>
      <c r="D15" s="2183">
        <f>SUM(D16:D19)</f>
        <v>2779.74</v>
      </c>
      <c r="E15" s="2184">
        <f>SUM(E16:E19)</f>
        <v>0</v>
      </c>
      <c r="F15" s="2114">
        <f>D15+E15</f>
        <v>2779.74</v>
      </c>
      <c r="H15" s="1938" t="s">
        <v>327</v>
      </c>
      <c r="I15" s="1939"/>
      <c r="J15" s="1939"/>
      <c r="K15" s="1940"/>
      <c r="L15" s="1941">
        <f>SUMPRODUCT(L16:L179,S16:S179)</f>
        <v>25658.01</v>
      </c>
      <c r="M15" s="1941">
        <f>SUM(M16:M179)</f>
        <v>1.39</v>
      </c>
      <c r="N15" s="1942">
        <f>SUM(N16:N65)</f>
        <v>1</v>
      </c>
      <c r="O15" s="1940">
        <v>2</v>
      </c>
      <c r="P15" s="1940"/>
      <c r="Q15" s="1940"/>
      <c r="R15" s="1940"/>
      <c r="S15" s="1940"/>
      <c r="T15" s="1943">
        <f t="shared" ref="T15:Y15" si="1">SUM(T16:T65)</f>
        <v>239967</v>
      </c>
      <c r="U15" s="1943">
        <f t="shared" si="1"/>
        <v>0</v>
      </c>
      <c r="V15" s="1943">
        <f t="shared" si="1"/>
        <v>239967</v>
      </c>
      <c r="W15" s="1941">
        <f t="shared" si="1"/>
        <v>25658.01</v>
      </c>
      <c r="X15" s="1941">
        <f t="shared" si="1"/>
        <v>0</v>
      </c>
      <c r="Y15" s="1941">
        <f t="shared" si="1"/>
        <v>25658.01</v>
      </c>
      <c r="Z15" s="1945">
        <v>0</v>
      </c>
    </row>
    <row r="16" spans="1:26">
      <c r="B16" s="1885">
        <v>0.03</v>
      </c>
      <c r="C16" s="1876" t="s">
        <v>792</v>
      </c>
      <c r="D16" s="1907">
        <v>2779.74</v>
      </c>
      <c r="E16" s="1906"/>
      <c r="F16" s="1879">
        <f>SUM(D16:E16)</f>
        <v>2779.74</v>
      </c>
      <c r="H16" s="2602" t="s">
        <v>965</v>
      </c>
      <c r="I16" s="2927">
        <v>13</v>
      </c>
      <c r="J16" s="1932" t="s">
        <v>582</v>
      </c>
      <c r="K16" s="1922" t="s">
        <v>966</v>
      </c>
      <c r="L16" s="1929">
        <v>1.39</v>
      </c>
      <c r="M16" s="1929">
        <v>1.39</v>
      </c>
      <c r="N16" s="1923">
        <v>1</v>
      </c>
      <c r="O16" s="1922">
        <v>2</v>
      </c>
      <c r="P16" s="1925" t="s">
        <v>910</v>
      </c>
      <c r="Q16" s="1928">
        <v>18459</v>
      </c>
      <c r="R16" s="1928">
        <v>0</v>
      </c>
      <c r="S16" s="1931">
        <f>SUM(Q16:R16)</f>
        <v>18459</v>
      </c>
      <c r="T16" s="1931">
        <f>Q16*I16</f>
        <v>239967</v>
      </c>
      <c r="U16" s="1931">
        <f>R16*I16</f>
        <v>0</v>
      </c>
      <c r="V16" s="1931">
        <f>SUM(T16:U16)</f>
        <v>239967</v>
      </c>
      <c r="W16" s="1921">
        <f>Q16*M16</f>
        <v>25658.01</v>
      </c>
      <c r="X16" s="1921">
        <f>R16*M16</f>
        <v>0</v>
      </c>
      <c r="Y16" s="1921">
        <f>SUM(W16:X16)</f>
        <v>25658.01</v>
      </c>
      <c r="Z16" s="1946"/>
    </row>
    <row r="17" spans="2:26">
      <c r="B17" s="1885"/>
      <c r="C17" s="1876"/>
      <c r="D17" s="1905"/>
      <c r="E17" s="1904"/>
      <c r="F17" s="1879">
        <f t="shared" ref="F17:F19" si="2">SUM(D17:E17)</f>
        <v>0</v>
      </c>
      <c r="H17" s="2602"/>
      <c r="I17" s="2927"/>
      <c r="J17" s="1932" t="s">
        <v>582</v>
      </c>
      <c r="K17" s="1922"/>
      <c r="L17" s="1929"/>
      <c r="M17" s="1929"/>
      <c r="N17" s="1923"/>
      <c r="O17" s="1922"/>
      <c r="P17" s="1925"/>
      <c r="Q17" s="1928"/>
      <c r="R17" s="1928"/>
      <c r="S17" s="1931">
        <f>SUM(Q17:R17)</f>
        <v>0</v>
      </c>
      <c r="T17" s="1931">
        <f>Q17*I17</f>
        <v>0</v>
      </c>
      <c r="U17" s="1931">
        <f>R17*I17</f>
        <v>0</v>
      </c>
      <c r="V17" s="1931">
        <f>SUM(T17:U17)</f>
        <v>0</v>
      </c>
      <c r="W17" s="1921">
        <f>Q17*M17</f>
        <v>0</v>
      </c>
      <c r="X17" s="1921">
        <f>R17*M17</f>
        <v>0</v>
      </c>
      <c r="Y17" s="1921">
        <f>SUM(W17:X17)</f>
        <v>0</v>
      </c>
      <c r="Z17" s="1946"/>
    </row>
    <row r="18" spans="2:26">
      <c r="B18" s="1885"/>
      <c r="C18" s="1876"/>
      <c r="D18" s="1905"/>
      <c r="E18" s="1904"/>
      <c r="F18" s="1879">
        <f t="shared" si="2"/>
        <v>0</v>
      </c>
      <c r="H18" s="2602"/>
      <c r="I18" s="2927"/>
      <c r="J18" s="1932"/>
      <c r="K18" s="1922"/>
      <c r="L18" s="1929"/>
      <c r="M18" s="1929"/>
      <c r="N18" s="1923"/>
      <c r="O18" s="1922"/>
      <c r="P18" s="1925"/>
      <c r="Q18" s="1928"/>
      <c r="R18" s="1928"/>
      <c r="S18" s="1931"/>
      <c r="T18" s="1931"/>
      <c r="U18" s="1931"/>
      <c r="V18" s="1931"/>
      <c r="W18" s="1921"/>
      <c r="X18" s="1921"/>
      <c r="Y18" s="1921"/>
      <c r="Z18" s="1946"/>
    </row>
    <row r="19" spans="2:26">
      <c r="B19" s="1885"/>
      <c r="C19" s="1876"/>
      <c r="D19" s="1903"/>
      <c r="E19" s="1902"/>
      <c r="F19" s="1879">
        <f t="shared" si="2"/>
        <v>0</v>
      </c>
      <c r="H19" s="2602"/>
      <c r="I19" s="2927"/>
      <c r="J19" s="1932"/>
      <c r="K19" s="1922"/>
      <c r="L19" s="1929"/>
      <c r="M19" s="1929"/>
      <c r="N19" s="1923"/>
      <c r="O19" s="1922"/>
      <c r="P19" s="1925"/>
      <c r="Q19" s="1928"/>
      <c r="R19" s="1928"/>
      <c r="S19" s="1931"/>
      <c r="T19" s="1931"/>
      <c r="U19" s="1931"/>
      <c r="V19" s="1931"/>
      <c r="W19" s="1921"/>
      <c r="X19" s="1921"/>
      <c r="Y19" s="1921"/>
      <c r="Z19" s="1946"/>
    </row>
    <row r="20" spans="2:26">
      <c r="B20" s="1908"/>
      <c r="C20" s="1952"/>
      <c r="D20" s="1954"/>
      <c r="E20" s="1955"/>
      <c r="F20" s="1957"/>
      <c r="H20" s="2602"/>
      <c r="I20" s="2927"/>
      <c r="J20" s="1932"/>
      <c r="K20" s="1922"/>
      <c r="L20" s="1929"/>
      <c r="M20" s="1929"/>
      <c r="N20" s="1923"/>
      <c r="O20" s="1922"/>
      <c r="P20" s="1925"/>
      <c r="Q20" s="1928"/>
      <c r="R20" s="1928"/>
      <c r="S20" s="1931"/>
      <c r="T20" s="1931"/>
      <c r="U20" s="1931"/>
      <c r="V20" s="1931"/>
      <c r="W20" s="1921"/>
      <c r="X20" s="1921"/>
      <c r="Y20" s="1921"/>
      <c r="Z20" s="1946"/>
    </row>
    <row r="21" spans="2:26">
      <c r="C21" s="1910" t="s">
        <v>47</v>
      </c>
      <c r="D21" s="2183">
        <f>SUM(D22:D25)</f>
        <v>0</v>
      </c>
      <c r="E21" s="2184">
        <f>SUM(E22:E25)</f>
        <v>0</v>
      </c>
      <c r="F21" s="2114">
        <f>D21+E21</f>
        <v>0</v>
      </c>
      <c r="H21" s="2602"/>
      <c r="I21" s="2927"/>
      <c r="J21" s="1932"/>
      <c r="K21" s="1922"/>
      <c r="L21" s="1929"/>
      <c r="M21" s="1929"/>
      <c r="N21" s="1923"/>
      <c r="O21" s="1922"/>
      <c r="P21" s="1925"/>
      <c r="Q21" s="1928"/>
      <c r="R21" s="1928"/>
      <c r="S21" s="1931"/>
      <c r="T21" s="1931"/>
      <c r="U21" s="1931"/>
      <c r="V21" s="1931"/>
      <c r="W21" s="1921"/>
      <c r="X21" s="1921"/>
      <c r="Y21" s="1921"/>
      <c r="Z21" s="1946"/>
    </row>
    <row r="22" spans="2:26">
      <c r="C22" s="1876"/>
      <c r="D22" s="1907"/>
      <c r="E22" s="1906"/>
      <c r="F22" s="1879">
        <f t="shared" ref="F22:F25" si="3">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row>
    <row r="23" spans="2:26">
      <c r="C23" s="1876"/>
      <c r="D23" s="2053"/>
      <c r="E23" s="2054"/>
      <c r="F23" s="1879">
        <f t="shared" si="3"/>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row>
    <row r="24" spans="2:26">
      <c r="C24" s="1876"/>
      <c r="D24" s="1898"/>
      <c r="E24" s="1897"/>
      <c r="F24" s="1879">
        <f t="shared" si="3"/>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row>
    <row r="25" spans="2:26">
      <c r="C25" s="1876"/>
      <c r="D25" s="1896"/>
      <c r="E25" s="1899"/>
      <c r="F25" s="1879">
        <f t="shared" si="3"/>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row>
    <row r="26" spans="2:2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C27" s="1910" t="s">
        <v>48</v>
      </c>
      <c r="D27" s="2183">
        <f>SUM(D29:D32)</f>
        <v>1854.0865799999999</v>
      </c>
      <c r="E27" s="2184">
        <f>SUM(E29:E32)</f>
        <v>0</v>
      </c>
      <c r="F27" s="2114">
        <f>D27+E27</f>
        <v>1854.0865799999999</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C29" s="1876" t="s">
        <v>958</v>
      </c>
      <c r="D29" s="1971">
        <f>D15*D28</f>
        <v>1854.0865799999999</v>
      </c>
      <c r="E29" s="1972">
        <f>E15*E28</f>
        <v>0</v>
      </c>
      <c r="F29" s="1879">
        <f t="shared" ref="F29:F32" si="4">SUM(D29:E29)</f>
        <v>1854.0865799999999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C30" s="1876" t="s">
        <v>959</v>
      </c>
      <c r="D30" s="1973">
        <f>D21*D28</f>
        <v>0</v>
      </c>
      <c r="E30" s="1972">
        <f>E21*E28</f>
        <v>0</v>
      </c>
      <c r="F30" s="1879">
        <f t="shared" si="4"/>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C31" s="1901"/>
      <c r="D31" s="1898"/>
      <c r="E31" s="1897"/>
      <c r="F31" s="1879">
        <f t="shared" si="4"/>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C32" s="1901"/>
      <c r="D32" s="1896"/>
      <c r="E32" s="1899"/>
      <c r="F32" s="1879">
        <f t="shared" si="4"/>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A33" s="2193" t="s">
        <v>608</v>
      </c>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A34" s="1844" t="s">
        <v>607</v>
      </c>
      <c r="C34" s="1910" t="s">
        <v>49</v>
      </c>
      <c r="D34" s="2183">
        <f>SUM(D35:D38)</f>
        <v>10142.77</v>
      </c>
      <c r="E34" s="1926">
        <f>SUM(E35:E38)</f>
        <v>0</v>
      </c>
      <c r="F34" s="2114">
        <f>D34+E34</f>
        <v>10142.77</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c r="A35" s="1808" t="s">
        <v>291</v>
      </c>
      <c r="C35" s="1876" t="s">
        <v>960</v>
      </c>
      <c r="D35" s="1971">
        <v>10142.77</v>
      </c>
      <c r="E35" s="1988"/>
      <c r="F35" s="1879">
        <f t="shared" ref="F35:F38" si="5">SUM(D35:E35)</f>
        <v>10142.77</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6</v>
      </c>
      <c r="C36" s="1876"/>
      <c r="D36" s="1971"/>
      <c r="E36" s="1988"/>
      <c r="F36" s="1879">
        <f t="shared" si="5"/>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08">
        <v>18230738</v>
      </c>
      <c r="C37" s="1876"/>
      <c r="D37" s="1971"/>
      <c r="E37" s="1988"/>
      <c r="F37" s="1879">
        <f t="shared" si="5"/>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t="s">
        <v>31</v>
      </c>
      <c r="C38" s="1876"/>
      <c r="D38" s="1971"/>
      <c r="E38" s="1988"/>
      <c r="F38" s="1879">
        <f t="shared" si="5"/>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C40" s="2106" t="s">
        <v>506</v>
      </c>
      <c r="D40" s="2183">
        <f>SUM(D41:D44)</f>
        <v>250</v>
      </c>
      <c r="E40" s="1926">
        <v>0</v>
      </c>
      <c r="F40" s="2114">
        <f>D40+E40</f>
        <v>250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C41" s="2197" t="s">
        <v>935</v>
      </c>
      <c r="D41" s="1971">
        <v>150</v>
      </c>
      <c r="E41" s="1988"/>
      <c r="F41" s="1879">
        <f t="shared" ref="F41:F44" si="6">SUM(D41:E41)</f>
        <v>150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C42" s="2197" t="s">
        <v>961</v>
      </c>
      <c r="D42" s="1971">
        <v>100</v>
      </c>
      <c r="E42" s="1988"/>
      <c r="F42" s="1879">
        <f t="shared" si="6"/>
        <v>100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C43" s="1876"/>
      <c r="D43" s="1971"/>
      <c r="E43" s="1988"/>
      <c r="F43" s="1879">
        <f t="shared" si="6"/>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C44" s="1876"/>
      <c r="D44" s="1971"/>
      <c r="E44" s="1988"/>
      <c r="F44" s="1879">
        <f t="shared" si="6"/>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C46" s="1910" t="s">
        <v>50</v>
      </c>
      <c r="D46" s="2183">
        <f>SUM(D47:D50)</f>
        <v>25243</v>
      </c>
      <c r="E46" s="2184">
        <f>SUM(E47:E50)</f>
        <v>0</v>
      </c>
      <c r="F46" s="2114">
        <f>D46+E46</f>
        <v>25243</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C47" s="1876" t="s">
        <v>963</v>
      </c>
      <c r="D47" s="1971">
        <v>25243</v>
      </c>
      <c r="E47" s="1988"/>
      <c r="F47" s="1879">
        <f t="shared" ref="F47:F50" si="7">SUM(D47:E47)</f>
        <v>25243</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C48" s="1876"/>
      <c r="D48" s="1971"/>
      <c r="E48" s="1988"/>
      <c r="F48" s="1879">
        <f t="shared" si="7"/>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1:26">
      <c r="C49" s="1876"/>
      <c r="D49" s="1971"/>
      <c r="E49" s="1988"/>
      <c r="F49" s="1879">
        <f t="shared" si="7"/>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1:26">
      <c r="C50" s="1876"/>
      <c r="D50" s="1971"/>
      <c r="E50" s="1988"/>
      <c r="F50" s="1879">
        <f t="shared" si="7"/>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1:26">
      <c r="C52" s="1910" t="s">
        <v>51</v>
      </c>
      <c r="D52" s="2183">
        <f>SUM(D53:D56)</f>
        <v>100</v>
      </c>
      <c r="E52" s="2184">
        <f>SUM(E53:E56)</f>
        <v>0</v>
      </c>
      <c r="F52" s="2114">
        <f>D52+E52</f>
        <v>100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1:26">
      <c r="C53" s="1876" t="s">
        <v>962</v>
      </c>
      <c r="D53" s="1971">
        <v>100</v>
      </c>
      <c r="E53" s="1972"/>
      <c r="F53" s="1879">
        <f t="shared" ref="F53:F56" si="8">SUM(D53:E53)</f>
        <v>100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1:26">
      <c r="C54" s="1876"/>
      <c r="D54" s="1971"/>
      <c r="E54" s="1972"/>
      <c r="F54" s="1879">
        <f t="shared" si="8"/>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1:26">
      <c r="C55" s="1876"/>
      <c r="D55" s="1971"/>
      <c r="E55" s="1972"/>
      <c r="F55" s="1879">
        <f t="shared" si="8"/>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1:26">
      <c r="C56" s="1876"/>
      <c r="D56" s="1971"/>
      <c r="E56" s="1972"/>
      <c r="F56" s="1879">
        <f t="shared" si="8"/>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1:26">
      <c r="C58" s="1910" t="s">
        <v>52</v>
      </c>
      <c r="D58" s="2183">
        <f>SUM(D59:D62)</f>
        <v>150</v>
      </c>
      <c r="E58" s="2184">
        <f>SUM(E59:E62)</f>
        <v>0</v>
      </c>
      <c r="F58" s="2114">
        <f>D58+E58</f>
        <v>150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1:26">
      <c r="C59" s="1876" t="s">
        <v>964</v>
      </c>
      <c r="D59" s="1971">
        <v>150</v>
      </c>
      <c r="E59" s="1988"/>
      <c r="F59" s="1879">
        <f t="shared" ref="F59:F62" si="9">SUM(D59:E59)</f>
        <v>150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1:26">
      <c r="C60" s="1876"/>
      <c r="D60" s="1971"/>
      <c r="E60" s="1988"/>
      <c r="F60" s="1879">
        <f t="shared" si="9"/>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1:26">
      <c r="C61" s="1876"/>
      <c r="D61" s="1971"/>
      <c r="E61" s="1988"/>
      <c r="F61" s="1879">
        <f t="shared" si="9"/>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1:26">
      <c r="C62" s="1876"/>
      <c r="D62" s="1971"/>
      <c r="E62" s="1988"/>
      <c r="F62" s="1879">
        <f t="shared" si="9"/>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1:26" ht="25.5">
      <c r="A64" s="1808" t="s">
        <v>290</v>
      </c>
      <c r="C64" s="1910" t="s">
        <v>53</v>
      </c>
      <c r="D64" s="1911">
        <f>W15</f>
        <v>25658.01</v>
      </c>
      <c r="E64" s="1926">
        <f>X15</f>
        <v>0</v>
      </c>
      <c r="F64" s="1924">
        <f>D64+E64</f>
        <v>25658.01</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c r="A65" s="1808" t="s">
        <v>291</v>
      </c>
      <c r="C65" s="1967" t="s">
        <v>313</v>
      </c>
      <c r="D65" s="2615">
        <f>D64/D12</f>
        <v>0.3877143844569666</v>
      </c>
      <c r="E65" s="2616" t="e">
        <f>E64/E12</f>
        <v>#DIV/0!</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6</v>
      </c>
      <c r="C66" s="1968"/>
      <c r="D66" s="1963"/>
      <c r="E66" s="1964"/>
      <c r="F66" s="1965"/>
    </row>
    <row r="67" spans="1:26">
      <c r="A67" s="1808">
        <v>18230738</v>
      </c>
      <c r="C67" s="1959" t="s">
        <v>54</v>
      </c>
      <c r="D67" s="1971">
        <v>0</v>
      </c>
      <c r="E67" s="1971">
        <v>0</v>
      </c>
      <c r="F67" s="1956">
        <v>0</v>
      </c>
    </row>
    <row r="68" spans="1:26">
      <c r="A68" s="1808" t="s">
        <v>31</v>
      </c>
    </row>
  </sheetData>
  <customSheetViews>
    <customSheetView guid="{074EB09C-6289-46D7-9513-012B68BCA7BF}" showGridLines="0">
      <pane xSplit="1" ySplit="1" topLeftCell="B2" activePane="bottomRight" state="frozen"/>
      <selection pane="bottomRight" activeCell="R17" sqref="R17"/>
      <pageMargins left="0.21" right="0.21" top="0.37" bottom="0.37" header="0.3" footer="0.3"/>
      <pageSetup paperSize="3" scale="45" orientation="landscape" r:id="rId1"/>
    </customSheetView>
    <customSheetView guid="{D9EFFE19-D14B-4C6F-BDF4-FF696F73968D}" showGridLines="0">
      <pane xSplit="1" ySplit="1" topLeftCell="E2" activePane="bottomRight" state="frozen"/>
      <selection pane="bottomRight" activeCell="L15" sqref="L15:M15"/>
      <pageMargins left="0.21" right="0.21" top="0.37" bottom="0.37" header="0.3" footer="0.3"/>
      <pageSetup paperSize="3" scale="45" orientation="landscape" r:id="rId2"/>
    </customSheetView>
  </customSheetViews>
  <mergeCells count="8">
    <mergeCell ref="R2:S2"/>
    <mergeCell ref="T2:V2"/>
    <mergeCell ref="W2:W3"/>
    <mergeCell ref="H10:P10"/>
    <mergeCell ref="H12:P12"/>
    <mergeCell ref="Q12:S12"/>
    <mergeCell ref="T12:V12"/>
    <mergeCell ref="W12:Y12"/>
  </mergeCells>
  <pageMargins left="0.21" right="0.21" top="0.37" bottom="0.37" header="0.3" footer="0.3"/>
  <pageSetup paperSize="3" scale="45" orientation="landscape" r:id="rId3"/>
  <ignoredErrors>
    <ignoredError sqref="Q7" formulaRange="1"/>
  </ignoredError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B1A0C7"/>
    <pageSetUpPr fitToPage="1"/>
  </sheetPr>
  <dimension ref="A1:AG111"/>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42578125" style="1164" customWidth="1"/>
    <col min="2" max="2" width="16" style="1866" customWidth="1"/>
    <col min="3" max="3" width="32.28515625" customWidth="1"/>
    <col min="4" max="4" width="26" customWidth="1"/>
    <col min="5" max="5" width="15.5703125" style="9" customWidth="1"/>
    <col min="6" max="6" width="15.5703125" customWidth="1"/>
    <col min="7" max="7" width="17"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6.140625" customWidth="1"/>
    <col min="19" max="19" width="16.7109375" bestFit="1" customWidth="1"/>
    <col min="20" max="20" width="15.5703125" bestFit="1" customWidth="1"/>
    <col min="21" max="21" width="18"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5.28515625" bestFit="1" customWidth="1"/>
    <col min="260" max="260" width="17.570312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6.5703125" customWidth="1"/>
    <col min="271" max="271" width="16.140625" customWidth="1"/>
    <col min="272" max="272" width="16.7109375" bestFit="1" customWidth="1"/>
    <col min="273" max="273" width="15.5703125" bestFit="1" customWidth="1"/>
    <col min="274" max="274" width="18"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5.28515625" bestFit="1" customWidth="1"/>
    <col min="516" max="516" width="17.570312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6.5703125" customWidth="1"/>
    <col min="527" max="527" width="16.140625" customWidth="1"/>
    <col min="528" max="528" width="16.7109375" bestFit="1" customWidth="1"/>
    <col min="529" max="529" width="15.5703125" bestFit="1" customWidth="1"/>
    <col min="530" max="530" width="18"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5.28515625" bestFit="1" customWidth="1"/>
    <col min="772" max="772" width="17.570312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6.5703125" customWidth="1"/>
    <col min="783" max="783" width="16.140625" customWidth="1"/>
    <col min="784" max="784" width="16.7109375" bestFit="1" customWidth="1"/>
    <col min="785" max="785" width="15.5703125" bestFit="1" customWidth="1"/>
    <col min="786" max="786" width="18"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5.28515625" bestFit="1" customWidth="1"/>
    <col min="1028" max="1028" width="17.570312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6.5703125" customWidth="1"/>
    <col min="1039" max="1039" width="16.140625" customWidth="1"/>
    <col min="1040" max="1040" width="16.7109375" bestFit="1" customWidth="1"/>
    <col min="1041" max="1041" width="15.5703125" bestFit="1" customWidth="1"/>
    <col min="1042" max="1042" width="18"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5.28515625" bestFit="1" customWidth="1"/>
    <col min="1284" max="1284" width="17.570312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6.5703125" customWidth="1"/>
    <col min="1295" max="1295" width="16.140625" customWidth="1"/>
    <col min="1296" max="1296" width="16.7109375" bestFit="1" customWidth="1"/>
    <col min="1297" max="1297" width="15.5703125" bestFit="1" customWidth="1"/>
    <col min="1298" max="1298" width="18"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5.28515625" bestFit="1" customWidth="1"/>
    <col min="1540" max="1540" width="17.570312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6.5703125" customWidth="1"/>
    <col min="1551" max="1551" width="16.140625" customWidth="1"/>
    <col min="1552" max="1552" width="16.7109375" bestFit="1" customWidth="1"/>
    <col min="1553" max="1553" width="15.5703125" bestFit="1" customWidth="1"/>
    <col min="1554" max="1554" width="18"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5.28515625" bestFit="1" customWidth="1"/>
    <col min="1796" max="1796" width="17.570312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6.5703125" customWidth="1"/>
    <col min="1807" max="1807" width="16.140625" customWidth="1"/>
    <col min="1808" max="1808" width="16.7109375" bestFit="1" customWidth="1"/>
    <col min="1809" max="1809" width="15.5703125" bestFit="1" customWidth="1"/>
    <col min="1810" max="1810" width="18"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5.28515625" bestFit="1" customWidth="1"/>
    <col min="2052" max="2052" width="17.570312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6.5703125" customWidth="1"/>
    <col min="2063" max="2063" width="16.140625" customWidth="1"/>
    <col min="2064" max="2064" width="16.7109375" bestFit="1" customWidth="1"/>
    <col min="2065" max="2065" width="15.5703125" bestFit="1" customWidth="1"/>
    <col min="2066" max="2066" width="18"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5.28515625" bestFit="1" customWidth="1"/>
    <col min="2308" max="2308" width="17.570312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6.5703125" customWidth="1"/>
    <col min="2319" max="2319" width="16.140625" customWidth="1"/>
    <col min="2320" max="2320" width="16.7109375" bestFit="1" customWidth="1"/>
    <col min="2321" max="2321" width="15.5703125" bestFit="1" customWidth="1"/>
    <col min="2322" max="2322" width="18"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5.28515625" bestFit="1" customWidth="1"/>
    <col min="2564" max="2564" width="17.570312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6.5703125" customWidth="1"/>
    <col min="2575" max="2575" width="16.140625" customWidth="1"/>
    <col min="2576" max="2576" width="16.7109375" bestFit="1" customWidth="1"/>
    <col min="2577" max="2577" width="15.5703125" bestFit="1" customWidth="1"/>
    <col min="2578" max="2578" width="18"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5.28515625" bestFit="1" customWidth="1"/>
    <col min="2820" max="2820" width="17.570312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6.5703125" customWidth="1"/>
    <col min="2831" max="2831" width="16.140625" customWidth="1"/>
    <col min="2832" max="2832" width="16.7109375" bestFit="1" customWidth="1"/>
    <col min="2833" max="2833" width="15.5703125" bestFit="1" customWidth="1"/>
    <col min="2834" max="2834" width="18"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5.28515625" bestFit="1" customWidth="1"/>
    <col min="3076" max="3076" width="17.570312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6.5703125" customWidth="1"/>
    <col min="3087" max="3087" width="16.140625" customWidth="1"/>
    <col min="3088" max="3088" width="16.7109375" bestFit="1" customWidth="1"/>
    <col min="3089" max="3089" width="15.5703125" bestFit="1" customWidth="1"/>
    <col min="3090" max="3090" width="18"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5.28515625" bestFit="1" customWidth="1"/>
    <col min="3332" max="3332" width="17.570312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6.5703125" customWidth="1"/>
    <col min="3343" max="3343" width="16.140625" customWidth="1"/>
    <col min="3344" max="3344" width="16.7109375" bestFit="1" customWidth="1"/>
    <col min="3345" max="3345" width="15.5703125" bestFit="1" customWidth="1"/>
    <col min="3346" max="3346" width="18"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5.28515625" bestFit="1" customWidth="1"/>
    <col min="3588" max="3588" width="17.570312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6.5703125" customWidth="1"/>
    <col min="3599" max="3599" width="16.140625" customWidth="1"/>
    <col min="3600" max="3600" width="16.7109375" bestFit="1" customWidth="1"/>
    <col min="3601" max="3601" width="15.5703125" bestFit="1" customWidth="1"/>
    <col min="3602" max="3602" width="18"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5.28515625" bestFit="1" customWidth="1"/>
    <col min="3844" max="3844" width="17.570312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6.5703125" customWidth="1"/>
    <col min="3855" max="3855" width="16.140625" customWidth="1"/>
    <col min="3856" max="3856" width="16.7109375" bestFit="1" customWidth="1"/>
    <col min="3857" max="3857" width="15.5703125" bestFit="1" customWidth="1"/>
    <col min="3858" max="3858" width="18"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5.28515625" bestFit="1" customWidth="1"/>
    <col min="4100" max="4100" width="17.570312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6.5703125" customWidth="1"/>
    <col min="4111" max="4111" width="16.140625" customWidth="1"/>
    <col min="4112" max="4112" width="16.7109375" bestFit="1" customWidth="1"/>
    <col min="4113" max="4113" width="15.5703125" bestFit="1" customWidth="1"/>
    <col min="4114" max="4114" width="18"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5.28515625" bestFit="1" customWidth="1"/>
    <col min="4356" max="4356" width="17.570312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6.5703125" customWidth="1"/>
    <col min="4367" max="4367" width="16.140625" customWidth="1"/>
    <col min="4368" max="4368" width="16.7109375" bestFit="1" customWidth="1"/>
    <col min="4369" max="4369" width="15.5703125" bestFit="1" customWidth="1"/>
    <col min="4370" max="4370" width="18"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5.28515625" bestFit="1" customWidth="1"/>
    <col min="4612" max="4612" width="17.570312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6.5703125" customWidth="1"/>
    <col min="4623" max="4623" width="16.140625" customWidth="1"/>
    <col min="4624" max="4624" width="16.7109375" bestFit="1" customWidth="1"/>
    <col min="4625" max="4625" width="15.5703125" bestFit="1" customWidth="1"/>
    <col min="4626" max="4626" width="18"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5.28515625" bestFit="1" customWidth="1"/>
    <col min="4868" max="4868" width="17.570312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6.5703125" customWidth="1"/>
    <col min="4879" max="4879" width="16.140625" customWidth="1"/>
    <col min="4880" max="4880" width="16.7109375" bestFit="1" customWidth="1"/>
    <col min="4881" max="4881" width="15.5703125" bestFit="1" customWidth="1"/>
    <col min="4882" max="4882" width="18"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5.28515625" bestFit="1" customWidth="1"/>
    <col min="5124" max="5124" width="17.570312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6.5703125" customWidth="1"/>
    <col min="5135" max="5135" width="16.140625" customWidth="1"/>
    <col min="5136" max="5136" width="16.7109375" bestFit="1" customWidth="1"/>
    <col min="5137" max="5137" width="15.5703125" bestFit="1" customWidth="1"/>
    <col min="5138" max="5138" width="18"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5.28515625" bestFit="1" customWidth="1"/>
    <col min="5380" max="5380" width="17.570312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6.5703125" customWidth="1"/>
    <col min="5391" max="5391" width="16.140625" customWidth="1"/>
    <col min="5392" max="5392" width="16.7109375" bestFit="1" customWidth="1"/>
    <col min="5393" max="5393" width="15.5703125" bestFit="1" customWidth="1"/>
    <col min="5394" max="5394" width="18"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5.28515625" bestFit="1" customWidth="1"/>
    <col min="5636" max="5636" width="17.570312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6.5703125" customWidth="1"/>
    <col min="5647" max="5647" width="16.140625" customWidth="1"/>
    <col min="5648" max="5648" width="16.7109375" bestFit="1" customWidth="1"/>
    <col min="5649" max="5649" width="15.5703125" bestFit="1" customWidth="1"/>
    <col min="5650" max="5650" width="18"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5.28515625" bestFit="1" customWidth="1"/>
    <col min="5892" max="5892" width="17.570312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6.5703125" customWidth="1"/>
    <col min="5903" max="5903" width="16.140625" customWidth="1"/>
    <col min="5904" max="5904" width="16.7109375" bestFit="1" customWidth="1"/>
    <col min="5905" max="5905" width="15.5703125" bestFit="1" customWidth="1"/>
    <col min="5906" max="5906" width="18"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5.28515625" bestFit="1" customWidth="1"/>
    <col min="6148" max="6148" width="17.570312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6.5703125" customWidth="1"/>
    <col min="6159" max="6159" width="16.140625" customWidth="1"/>
    <col min="6160" max="6160" width="16.7109375" bestFit="1" customWidth="1"/>
    <col min="6161" max="6161" width="15.5703125" bestFit="1" customWidth="1"/>
    <col min="6162" max="6162" width="18"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5.28515625" bestFit="1" customWidth="1"/>
    <col min="6404" max="6404" width="17.570312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6.5703125" customWidth="1"/>
    <col min="6415" max="6415" width="16.140625" customWidth="1"/>
    <col min="6416" max="6416" width="16.7109375" bestFit="1" customWidth="1"/>
    <col min="6417" max="6417" width="15.5703125" bestFit="1" customWidth="1"/>
    <col min="6418" max="6418" width="18"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5.28515625" bestFit="1" customWidth="1"/>
    <col min="6660" max="6660" width="17.570312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6.5703125" customWidth="1"/>
    <col min="6671" max="6671" width="16.140625" customWidth="1"/>
    <col min="6672" max="6672" width="16.7109375" bestFit="1" customWidth="1"/>
    <col min="6673" max="6673" width="15.5703125" bestFit="1" customWidth="1"/>
    <col min="6674" max="6674" width="18"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5.28515625" bestFit="1" customWidth="1"/>
    <col min="6916" max="6916" width="17.570312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6.5703125" customWidth="1"/>
    <col min="6927" max="6927" width="16.140625" customWidth="1"/>
    <col min="6928" max="6928" width="16.7109375" bestFit="1" customWidth="1"/>
    <col min="6929" max="6929" width="15.5703125" bestFit="1" customWidth="1"/>
    <col min="6930" max="6930" width="18"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5.28515625" bestFit="1" customWidth="1"/>
    <col min="7172" max="7172" width="17.570312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6.5703125" customWidth="1"/>
    <col min="7183" max="7183" width="16.140625" customWidth="1"/>
    <col min="7184" max="7184" width="16.7109375" bestFit="1" customWidth="1"/>
    <col min="7185" max="7185" width="15.5703125" bestFit="1" customWidth="1"/>
    <col min="7186" max="7186" width="18"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5.28515625" bestFit="1" customWidth="1"/>
    <col min="7428" max="7428" width="17.570312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6.5703125" customWidth="1"/>
    <col min="7439" max="7439" width="16.140625" customWidth="1"/>
    <col min="7440" max="7440" width="16.7109375" bestFit="1" customWidth="1"/>
    <col min="7441" max="7441" width="15.5703125" bestFit="1" customWidth="1"/>
    <col min="7442" max="7442" width="18"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5.28515625" bestFit="1" customWidth="1"/>
    <col min="7684" max="7684" width="17.570312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6.5703125" customWidth="1"/>
    <col min="7695" max="7695" width="16.140625" customWidth="1"/>
    <col min="7696" max="7696" width="16.7109375" bestFit="1" customWidth="1"/>
    <col min="7697" max="7697" width="15.5703125" bestFit="1" customWidth="1"/>
    <col min="7698" max="7698" width="18"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5.28515625" bestFit="1" customWidth="1"/>
    <col min="7940" max="7940" width="17.570312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6.5703125" customWidth="1"/>
    <col min="7951" max="7951" width="16.140625" customWidth="1"/>
    <col min="7952" max="7952" width="16.7109375" bestFit="1" customWidth="1"/>
    <col min="7953" max="7953" width="15.5703125" bestFit="1" customWidth="1"/>
    <col min="7954" max="7954" width="18"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5.28515625" bestFit="1" customWidth="1"/>
    <col min="8196" max="8196" width="17.570312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6.5703125" customWidth="1"/>
    <col min="8207" max="8207" width="16.140625" customWidth="1"/>
    <col min="8208" max="8208" width="16.7109375" bestFit="1" customWidth="1"/>
    <col min="8209" max="8209" width="15.5703125" bestFit="1" customWidth="1"/>
    <col min="8210" max="8210" width="18"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5.28515625" bestFit="1" customWidth="1"/>
    <col min="8452" max="8452" width="17.570312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6.5703125" customWidth="1"/>
    <col min="8463" max="8463" width="16.140625" customWidth="1"/>
    <col min="8464" max="8464" width="16.7109375" bestFit="1" customWidth="1"/>
    <col min="8465" max="8465" width="15.5703125" bestFit="1" customWidth="1"/>
    <col min="8466" max="8466" width="18"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5.28515625" bestFit="1" customWidth="1"/>
    <col min="8708" max="8708" width="17.570312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6.5703125" customWidth="1"/>
    <col min="8719" max="8719" width="16.140625" customWidth="1"/>
    <col min="8720" max="8720" width="16.7109375" bestFit="1" customWidth="1"/>
    <col min="8721" max="8721" width="15.5703125" bestFit="1" customWidth="1"/>
    <col min="8722" max="8722" width="18"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5.28515625" bestFit="1" customWidth="1"/>
    <col min="8964" max="8964" width="17.570312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6.5703125" customWidth="1"/>
    <col min="8975" max="8975" width="16.140625" customWidth="1"/>
    <col min="8976" max="8976" width="16.7109375" bestFit="1" customWidth="1"/>
    <col min="8977" max="8977" width="15.5703125" bestFit="1" customWidth="1"/>
    <col min="8978" max="8978" width="18"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5.28515625" bestFit="1" customWidth="1"/>
    <col min="9220" max="9220" width="17.570312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6.5703125" customWidth="1"/>
    <col min="9231" max="9231" width="16.140625" customWidth="1"/>
    <col min="9232" max="9232" width="16.7109375" bestFit="1" customWidth="1"/>
    <col min="9233" max="9233" width="15.5703125" bestFit="1" customWidth="1"/>
    <col min="9234" max="9234" width="18"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5.28515625" bestFit="1" customWidth="1"/>
    <col min="9476" max="9476" width="17.570312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6.5703125" customWidth="1"/>
    <col min="9487" max="9487" width="16.140625" customWidth="1"/>
    <col min="9488" max="9488" width="16.7109375" bestFit="1" customWidth="1"/>
    <col min="9489" max="9489" width="15.5703125" bestFit="1" customWidth="1"/>
    <col min="9490" max="9490" width="18"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5.28515625" bestFit="1" customWidth="1"/>
    <col min="9732" max="9732" width="17.570312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6.5703125" customWidth="1"/>
    <col min="9743" max="9743" width="16.140625" customWidth="1"/>
    <col min="9744" max="9744" width="16.7109375" bestFit="1" customWidth="1"/>
    <col min="9745" max="9745" width="15.5703125" bestFit="1" customWidth="1"/>
    <col min="9746" max="9746" width="18"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5.28515625" bestFit="1" customWidth="1"/>
    <col min="9988" max="9988" width="17.570312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6.5703125" customWidth="1"/>
    <col min="9999" max="9999" width="16.140625" customWidth="1"/>
    <col min="10000" max="10000" width="16.7109375" bestFit="1" customWidth="1"/>
    <col min="10001" max="10001" width="15.5703125" bestFit="1" customWidth="1"/>
    <col min="10002" max="10002" width="18"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5.28515625" bestFit="1" customWidth="1"/>
    <col min="10244" max="10244" width="17.570312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6.5703125" customWidth="1"/>
    <col min="10255" max="10255" width="16.140625" customWidth="1"/>
    <col min="10256" max="10256" width="16.7109375" bestFit="1" customWidth="1"/>
    <col min="10257" max="10257" width="15.5703125" bestFit="1" customWidth="1"/>
    <col min="10258" max="10258" width="18"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5.28515625" bestFit="1" customWidth="1"/>
    <col min="10500" max="10500" width="17.570312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6.5703125" customWidth="1"/>
    <col min="10511" max="10511" width="16.140625" customWidth="1"/>
    <col min="10512" max="10512" width="16.7109375" bestFit="1" customWidth="1"/>
    <col min="10513" max="10513" width="15.5703125" bestFit="1" customWidth="1"/>
    <col min="10514" max="10514" width="18"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5.28515625" bestFit="1" customWidth="1"/>
    <col min="10756" max="10756" width="17.570312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6.5703125" customWidth="1"/>
    <col min="10767" max="10767" width="16.140625" customWidth="1"/>
    <col min="10768" max="10768" width="16.7109375" bestFit="1" customWidth="1"/>
    <col min="10769" max="10769" width="15.5703125" bestFit="1" customWidth="1"/>
    <col min="10770" max="10770" width="18"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5.28515625" bestFit="1" customWidth="1"/>
    <col min="11012" max="11012" width="17.570312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6.5703125" customWidth="1"/>
    <col min="11023" max="11023" width="16.140625" customWidth="1"/>
    <col min="11024" max="11024" width="16.7109375" bestFit="1" customWidth="1"/>
    <col min="11025" max="11025" width="15.5703125" bestFit="1" customWidth="1"/>
    <col min="11026" max="11026" width="18"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5.28515625" bestFit="1" customWidth="1"/>
    <col min="11268" max="11268" width="17.570312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6.5703125" customWidth="1"/>
    <col min="11279" max="11279" width="16.140625" customWidth="1"/>
    <col min="11280" max="11280" width="16.7109375" bestFit="1" customWidth="1"/>
    <col min="11281" max="11281" width="15.5703125" bestFit="1" customWidth="1"/>
    <col min="11282" max="11282" width="18"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5.28515625" bestFit="1" customWidth="1"/>
    <col min="11524" max="11524" width="17.570312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6.5703125" customWidth="1"/>
    <col min="11535" max="11535" width="16.140625" customWidth="1"/>
    <col min="11536" max="11536" width="16.7109375" bestFit="1" customWidth="1"/>
    <col min="11537" max="11537" width="15.5703125" bestFit="1" customWidth="1"/>
    <col min="11538" max="11538" width="18"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5.28515625" bestFit="1" customWidth="1"/>
    <col min="11780" max="11780" width="17.570312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6.5703125" customWidth="1"/>
    <col min="11791" max="11791" width="16.140625" customWidth="1"/>
    <col min="11792" max="11792" width="16.7109375" bestFit="1" customWidth="1"/>
    <col min="11793" max="11793" width="15.5703125" bestFit="1" customWidth="1"/>
    <col min="11794" max="11794" width="18"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5.28515625" bestFit="1" customWidth="1"/>
    <col min="12036" max="12036" width="17.570312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6.5703125" customWidth="1"/>
    <col min="12047" max="12047" width="16.140625" customWidth="1"/>
    <col min="12048" max="12048" width="16.7109375" bestFit="1" customWidth="1"/>
    <col min="12049" max="12049" width="15.5703125" bestFit="1" customWidth="1"/>
    <col min="12050" max="12050" width="18"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5.28515625" bestFit="1" customWidth="1"/>
    <col min="12292" max="12292" width="17.570312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6.5703125" customWidth="1"/>
    <col min="12303" max="12303" width="16.140625" customWidth="1"/>
    <col min="12304" max="12304" width="16.7109375" bestFit="1" customWidth="1"/>
    <col min="12305" max="12305" width="15.5703125" bestFit="1" customWidth="1"/>
    <col min="12306" max="12306" width="18"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5.28515625" bestFit="1" customWidth="1"/>
    <col min="12548" max="12548" width="17.570312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6.5703125" customWidth="1"/>
    <col min="12559" max="12559" width="16.140625" customWidth="1"/>
    <col min="12560" max="12560" width="16.7109375" bestFit="1" customWidth="1"/>
    <col min="12561" max="12561" width="15.5703125" bestFit="1" customWidth="1"/>
    <col min="12562" max="12562" width="18"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5.28515625" bestFit="1" customWidth="1"/>
    <col min="12804" max="12804" width="17.570312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6.5703125" customWidth="1"/>
    <col min="12815" max="12815" width="16.140625" customWidth="1"/>
    <col min="12816" max="12816" width="16.7109375" bestFit="1" customWidth="1"/>
    <col min="12817" max="12817" width="15.5703125" bestFit="1" customWidth="1"/>
    <col min="12818" max="12818" width="18"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5.28515625" bestFit="1" customWidth="1"/>
    <col min="13060" max="13060" width="17.570312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6.5703125" customWidth="1"/>
    <col min="13071" max="13071" width="16.140625" customWidth="1"/>
    <col min="13072" max="13072" width="16.7109375" bestFit="1" customWidth="1"/>
    <col min="13073" max="13073" width="15.5703125" bestFit="1" customWidth="1"/>
    <col min="13074" max="13074" width="18"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5.28515625" bestFit="1" customWidth="1"/>
    <col min="13316" max="13316" width="17.570312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6.5703125" customWidth="1"/>
    <col min="13327" max="13327" width="16.140625" customWidth="1"/>
    <col min="13328" max="13328" width="16.7109375" bestFit="1" customWidth="1"/>
    <col min="13329" max="13329" width="15.5703125" bestFit="1" customWidth="1"/>
    <col min="13330" max="13330" width="18"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5.28515625" bestFit="1" customWidth="1"/>
    <col min="13572" max="13572" width="17.570312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6.5703125" customWidth="1"/>
    <col min="13583" max="13583" width="16.140625" customWidth="1"/>
    <col min="13584" max="13584" width="16.7109375" bestFit="1" customWidth="1"/>
    <col min="13585" max="13585" width="15.5703125" bestFit="1" customWidth="1"/>
    <col min="13586" max="13586" width="18"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5.28515625" bestFit="1" customWidth="1"/>
    <col min="13828" max="13828" width="17.570312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6.5703125" customWidth="1"/>
    <col min="13839" max="13839" width="16.140625" customWidth="1"/>
    <col min="13840" max="13840" width="16.7109375" bestFit="1" customWidth="1"/>
    <col min="13841" max="13841" width="15.5703125" bestFit="1" customWidth="1"/>
    <col min="13842" max="13842" width="18"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5.28515625" bestFit="1" customWidth="1"/>
    <col min="14084" max="14084" width="17.570312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6.5703125" customWidth="1"/>
    <col min="14095" max="14095" width="16.140625" customWidth="1"/>
    <col min="14096" max="14096" width="16.7109375" bestFit="1" customWidth="1"/>
    <col min="14097" max="14097" width="15.5703125" bestFit="1" customWidth="1"/>
    <col min="14098" max="14098" width="18"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5.28515625" bestFit="1" customWidth="1"/>
    <col min="14340" max="14340" width="17.570312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6.5703125" customWidth="1"/>
    <col min="14351" max="14351" width="16.140625" customWidth="1"/>
    <col min="14352" max="14352" width="16.7109375" bestFit="1" customWidth="1"/>
    <col min="14353" max="14353" width="15.5703125" bestFit="1" customWidth="1"/>
    <col min="14354" max="14354" width="18"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5.28515625" bestFit="1" customWidth="1"/>
    <col min="14596" max="14596" width="17.570312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6.5703125" customWidth="1"/>
    <col min="14607" max="14607" width="16.140625" customWidth="1"/>
    <col min="14608" max="14608" width="16.7109375" bestFit="1" customWidth="1"/>
    <col min="14609" max="14609" width="15.5703125" bestFit="1" customWidth="1"/>
    <col min="14610" max="14610" width="18"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5.28515625" bestFit="1" customWidth="1"/>
    <col min="14852" max="14852" width="17.570312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6.5703125" customWidth="1"/>
    <col min="14863" max="14863" width="16.140625" customWidth="1"/>
    <col min="14864" max="14864" width="16.7109375" bestFit="1" customWidth="1"/>
    <col min="14865" max="14865" width="15.5703125" bestFit="1" customWidth="1"/>
    <col min="14866" max="14866" width="18"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5.28515625" bestFit="1" customWidth="1"/>
    <col min="15108" max="15108" width="17.570312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6.5703125" customWidth="1"/>
    <col min="15119" max="15119" width="16.140625" customWidth="1"/>
    <col min="15120" max="15120" width="16.7109375" bestFit="1" customWidth="1"/>
    <col min="15121" max="15121" width="15.5703125" bestFit="1" customWidth="1"/>
    <col min="15122" max="15122" width="18"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5.28515625" bestFit="1" customWidth="1"/>
    <col min="15364" max="15364" width="17.570312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6.5703125" customWidth="1"/>
    <col min="15375" max="15375" width="16.140625" customWidth="1"/>
    <col min="15376" max="15376" width="16.7109375" bestFit="1" customWidth="1"/>
    <col min="15377" max="15377" width="15.5703125" bestFit="1" customWidth="1"/>
    <col min="15378" max="15378" width="18"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5.28515625" bestFit="1" customWidth="1"/>
    <col min="15620" max="15620" width="17.570312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6.5703125" customWidth="1"/>
    <col min="15631" max="15631" width="16.140625" customWidth="1"/>
    <col min="15632" max="15632" width="16.7109375" bestFit="1" customWidth="1"/>
    <col min="15633" max="15633" width="15.5703125" bestFit="1" customWidth="1"/>
    <col min="15634" max="15634" width="18"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5.28515625" bestFit="1" customWidth="1"/>
    <col min="15876" max="15876" width="17.570312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6.5703125" customWidth="1"/>
    <col min="15887" max="15887" width="16.140625" customWidth="1"/>
    <col min="15888" max="15888" width="16.7109375" bestFit="1" customWidth="1"/>
    <col min="15889" max="15889" width="15.5703125" bestFit="1" customWidth="1"/>
    <col min="15890" max="15890" width="18"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5.28515625" bestFit="1" customWidth="1"/>
    <col min="16132" max="16132" width="17.570312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6.5703125" customWidth="1"/>
    <col min="16143" max="16143" width="16.140625" customWidth="1"/>
    <col min="16144" max="16144" width="16.7109375" bestFit="1" customWidth="1"/>
    <col min="16145" max="16145" width="15.5703125" bestFit="1" customWidth="1"/>
    <col min="16146" max="16146" width="18"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54" customHeight="1" thickBot="1">
      <c r="C1" s="1812" t="s">
        <v>189</v>
      </c>
      <c r="D1" s="1812" t="s">
        <v>289</v>
      </c>
      <c r="E1" s="1812" t="s">
        <v>6</v>
      </c>
      <c r="F1" s="1812">
        <v>18230684</v>
      </c>
      <c r="G1" s="1812" t="s">
        <v>31</v>
      </c>
      <c r="J1" s="45"/>
      <c r="M1" s="1812" t="s">
        <v>189</v>
      </c>
      <c r="N1" s="1812" t="s">
        <v>289</v>
      </c>
      <c r="O1" s="1812" t="s">
        <v>6</v>
      </c>
      <c r="P1" s="1812">
        <v>18230684</v>
      </c>
      <c r="Q1" s="1812" t="s">
        <v>31</v>
      </c>
      <c r="V1" s="1812" t="s">
        <v>189</v>
      </c>
      <c r="W1" s="1812" t="s">
        <v>289</v>
      </c>
      <c r="X1" s="1812" t="s">
        <v>6</v>
      </c>
      <c r="Y1" s="1812">
        <v>18230684</v>
      </c>
      <c r="Z1" s="1812" t="s">
        <v>31</v>
      </c>
    </row>
    <row r="2" spans="1:33" ht="16.5" thickBot="1">
      <c r="C2" s="45"/>
      <c r="D2" s="46"/>
      <c r="H2" s="1576" t="s">
        <v>674</v>
      </c>
      <c r="R2" s="3596"/>
      <c r="S2" s="3596"/>
      <c r="T2" s="3597" t="s">
        <v>36</v>
      </c>
      <c r="U2" s="3598"/>
      <c r="V2" s="3599"/>
      <c r="W2" s="3594" t="s">
        <v>37</v>
      </c>
    </row>
    <row r="3" spans="1:33" ht="26.25" thickBot="1">
      <c r="A3" s="1808" t="s">
        <v>189</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08" t="s">
        <v>289</v>
      </c>
      <c r="B4" s="1808"/>
      <c r="C4" s="46"/>
      <c r="G4" s="1704" t="s">
        <v>668</v>
      </c>
      <c r="H4" s="2003">
        <v>5492</v>
      </c>
      <c r="I4" s="2002">
        <v>1099</v>
      </c>
      <c r="J4" s="2002">
        <v>3883</v>
      </c>
      <c r="K4" s="2002">
        <v>24000</v>
      </c>
      <c r="L4" s="2002">
        <v>0</v>
      </c>
      <c r="M4" s="2002">
        <v>0</v>
      </c>
      <c r="N4" s="2002">
        <v>2500</v>
      </c>
      <c r="O4" s="2002">
        <v>0</v>
      </c>
      <c r="P4" s="2002">
        <v>0</v>
      </c>
      <c r="Q4" s="2002">
        <v>0</v>
      </c>
      <c r="R4" s="2000">
        <v>36974</v>
      </c>
      <c r="S4" s="2965" t="s">
        <v>688</v>
      </c>
      <c r="T4" s="65">
        <f>P4/R4</f>
        <v>0</v>
      </c>
      <c r="U4" s="65">
        <f>(K4+(I4*1.63))/R4</f>
        <v>0.69755422729485583</v>
      </c>
      <c r="V4" s="65">
        <f>M4/R4</f>
        <v>0</v>
      </c>
      <c r="W4" s="52" t="e">
        <f>R4/S4</f>
        <v>#VALUE!</v>
      </c>
    </row>
    <row r="5" spans="1:33" ht="16.5" thickBot="1">
      <c r="A5" s="1808" t="s">
        <v>6</v>
      </c>
      <c r="B5" s="1808"/>
      <c r="C5" s="45"/>
      <c r="G5" s="45">
        <v>2016</v>
      </c>
      <c r="H5" s="1582">
        <f>D15</f>
        <v>13500</v>
      </c>
      <c r="I5" s="1549">
        <f>D21</f>
        <v>10984.2</v>
      </c>
      <c r="J5" s="1549">
        <f>D27</f>
        <v>16330.9614</v>
      </c>
      <c r="K5" s="1549">
        <f>D34</f>
        <v>6000</v>
      </c>
      <c r="L5" s="1549">
        <f>D40</f>
        <v>0</v>
      </c>
      <c r="M5" s="1549">
        <f>D46</f>
        <v>0</v>
      </c>
      <c r="N5" s="1549">
        <f>D52</f>
        <v>1000</v>
      </c>
      <c r="O5" s="1549">
        <f>D58</f>
        <v>0</v>
      </c>
      <c r="P5" s="1549">
        <f>D64</f>
        <v>0</v>
      </c>
      <c r="Q5" s="1549">
        <f>D65</f>
        <v>0</v>
      </c>
      <c r="R5" s="2001">
        <f>SUM(H5:Q5)</f>
        <v>47815.161399999997</v>
      </c>
      <c r="S5" s="2042">
        <f>T15</f>
        <v>0</v>
      </c>
      <c r="T5" s="66">
        <f>P5/R5</f>
        <v>0</v>
      </c>
      <c r="U5" s="66">
        <f>(K5+(I5*1.63))/R5</f>
        <v>0.49993025852256145</v>
      </c>
      <c r="V5" s="66">
        <f>M5/R5</f>
        <v>0</v>
      </c>
      <c r="W5" s="56" t="e">
        <f>R5/S5</f>
        <v>#DIV/0!</v>
      </c>
    </row>
    <row r="6" spans="1:33" ht="16.5" thickBot="1">
      <c r="A6" s="1808">
        <v>18230684</v>
      </c>
      <c r="B6" s="1808"/>
      <c r="D6" s="45"/>
      <c r="G6" s="45">
        <v>2017</v>
      </c>
      <c r="H6" s="57">
        <f>E15</f>
        <v>13500</v>
      </c>
      <c r="I6" s="1990">
        <f>E21</f>
        <v>10984.2</v>
      </c>
      <c r="J6" s="1989">
        <f>E27</f>
        <v>16649.256000000001</v>
      </c>
      <c r="K6" s="58">
        <f>E34</f>
        <v>6000</v>
      </c>
      <c r="L6" s="58">
        <f>E40</f>
        <v>0</v>
      </c>
      <c r="M6" s="58">
        <f>E46</f>
        <v>0</v>
      </c>
      <c r="N6" s="58">
        <f>E52</f>
        <v>1000</v>
      </c>
      <c r="O6" s="58">
        <f>E58</f>
        <v>0</v>
      </c>
      <c r="P6" s="58">
        <f>E64</f>
        <v>0</v>
      </c>
      <c r="Q6" s="58">
        <f>E65</f>
        <v>0</v>
      </c>
      <c r="R6" s="1997">
        <f>SUM(H6:Q6)</f>
        <v>48133.456000000006</v>
      </c>
      <c r="S6" s="2043">
        <f>U15</f>
        <v>0</v>
      </c>
      <c r="T6" s="66">
        <f>P6/R6</f>
        <v>0</v>
      </c>
      <c r="U6" s="66">
        <f>(K6+(I6*1.63))/R6</f>
        <v>0.49662434378283571</v>
      </c>
      <c r="V6" s="66">
        <f>M6/R6</f>
        <v>0</v>
      </c>
      <c r="W6" s="56" t="e">
        <f>R6/S6</f>
        <v>#DIV/0!</v>
      </c>
    </row>
    <row r="7" spans="1:33" ht="16.5" thickBot="1">
      <c r="A7" s="1808" t="s">
        <v>31</v>
      </c>
      <c r="B7" s="1808"/>
      <c r="C7" s="1866"/>
      <c r="D7" s="1592"/>
      <c r="E7" s="1867"/>
      <c r="F7" s="1866"/>
      <c r="G7" s="1608" t="s">
        <v>23</v>
      </c>
      <c r="H7" s="1564">
        <f>SUM(H5:H6)</f>
        <v>27000</v>
      </c>
      <c r="I7" s="1991">
        <f t="shared" ref="I7:Q7" si="0">SUM(I5:I6)</f>
        <v>21968.400000000001</v>
      </c>
      <c r="J7" s="1992">
        <f t="shared" si="0"/>
        <v>32980.217400000001</v>
      </c>
      <c r="K7" s="1993">
        <f t="shared" si="0"/>
        <v>12000</v>
      </c>
      <c r="L7" s="1991">
        <f t="shared" si="0"/>
        <v>0</v>
      </c>
      <c r="M7" s="1992">
        <f t="shared" si="0"/>
        <v>0</v>
      </c>
      <c r="N7" s="1991">
        <f t="shared" si="0"/>
        <v>2000</v>
      </c>
      <c r="O7" s="1992">
        <f t="shared" si="0"/>
        <v>0</v>
      </c>
      <c r="P7" s="1993">
        <f t="shared" si="0"/>
        <v>0</v>
      </c>
      <c r="Q7" s="1991">
        <f t="shared" si="0"/>
        <v>0</v>
      </c>
      <c r="R7" s="1993">
        <f>SUM(H7:Q7)</f>
        <v>95948.617400000003</v>
      </c>
      <c r="S7" s="2600">
        <f>SUM(S5:S6)</f>
        <v>0</v>
      </c>
      <c r="T7" s="66">
        <f>P7/R7</f>
        <v>0</v>
      </c>
      <c r="U7" s="66">
        <f>(K7+(I7*1.63))/R7</f>
        <v>0.49827181772397272</v>
      </c>
      <c r="V7" s="66">
        <f>M7/R7</f>
        <v>0</v>
      </c>
      <c r="W7" s="56" t="e">
        <f>R7/S7</f>
        <v>#DIV/0!</v>
      </c>
    </row>
    <row r="8" spans="1:33" ht="15.75">
      <c r="B8" s="1808"/>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47815.161399999997</v>
      </c>
      <c r="E12" s="1948">
        <f>E15+E21+E27+E34+E40+E46+E52+E58</f>
        <v>48133.456000000006</v>
      </c>
      <c r="F12" s="1924">
        <f>D12+E12</f>
        <v>95948.617400000003</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13500</v>
      </c>
      <c r="E15" s="1926">
        <f>SUM(E16:E19)</f>
        <v>13500</v>
      </c>
      <c r="F15" s="1924">
        <f>D15+E15</f>
        <v>27000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v>0.05</v>
      </c>
      <c r="C16" s="1876" t="s">
        <v>791</v>
      </c>
      <c r="D16" s="1907">
        <v>4500</v>
      </c>
      <c r="E16" s="1906">
        <v>4500</v>
      </c>
      <c r="F16" s="1879">
        <f>SUM(D16:E16)</f>
        <v>9000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ustomFormat="1">
      <c r="B17" s="1885">
        <v>0.1</v>
      </c>
      <c r="C17" s="1876" t="s">
        <v>792</v>
      </c>
      <c r="D17" s="1905">
        <v>9000</v>
      </c>
      <c r="E17" s="1904">
        <v>9000</v>
      </c>
      <c r="F17" s="1879">
        <f t="shared" ref="F17:F19" si="1">SUM(D17:E17)</f>
        <v>18000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ustomFormat="1">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ustomFormat="1">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ustomFormat="1">
      <c r="B20" s="2926">
        <f>SUM(B16:B19)</f>
        <v>0.15000000000000002</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ustomFormat="1">
      <c r="B21" s="2193"/>
      <c r="C21" s="1910" t="s">
        <v>47</v>
      </c>
      <c r="D21" s="1911">
        <f>SUM(D22:D25)</f>
        <v>10984.2</v>
      </c>
      <c r="E21" s="1926">
        <f>SUM(E22:E25)</f>
        <v>10984.2</v>
      </c>
      <c r="F21" s="2157">
        <f>D21+E21</f>
        <v>21968.400000000001</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ustomFormat="1">
      <c r="B22" s="1866"/>
      <c r="C22" s="1876" t="s">
        <v>1177</v>
      </c>
      <c r="D22" s="1907">
        <v>10984.2</v>
      </c>
      <c r="E22" s="1906">
        <v>10984.2</v>
      </c>
      <c r="F22" s="1879">
        <f t="shared" ref="F22:F25" si="2">SUM(D22:E22)</f>
        <v>21968.400000000001</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ustomFormat="1">
      <c r="B23" s="1866"/>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ustomFormat="1">
      <c r="B24" s="1866"/>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ustomFormat="1">
      <c r="B25" s="1866"/>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ustomFormat="1">
      <c r="B26" s="1866"/>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ustomFormat="1">
      <c r="B27" s="1866"/>
      <c r="C27" s="1910" t="s">
        <v>48</v>
      </c>
      <c r="D27" s="1911">
        <f>SUM(D29:D32)</f>
        <v>16330.9614</v>
      </c>
      <c r="E27" s="1926">
        <f>SUM(E29:E32)</f>
        <v>16649.256000000001</v>
      </c>
      <c r="F27" s="2157">
        <f>D27+E27</f>
        <v>32980.217400000001</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ustomFormat="1">
      <c r="B28" s="1866"/>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ustomFormat="1">
      <c r="B29" s="1866"/>
      <c r="C29" s="1876" t="s">
        <v>778</v>
      </c>
      <c r="D29" s="1971">
        <f>D15*D28</f>
        <v>9004.5</v>
      </c>
      <c r="E29" s="1972">
        <f>E15*E28</f>
        <v>9180</v>
      </c>
      <c r="F29" s="1879">
        <f t="shared" ref="F29:F32" si="3">SUM(D29:E29)</f>
        <v>18184.5</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ustomFormat="1">
      <c r="B30" s="1866"/>
      <c r="C30" s="1876" t="s">
        <v>779</v>
      </c>
      <c r="D30" s="1973">
        <f>D21*D28</f>
        <v>7326.461400000001</v>
      </c>
      <c r="E30" s="1972">
        <f>E21*E28</f>
        <v>7469.2560000000012</v>
      </c>
      <c r="F30" s="1879">
        <f t="shared" si="3"/>
        <v>14795.717400000001</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ustomFormat="1">
      <c r="B31" s="1866"/>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ustomFormat="1">
      <c r="B32" s="1866"/>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189</v>
      </c>
      <c r="C34" s="1910" t="s">
        <v>49</v>
      </c>
      <c r="D34" s="1911">
        <f>SUM(D35:D38)</f>
        <v>6000</v>
      </c>
      <c r="E34" s="1926">
        <f>SUM(E35:E38)</f>
        <v>6000</v>
      </c>
      <c r="F34" s="2157">
        <f>D34+E34</f>
        <v>12000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08" t="s">
        <v>289</v>
      </c>
      <c r="C35" s="1876" t="s">
        <v>1181</v>
      </c>
      <c r="D35" s="1971">
        <v>6000</v>
      </c>
      <c r="E35" s="1988">
        <v>6000</v>
      </c>
      <c r="F35" s="1879">
        <f t="shared" ref="F35:F38" si="4">SUM(D35:E35)</f>
        <v>12000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18230684</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1000</v>
      </c>
      <c r="E52" s="1926">
        <f>SUM(E53:E56)</f>
        <v>1000</v>
      </c>
      <c r="F52" s="2157">
        <f>D52+E52</f>
        <v>2000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t="s">
        <v>1180</v>
      </c>
      <c r="D53" s="1971">
        <v>1000</v>
      </c>
      <c r="E53" s="1972">
        <v>1000</v>
      </c>
      <c r="F53" s="1879">
        <f t="shared" ref="F53:F56" si="7">SUM(D53:E53)</f>
        <v>2000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189</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08"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18230684</v>
      </c>
      <c r="C67" s="1959" t="s">
        <v>54</v>
      </c>
      <c r="D67" s="1971">
        <v>0</v>
      </c>
      <c r="E67" s="1971">
        <v>0</v>
      </c>
      <c r="F67" s="1956">
        <v>0</v>
      </c>
    </row>
    <row r="68" spans="1:33">
      <c r="A68" s="1808" t="s">
        <v>31</v>
      </c>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sheetData>
  <customSheetViews>
    <customSheetView guid="{074EB09C-6289-46D7-9513-012B68BCA7BF}" showGridLines="0" fitToPage="1">
      <pane xSplit="1" ySplit="1" topLeftCell="B2" activePane="bottomRight" state="frozen"/>
      <selection pane="bottomRight" activeCell="E23" sqref="E23"/>
      <pageMargins left="0.2" right="0.2" top="0.34" bottom="0.36" header="0.3" footer="0.3"/>
      <pageSetup paperSize="17" scale="42" orientation="landscape" r:id="rId1"/>
    </customSheetView>
    <customSheetView guid="{D9EFFE19-D14B-4C6F-BDF4-FF696F73968D}" showGridLines="0" fitToPage="1">
      <pane xSplit="1" ySplit="1" topLeftCell="B2" activePane="bottomRight" state="frozen"/>
      <selection pane="bottomRight" activeCell="B21" sqref="B21"/>
      <pageMargins left="0.2" right="0.2" top="0.34" bottom="0.36" header="0.3" footer="0.3"/>
      <pageSetup paperSize="17" scale="42"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2" right="0.2" top="0.34" bottom="0.36" header="0.3" footer="0.3"/>
  <pageSetup paperSize="17" scale="42" orientation="landscape" r:id="rId3"/>
  <ignoredErrors>
    <ignoredError sqref="R5:S7" formula="1"/>
    <ignoredError sqref="T4:W7" evalError="1" formula="1"/>
  </ignoredErrors>
  <drawing r:id="rId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60497B"/>
    <pageSetUpPr fitToPage="1"/>
  </sheetPr>
  <dimension ref="A1:AG68"/>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7.85546875" style="1164" customWidth="1"/>
    <col min="2" max="2" width="15.28515625" style="1866" customWidth="1"/>
    <col min="3" max="3" width="28.140625" customWidth="1"/>
    <col min="4" max="4" width="22.5703125" customWidth="1"/>
    <col min="5" max="5" width="15.28515625" style="9" customWidth="1"/>
    <col min="6" max="6" width="15.2851562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6" max="256" width="24" bestFit="1" customWidth="1"/>
    <col min="257" max="257" width="43.85546875" customWidth="1"/>
    <col min="258" max="258" width="19.7109375" bestFit="1" customWidth="1"/>
    <col min="259" max="259" width="15.28515625" bestFit="1" customWidth="1"/>
    <col min="260" max="260" width="14.85546875" bestFit="1" customWidth="1"/>
    <col min="261" max="261" width="13.42578125" customWidth="1"/>
    <col min="262" max="262" width="15.28515625" bestFit="1" customWidth="1"/>
    <col min="263" max="263" width="14.140625" bestFit="1" customWidth="1"/>
    <col min="264" max="264" width="15.28515625" customWidth="1"/>
    <col min="265" max="265" width="15.85546875" customWidth="1"/>
    <col min="266" max="266" width="17" bestFit="1" customWidth="1"/>
    <col min="267" max="267" width="12.7109375" customWidth="1"/>
    <col min="268" max="268" width="13.7109375" customWidth="1"/>
    <col min="269" max="269" width="13.85546875" bestFit="1" customWidth="1"/>
    <col min="270" max="270" width="15.5703125" bestFit="1" customWidth="1"/>
    <col min="271" max="271" width="16.140625" customWidth="1"/>
    <col min="272" max="272" width="16.7109375" bestFit="1" customWidth="1"/>
    <col min="273" max="274" width="15.5703125" bestFit="1" customWidth="1"/>
    <col min="275" max="275" width="16.42578125" bestFit="1" customWidth="1"/>
    <col min="276" max="276" width="14.28515625" customWidth="1"/>
    <col min="277" max="277" width="12.85546875" bestFit="1" customWidth="1"/>
    <col min="278" max="278" width="11.28515625" bestFit="1" customWidth="1"/>
    <col min="279" max="279" width="12.5703125" bestFit="1" customWidth="1"/>
    <col min="280" max="280" width="14" bestFit="1" customWidth="1"/>
    <col min="281" max="281" width="6" bestFit="1" customWidth="1"/>
    <col min="282" max="282" width="15" customWidth="1"/>
    <col min="283" max="283" width="14.85546875" bestFit="1" customWidth="1"/>
    <col min="284" max="284" width="16.140625" bestFit="1" customWidth="1"/>
    <col min="512" max="512" width="24" bestFit="1" customWidth="1"/>
    <col min="513" max="513" width="43.85546875" customWidth="1"/>
    <col min="514" max="514" width="19.7109375" bestFit="1" customWidth="1"/>
    <col min="515" max="515" width="15.28515625" bestFit="1" customWidth="1"/>
    <col min="516" max="516" width="14.85546875" bestFit="1" customWidth="1"/>
    <col min="517" max="517" width="13.42578125" customWidth="1"/>
    <col min="518" max="518" width="15.28515625" bestFit="1" customWidth="1"/>
    <col min="519" max="519" width="14.140625" bestFit="1" customWidth="1"/>
    <col min="520" max="520" width="15.28515625" customWidth="1"/>
    <col min="521" max="521" width="15.85546875" customWidth="1"/>
    <col min="522" max="522" width="17" bestFit="1" customWidth="1"/>
    <col min="523" max="523" width="12.7109375" customWidth="1"/>
    <col min="524" max="524" width="13.7109375" customWidth="1"/>
    <col min="525" max="525" width="13.85546875" bestFit="1" customWidth="1"/>
    <col min="526" max="526" width="15.5703125" bestFit="1" customWidth="1"/>
    <col min="527" max="527" width="16.140625" customWidth="1"/>
    <col min="528" max="528" width="16.7109375" bestFit="1" customWidth="1"/>
    <col min="529" max="530" width="15.5703125" bestFit="1" customWidth="1"/>
    <col min="531" max="531" width="16.42578125" bestFit="1" customWidth="1"/>
    <col min="532" max="532" width="14.28515625" customWidth="1"/>
    <col min="533" max="533" width="12.85546875" bestFit="1" customWidth="1"/>
    <col min="534" max="534" width="11.28515625" bestFit="1" customWidth="1"/>
    <col min="535" max="535" width="12.5703125" bestFit="1" customWidth="1"/>
    <col min="536" max="536" width="14" bestFit="1" customWidth="1"/>
    <col min="537" max="537" width="6" bestFit="1" customWidth="1"/>
    <col min="538" max="538" width="15" customWidth="1"/>
    <col min="539" max="539" width="14.85546875" bestFit="1" customWidth="1"/>
    <col min="540" max="540" width="16.140625" bestFit="1" customWidth="1"/>
    <col min="768" max="768" width="24" bestFit="1" customWidth="1"/>
    <col min="769" max="769" width="43.85546875" customWidth="1"/>
    <col min="770" max="770" width="19.7109375" bestFit="1" customWidth="1"/>
    <col min="771" max="771" width="15.28515625" bestFit="1" customWidth="1"/>
    <col min="772" max="772" width="14.85546875" bestFit="1" customWidth="1"/>
    <col min="773" max="773" width="13.42578125" customWidth="1"/>
    <col min="774" max="774" width="15.28515625" bestFit="1" customWidth="1"/>
    <col min="775" max="775" width="14.140625" bestFit="1" customWidth="1"/>
    <col min="776" max="776" width="15.28515625" customWidth="1"/>
    <col min="777" max="777" width="15.85546875" customWidth="1"/>
    <col min="778" max="778" width="17" bestFit="1" customWidth="1"/>
    <col min="779" max="779" width="12.7109375" customWidth="1"/>
    <col min="780" max="780" width="13.7109375" customWidth="1"/>
    <col min="781" max="781" width="13.85546875" bestFit="1" customWidth="1"/>
    <col min="782" max="782" width="15.5703125" bestFit="1" customWidth="1"/>
    <col min="783" max="783" width="16.140625" customWidth="1"/>
    <col min="784" max="784" width="16.7109375" bestFit="1" customWidth="1"/>
    <col min="785" max="786" width="15.5703125" bestFit="1" customWidth="1"/>
    <col min="787" max="787" width="16.42578125" bestFit="1" customWidth="1"/>
    <col min="788" max="788" width="14.28515625" customWidth="1"/>
    <col min="789" max="789" width="12.85546875" bestFit="1" customWidth="1"/>
    <col min="790" max="790" width="11.28515625" bestFit="1" customWidth="1"/>
    <col min="791" max="791" width="12.5703125" bestFit="1" customWidth="1"/>
    <col min="792" max="792" width="14" bestFit="1" customWidth="1"/>
    <col min="793" max="793" width="6" bestFit="1" customWidth="1"/>
    <col min="794" max="794" width="15" customWidth="1"/>
    <col min="795" max="795" width="14.85546875" bestFit="1" customWidth="1"/>
    <col min="796" max="796" width="16.140625" bestFit="1" customWidth="1"/>
    <col min="1024" max="1024" width="24" bestFit="1" customWidth="1"/>
    <col min="1025" max="1025" width="43.85546875" customWidth="1"/>
    <col min="1026" max="1026" width="19.7109375" bestFit="1" customWidth="1"/>
    <col min="1027" max="1027" width="15.28515625" bestFit="1" customWidth="1"/>
    <col min="1028" max="1028" width="14.85546875" bestFit="1" customWidth="1"/>
    <col min="1029" max="1029" width="13.42578125" customWidth="1"/>
    <col min="1030" max="1030" width="15.28515625" bestFit="1" customWidth="1"/>
    <col min="1031" max="1031" width="14.140625" bestFit="1" customWidth="1"/>
    <col min="1032" max="1032" width="15.28515625" customWidth="1"/>
    <col min="1033" max="1033" width="15.85546875" customWidth="1"/>
    <col min="1034" max="1034" width="17" bestFit="1" customWidth="1"/>
    <col min="1035" max="1035" width="12.7109375" customWidth="1"/>
    <col min="1036" max="1036" width="13.7109375" customWidth="1"/>
    <col min="1037" max="1037" width="13.85546875" bestFit="1" customWidth="1"/>
    <col min="1038" max="1038" width="15.5703125" bestFit="1" customWidth="1"/>
    <col min="1039" max="1039" width="16.140625" customWidth="1"/>
    <col min="1040" max="1040" width="16.7109375" bestFit="1" customWidth="1"/>
    <col min="1041" max="1042" width="15.5703125" bestFit="1" customWidth="1"/>
    <col min="1043" max="1043" width="16.42578125" bestFit="1" customWidth="1"/>
    <col min="1044" max="1044" width="14.28515625" customWidth="1"/>
    <col min="1045" max="1045" width="12.85546875" bestFit="1" customWidth="1"/>
    <col min="1046" max="1046" width="11.28515625" bestFit="1" customWidth="1"/>
    <col min="1047" max="1047" width="12.5703125" bestFit="1" customWidth="1"/>
    <col min="1048" max="1048" width="14" bestFit="1" customWidth="1"/>
    <col min="1049" max="1049" width="6" bestFit="1" customWidth="1"/>
    <col min="1050" max="1050" width="15" customWidth="1"/>
    <col min="1051" max="1051" width="14.85546875" bestFit="1" customWidth="1"/>
    <col min="1052" max="1052" width="16.140625" bestFit="1" customWidth="1"/>
    <col min="1280" max="1280" width="24" bestFit="1" customWidth="1"/>
    <col min="1281" max="1281" width="43.85546875" customWidth="1"/>
    <col min="1282" max="1282" width="19.7109375" bestFit="1" customWidth="1"/>
    <col min="1283" max="1283" width="15.28515625" bestFit="1" customWidth="1"/>
    <col min="1284" max="1284" width="14.85546875" bestFit="1" customWidth="1"/>
    <col min="1285" max="1285" width="13.42578125" customWidth="1"/>
    <col min="1286" max="1286" width="15.28515625" bestFit="1" customWidth="1"/>
    <col min="1287" max="1287" width="14.140625" bestFit="1" customWidth="1"/>
    <col min="1288" max="1288" width="15.28515625" customWidth="1"/>
    <col min="1289" max="1289" width="15.85546875" customWidth="1"/>
    <col min="1290" max="1290" width="17" bestFit="1" customWidth="1"/>
    <col min="1291" max="1291" width="12.7109375" customWidth="1"/>
    <col min="1292" max="1292" width="13.7109375" customWidth="1"/>
    <col min="1293" max="1293" width="13.85546875" bestFit="1" customWidth="1"/>
    <col min="1294" max="1294" width="15.5703125" bestFit="1" customWidth="1"/>
    <col min="1295" max="1295" width="16.140625" customWidth="1"/>
    <col min="1296" max="1296" width="16.7109375" bestFit="1" customWidth="1"/>
    <col min="1297" max="1298" width="15.5703125" bestFit="1" customWidth="1"/>
    <col min="1299" max="1299" width="16.42578125" bestFit="1" customWidth="1"/>
    <col min="1300" max="1300" width="14.28515625" customWidth="1"/>
    <col min="1301" max="1301" width="12.85546875" bestFit="1" customWidth="1"/>
    <col min="1302" max="1302" width="11.28515625" bestFit="1" customWidth="1"/>
    <col min="1303" max="1303" width="12.5703125" bestFit="1" customWidth="1"/>
    <col min="1304" max="1304" width="14" bestFit="1" customWidth="1"/>
    <col min="1305" max="1305" width="6" bestFit="1" customWidth="1"/>
    <col min="1306" max="1306" width="15" customWidth="1"/>
    <col min="1307" max="1307" width="14.85546875" bestFit="1" customWidth="1"/>
    <col min="1308" max="1308" width="16.140625" bestFit="1" customWidth="1"/>
    <col min="1536" max="1536" width="24" bestFit="1" customWidth="1"/>
    <col min="1537" max="1537" width="43.85546875" customWidth="1"/>
    <col min="1538" max="1538" width="19.7109375" bestFit="1" customWidth="1"/>
    <col min="1539" max="1539" width="15.28515625" bestFit="1" customWidth="1"/>
    <col min="1540" max="1540" width="14.85546875" bestFit="1" customWidth="1"/>
    <col min="1541" max="1541" width="13.42578125" customWidth="1"/>
    <col min="1542" max="1542" width="15.28515625" bestFit="1" customWidth="1"/>
    <col min="1543" max="1543" width="14.140625" bestFit="1" customWidth="1"/>
    <col min="1544" max="1544" width="15.28515625" customWidth="1"/>
    <col min="1545" max="1545" width="15.85546875" customWidth="1"/>
    <col min="1546" max="1546" width="17" bestFit="1" customWidth="1"/>
    <col min="1547" max="1547" width="12.7109375" customWidth="1"/>
    <col min="1548" max="1548" width="13.7109375" customWidth="1"/>
    <col min="1549" max="1549" width="13.85546875" bestFit="1" customWidth="1"/>
    <col min="1550" max="1550" width="15.5703125" bestFit="1" customWidth="1"/>
    <col min="1551" max="1551" width="16.140625" customWidth="1"/>
    <col min="1552" max="1552" width="16.7109375" bestFit="1" customWidth="1"/>
    <col min="1553" max="1554" width="15.5703125" bestFit="1" customWidth="1"/>
    <col min="1555" max="1555" width="16.42578125" bestFit="1" customWidth="1"/>
    <col min="1556" max="1556" width="14.28515625" customWidth="1"/>
    <col min="1557" max="1557" width="12.85546875" bestFit="1" customWidth="1"/>
    <col min="1558" max="1558" width="11.28515625" bestFit="1" customWidth="1"/>
    <col min="1559" max="1559" width="12.5703125" bestFit="1" customWidth="1"/>
    <col min="1560" max="1560" width="14" bestFit="1" customWidth="1"/>
    <col min="1561" max="1561" width="6" bestFit="1" customWidth="1"/>
    <col min="1562" max="1562" width="15" customWidth="1"/>
    <col min="1563" max="1563" width="14.85546875" bestFit="1" customWidth="1"/>
    <col min="1564" max="1564" width="16.140625" bestFit="1" customWidth="1"/>
    <col min="1792" max="1792" width="24" bestFit="1" customWidth="1"/>
    <col min="1793" max="1793" width="43.85546875" customWidth="1"/>
    <col min="1794" max="1794" width="19.7109375" bestFit="1" customWidth="1"/>
    <col min="1795" max="1795" width="15.28515625" bestFit="1" customWidth="1"/>
    <col min="1796" max="1796" width="14.85546875" bestFit="1" customWidth="1"/>
    <col min="1797" max="1797" width="13.42578125" customWidth="1"/>
    <col min="1798" max="1798" width="15.28515625" bestFit="1" customWidth="1"/>
    <col min="1799" max="1799" width="14.140625" bestFit="1" customWidth="1"/>
    <col min="1800" max="1800" width="15.28515625" customWidth="1"/>
    <col min="1801" max="1801" width="15.85546875" customWidth="1"/>
    <col min="1802" max="1802" width="17" bestFit="1" customWidth="1"/>
    <col min="1803" max="1803" width="12.7109375" customWidth="1"/>
    <col min="1804" max="1804" width="13.7109375" customWidth="1"/>
    <col min="1805" max="1805" width="13.85546875" bestFit="1" customWidth="1"/>
    <col min="1806" max="1806" width="15.5703125" bestFit="1" customWidth="1"/>
    <col min="1807" max="1807" width="16.140625" customWidth="1"/>
    <col min="1808" max="1808" width="16.7109375" bestFit="1" customWidth="1"/>
    <col min="1809" max="1810" width="15.5703125" bestFit="1" customWidth="1"/>
    <col min="1811" max="1811" width="16.42578125" bestFit="1" customWidth="1"/>
    <col min="1812" max="1812" width="14.28515625" customWidth="1"/>
    <col min="1813" max="1813" width="12.85546875" bestFit="1" customWidth="1"/>
    <col min="1814" max="1814" width="11.28515625" bestFit="1" customWidth="1"/>
    <col min="1815" max="1815" width="12.5703125" bestFit="1" customWidth="1"/>
    <col min="1816" max="1816" width="14" bestFit="1" customWidth="1"/>
    <col min="1817" max="1817" width="6" bestFit="1" customWidth="1"/>
    <col min="1818" max="1818" width="15" customWidth="1"/>
    <col min="1819" max="1819" width="14.85546875" bestFit="1" customWidth="1"/>
    <col min="1820" max="1820" width="16.140625" bestFit="1" customWidth="1"/>
    <col min="2048" max="2048" width="24" bestFit="1" customWidth="1"/>
    <col min="2049" max="2049" width="43.85546875" customWidth="1"/>
    <col min="2050" max="2050" width="19.7109375" bestFit="1" customWidth="1"/>
    <col min="2051" max="2051" width="15.28515625" bestFit="1" customWidth="1"/>
    <col min="2052" max="2052" width="14.85546875" bestFit="1" customWidth="1"/>
    <col min="2053" max="2053" width="13.42578125" customWidth="1"/>
    <col min="2054" max="2054" width="15.28515625" bestFit="1" customWidth="1"/>
    <col min="2055" max="2055" width="14.140625" bestFit="1" customWidth="1"/>
    <col min="2056" max="2056" width="15.28515625" customWidth="1"/>
    <col min="2057" max="2057" width="15.85546875" customWidth="1"/>
    <col min="2058" max="2058" width="17" bestFit="1" customWidth="1"/>
    <col min="2059" max="2059" width="12.7109375" customWidth="1"/>
    <col min="2060" max="2060" width="13.7109375" customWidth="1"/>
    <col min="2061" max="2061" width="13.85546875" bestFit="1" customWidth="1"/>
    <col min="2062" max="2062" width="15.5703125" bestFit="1" customWidth="1"/>
    <col min="2063" max="2063" width="16.140625" customWidth="1"/>
    <col min="2064" max="2064" width="16.7109375" bestFit="1" customWidth="1"/>
    <col min="2065" max="2066" width="15.5703125" bestFit="1" customWidth="1"/>
    <col min="2067" max="2067" width="16.42578125" bestFit="1" customWidth="1"/>
    <col min="2068" max="2068" width="14.28515625" customWidth="1"/>
    <col min="2069" max="2069" width="12.85546875" bestFit="1" customWidth="1"/>
    <col min="2070" max="2070" width="11.28515625" bestFit="1" customWidth="1"/>
    <col min="2071" max="2071" width="12.5703125" bestFit="1" customWidth="1"/>
    <col min="2072" max="2072" width="14" bestFit="1" customWidth="1"/>
    <col min="2073" max="2073" width="6" bestFit="1" customWidth="1"/>
    <col min="2074" max="2074" width="15" customWidth="1"/>
    <col min="2075" max="2075" width="14.85546875" bestFit="1" customWidth="1"/>
    <col min="2076" max="2076" width="16.140625" bestFit="1" customWidth="1"/>
    <col min="2304" max="2304" width="24" bestFit="1" customWidth="1"/>
    <col min="2305" max="2305" width="43.85546875" customWidth="1"/>
    <col min="2306" max="2306" width="19.7109375" bestFit="1" customWidth="1"/>
    <col min="2307" max="2307" width="15.28515625" bestFit="1" customWidth="1"/>
    <col min="2308" max="2308" width="14.85546875" bestFit="1" customWidth="1"/>
    <col min="2309" max="2309" width="13.42578125" customWidth="1"/>
    <col min="2310" max="2310" width="15.28515625" bestFit="1" customWidth="1"/>
    <col min="2311" max="2311" width="14.140625" bestFit="1" customWidth="1"/>
    <col min="2312" max="2312" width="15.28515625" customWidth="1"/>
    <col min="2313" max="2313" width="15.85546875" customWidth="1"/>
    <col min="2314" max="2314" width="17" bestFit="1" customWidth="1"/>
    <col min="2315" max="2315" width="12.7109375" customWidth="1"/>
    <col min="2316" max="2316" width="13.7109375" customWidth="1"/>
    <col min="2317" max="2317" width="13.85546875" bestFit="1" customWidth="1"/>
    <col min="2318" max="2318" width="15.5703125" bestFit="1" customWidth="1"/>
    <col min="2319" max="2319" width="16.140625" customWidth="1"/>
    <col min="2320" max="2320" width="16.7109375" bestFit="1" customWidth="1"/>
    <col min="2321" max="2322" width="15.5703125" bestFit="1" customWidth="1"/>
    <col min="2323" max="2323" width="16.42578125" bestFit="1" customWidth="1"/>
    <col min="2324" max="2324" width="14.28515625" customWidth="1"/>
    <col min="2325" max="2325" width="12.85546875" bestFit="1" customWidth="1"/>
    <col min="2326" max="2326" width="11.28515625" bestFit="1" customWidth="1"/>
    <col min="2327" max="2327" width="12.5703125" bestFit="1" customWidth="1"/>
    <col min="2328" max="2328" width="14" bestFit="1" customWidth="1"/>
    <col min="2329" max="2329" width="6" bestFit="1" customWidth="1"/>
    <col min="2330" max="2330" width="15" customWidth="1"/>
    <col min="2331" max="2331" width="14.85546875" bestFit="1" customWidth="1"/>
    <col min="2332" max="2332" width="16.140625" bestFit="1" customWidth="1"/>
    <col min="2560" max="2560" width="24" bestFit="1" customWidth="1"/>
    <col min="2561" max="2561" width="43.85546875" customWidth="1"/>
    <col min="2562" max="2562" width="19.7109375" bestFit="1" customWidth="1"/>
    <col min="2563" max="2563" width="15.28515625" bestFit="1" customWidth="1"/>
    <col min="2564" max="2564" width="14.85546875" bestFit="1" customWidth="1"/>
    <col min="2565" max="2565" width="13.42578125" customWidth="1"/>
    <col min="2566" max="2566" width="15.28515625" bestFit="1" customWidth="1"/>
    <col min="2567" max="2567" width="14.140625" bestFit="1" customWidth="1"/>
    <col min="2568" max="2568" width="15.28515625" customWidth="1"/>
    <col min="2569" max="2569" width="15.85546875" customWidth="1"/>
    <col min="2570" max="2570" width="17" bestFit="1" customWidth="1"/>
    <col min="2571" max="2571" width="12.7109375" customWidth="1"/>
    <col min="2572" max="2572" width="13.7109375" customWidth="1"/>
    <col min="2573" max="2573" width="13.85546875" bestFit="1" customWidth="1"/>
    <col min="2574" max="2574" width="15.5703125" bestFit="1" customWidth="1"/>
    <col min="2575" max="2575" width="16.140625" customWidth="1"/>
    <col min="2576" max="2576" width="16.7109375" bestFit="1" customWidth="1"/>
    <col min="2577" max="2578" width="15.5703125" bestFit="1" customWidth="1"/>
    <col min="2579" max="2579" width="16.42578125" bestFit="1" customWidth="1"/>
    <col min="2580" max="2580" width="14.28515625" customWidth="1"/>
    <col min="2581" max="2581" width="12.85546875" bestFit="1" customWidth="1"/>
    <col min="2582" max="2582" width="11.28515625" bestFit="1" customWidth="1"/>
    <col min="2583" max="2583" width="12.5703125" bestFit="1" customWidth="1"/>
    <col min="2584" max="2584" width="14" bestFit="1" customWidth="1"/>
    <col min="2585" max="2585" width="6" bestFit="1" customWidth="1"/>
    <col min="2586" max="2586" width="15" customWidth="1"/>
    <col min="2587" max="2587" width="14.85546875" bestFit="1" customWidth="1"/>
    <col min="2588" max="2588" width="16.140625" bestFit="1" customWidth="1"/>
    <col min="2816" max="2816" width="24" bestFit="1" customWidth="1"/>
    <col min="2817" max="2817" width="43.85546875" customWidth="1"/>
    <col min="2818" max="2818" width="19.7109375" bestFit="1" customWidth="1"/>
    <col min="2819" max="2819" width="15.28515625" bestFit="1" customWidth="1"/>
    <col min="2820" max="2820" width="14.85546875" bestFit="1" customWidth="1"/>
    <col min="2821" max="2821" width="13.42578125" customWidth="1"/>
    <col min="2822" max="2822" width="15.28515625" bestFit="1" customWidth="1"/>
    <col min="2823" max="2823" width="14.140625" bestFit="1" customWidth="1"/>
    <col min="2824" max="2824" width="15.28515625" customWidth="1"/>
    <col min="2825" max="2825" width="15.85546875" customWidth="1"/>
    <col min="2826" max="2826" width="17" bestFit="1" customWidth="1"/>
    <col min="2827" max="2827" width="12.7109375" customWidth="1"/>
    <col min="2828" max="2828" width="13.7109375" customWidth="1"/>
    <col min="2829" max="2829" width="13.85546875" bestFit="1" customWidth="1"/>
    <col min="2830" max="2830" width="15.5703125" bestFit="1" customWidth="1"/>
    <col min="2831" max="2831" width="16.140625" customWidth="1"/>
    <col min="2832" max="2832" width="16.7109375" bestFit="1" customWidth="1"/>
    <col min="2833" max="2834" width="15.5703125" bestFit="1" customWidth="1"/>
    <col min="2835" max="2835" width="16.42578125" bestFit="1" customWidth="1"/>
    <col min="2836" max="2836" width="14.28515625" customWidth="1"/>
    <col min="2837" max="2837" width="12.85546875" bestFit="1" customWidth="1"/>
    <col min="2838" max="2838" width="11.28515625" bestFit="1" customWidth="1"/>
    <col min="2839" max="2839" width="12.5703125" bestFit="1" customWidth="1"/>
    <col min="2840" max="2840" width="14" bestFit="1" customWidth="1"/>
    <col min="2841" max="2841" width="6" bestFit="1" customWidth="1"/>
    <col min="2842" max="2842" width="15" customWidth="1"/>
    <col min="2843" max="2843" width="14.85546875" bestFit="1" customWidth="1"/>
    <col min="2844" max="2844" width="16.140625" bestFit="1" customWidth="1"/>
    <col min="3072" max="3072" width="24" bestFit="1" customWidth="1"/>
    <col min="3073" max="3073" width="43.85546875" customWidth="1"/>
    <col min="3074" max="3074" width="19.7109375" bestFit="1" customWidth="1"/>
    <col min="3075" max="3075" width="15.28515625" bestFit="1" customWidth="1"/>
    <col min="3076" max="3076" width="14.85546875" bestFit="1" customWidth="1"/>
    <col min="3077" max="3077" width="13.42578125" customWidth="1"/>
    <col min="3078" max="3078" width="15.28515625" bestFit="1" customWidth="1"/>
    <col min="3079" max="3079" width="14.140625" bestFit="1" customWidth="1"/>
    <col min="3080" max="3080" width="15.28515625" customWidth="1"/>
    <col min="3081" max="3081" width="15.85546875" customWidth="1"/>
    <col min="3082" max="3082" width="17" bestFit="1" customWidth="1"/>
    <col min="3083" max="3083" width="12.7109375" customWidth="1"/>
    <col min="3084" max="3084" width="13.7109375" customWidth="1"/>
    <col min="3085" max="3085" width="13.85546875" bestFit="1" customWidth="1"/>
    <col min="3086" max="3086" width="15.5703125" bestFit="1" customWidth="1"/>
    <col min="3087" max="3087" width="16.140625" customWidth="1"/>
    <col min="3088" max="3088" width="16.7109375" bestFit="1" customWidth="1"/>
    <col min="3089" max="3090" width="15.5703125" bestFit="1" customWidth="1"/>
    <col min="3091" max="3091" width="16.42578125" bestFit="1" customWidth="1"/>
    <col min="3092" max="3092" width="14.28515625" customWidth="1"/>
    <col min="3093" max="3093" width="12.85546875" bestFit="1" customWidth="1"/>
    <col min="3094" max="3094" width="11.28515625" bestFit="1" customWidth="1"/>
    <col min="3095" max="3095" width="12.5703125" bestFit="1" customWidth="1"/>
    <col min="3096" max="3096" width="14" bestFit="1" customWidth="1"/>
    <col min="3097" max="3097" width="6" bestFit="1" customWidth="1"/>
    <col min="3098" max="3098" width="15" customWidth="1"/>
    <col min="3099" max="3099" width="14.85546875" bestFit="1" customWidth="1"/>
    <col min="3100" max="3100" width="16.140625" bestFit="1" customWidth="1"/>
    <col min="3328" max="3328" width="24" bestFit="1" customWidth="1"/>
    <col min="3329" max="3329" width="43.85546875" customWidth="1"/>
    <col min="3330" max="3330" width="19.7109375" bestFit="1" customWidth="1"/>
    <col min="3331" max="3331" width="15.28515625" bestFit="1" customWidth="1"/>
    <col min="3332" max="3332" width="14.85546875" bestFit="1" customWidth="1"/>
    <col min="3333" max="3333" width="13.42578125" customWidth="1"/>
    <col min="3334" max="3334" width="15.28515625" bestFit="1" customWidth="1"/>
    <col min="3335" max="3335" width="14.140625" bestFit="1" customWidth="1"/>
    <col min="3336" max="3336" width="15.28515625" customWidth="1"/>
    <col min="3337" max="3337" width="15.85546875" customWidth="1"/>
    <col min="3338" max="3338" width="17" bestFit="1" customWidth="1"/>
    <col min="3339" max="3339" width="12.7109375" customWidth="1"/>
    <col min="3340" max="3340" width="13.7109375" customWidth="1"/>
    <col min="3341" max="3341" width="13.85546875" bestFit="1" customWidth="1"/>
    <col min="3342" max="3342" width="15.5703125" bestFit="1" customWidth="1"/>
    <col min="3343" max="3343" width="16.140625" customWidth="1"/>
    <col min="3344" max="3344" width="16.7109375" bestFit="1" customWidth="1"/>
    <col min="3345" max="3346" width="15.5703125" bestFit="1" customWidth="1"/>
    <col min="3347" max="3347" width="16.42578125" bestFit="1" customWidth="1"/>
    <col min="3348" max="3348" width="14.28515625" customWidth="1"/>
    <col min="3349" max="3349" width="12.85546875" bestFit="1" customWidth="1"/>
    <col min="3350" max="3350" width="11.28515625" bestFit="1" customWidth="1"/>
    <col min="3351" max="3351" width="12.5703125" bestFit="1" customWidth="1"/>
    <col min="3352" max="3352" width="14" bestFit="1" customWidth="1"/>
    <col min="3353" max="3353" width="6" bestFit="1" customWidth="1"/>
    <col min="3354" max="3354" width="15" customWidth="1"/>
    <col min="3355" max="3355" width="14.85546875" bestFit="1" customWidth="1"/>
    <col min="3356" max="3356" width="16.140625" bestFit="1" customWidth="1"/>
    <col min="3584" max="3584" width="24" bestFit="1" customWidth="1"/>
    <col min="3585" max="3585" width="43.85546875" customWidth="1"/>
    <col min="3586" max="3586" width="19.7109375" bestFit="1" customWidth="1"/>
    <col min="3587" max="3587" width="15.28515625" bestFit="1" customWidth="1"/>
    <col min="3588" max="3588" width="14.85546875" bestFit="1" customWidth="1"/>
    <col min="3589" max="3589" width="13.42578125" customWidth="1"/>
    <col min="3590" max="3590" width="15.28515625" bestFit="1" customWidth="1"/>
    <col min="3591" max="3591" width="14.140625" bestFit="1" customWidth="1"/>
    <col min="3592" max="3592" width="15.28515625" customWidth="1"/>
    <col min="3593" max="3593" width="15.85546875" customWidth="1"/>
    <col min="3594" max="3594" width="17" bestFit="1" customWidth="1"/>
    <col min="3595" max="3595" width="12.7109375" customWidth="1"/>
    <col min="3596" max="3596" width="13.7109375" customWidth="1"/>
    <col min="3597" max="3597" width="13.85546875" bestFit="1" customWidth="1"/>
    <col min="3598" max="3598" width="15.5703125" bestFit="1" customWidth="1"/>
    <col min="3599" max="3599" width="16.140625" customWidth="1"/>
    <col min="3600" max="3600" width="16.7109375" bestFit="1" customWidth="1"/>
    <col min="3601" max="3602" width="15.5703125" bestFit="1" customWidth="1"/>
    <col min="3603" max="3603" width="16.42578125" bestFit="1" customWidth="1"/>
    <col min="3604" max="3604" width="14.28515625" customWidth="1"/>
    <col min="3605" max="3605" width="12.85546875" bestFit="1" customWidth="1"/>
    <col min="3606" max="3606" width="11.28515625" bestFit="1" customWidth="1"/>
    <col min="3607" max="3607" width="12.5703125" bestFit="1" customWidth="1"/>
    <col min="3608" max="3608" width="14" bestFit="1" customWidth="1"/>
    <col min="3609" max="3609" width="6" bestFit="1" customWidth="1"/>
    <col min="3610" max="3610" width="15" customWidth="1"/>
    <col min="3611" max="3611" width="14.85546875" bestFit="1" customWidth="1"/>
    <col min="3612" max="3612" width="16.140625" bestFit="1" customWidth="1"/>
    <col min="3840" max="3840" width="24" bestFit="1" customWidth="1"/>
    <col min="3841" max="3841" width="43.85546875" customWidth="1"/>
    <col min="3842" max="3842" width="19.7109375" bestFit="1" customWidth="1"/>
    <col min="3843" max="3843" width="15.28515625" bestFit="1" customWidth="1"/>
    <col min="3844" max="3844" width="14.85546875" bestFit="1" customWidth="1"/>
    <col min="3845" max="3845" width="13.42578125" customWidth="1"/>
    <col min="3846" max="3846" width="15.28515625" bestFit="1" customWidth="1"/>
    <col min="3847" max="3847" width="14.140625" bestFit="1" customWidth="1"/>
    <col min="3848" max="3848" width="15.28515625" customWidth="1"/>
    <col min="3849" max="3849" width="15.85546875" customWidth="1"/>
    <col min="3850" max="3850" width="17" bestFit="1" customWidth="1"/>
    <col min="3851" max="3851" width="12.7109375" customWidth="1"/>
    <col min="3852" max="3852" width="13.7109375" customWidth="1"/>
    <col min="3853" max="3853" width="13.85546875" bestFit="1" customWidth="1"/>
    <col min="3854" max="3854" width="15.5703125" bestFit="1" customWidth="1"/>
    <col min="3855" max="3855" width="16.140625" customWidth="1"/>
    <col min="3856" max="3856" width="16.7109375" bestFit="1" customWidth="1"/>
    <col min="3857" max="3858" width="15.5703125" bestFit="1" customWidth="1"/>
    <col min="3859" max="3859" width="16.42578125" bestFit="1" customWidth="1"/>
    <col min="3860" max="3860" width="14.28515625" customWidth="1"/>
    <col min="3861" max="3861" width="12.85546875" bestFit="1" customWidth="1"/>
    <col min="3862" max="3862" width="11.28515625" bestFit="1" customWidth="1"/>
    <col min="3863" max="3863" width="12.5703125" bestFit="1" customWidth="1"/>
    <col min="3864" max="3864" width="14" bestFit="1" customWidth="1"/>
    <col min="3865" max="3865" width="6" bestFit="1" customWidth="1"/>
    <col min="3866" max="3866" width="15" customWidth="1"/>
    <col min="3867" max="3867" width="14.85546875" bestFit="1" customWidth="1"/>
    <col min="3868" max="3868" width="16.140625" bestFit="1" customWidth="1"/>
    <col min="4096" max="4096" width="24" bestFit="1" customWidth="1"/>
    <col min="4097" max="4097" width="43.85546875" customWidth="1"/>
    <col min="4098" max="4098" width="19.7109375" bestFit="1" customWidth="1"/>
    <col min="4099" max="4099" width="15.28515625" bestFit="1" customWidth="1"/>
    <col min="4100" max="4100" width="14.85546875" bestFit="1" customWidth="1"/>
    <col min="4101" max="4101" width="13.42578125" customWidth="1"/>
    <col min="4102" max="4102" width="15.28515625" bestFit="1" customWidth="1"/>
    <col min="4103" max="4103" width="14.140625" bestFit="1" customWidth="1"/>
    <col min="4104" max="4104" width="15.28515625" customWidth="1"/>
    <col min="4105" max="4105" width="15.85546875" customWidth="1"/>
    <col min="4106" max="4106" width="17" bestFit="1" customWidth="1"/>
    <col min="4107" max="4107" width="12.7109375" customWidth="1"/>
    <col min="4108" max="4108" width="13.7109375" customWidth="1"/>
    <col min="4109" max="4109" width="13.85546875" bestFit="1" customWidth="1"/>
    <col min="4110" max="4110" width="15.5703125" bestFit="1" customWidth="1"/>
    <col min="4111" max="4111" width="16.140625" customWidth="1"/>
    <col min="4112" max="4112" width="16.7109375" bestFit="1" customWidth="1"/>
    <col min="4113" max="4114" width="15.5703125" bestFit="1" customWidth="1"/>
    <col min="4115" max="4115" width="16.42578125" bestFit="1" customWidth="1"/>
    <col min="4116" max="4116" width="14.28515625" customWidth="1"/>
    <col min="4117" max="4117" width="12.85546875" bestFit="1" customWidth="1"/>
    <col min="4118" max="4118" width="11.28515625" bestFit="1" customWidth="1"/>
    <col min="4119" max="4119" width="12.5703125" bestFit="1" customWidth="1"/>
    <col min="4120" max="4120" width="14" bestFit="1" customWidth="1"/>
    <col min="4121" max="4121" width="6" bestFit="1" customWidth="1"/>
    <col min="4122" max="4122" width="15" customWidth="1"/>
    <col min="4123" max="4123" width="14.85546875" bestFit="1" customWidth="1"/>
    <col min="4124" max="4124" width="16.140625" bestFit="1" customWidth="1"/>
    <col min="4352" max="4352" width="24" bestFit="1" customWidth="1"/>
    <col min="4353" max="4353" width="43.85546875" customWidth="1"/>
    <col min="4354" max="4354" width="19.7109375" bestFit="1" customWidth="1"/>
    <col min="4355" max="4355" width="15.28515625" bestFit="1" customWidth="1"/>
    <col min="4356" max="4356" width="14.85546875" bestFit="1" customWidth="1"/>
    <col min="4357" max="4357" width="13.42578125" customWidth="1"/>
    <col min="4358" max="4358" width="15.28515625" bestFit="1" customWidth="1"/>
    <col min="4359" max="4359" width="14.140625" bestFit="1" customWidth="1"/>
    <col min="4360" max="4360" width="15.28515625" customWidth="1"/>
    <col min="4361" max="4361" width="15.85546875" customWidth="1"/>
    <col min="4362" max="4362" width="17" bestFit="1" customWidth="1"/>
    <col min="4363" max="4363" width="12.7109375" customWidth="1"/>
    <col min="4364" max="4364" width="13.7109375" customWidth="1"/>
    <col min="4365" max="4365" width="13.85546875" bestFit="1" customWidth="1"/>
    <col min="4366" max="4366" width="15.5703125" bestFit="1" customWidth="1"/>
    <col min="4367" max="4367" width="16.140625" customWidth="1"/>
    <col min="4368" max="4368" width="16.7109375" bestFit="1" customWidth="1"/>
    <col min="4369" max="4370" width="15.5703125" bestFit="1" customWidth="1"/>
    <col min="4371" max="4371" width="16.42578125" bestFit="1" customWidth="1"/>
    <col min="4372" max="4372" width="14.28515625" customWidth="1"/>
    <col min="4373" max="4373" width="12.85546875" bestFit="1" customWidth="1"/>
    <col min="4374" max="4374" width="11.28515625" bestFit="1" customWidth="1"/>
    <col min="4375" max="4375" width="12.5703125" bestFit="1" customWidth="1"/>
    <col min="4376" max="4376" width="14" bestFit="1" customWidth="1"/>
    <col min="4377" max="4377" width="6" bestFit="1" customWidth="1"/>
    <col min="4378" max="4378" width="15" customWidth="1"/>
    <col min="4379" max="4379" width="14.85546875" bestFit="1" customWidth="1"/>
    <col min="4380" max="4380" width="16.140625" bestFit="1" customWidth="1"/>
    <col min="4608" max="4608" width="24" bestFit="1" customWidth="1"/>
    <col min="4609" max="4609" width="43.85546875" customWidth="1"/>
    <col min="4610" max="4610" width="19.7109375" bestFit="1" customWidth="1"/>
    <col min="4611" max="4611" width="15.28515625" bestFit="1" customWidth="1"/>
    <col min="4612" max="4612" width="14.85546875" bestFit="1" customWidth="1"/>
    <col min="4613" max="4613" width="13.42578125" customWidth="1"/>
    <col min="4614" max="4614" width="15.28515625" bestFit="1" customWidth="1"/>
    <col min="4615" max="4615" width="14.140625" bestFit="1" customWidth="1"/>
    <col min="4616" max="4616" width="15.28515625" customWidth="1"/>
    <col min="4617" max="4617" width="15.85546875" customWidth="1"/>
    <col min="4618" max="4618" width="17" bestFit="1" customWidth="1"/>
    <col min="4619" max="4619" width="12.7109375" customWidth="1"/>
    <col min="4620" max="4620" width="13.7109375" customWidth="1"/>
    <col min="4621" max="4621" width="13.85546875" bestFit="1" customWidth="1"/>
    <col min="4622" max="4622" width="15.5703125" bestFit="1" customWidth="1"/>
    <col min="4623" max="4623" width="16.140625" customWidth="1"/>
    <col min="4624" max="4624" width="16.7109375" bestFit="1" customWidth="1"/>
    <col min="4625" max="4626" width="15.5703125" bestFit="1" customWidth="1"/>
    <col min="4627" max="4627" width="16.42578125" bestFit="1" customWidth="1"/>
    <col min="4628" max="4628" width="14.28515625" customWidth="1"/>
    <col min="4629" max="4629" width="12.85546875" bestFit="1" customWidth="1"/>
    <col min="4630" max="4630" width="11.28515625" bestFit="1" customWidth="1"/>
    <col min="4631" max="4631" width="12.5703125" bestFit="1" customWidth="1"/>
    <col min="4632" max="4632" width="14" bestFit="1" customWidth="1"/>
    <col min="4633" max="4633" width="6" bestFit="1" customWidth="1"/>
    <col min="4634" max="4634" width="15" customWidth="1"/>
    <col min="4635" max="4635" width="14.85546875" bestFit="1" customWidth="1"/>
    <col min="4636" max="4636" width="16.140625" bestFit="1" customWidth="1"/>
    <col min="4864" max="4864" width="24" bestFit="1" customWidth="1"/>
    <col min="4865" max="4865" width="43.85546875" customWidth="1"/>
    <col min="4866" max="4866" width="19.7109375" bestFit="1" customWidth="1"/>
    <col min="4867" max="4867" width="15.28515625" bestFit="1" customWidth="1"/>
    <col min="4868" max="4868" width="14.85546875" bestFit="1" customWidth="1"/>
    <col min="4869" max="4869" width="13.42578125" customWidth="1"/>
    <col min="4870" max="4870" width="15.28515625" bestFit="1" customWidth="1"/>
    <col min="4871" max="4871" width="14.140625" bestFit="1" customWidth="1"/>
    <col min="4872" max="4872" width="15.28515625" customWidth="1"/>
    <col min="4873" max="4873" width="15.85546875" customWidth="1"/>
    <col min="4874" max="4874" width="17" bestFit="1" customWidth="1"/>
    <col min="4875" max="4875" width="12.7109375" customWidth="1"/>
    <col min="4876" max="4876" width="13.7109375" customWidth="1"/>
    <col min="4877" max="4877" width="13.85546875" bestFit="1" customWidth="1"/>
    <col min="4878" max="4878" width="15.5703125" bestFit="1" customWidth="1"/>
    <col min="4879" max="4879" width="16.140625" customWidth="1"/>
    <col min="4880" max="4880" width="16.7109375" bestFit="1" customWidth="1"/>
    <col min="4881" max="4882" width="15.5703125" bestFit="1" customWidth="1"/>
    <col min="4883" max="4883" width="16.42578125" bestFit="1" customWidth="1"/>
    <col min="4884" max="4884" width="14.28515625" customWidth="1"/>
    <col min="4885" max="4885" width="12.85546875" bestFit="1" customWidth="1"/>
    <col min="4886" max="4886" width="11.28515625" bestFit="1" customWidth="1"/>
    <col min="4887" max="4887" width="12.5703125" bestFit="1" customWidth="1"/>
    <col min="4888" max="4888" width="14" bestFit="1" customWidth="1"/>
    <col min="4889" max="4889" width="6" bestFit="1" customWidth="1"/>
    <col min="4890" max="4890" width="15" customWidth="1"/>
    <col min="4891" max="4891" width="14.85546875" bestFit="1" customWidth="1"/>
    <col min="4892" max="4892" width="16.140625" bestFit="1" customWidth="1"/>
    <col min="5120" max="5120" width="24" bestFit="1" customWidth="1"/>
    <col min="5121" max="5121" width="43.85546875" customWidth="1"/>
    <col min="5122" max="5122" width="19.7109375" bestFit="1" customWidth="1"/>
    <col min="5123" max="5123" width="15.28515625" bestFit="1" customWidth="1"/>
    <col min="5124" max="5124" width="14.85546875" bestFit="1" customWidth="1"/>
    <col min="5125" max="5125" width="13.42578125" customWidth="1"/>
    <col min="5126" max="5126" width="15.28515625" bestFit="1" customWidth="1"/>
    <col min="5127" max="5127" width="14.140625" bestFit="1" customWidth="1"/>
    <col min="5128" max="5128" width="15.28515625" customWidth="1"/>
    <col min="5129" max="5129" width="15.85546875" customWidth="1"/>
    <col min="5130" max="5130" width="17" bestFit="1" customWidth="1"/>
    <col min="5131" max="5131" width="12.7109375" customWidth="1"/>
    <col min="5132" max="5132" width="13.7109375" customWidth="1"/>
    <col min="5133" max="5133" width="13.85546875" bestFit="1" customWidth="1"/>
    <col min="5134" max="5134" width="15.5703125" bestFit="1" customWidth="1"/>
    <col min="5135" max="5135" width="16.140625" customWidth="1"/>
    <col min="5136" max="5136" width="16.7109375" bestFit="1" customWidth="1"/>
    <col min="5137" max="5138" width="15.5703125" bestFit="1" customWidth="1"/>
    <col min="5139" max="5139" width="16.42578125" bestFit="1" customWidth="1"/>
    <col min="5140" max="5140" width="14.28515625" customWidth="1"/>
    <col min="5141" max="5141" width="12.85546875" bestFit="1" customWidth="1"/>
    <col min="5142" max="5142" width="11.28515625" bestFit="1" customWidth="1"/>
    <col min="5143" max="5143" width="12.5703125" bestFit="1" customWidth="1"/>
    <col min="5144" max="5144" width="14" bestFit="1" customWidth="1"/>
    <col min="5145" max="5145" width="6" bestFit="1" customWidth="1"/>
    <col min="5146" max="5146" width="15" customWidth="1"/>
    <col min="5147" max="5147" width="14.85546875" bestFit="1" customWidth="1"/>
    <col min="5148" max="5148" width="16.140625" bestFit="1" customWidth="1"/>
    <col min="5376" max="5376" width="24" bestFit="1" customWidth="1"/>
    <col min="5377" max="5377" width="43.85546875" customWidth="1"/>
    <col min="5378" max="5378" width="19.7109375" bestFit="1" customWidth="1"/>
    <col min="5379" max="5379" width="15.28515625" bestFit="1" customWidth="1"/>
    <col min="5380" max="5380" width="14.85546875" bestFit="1" customWidth="1"/>
    <col min="5381" max="5381" width="13.42578125" customWidth="1"/>
    <col min="5382" max="5382" width="15.28515625" bestFit="1" customWidth="1"/>
    <col min="5383" max="5383" width="14.140625" bestFit="1" customWidth="1"/>
    <col min="5384" max="5384" width="15.28515625" customWidth="1"/>
    <col min="5385" max="5385" width="15.85546875" customWidth="1"/>
    <col min="5386" max="5386" width="17" bestFit="1" customWidth="1"/>
    <col min="5387" max="5387" width="12.7109375" customWidth="1"/>
    <col min="5388" max="5388" width="13.7109375" customWidth="1"/>
    <col min="5389" max="5389" width="13.85546875" bestFit="1" customWidth="1"/>
    <col min="5390" max="5390" width="15.5703125" bestFit="1" customWidth="1"/>
    <col min="5391" max="5391" width="16.140625" customWidth="1"/>
    <col min="5392" max="5392" width="16.7109375" bestFit="1" customWidth="1"/>
    <col min="5393" max="5394" width="15.5703125" bestFit="1" customWidth="1"/>
    <col min="5395" max="5395" width="16.42578125" bestFit="1" customWidth="1"/>
    <col min="5396" max="5396" width="14.28515625" customWidth="1"/>
    <col min="5397" max="5397" width="12.85546875" bestFit="1" customWidth="1"/>
    <col min="5398" max="5398" width="11.28515625" bestFit="1" customWidth="1"/>
    <col min="5399" max="5399" width="12.5703125" bestFit="1" customWidth="1"/>
    <col min="5400" max="5400" width="14" bestFit="1" customWidth="1"/>
    <col min="5401" max="5401" width="6" bestFit="1" customWidth="1"/>
    <col min="5402" max="5402" width="15" customWidth="1"/>
    <col min="5403" max="5403" width="14.85546875" bestFit="1" customWidth="1"/>
    <col min="5404" max="5404" width="16.140625" bestFit="1" customWidth="1"/>
    <col min="5632" max="5632" width="24" bestFit="1" customWidth="1"/>
    <col min="5633" max="5633" width="43.85546875" customWidth="1"/>
    <col min="5634" max="5634" width="19.7109375" bestFit="1" customWidth="1"/>
    <col min="5635" max="5635" width="15.28515625" bestFit="1" customWidth="1"/>
    <col min="5636" max="5636" width="14.85546875" bestFit="1" customWidth="1"/>
    <col min="5637" max="5637" width="13.42578125" customWidth="1"/>
    <col min="5638" max="5638" width="15.28515625" bestFit="1" customWidth="1"/>
    <col min="5639" max="5639" width="14.140625" bestFit="1" customWidth="1"/>
    <col min="5640" max="5640" width="15.28515625" customWidth="1"/>
    <col min="5641" max="5641" width="15.85546875" customWidth="1"/>
    <col min="5642" max="5642" width="17" bestFit="1" customWidth="1"/>
    <col min="5643" max="5643" width="12.7109375" customWidth="1"/>
    <col min="5644" max="5644" width="13.7109375" customWidth="1"/>
    <col min="5645" max="5645" width="13.85546875" bestFit="1" customWidth="1"/>
    <col min="5646" max="5646" width="15.5703125" bestFit="1" customWidth="1"/>
    <col min="5647" max="5647" width="16.140625" customWidth="1"/>
    <col min="5648" max="5648" width="16.7109375" bestFit="1" customWidth="1"/>
    <col min="5649" max="5650" width="15.5703125" bestFit="1" customWidth="1"/>
    <col min="5651" max="5651" width="16.42578125" bestFit="1" customWidth="1"/>
    <col min="5652" max="5652" width="14.28515625" customWidth="1"/>
    <col min="5653" max="5653" width="12.85546875" bestFit="1" customWidth="1"/>
    <col min="5654" max="5654" width="11.28515625" bestFit="1" customWidth="1"/>
    <col min="5655" max="5655" width="12.5703125" bestFit="1" customWidth="1"/>
    <col min="5656" max="5656" width="14" bestFit="1" customWidth="1"/>
    <col min="5657" max="5657" width="6" bestFit="1" customWidth="1"/>
    <col min="5658" max="5658" width="15" customWidth="1"/>
    <col min="5659" max="5659" width="14.85546875" bestFit="1" customWidth="1"/>
    <col min="5660" max="5660" width="16.140625" bestFit="1" customWidth="1"/>
    <col min="5888" max="5888" width="24" bestFit="1" customWidth="1"/>
    <col min="5889" max="5889" width="43.85546875" customWidth="1"/>
    <col min="5890" max="5890" width="19.7109375" bestFit="1" customWidth="1"/>
    <col min="5891" max="5891" width="15.28515625" bestFit="1" customWidth="1"/>
    <col min="5892" max="5892" width="14.85546875" bestFit="1" customWidth="1"/>
    <col min="5893" max="5893" width="13.42578125" customWidth="1"/>
    <col min="5894" max="5894" width="15.28515625" bestFit="1" customWidth="1"/>
    <col min="5895" max="5895" width="14.140625" bestFit="1" customWidth="1"/>
    <col min="5896" max="5896" width="15.28515625" customWidth="1"/>
    <col min="5897" max="5897" width="15.85546875" customWidth="1"/>
    <col min="5898" max="5898" width="17" bestFit="1" customWidth="1"/>
    <col min="5899" max="5899" width="12.7109375" customWidth="1"/>
    <col min="5900" max="5900" width="13.7109375" customWidth="1"/>
    <col min="5901" max="5901" width="13.85546875" bestFit="1" customWidth="1"/>
    <col min="5902" max="5902" width="15.5703125" bestFit="1" customWidth="1"/>
    <col min="5903" max="5903" width="16.140625" customWidth="1"/>
    <col min="5904" max="5904" width="16.7109375" bestFit="1" customWidth="1"/>
    <col min="5905" max="5906" width="15.5703125" bestFit="1" customWidth="1"/>
    <col min="5907" max="5907" width="16.42578125" bestFit="1" customWidth="1"/>
    <col min="5908" max="5908" width="14.28515625" customWidth="1"/>
    <col min="5909" max="5909" width="12.85546875" bestFit="1" customWidth="1"/>
    <col min="5910" max="5910" width="11.28515625" bestFit="1" customWidth="1"/>
    <col min="5911" max="5911" width="12.5703125" bestFit="1" customWidth="1"/>
    <col min="5912" max="5912" width="14" bestFit="1" customWidth="1"/>
    <col min="5913" max="5913" width="6" bestFit="1" customWidth="1"/>
    <col min="5914" max="5914" width="15" customWidth="1"/>
    <col min="5915" max="5915" width="14.85546875" bestFit="1" customWidth="1"/>
    <col min="5916" max="5916" width="16.140625" bestFit="1" customWidth="1"/>
    <col min="6144" max="6144" width="24" bestFit="1" customWidth="1"/>
    <col min="6145" max="6145" width="43.85546875" customWidth="1"/>
    <col min="6146" max="6146" width="19.7109375" bestFit="1" customWidth="1"/>
    <col min="6147" max="6147" width="15.28515625" bestFit="1" customWidth="1"/>
    <col min="6148" max="6148" width="14.85546875" bestFit="1" customWidth="1"/>
    <col min="6149" max="6149" width="13.42578125" customWidth="1"/>
    <col min="6150" max="6150" width="15.28515625" bestFit="1" customWidth="1"/>
    <col min="6151" max="6151" width="14.140625" bestFit="1" customWidth="1"/>
    <col min="6152" max="6152" width="15.28515625" customWidth="1"/>
    <col min="6153" max="6153" width="15.85546875" customWidth="1"/>
    <col min="6154" max="6154" width="17" bestFit="1" customWidth="1"/>
    <col min="6155" max="6155" width="12.7109375" customWidth="1"/>
    <col min="6156" max="6156" width="13.7109375" customWidth="1"/>
    <col min="6157" max="6157" width="13.85546875" bestFit="1" customWidth="1"/>
    <col min="6158" max="6158" width="15.5703125" bestFit="1" customWidth="1"/>
    <col min="6159" max="6159" width="16.140625" customWidth="1"/>
    <col min="6160" max="6160" width="16.7109375" bestFit="1" customWidth="1"/>
    <col min="6161" max="6162" width="15.5703125" bestFit="1" customWidth="1"/>
    <col min="6163" max="6163" width="16.42578125" bestFit="1" customWidth="1"/>
    <col min="6164" max="6164" width="14.28515625" customWidth="1"/>
    <col min="6165" max="6165" width="12.85546875" bestFit="1" customWidth="1"/>
    <col min="6166" max="6166" width="11.28515625" bestFit="1" customWidth="1"/>
    <col min="6167" max="6167" width="12.5703125" bestFit="1" customWidth="1"/>
    <col min="6168" max="6168" width="14" bestFit="1" customWidth="1"/>
    <col min="6169" max="6169" width="6" bestFit="1" customWidth="1"/>
    <col min="6170" max="6170" width="15" customWidth="1"/>
    <col min="6171" max="6171" width="14.85546875" bestFit="1" customWidth="1"/>
    <col min="6172" max="6172" width="16.140625" bestFit="1" customWidth="1"/>
    <col min="6400" max="6400" width="24" bestFit="1" customWidth="1"/>
    <col min="6401" max="6401" width="43.85546875" customWidth="1"/>
    <col min="6402" max="6402" width="19.7109375" bestFit="1" customWidth="1"/>
    <col min="6403" max="6403" width="15.28515625" bestFit="1" customWidth="1"/>
    <col min="6404" max="6404" width="14.85546875" bestFit="1" customWidth="1"/>
    <col min="6405" max="6405" width="13.42578125" customWidth="1"/>
    <col min="6406" max="6406" width="15.28515625" bestFit="1" customWidth="1"/>
    <col min="6407" max="6407" width="14.140625" bestFit="1" customWidth="1"/>
    <col min="6408" max="6408" width="15.28515625" customWidth="1"/>
    <col min="6409" max="6409" width="15.85546875" customWidth="1"/>
    <col min="6410" max="6410" width="17" bestFit="1" customWidth="1"/>
    <col min="6411" max="6411" width="12.7109375" customWidth="1"/>
    <col min="6412" max="6412" width="13.7109375" customWidth="1"/>
    <col min="6413" max="6413" width="13.85546875" bestFit="1" customWidth="1"/>
    <col min="6414" max="6414" width="15.5703125" bestFit="1" customWidth="1"/>
    <col min="6415" max="6415" width="16.140625" customWidth="1"/>
    <col min="6416" max="6416" width="16.7109375" bestFit="1" customWidth="1"/>
    <col min="6417" max="6418" width="15.5703125" bestFit="1" customWidth="1"/>
    <col min="6419" max="6419" width="16.42578125" bestFit="1" customWidth="1"/>
    <col min="6420" max="6420" width="14.28515625" customWidth="1"/>
    <col min="6421" max="6421" width="12.85546875" bestFit="1" customWidth="1"/>
    <col min="6422" max="6422" width="11.28515625" bestFit="1" customWidth="1"/>
    <col min="6423" max="6423" width="12.5703125" bestFit="1" customWidth="1"/>
    <col min="6424" max="6424" width="14" bestFit="1" customWidth="1"/>
    <col min="6425" max="6425" width="6" bestFit="1" customWidth="1"/>
    <col min="6426" max="6426" width="15" customWidth="1"/>
    <col min="6427" max="6427" width="14.85546875" bestFit="1" customWidth="1"/>
    <col min="6428" max="6428" width="16.140625" bestFit="1" customWidth="1"/>
    <col min="6656" max="6656" width="24" bestFit="1" customWidth="1"/>
    <col min="6657" max="6657" width="43.85546875" customWidth="1"/>
    <col min="6658" max="6658" width="19.7109375" bestFit="1" customWidth="1"/>
    <col min="6659" max="6659" width="15.28515625" bestFit="1" customWidth="1"/>
    <col min="6660" max="6660" width="14.85546875" bestFit="1" customWidth="1"/>
    <col min="6661" max="6661" width="13.42578125" customWidth="1"/>
    <col min="6662" max="6662" width="15.28515625" bestFit="1" customWidth="1"/>
    <col min="6663" max="6663" width="14.140625" bestFit="1" customWidth="1"/>
    <col min="6664" max="6664" width="15.28515625" customWidth="1"/>
    <col min="6665" max="6665" width="15.85546875" customWidth="1"/>
    <col min="6666" max="6666" width="17" bestFit="1" customWidth="1"/>
    <col min="6667" max="6667" width="12.7109375" customWidth="1"/>
    <col min="6668" max="6668" width="13.7109375" customWidth="1"/>
    <col min="6669" max="6669" width="13.85546875" bestFit="1" customWidth="1"/>
    <col min="6670" max="6670" width="15.5703125" bestFit="1" customWidth="1"/>
    <col min="6671" max="6671" width="16.140625" customWidth="1"/>
    <col min="6672" max="6672" width="16.7109375" bestFit="1" customWidth="1"/>
    <col min="6673" max="6674" width="15.5703125" bestFit="1" customWidth="1"/>
    <col min="6675" max="6675" width="16.42578125" bestFit="1" customWidth="1"/>
    <col min="6676" max="6676" width="14.28515625" customWidth="1"/>
    <col min="6677" max="6677" width="12.85546875" bestFit="1" customWidth="1"/>
    <col min="6678" max="6678" width="11.28515625" bestFit="1" customWidth="1"/>
    <col min="6679" max="6679" width="12.5703125" bestFit="1" customWidth="1"/>
    <col min="6680" max="6680" width="14" bestFit="1" customWidth="1"/>
    <col min="6681" max="6681" width="6" bestFit="1" customWidth="1"/>
    <col min="6682" max="6682" width="15" customWidth="1"/>
    <col min="6683" max="6683" width="14.85546875" bestFit="1" customWidth="1"/>
    <col min="6684" max="6684" width="16.140625" bestFit="1" customWidth="1"/>
    <col min="6912" max="6912" width="24" bestFit="1" customWidth="1"/>
    <col min="6913" max="6913" width="43.85546875" customWidth="1"/>
    <col min="6914" max="6914" width="19.7109375" bestFit="1" customWidth="1"/>
    <col min="6915" max="6915" width="15.28515625" bestFit="1" customWidth="1"/>
    <col min="6916" max="6916" width="14.85546875" bestFit="1" customWidth="1"/>
    <col min="6917" max="6917" width="13.42578125" customWidth="1"/>
    <col min="6918" max="6918" width="15.28515625" bestFit="1" customWidth="1"/>
    <col min="6919" max="6919" width="14.140625" bestFit="1" customWidth="1"/>
    <col min="6920" max="6920" width="15.28515625" customWidth="1"/>
    <col min="6921" max="6921" width="15.85546875" customWidth="1"/>
    <col min="6922" max="6922" width="17" bestFit="1" customWidth="1"/>
    <col min="6923" max="6923" width="12.7109375" customWidth="1"/>
    <col min="6924" max="6924" width="13.7109375" customWidth="1"/>
    <col min="6925" max="6925" width="13.85546875" bestFit="1" customWidth="1"/>
    <col min="6926" max="6926" width="15.5703125" bestFit="1" customWidth="1"/>
    <col min="6927" max="6927" width="16.140625" customWidth="1"/>
    <col min="6928" max="6928" width="16.7109375" bestFit="1" customWidth="1"/>
    <col min="6929" max="6930" width="15.5703125" bestFit="1" customWidth="1"/>
    <col min="6931" max="6931" width="16.42578125" bestFit="1" customWidth="1"/>
    <col min="6932" max="6932" width="14.28515625" customWidth="1"/>
    <col min="6933" max="6933" width="12.85546875" bestFit="1" customWidth="1"/>
    <col min="6934" max="6934" width="11.28515625" bestFit="1" customWidth="1"/>
    <col min="6935" max="6935" width="12.5703125" bestFit="1" customWidth="1"/>
    <col min="6936" max="6936" width="14" bestFit="1" customWidth="1"/>
    <col min="6937" max="6937" width="6" bestFit="1" customWidth="1"/>
    <col min="6938" max="6938" width="15" customWidth="1"/>
    <col min="6939" max="6939" width="14.85546875" bestFit="1" customWidth="1"/>
    <col min="6940" max="6940" width="16.140625" bestFit="1" customWidth="1"/>
    <col min="7168" max="7168" width="24" bestFit="1" customWidth="1"/>
    <col min="7169" max="7169" width="43.85546875" customWidth="1"/>
    <col min="7170" max="7170" width="19.7109375" bestFit="1" customWidth="1"/>
    <col min="7171" max="7171" width="15.28515625" bestFit="1" customWidth="1"/>
    <col min="7172" max="7172" width="14.85546875" bestFit="1" customWidth="1"/>
    <col min="7173" max="7173" width="13.42578125" customWidth="1"/>
    <col min="7174" max="7174" width="15.28515625" bestFit="1" customWidth="1"/>
    <col min="7175" max="7175" width="14.140625" bestFit="1" customWidth="1"/>
    <col min="7176" max="7176" width="15.28515625" customWidth="1"/>
    <col min="7177" max="7177" width="15.85546875" customWidth="1"/>
    <col min="7178" max="7178" width="17" bestFit="1" customWidth="1"/>
    <col min="7179" max="7179" width="12.7109375" customWidth="1"/>
    <col min="7180" max="7180" width="13.7109375" customWidth="1"/>
    <col min="7181" max="7181" width="13.85546875" bestFit="1" customWidth="1"/>
    <col min="7182" max="7182" width="15.5703125" bestFit="1" customWidth="1"/>
    <col min="7183" max="7183" width="16.140625" customWidth="1"/>
    <col min="7184" max="7184" width="16.7109375" bestFit="1" customWidth="1"/>
    <col min="7185" max="7186" width="15.5703125" bestFit="1" customWidth="1"/>
    <col min="7187" max="7187" width="16.42578125" bestFit="1" customWidth="1"/>
    <col min="7188" max="7188" width="14.28515625" customWidth="1"/>
    <col min="7189" max="7189" width="12.85546875" bestFit="1" customWidth="1"/>
    <col min="7190" max="7190" width="11.28515625" bestFit="1" customWidth="1"/>
    <col min="7191" max="7191" width="12.5703125" bestFit="1" customWidth="1"/>
    <col min="7192" max="7192" width="14" bestFit="1" customWidth="1"/>
    <col min="7193" max="7193" width="6" bestFit="1" customWidth="1"/>
    <col min="7194" max="7194" width="15" customWidth="1"/>
    <col min="7195" max="7195" width="14.85546875" bestFit="1" customWidth="1"/>
    <col min="7196" max="7196" width="16.140625" bestFit="1" customWidth="1"/>
    <col min="7424" max="7424" width="24" bestFit="1" customWidth="1"/>
    <col min="7425" max="7425" width="43.85546875" customWidth="1"/>
    <col min="7426" max="7426" width="19.7109375" bestFit="1" customWidth="1"/>
    <col min="7427" max="7427" width="15.28515625" bestFit="1" customWidth="1"/>
    <col min="7428" max="7428" width="14.85546875" bestFit="1" customWidth="1"/>
    <col min="7429" max="7429" width="13.42578125" customWidth="1"/>
    <col min="7430" max="7430" width="15.28515625" bestFit="1" customWidth="1"/>
    <col min="7431" max="7431" width="14.140625" bestFit="1" customWidth="1"/>
    <col min="7432" max="7432" width="15.28515625" customWidth="1"/>
    <col min="7433" max="7433" width="15.85546875" customWidth="1"/>
    <col min="7434" max="7434" width="17" bestFit="1" customWidth="1"/>
    <col min="7435" max="7435" width="12.7109375" customWidth="1"/>
    <col min="7436" max="7436" width="13.7109375" customWidth="1"/>
    <col min="7437" max="7437" width="13.85546875" bestFit="1" customWidth="1"/>
    <col min="7438" max="7438" width="15.5703125" bestFit="1" customWidth="1"/>
    <col min="7439" max="7439" width="16.140625" customWidth="1"/>
    <col min="7440" max="7440" width="16.7109375" bestFit="1" customWidth="1"/>
    <col min="7441" max="7442" width="15.5703125" bestFit="1" customWidth="1"/>
    <col min="7443" max="7443" width="16.42578125" bestFit="1" customWidth="1"/>
    <col min="7444" max="7444" width="14.28515625" customWidth="1"/>
    <col min="7445" max="7445" width="12.85546875" bestFit="1" customWidth="1"/>
    <col min="7446" max="7446" width="11.28515625" bestFit="1" customWidth="1"/>
    <col min="7447" max="7447" width="12.5703125" bestFit="1" customWidth="1"/>
    <col min="7448" max="7448" width="14" bestFit="1" customWidth="1"/>
    <col min="7449" max="7449" width="6" bestFit="1" customWidth="1"/>
    <col min="7450" max="7450" width="15" customWidth="1"/>
    <col min="7451" max="7451" width="14.85546875" bestFit="1" customWidth="1"/>
    <col min="7452" max="7452" width="16.140625" bestFit="1" customWidth="1"/>
    <col min="7680" max="7680" width="24" bestFit="1" customWidth="1"/>
    <col min="7681" max="7681" width="43.85546875" customWidth="1"/>
    <col min="7682" max="7682" width="19.7109375" bestFit="1" customWidth="1"/>
    <col min="7683" max="7683" width="15.28515625" bestFit="1" customWidth="1"/>
    <col min="7684" max="7684" width="14.85546875" bestFit="1" customWidth="1"/>
    <col min="7685" max="7685" width="13.42578125" customWidth="1"/>
    <col min="7686" max="7686" width="15.28515625" bestFit="1" customWidth="1"/>
    <col min="7687" max="7687" width="14.140625" bestFit="1" customWidth="1"/>
    <col min="7688" max="7688" width="15.28515625" customWidth="1"/>
    <col min="7689" max="7689" width="15.85546875" customWidth="1"/>
    <col min="7690" max="7690" width="17" bestFit="1" customWidth="1"/>
    <col min="7691" max="7691" width="12.7109375" customWidth="1"/>
    <col min="7692" max="7692" width="13.7109375" customWidth="1"/>
    <col min="7693" max="7693" width="13.85546875" bestFit="1" customWidth="1"/>
    <col min="7694" max="7694" width="15.5703125" bestFit="1" customWidth="1"/>
    <col min="7695" max="7695" width="16.140625" customWidth="1"/>
    <col min="7696" max="7696" width="16.7109375" bestFit="1" customWidth="1"/>
    <col min="7697" max="7698" width="15.5703125" bestFit="1" customWidth="1"/>
    <col min="7699" max="7699" width="16.42578125" bestFit="1" customWidth="1"/>
    <col min="7700" max="7700" width="14.28515625" customWidth="1"/>
    <col min="7701" max="7701" width="12.85546875" bestFit="1" customWidth="1"/>
    <col min="7702" max="7702" width="11.28515625" bestFit="1" customWidth="1"/>
    <col min="7703" max="7703" width="12.5703125" bestFit="1" customWidth="1"/>
    <col min="7704" max="7704" width="14" bestFit="1" customWidth="1"/>
    <col min="7705" max="7705" width="6" bestFit="1" customWidth="1"/>
    <col min="7706" max="7706" width="15" customWidth="1"/>
    <col min="7707" max="7707" width="14.85546875" bestFit="1" customWidth="1"/>
    <col min="7708" max="7708" width="16.140625" bestFit="1" customWidth="1"/>
    <col min="7936" max="7936" width="24" bestFit="1" customWidth="1"/>
    <col min="7937" max="7937" width="43.85546875" customWidth="1"/>
    <col min="7938" max="7938" width="19.7109375" bestFit="1" customWidth="1"/>
    <col min="7939" max="7939" width="15.28515625" bestFit="1" customWidth="1"/>
    <col min="7940" max="7940" width="14.85546875" bestFit="1" customWidth="1"/>
    <col min="7941" max="7941" width="13.42578125" customWidth="1"/>
    <col min="7942" max="7942" width="15.28515625" bestFit="1" customWidth="1"/>
    <col min="7943" max="7943" width="14.140625" bestFit="1" customWidth="1"/>
    <col min="7944" max="7944" width="15.28515625" customWidth="1"/>
    <col min="7945" max="7945" width="15.85546875" customWidth="1"/>
    <col min="7946" max="7946" width="17" bestFit="1" customWidth="1"/>
    <col min="7947" max="7947" width="12.7109375" customWidth="1"/>
    <col min="7948" max="7948" width="13.7109375" customWidth="1"/>
    <col min="7949" max="7949" width="13.85546875" bestFit="1" customWidth="1"/>
    <col min="7950" max="7950" width="15.5703125" bestFit="1" customWidth="1"/>
    <col min="7951" max="7951" width="16.140625" customWidth="1"/>
    <col min="7952" max="7952" width="16.7109375" bestFit="1" customWidth="1"/>
    <col min="7953" max="7954" width="15.5703125" bestFit="1" customWidth="1"/>
    <col min="7955" max="7955" width="16.42578125" bestFit="1" customWidth="1"/>
    <col min="7956" max="7956" width="14.28515625" customWidth="1"/>
    <col min="7957" max="7957" width="12.85546875" bestFit="1" customWidth="1"/>
    <col min="7958" max="7958" width="11.28515625" bestFit="1" customWidth="1"/>
    <col min="7959" max="7959" width="12.5703125" bestFit="1" customWidth="1"/>
    <col min="7960" max="7960" width="14" bestFit="1" customWidth="1"/>
    <col min="7961" max="7961" width="6" bestFit="1" customWidth="1"/>
    <col min="7962" max="7962" width="15" customWidth="1"/>
    <col min="7963" max="7963" width="14.85546875" bestFit="1" customWidth="1"/>
    <col min="7964" max="7964" width="16.140625" bestFit="1" customWidth="1"/>
    <col min="8192" max="8192" width="24" bestFit="1" customWidth="1"/>
    <col min="8193" max="8193" width="43.85546875" customWidth="1"/>
    <col min="8194" max="8194" width="19.7109375" bestFit="1" customWidth="1"/>
    <col min="8195" max="8195" width="15.28515625" bestFit="1" customWidth="1"/>
    <col min="8196" max="8196" width="14.85546875" bestFit="1" customWidth="1"/>
    <col min="8197" max="8197" width="13.42578125" customWidth="1"/>
    <col min="8198" max="8198" width="15.28515625" bestFit="1" customWidth="1"/>
    <col min="8199" max="8199" width="14.140625" bestFit="1" customWidth="1"/>
    <col min="8200" max="8200" width="15.28515625" customWidth="1"/>
    <col min="8201" max="8201" width="15.85546875" customWidth="1"/>
    <col min="8202" max="8202" width="17" bestFit="1" customWidth="1"/>
    <col min="8203" max="8203" width="12.7109375" customWidth="1"/>
    <col min="8204" max="8204" width="13.7109375" customWidth="1"/>
    <col min="8205" max="8205" width="13.85546875" bestFit="1" customWidth="1"/>
    <col min="8206" max="8206" width="15.5703125" bestFit="1" customWidth="1"/>
    <col min="8207" max="8207" width="16.140625" customWidth="1"/>
    <col min="8208" max="8208" width="16.7109375" bestFit="1" customWidth="1"/>
    <col min="8209" max="8210" width="15.5703125" bestFit="1" customWidth="1"/>
    <col min="8211" max="8211" width="16.42578125" bestFit="1" customWidth="1"/>
    <col min="8212" max="8212" width="14.28515625" customWidth="1"/>
    <col min="8213" max="8213" width="12.85546875" bestFit="1" customWidth="1"/>
    <col min="8214" max="8214" width="11.28515625" bestFit="1" customWidth="1"/>
    <col min="8215" max="8215" width="12.5703125" bestFit="1" customWidth="1"/>
    <col min="8216" max="8216" width="14" bestFit="1" customWidth="1"/>
    <col min="8217" max="8217" width="6" bestFit="1" customWidth="1"/>
    <col min="8218" max="8218" width="15" customWidth="1"/>
    <col min="8219" max="8219" width="14.85546875" bestFit="1" customWidth="1"/>
    <col min="8220" max="8220" width="16.140625" bestFit="1" customWidth="1"/>
    <col min="8448" max="8448" width="24" bestFit="1" customWidth="1"/>
    <col min="8449" max="8449" width="43.85546875" customWidth="1"/>
    <col min="8450" max="8450" width="19.7109375" bestFit="1" customWidth="1"/>
    <col min="8451" max="8451" width="15.28515625" bestFit="1" customWidth="1"/>
    <col min="8452" max="8452" width="14.85546875" bestFit="1" customWidth="1"/>
    <col min="8453" max="8453" width="13.42578125" customWidth="1"/>
    <col min="8454" max="8454" width="15.28515625" bestFit="1" customWidth="1"/>
    <col min="8455" max="8455" width="14.140625" bestFit="1" customWidth="1"/>
    <col min="8456" max="8456" width="15.28515625" customWidth="1"/>
    <col min="8457" max="8457" width="15.85546875" customWidth="1"/>
    <col min="8458" max="8458" width="17" bestFit="1" customWidth="1"/>
    <col min="8459" max="8459" width="12.7109375" customWidth="1"/>
    <col min="8460" max="8460" width="13.7109375" customWidth="1"/>
    <col min="8461" max="8461" width="13.85546875" bestFit="1" customWidth="1"/>
    <col min="8462" max="8462" width="15.5703125" bestFit="1" customWidth="1"/>
    <col min="8463" max="8463" width="16.140625" customWidth="1"/>
    <col min="8464" max="8464" width="16.7109375" bestFit="1" customWidth="1"/>
    <col min="8465" max="8466" width="15.5703125" bestFit="1" customWidth="1"/>
    <col min="8467" max="8467" width="16.42578125" bestFit="1" customWidth="1"/>
    <col min="8468" max="8468" width="14.28515625" customWidth="1"/>
    <col min="8469" max="8469" width="12.85546875" bestFit="1" customWidth="1"/>
    <col min="8470" max="8470" width="11.28515625" bestFit="1" customWidth="1"/>
    <col min="8471" max="8471" width="12.5703125" bestFit="1" customWidth="1"/>
    <col min="8472" max="8472" width="14" bestFit="1" customWidth="1"/>
    <col min="8473" max="8473" width="6" bestFit="1" customWidth="1"/>
    <col min="8474" max="8474" width="15" customWidth="1"/>
    <col min="8475" max="8475" width="14.85546875" bestFit="1" customWidth="1"/>
    <col min="8476" max="8476" width="16.140625" bestFit="1" customWidth="1"/>
    <col min="8704" max="8704" width="24" bestFit="1" customWidth="1"/>
    <col min="8705" max="8705" width="43.85546875" customWidth="1"/>
    <col min="8706" max="8706" width="19.7109375" bestFit="1" customWidth="1"/>
    <col min="8707" max="8707" width="15.28515625" bestFit="1" customWidth="1"/>
    <col min="8708" max="8708" width="14.85546875" bestFit="1" customWidth="1"/>
    <col min="8709" max="8709" width="13.42578125" customWidth="1"/>
    <col min="8710" max="8710" width="15.28515625" bestFit="1" customWidth="1"/>
    <col min="8711" max="8711" width="14.140625" bestFit="1" customWidth="1"/>
    <col min="8712" max="8712" width="15.28515625" customWidth="1"/>
    <col min="8713" max="8713" width="15.85546875" customWidth="1"/>
    <col min="8714" max="8714" width="17" bestFit="1" customWidth="1"/>
    <col min="8715" max="8715" width="12.7109375" customWidth="1"/>
    <col min="8716" max="8716" width="13.7109375" customWidth="1"/>
    <col min="8717" max="8717" width="13.85546875" bestFit="1" customWidth="1"/>
    <col min="8718" max="8718" width="15.5703125" bestFit="1" customWidth="1"/>
    <col min="8719" max="8719" width="16.140625" customWidth="1"/>
    <col min="8720" max="8720" width="16.7109375" bestFit="1" customWidth="1"/>
    <col min="8721" max="8722" width="15.5703125" bestFit="1" customWidth="1"/>
    <col min="8723" max="8723" width="16.42578125" bestFit="1" customWidth="1"/>
    <col min="8724" max="8724" width="14.28515625" customWidth="1"/>
    <col min="8725" max="8725" width="12.85546875" bestFit="1" customWidth="1"/>
    <col min="8726" max="8726" width="11.28515625" bestFit="1" customWidth="1"/>
    <col min="8727" max="8727" width="12.5703125" bestFit="1" customWidth="1"/>
    <col min="8728" max="8728" width="14" bestFit="1" customWidth="1"/>
    <col min="8729" max="8729" width="6" bestFit="1" customWidth="1"/>
    <col min="8730" max="8730" width="15" customWidth="1"/>
    <col min="8731" max="8731" width="14.85546875" bestFit="1" customWidth="1"/>
    <col min="8732" max="8732" width="16.140625" bestFit="1" customWidth="1"/>
    <col min="8960" max="8960" width="24" bestFit="1" customWidth="1"/>
    <col min="8961" max="8961" width="43.85546875" customWidth="1"/>
    <col min="8962" max="8962" width="19.7109375" bestFit="1" customWidth="1"/>
    <col min="8963" max="8963" width="15.28515625" bestFit="1" customWidth="1"/>
    <col min="8964" max="8964" width="14.85546875" bestFit="1" customWidth="1"/>
    <col min="8965" max="8965" width="13.42578125" customWidth="1"/>
    <col min="8966" max="8966" width="15.28515625" bestFit="1" customWidth="1"/>
    <col min="8967" max="8967" width="14.140625" bestFit="1" customWidth="1"/>
    <col min="8968" max="8968" width="15.28515625" customWidth="1"/>
    <col min="8969" max="8969" width="15.85546875" customWidth="1"/>
    <col min="8970" max="8970" width="17" bestFit="1" customWidth="1"/>
    <col min="8971" max="8971" width="12.7109375" customWidth="1"/>
    <col min="8972" max="8972" width="13.7109375" customWidth="1"/>
    <col min="8973" max="8973" width="13.85546875" bestFit="1" customWidth="1"/>
    <col min="8974" max="8974" width="15.5703125" bestFit="1" customWidth="1"/>
    <col min="8975" max="8975" width="16.140625" customWidth="1"/>
    <col min="8976" max="8976" width="16.7109375" bestFit="1" customWidth="1"/>
    <col min="8977" max="8978" width="15.5703125" bestFit="1" customWidth="1"/>
    <col min="8979" max="8979" width="16.42578125" bestFit="1" customWidth="1"/>
    <col min="8980" max="8980" width="14.28515625" customWidth="1"/>
    <col min="8981" max="8981" width="12.85546875" bestFit="1" customWidth="1"/>
    <col min="8982" max="8982" width="11.28515625" bestFit="1" customWidth="1"/>
    <col min="8983" max="8983" width="12.5703125" bestFit="1" customWidth="1"/>
    <col min="8984" max="8984" width="14" bestFit="1" customWidth="1"/>
    <col min="8985" max="8985" width="6" bestFit="1" customWidth="1"/>
    <col min="8986" max="8986" width="15" customWidth="1"/>
    <col min="8987" max="8987" width="14.85546875" bestFit="1" customWidth="1"/>
    <col min="8988" max="8988" width="16.140625" bestFit="1" customWidth="1"/>
    <col min="9216" max="9216" width="24" bestFit="1" customWidth="1"/>
    <col min="9217" max="9217" width="43.85546875" customWidth="1"/>
    <col min="9218" max="9218" width="19.7109375" bestFit="1" customWidth="1"/>
    <col min="9219" max="9219" width="15.28515625" bestFit="1" customWidth="1"/>
    <col min="9220" max="9220" width="14.85546875" bestFit="1" customWidth="1"/>
    <col min="9221" max="9221" width="13.42578125" customWidth="1"/>
    <col min="9222" max="9222" width="15.28515625" bestFit="1" customWidth="1"/>
    <col min="9223" max="9223" width="14.140625" bestFit="1" customWidth="1"/>
    <col min="9224" max="9224" width="15.28515625" customWidth="1"/>
    <col min="9225" max="9225" width="15.85546875" customWidth="1"/>
    <col min="9226" max="9226" width="17" bestFit="1" customWidth="1"/>
    <col min="9227" max="9227" width="12.7109375" customWidth="1"/>
    <col min="9228" max="9228" width="13.7109375" customWidth="1"/>
    <col min="9229" max="9229" width="13.85546875" bestFit="1" customWidth="1"/>
    <col min="9230" max="9230" width="15.5703125" bestFit="1" customWidth="1"/>
    <col min="9231" max="9231" width="16.140625" customWidth="1"/>
    <col min="9232" max="9232" width="16.7109375" bestFit="1" customWidth="1"/>
    <col min="9233" max="9234" width="15.5703125" bestFit="1" customWidth="1"/>
    <col min="9235" max="9235" width="16.42578125" bestFit="1" customWidth="1"/>
    <col min="9236" max="9236" width="14.28515625" customWidth="1"/>
    <col min="9237" max="9237" width="12.85546875" bestFit="1" customWidth="1"/>
    <col min="9238" max="9238" width="11.28515625" bestFit="1" customWidth="1"/>
    <col min="9239" max="9239" width="12.5703125" bestFit="1" customWidth="1"/>
    <col min="9240" max="9240" width="14" bestFit="1" customWidth="1"/>
    <col min="9241" max="9241" width="6" bestFit="1" customWidth="1"/>
    <col min="9242" max="9242" width="15" customWidth="1"/>
    <col min="9243" max="9243" width="14.85546875" bestFit="1" customWidth="1"/>
    <col min="9244" max="9244" width="16.140625" bestFit="1" customWidth="1"/>
    <col min="9472" max="9472" width="24" bestFit="1" customWidth="1"/>
    <col min="9473" max="9473" width="43.85546875" customWidth="1"/>
    <col min="9474" max="9474" width="19.7109375" bestFit="1" customWidth="1"/>
    <col min="9475" max="9475" width="15.28515625" bestFit="1" customWidth="1"/>
    <col min="9476" max="9476" width="14.85546875" bestFit="1" customWidth="1"/>
    <col min="9477" max="9477" width="13.42578125" customWidth="1"/>
    <col min="9478" max="9478" width="15.28515625" bestFit="1" customWidth="1"/>
    <col min="9479" max="9479" width="14.140625" bestFit="1" customWidth="1"/>
    <col min="9480" max="9480" width="15.28515625" customWidth="1"/>
    <col min="9481" max="9481" width="15.85546875" customWidth="1"/>
    <col min="9482" max="9482" width="17" bestFit="1" customWidth="1"/>
    <col min="9483" max="9483" width="12.7109375" customWidth="1"/>
    <col min="9484" max="9484" width="13.7109375" customWidth="1"/>
    <col min="9485" max="9485" width="13.85546875" bestFit="1" customWidth="1"/>
    <col min="9486" max="9486" width="15.5703125" bestFit="1" customWidth="1"/>
    <col min="9487" max="9487" width="16.140625" customWidth="1"/>
    <col min="9488" max="9488" width="16.7109375" bestFit="1" customWidth="1"/>
    <col min="9489" max="9490" width="15.5703125" bestFit="1" customWidth="1"/>
    <col min="9491" max="9491" width="16.42578125" bestFit="1" customWidth="1"/>
    <col min="9492" max="9492" width="14.28515625" customWidth="1"/>
    <col min="9493" max="9493" width="12.85546875" bestFit="1" customWidth="1"/>
    <col min="9494" max="9494" width="11.28515625" bestFit="1" customWidth="1"/>
    <col min="9495" max="9495" width="12.5703125" bestFit="1" customWidth="1"/>
    <col min="9496" max="9496" width="14" bestFit="1" customWidth="1"/>
    <col min="9497" max="9497" width="6" bestFit="1" customWidth="1"/>
    <col min="9498" max="9498" width="15" customWidth="1"/>
    <col min="9499" max="9499" width="14.85546875" bestFit="1" customWidth="1"/>
    <col min="9500" max="9500" width="16.140625" bestFit="1" customWidth="1"/>
    <col min="9728" max="9728" width="24" bestFit="1" customWidth="1"/>
    <col min="9729" max="9729" width="43.85546875" customWidth="1"/>
    <col min="9730" max="9730" width="19.7109375" bestFit="1" customWidth="1"/>
    <col min="9731" max="9731" width="15.28515625" bestFit="1" customWidth="1"/>
    <col min="9732" max="9732" width="14.85546875" bestFit="1" customWidth="1"/>
    <col min="9733" max="9733" width="13.42578125" customWidth="1"/>
    <col min="9734" max="9734" width="15.28515625" bestFit="1" customWidth="1"/>
    <col min="9735" max="9735" width="14.140625" bestFit="1" customWidth="1"/>
    <col min="9736" max="9736" width="15.28515625" customWidth="1"/>
    <col min="9737" max="9737" width="15.85546875" customWidth="1"/>
    <col min="9738" max="9738" width="17" bestFit="1" customWidth="1"/>
    <col min="9739" max="9739" width="12.7109375" customWidth="1"/>
    <col min="9740" max="9740" width="13.7109375" customWidth="1"/>
    <col min="9741" max="9741" width="13.85546875" bestFit="1" customWidth="1"/>
    <col min="9742" max="9742" width="15.5703125" bestFit="1" customWidth="1"/>
    <col min="9743" max="9743" width="16.140625" customWidth="1"/>
    <col min="9744" max="9744" width="16.7109375" bestFit="1" customWidth="1"/>
    <col min="9745" max="9746" width="15.5703125" bestFit="1" customWidth="1"/>
    <col min="9747" max="9747" width="16.42578125" bestFit="1" customWidth="1"/>
    <col min="9748" max="9748" width="14.28515625" customWidth="1"/>
    <col min="9749" max="9749" width="12.85546875" bestFit="1" customWidth="1"/>
    <col min="9750" max="9750" width="11.28515625" bestFit="1" customWidth="1"/>
    <col min="9751" max="9751" width="12.5703125" bestFit="1" customWidth="1"/>
    <col min="9752" max="9752" width="14" bestFit="1" customWidth="1"/>
    <col min="9753" max="9753" width="6" bestFit="1" customWidth="1"/>
    <col min="9754" max="9754" width="15" customWidth="1"/>
    <col min="9755" max="9755" width="14.85546875" bestFit="1" customWidth="1"/>
    <col min="9756" max="9756" width="16.140625" bestFit="1" customWidth="1"/>
    <col min="9984" max="9984" width="24" bestFit="1" customWidth="1"/>
    <col min="9985" max="9985" width="43.85546875" customWidth="1"/>
    <col min="9986" max="9986" width="19.7109375" bestFit="1" customWidth="1"/>
    <col min="9987" max="9987" width="15.28515625" bestFit="1" customWidth="1"/>
    <col min="9988" max="9988" width="14.85546875" bestFit="1" customWidth="1"/>
    <col min="9989" max="9989" width="13.42578125" customWidth="1"/>
    <col min="9990" max="9990" width="15.28515625" bestFit="1" customWidth="1"/>
    <col min="9991" max="9991" width="14.140625" bestFit="1" customWidth="1"/>
    <col min="9992" max="9992" width="15.28515625" customWidth="1"/>
    <col min="9993" max="9993" width="15.85546875" customWidth="1"/>
    <col min="9994" max="9994" width="17" bestFit="1" customWidth="1"/>
    <col min="9995" max="9995" width="12.7109375" customWidth="1"/>
    <col min="9996" max="9996" width="13.7109375" customWidth="1"/>
    <col min="9997" max="9997" width="13.85546875" bestFit="1" customWidth="1"/>
    <col min="9998" max="9998" width="15.5703125" bestFit="1" customWidth="1"/>
    <col min="9999" max="9999" width="16.140625" customWidth="1"/>
    <col min="10000" max="10000" width="16.7109375" bestFit="1" customWidth="1"/>
    <col min="10001" max="10002" width="15.5703125" bestFit="1" customWidth="1"/>
    <col min="10003" max="10003" width="16.42578125" bestFit="1" customWidth="1"/>
    <col min="10004" max="10004" width="14.28515625" customWidth="1"/>
    <col min="10005" max="10005" width="12.85546875" bestFit="1" customWidth="1"/>
    <col min="10006" max="10006" width="11.28515625" bestFit="1" customWidth="1"/>
    <col min="10007" max="10007" width="12.5703125" bestFit="1" customWidth="1"/>
    <col min="10008" max="10008" width="14" bestFit="1" customWidth="1"/>
    <col min="10009" max="10009" width="6" bestFit="1" customWidth="1"/>
    <col min="10010" max="10010" width="15" customWidth="1"/>
    <col min="10011" max="10011" width="14.85546875" bestFit="1" customWidth="1"/>
    <col min="10012" max="10012" width="16.140625" bestFit="1" customWidth="1"/>
    <col min="10240" max="10240" width="24" bestFit="1" customWidth="1"/>
    <col min="10241" max="10241" width="43.85546875" customWidth="1"/>
    <col min="10242" max="10242" width="19.7109375" bestFit="1" customWidth="1"/>
    <col min="10243" max="10243" width="15.28515625" bestFit="1" customWidth="1"/>
    <col min="10244" max="10244" width="14.85546875" bestFit="1" customWidth="1"/>
    <col min="10245" max="10245" width="13.42578125" customWidth="1"/>
    <col min="10246" max="10246" width="15.28515625" bestFit="1" customWidth="1"/>
    <col min="10247" max="10247" width="14.140625" bestFit="1" customWidth="1"/>
    <col min="10248" max="10248" width="15.28515625" customWidth="1"/>
    <col min="10249" max="10249" width="15.85546875" customWidth="1"/>
    <col min="10250" max="10250" width="17" bestFit="1" customWidth="1"/>
    <col min="10251" max="10251" width="12.7109375" customWidth="1"/>
    <col min="10252" max="10252" width="13.7109375" customWidth="1"/>
    <col min="10253" max="10253" width="13.85546875" bestFit="1" customWidth="1"/>
    <col min="10254" max="10254" width="15.5703125" bestFit="1" customWidth="1"/>
    <col min="10255" max="10255" width="16.140625" customWidth="1"/>
    <col min="10256" max="10256" width="16.7109375" bestFit="1" customWidth="1"/>
    <col min="10257" max="10258" width="15.5703125" bestFit="1" customWidth="1"/>
    <col min="10259" max="10259" width="16.42578125" bestFit="1" customWidth="1"/>
    <col min="10260" max="10260" width="14.28515625" customWidth="1"/>
    <col min="10261" max="10261" width="12.85546875" bestFit="1" customWidth="1"/>
    <col min="10262" max="10262" width="11.28515625" bestFit="1" customWidth="1"/>
    <col min="10263" max="10263" width="12.5703125" bestFit="1" customWidth="1"/>
    <col min="10264" max="10264" width="14" bestFit="1" customWidth="1"/>
    <col min="10265" max="10265" width="6" bestFit="1" customWidth="1"/>
    <col min="10266" max="10266" width="15" customWidth="1"/>
    <col min="10267" max="10267" width="14.85546875" bestFit="1" customWidth="1"/>
    <col min="10268" max="10268" width="16.140625" bestFit="1" customWidth="1"/>
    <col min="10496" max="10496" width="24" bestFit="1" customWidth="1"/>
    <col min="10497" max="10497" width="43.85546875" customWidth="1"/>
    <col min="10498" max="10498" width="19.7109375" bestFit="1" customWidth="1"/>
    <col min="10499" max="10499" width="15.28515625" bestFit="1" customWidth="1"/>
    <col min="10500" max="10500" width="14.85546875" bestFit="1" customWidth="1"/>
    <col min="10501" max="10501" width="13.42578125" customWidth="1"/>
    <col min="10502" max="10502" width="15.28515625" bestFit="1" customWidth="1"/>
    <col min="10503" max="10503" width="14.140625" bestFit="1" customWidth="1"/>
    <col min="10504" max="10504" width="15.28515625" customWidth="1"/>
    <col min="10505" max="10505" width="15.85546875" customWidth="1"/>
    <col min="10506" max="10506" width="17" bestFit="1" customWidth="1"/>
    <col min="10507" max="10507" width="12.7109375" customWidth="1"/>
    <col min="10508" max="10508" width="13.7109375" customWidth="1"/>
    <col min="10509" max="10509" width="13.85546875" bestFit="1" customWidth="1"/>
    <col min="10510" max="10510" width="15.5703125" bestFit="1" customWidth="1"/>
    <col min="10511" max="10511" width="16.140625" customWidth="1"/>
    <col min="10512" max="10512" width="16.7109375" bestFit="1" customWidth="1"/>
    <col min="10513" max="10514" width="15.5703125" bestFit="1" customWidth="1"/>
    <col min="10515" max="10515" width="16.42578125" bestFit="1" customWidth="1"/>
    <col min="10516" max="10516" width="14.28515625" customWidth="1"/>
    <col min="10517" max="10517" width="12.85546875" bestFit="1" customWidth="1"/>
    <col min="10518" max="10518" width="11.28515625" bestFit="1" customWidth="1"/>
    <col min="10519" max="10519" width="12.5703125" bestFit="1" customWidth="1"/>
    <col min="10520" max="10520" width="14" bestFit="1" customWidth="1"/>
    <col min="10521" max="10521" width="6" bestFit="1" customWidth="1"/>
    <col min="10522" max="10522" width="15" customWidth="1"/>
    <col min="10523" max="10523" width="14.85546875" bestFit="1" customWidth="1"/>
    <col min="10524" max="10524" width="16.140625" bestFit="1" customWidth="1"/>
    <col min="10752" max="10752" width="24" bestFit="1" customWidth="1"/>
    <col min="10753" max="10753" width="43.85546875" customWidth="1"/>
    <col min="10754" max="10754" width="19.7109375" bestFit="1" customWidth="1"/>
    <col min="10755" max="10755" width="15.28515625" bestFit="1" customWidth="1"/>
    <col min="10756" max="10756" width="14.85546875" bestFit="1" customWidth="1"/>
    <col min="10757" max="10757" width="13.42578125" customWidth="1"/>
    <col min="10758" max="10758" width="15.28515625" bestFit="1" customWidth="1"/>
    <col min="10759" max="10759" width="14.140625" bestFit="1" customWidth="1"/>
    <col min="10760" max="10760" width="15.28515625" customWidth="1"/>
    <col min="10761" max="10761" width="15.85546875" customWidth="1"/>
    <col min="10762" max="10762" width="17" bestFit="1" customWidth="1"/>
    <col min="10763" max="10763" width="12.7109375" customWidth="1"/>
    <col min="10764" max="10764" width="13.7109375" customWidth="1"/>
    <col min="10765" max="10765" width="13.85546875" bestFit="1" customWidth="1"/>
    <col min="10766" max="10766" width="15.5703125" bestFit="1" customWidth="1"/>
    <col min="10767" max="10767" width="16.140625" customWidth="1"/>
    <col min="10768" max="10768" width="16.7109375" bestFit="1" customWidth="1"/>
    <col min="10769" max="10770" width="15.5703125" bestFit="1" customWidth="1"/>
    <col min="10771" max="10771" width="16.42578125" bestFit="1" customWidth="1"/>
    <col min="10772" max="10772" width="14.28515625" customWidth="1"/>
    <col min="10773" max="10773" width="12.85546875" bestFit="1" customWidth="1"/>
    <col min="10774" max="10774" width="11.28515625" bestFit="1" customWidth="1"/>
    <col min="10775" max="10775" width="12.5703125" bestFit="1" customWidth="1"/>
    <col min="10776" max="10776" width="14" bestFit="1" customWidth="1"/>
    <col min="10777" max="10777" width="6" bestFit="1" customWidth="1"/>
    <col min="10778" max="10778" width="15" customWidth="1"/>
    <col min="10779" max="10779" width="14.85546875" bestFit="1" customWidth="1"/>
    <col min="10780" max="10780" width="16.140625" bestFit="1" customWidth="1"/>
    <col min="11008" max="11008" width="24" bestFit="1" customWidth="1"/>
    <col min="11009" max="11009" width="43.85546875" customWidth="1"/>
    <col min="11010" max="11010" width="19.7109375" bestFit="1" customWidth="1"/>
    <col min="11011" max="11011" width="15.28515625" bestFit="1" customWidth="1"/>
    <col min="11012" max="11012" width="14.85546875" bestFit="1" customWidth="1"/>
    <col min="11013" max="11013" width="13.42578125" customWidth="1"/>
    <col min="11014" max="11014" width="15.28515625" bestFit="1" customWidth="1"/>
    <col min="11015" max="11015" width="14.140625" bestFit="1" customWidth="1"/>
    <col min="11016" max="11016" width="15.28515625" customWidth="1"/>
    <col min="11017" max="11017" width="15.85546875" customWidth="1"/>
    <col min="11018" max="11018" width="17" bestFit="1" customWidth="1"/>
    <col min="11019" max="11019" width="12.7109375" customWidth="1"/>
    <col min="11020" max="11020" width="13.7109375" customWidth="1"/>
    <col min="11021" max="11021" width="13.85546875" bestFit="1" customWidth="1"/>
    <col min="11022" max="11022" width="15.5703125" bestFit="1" customWidth="1"/>
    <col min="11023" max="11023" width="16.140625" customWidth="1"/>
    <col min="11024" max="11024" width="16.7109375" bestFit="1" customWidth="1"/>
    <col min="11025" max="11026" width="15.5703125" bestFit="1" customWidth="1"/>
    <col min="11027" max="11027" width="16.42578125" bestFit="1" customWidth="1"/>
    <col min="11028" max="11028" width="14.28515625" customWidth="1"/>
    <col min="11029" max="11029" width="12.85546875" bestFit="1" customWidth="1"/>
    <col min="11030" max="11030" width="11.28515625" bestFit="1" customWidth="1"/>
    <col min="11031" max="11031" width="12.5703125" bestFit="1" customWidth="1"/>
    <col min="11032" max="11032" width="14" bestFit="1" customWidth="1"/>
    <col min="11033" max="11033" width="6" bestFit="1" customWidth="1"/>
    <col min="11034" max="11034" width="15" customWidth="1"/>
    <col min="11035" max="11035" width="14.85546875" bestFit="1" customWidth="1"/>
    <col min="11036" max="11036" width="16.140625" bestFit="1" customWidth="1"/>
    <col min="11264" max="11264" width="24" bestFit="1" customWidth="1"/>
    <col min="11265" max="11265" width="43.85546875" customWidth="1"/>
    <col min="11266" max="11266" width="19.7109375" bestFit="1" customWidth="1"/>
    <col min="11267" max="11267" width="15.28515625" bestFit="1" customWidth="1"/>
    <col min="11268" max="11268" width="14.85546875" bestFit="1" customWidth="1"/>
    <col min="11269" max="11269" width="13.42578125" customWidth="1"/>
    <col min="11270" max="11270" width="15.28515625" bestFit="1" customWidth="1"/>
    <col min="11271" max="11271" width="14.140625" bestFit="1" customWidth="1"/>
    <col min="11272" max="11272" width="15.28515625" customWidth="1"/>
    <col min="11273" max="11273" width="15.85546875" customWidth="1"/>
    <col min="11274" max="11274" width="17" bestFit="1" customWidth="1"/>
    <col min="11275" max="11275" width="12.7109375" customWidth="1"/>
    <col min="11276" max="11276" width="13.7109375" customWidth="1"/>
    <col min="11277" max="11277" width="13.85546875" bestFit="1" customWidth="1"/>
    <col min="11278" max="11278" width="15.5703125" bestFit="1" customWidth="1"/>
    <col min="11279" max="11279" width="16.140625" customWidth="1"/>
    <col min="11280" max="11280" width="16.7109375" bestFit="1" customWidth="1"/>
    <col min="11281" max="11282" width="15.5703125" bestFit="1" customWidth="1"/>
    <col min="11283" max="11283" width="16.42578125" bestFit="1" customWidth="1"/>
    <col min="11284" max="11284" width="14.28515625" customWidth="1"/>
    <col min="11285" max="11285" width="12.85546875" bestFit="1" customWidth="1"/>
    <col min="11286" max="11286" width="11.28515625" bestFit="1" customWidth="1"/>
    <col min="11287" max="11287" width="12.5703125" bestFit="1" customWidth="1"/>
    <col min="11288" max="11288" width="14" bestFit="1" customWidth="1"/>
    <col min="11289" max="11289" width="6" bestFit="1" customWidth="1"/>
    <col min="11290" max="11290" width="15" customWidth="1"/>
    <col min="11291" max="11291" width="14.85546875" bestFit="1" customWidth="1"/>
    <col min="11292" max="11292" width="16.140625" bestFit="1" customWidth="1"/>
    <col min="11520" max="11520" width="24" bestFit="1" customWidth="1"/>
    <col min="11521" max="11521" width="43.85546875" customWidth="1"/>
    <col min="11522" max="11522" width="19.7109375" bestFit="1" customWidth="1"/>
    <col min="11523" max="11523" width="15.28515625" bestFit="1" customWidth="1"/>
    <col min="11524" max="11524" width="14.85546875" bestFit="1" customWidth="1"/>
    <col min="11525" max="11525" width="13.42578125" customWidth="1"/>
    <col min="11526" max="11526" width="15.28515625" bestFit="1" customWidth="1"/>
    <col min="11527" max="11527" width="14.140625" bestFit="1" customWidth="1"/>
    <col min="11528" max="11528" width="15.28515625" customWidth="1"/>
    <col min="11529" max="11529" width="15.85546875" customWidth="1"/>
    <col min="11530" max="11530" width="17" bestFit="1" customWidth="1"/>
    <col min="11531" max="11531" width="12.7109375" customWidth="1"/>
    <col min="11532" max="11532" width="13.7109375" customWidth="1"/>
    <col min="11533" max="11533" width="13.85546875" bestFit="1" customWidth="1"/>
    <col min="11534" max="11534" width="15.5703125" bestFit="1" customWidth="1"/>
    <col min="11535" max="11535" width="16.140625" customWidth="1"/>
    <col min="11536" max="11536" width="16.7109375" bestFit="1" customWidth="1"/>
    <col min="11537" max="11538" width="15.5703125" bestFit="1" customWidth="1"/>
    <col min="11539" max="11539" width="16.42578125" bestFit="1" customWidth="1"/>
    <col min="11540" max="11540" width="14.28515625" customWidth="1"/>
    <col min="11541" max="11541" width="12.85546875" bestFit="1" customWidth="1"/>
    <col min="11542" max="11542" width="11.28515625" bestFit="1" customWidth="1"/>
    <col min="11543" max="11543" width="12.5703125" bestFit="1" customWidth="1"/>
    <col min="11544" max="11544" width="14" bestFit="1" customWidth="1"/>
    <col min="11545" max="11545" width="6" bestFit="1" customWidth="1"/>
    <col min="11546" max="11546" width="15" customWidth="1"/>
    <col min="11547" max="11547" width="14.85546875" bestFit="1" customWidth="1"/>
    <col min="11548" max="11548" width="16.140625" bestFit="1" customWidth="1"/>
    <col min="11776" max="11776" width="24" bestFit="1" customWidth="1"/>
    <col min="11777" max="11777" width="43.85546875" customWidth="1"/>
    <col min="11778" max="11778" width="19.7109375" bestFit="1" customWidth="1"/>
    <col min="11779" max="11779" width="15.28515625" bestFit="1" customWidth="1"/>
    <col min="11780" max="11780" width="14.85546875" bestFit="1" customWidth="1"/>
    <col min="11781" max="11781" width="13.42578125" customWidth="1"/>
    <col min="11782" max="11782" width="15.28515625" bestFit="1" customWidth="1"/>
    <col min="11783" max="11783" width="14.140625" bestFit="1" customWidth="1"/>
    <col min="11784" max="11784" width="15.28515625" customWidth="1"/>
    <col min="11785" max="11785" width="15.85546875" customWidth="1"/>
    <col min="11786" max="11786" width="17" bestFit="1" customWidth="1"/>
    <col min="11787" max="11787" width="12.7109375" customWidth="1"/>
    <col min="11788" max="11788" width="13.7109375" customWidth="1"/>
    <col min="11789" max="11789" width="13.85546875" bestFit="1" customWidth="1"/>
    <col min="11790" max="11790" width="15.5703125" bestFit="1" customWidth="1"/>
    <col min="11791" max="11791" width="16.140625" customWidth="1"/>
    <col min="11792" max="11792" width="16.7109375" bestFit="1" customWidth="1"/>
    <col min="11793" max="11794" width="15.5703125" bestFit="1" customWidth="1"/>
    <col min="11795" max="11795" width="16.42578125" bestFit="1" customWidth="1"/>
    <col min="11796" max="11796" width="14.28515625" customWidth="1"/>
    <col min="11797" max="11797" width="12.85546875" bestFit="1" customWidth="1"/>
    <col min="11798" max="11798" width="11.28515625" bestFit="1" customWidth="1"/>
    <col min="11799" max="11799" width="12.5703125" bestFit="1" customWidth="1"/>
    <col min="11800" max="11800" width="14" bestFit="1" customWidth="1"/>
    <col min="11801" max="11801" width="6" bestFit="1" customWidth="1"/>
    <col min="11802" max="11802" width="15" customWidth="1"/>
    <col min="11803" max="11803" width="14.85546875" bestFit="1" customWidth="1"/>
    <col min="11804" max="11804" width="16.140625" bestFit="1" customWidth="1"/>
    <col min="12032" max="12032" width="24" bestFit="1" customWidth="1"/>
    <col min="12033" max="12033" width="43.85546875" customWidth="1"/>
    <col min="12034" max="12034" width="19.7109375" bestFit="1" customWidth="1"/>
    <col min="12035" max="12035" width="15.28515625" bestFit="1" customWidth="1"/>
    <col min="12036" max="12036" width="14.85546875" bestFit="1" customWidth="1"/>
    <col min="12037" max="12037" width="13.42578125" customWidth="1"/>
    <col min="12038" max="12038" width="15.28515625" bestFit="1" customWidth="1"/>
    <col min="12039" max="12039" width="14.140625" bestFit="1" customWidth="1"/>
    <col min="12040" max="12040" width="15.28515625" customWidth="1"/>
    <col min="12041" max="12041" width="15.85546875" customWidth="1"/>
    <col min="12042" max="12042" width="17" bestFit="1" customWidth="1"/>
    <col min="12043" max="12043" width="12.7109375" customWidth="1"/>
    <col min="12044" max="12044" width="13.7109375" customWidth="1"/>
    <col min="12045" max="12045" width="13.85546875" bestFit="1" customWidth="1"/>
    <col min="12046" max="12046" width="15.5703125" bestFit="1" customWidth="1"/>
    <col min="12047" max="12047" width="16.140625" customWidth="1"/>
    <col min="12048" max="12048" width="16.7109375" bestFit="1" customWidth="1"/>
    <col min="12049" max="12050" width="15.5703125" bestFit="1" customWidth="1"/>
    <col min="12051" max="12051" width="16.42578125" bestFit="1" customWidth="1"/>
    <col min="12052" max="12052" width="14.28515625" customWidth="1"/>
    <col min="12053" max="12053" width="12.85546875" bestFit="1" customWidth="1"/>
    <col min="12054" max="12054" width="11.28515625" bestFit="1" customWidth="1"/>
    <col min="12055" max="12055" width="12.5703125" bestFit="1" customWidth="1"/>
    <col min="12056" max="12056" width="14" bestFit="1" customWidth="1"/>
    <col min="12057" max="12057" width="6" bestFit="1" customWidth="1"/>
    <col min="12058" max="12058" width="15" customWidth="1"/>
    <col min="12059" max="12059" width="14.85546875" bestFit="1" customWidth="1"/>
    <col min="12060" max="12060" width="16.140625" bestFit="1" customWidth="1"/>
    <col min="12288" max="12288" width="24" bestFit="1" customWidth="1"/>
    <col min="12289" max="12289" width="43.85546875" customWidth="1"/>
    <col min="12290" max="12290" width="19.7109375" bestFit="1" customWidth="1"/>
    <col min="12291" max="12291" width="15.28515625" bestFit="1" customWidth="1"/>
    <col min="12292" max="12292" width="14.85546875" bestFit="1" customWidth="1"/>
    <col min="12293" max="12293" width="13.42578125" customWidth="1"/>
    <col min="12294" max="12294" width="15.28515625" bestFit="1" customWidth="1"/>
    <col min="12295" max="12295" width="14.140625" bestFit="1" customWidth="1"/>
    <col min="12296" max="12296" width="15.28515625" customWidth="1"/>
    <col min="12297" max="12297" width="15.85546875" customWidth="1"/>
    <col min="12298" max="12298" width="17" bestFit="1" customWidth="1"/>
    <col min="12299" max="12299" width="12.7109375" customWidth="1"/>
    <col min="12300" max="12300" width="13.7109375" customWidth="1"/>
    <col min="12301" max="12301" width="13.85546875" bestFit="1" customWidth="1"/>
    <col min="12302" max="12302" width="15.5703125" bestFit="1" customWidth="1"/>
    <col min="12303" max="12303" width="16.140625" customWidth="1"/>
    <col min="12304" max="12304" width="16.7109375" bestFit="1" customWidth="1"/>
    <col min="12305" max="12306" width="15.5703125" bestFit="1" customWidth="1"/>
    <col min="12307" max="12307" width="16.42578125" bestFit="1" customWidth="1"/>
    <col min="12308" max="12308" width="14.28515625" customWidth="1"/>
    <col min="12309" max="12309" width="12.85546875" bestFit="1" customWidth="1"/>
    <col min="12310" max="12310" width="11.28515625" bestFit="1" customWidth="1"/>
    <col min="12311" max="12311" width="12.5703125" bestFit="1" customWidth="1"/>
    <col min="12312" max="12312" width="14" bestFit="1" customWidth="1"/>
    <col min="12313" max="12313" width="6" bestFit="1" customWidth="1"/>
    <col min="12314" max="12314" width="15" customWidth="1"/>
    <col min="12315" max="12315" width="14.85546875" bestFit="1" customWidth="1"/>
    <col min="12316" max="12316" width="16.140625" bestFit="1" customWidth="1"/>
    <col min="12544" max="12544" width="24" bestFit="1" customWidth="1"/>
    <col min="12545" max="12545" width="43.85546875" customWidth="1"/>
    <col min="12546" max="12546" width="19.7109375" bestFit="1" customWidth="1"/>
    <col min="12547" max="12547" width="15.28515625" bestFit="1" customWidth="1"/>
    <col min="12548" max="12548" width="14.85546875" bestFit="1" customWidth="1"/>
    <col min="12549" max="12549" width="13.42578125" customWidth="1"/>
    <col min="12550" max="12550" width="15.28515625" bestFit="1" customWidth="1"/>
    <col min="12551" max="12551" width="14.140625" bestFit="1" customWidth="1"/>
    <col min="12552" max="12552" width="15.28515625" customWidth="1"/>
    <col min="12553" max="12553" width="15.85546875" customWidth="1"/>
    <col min="12554" max="12554" width="17" bestFit="1" customWidth="1"/>
    <col min="12555" max="12555" width="12.7109375" customWidth="1"/>
    <col min="12556" max="12556" width="13.7109375" customWidth="1"/>
    <col min="12557" max="12557" width="13.85546875" bestFit="1" customWidth="1"/>
    <col min="12558" max="12558" width="15.5703125" bestFit="1" customWidth="1"/>
    <col min="12559" max="12559" width="16.140625" customWidth="1"/>
    <col min="12560" max="12560" width="16.7109375" bestFit="1" customWidth="1"/>
    <col min="12561" max="12562" width="15.5703125" bestFit="1" customWidth="1"/>
    <col min="12563" max="12563" width="16.42578125" bestFit="1" customWidth="1"/>
    <col min="12564" max="12564" width="14.28515625" customWidth="1"/>
    <col min="12565" max="12565" width="12.85546875" bestFit="1" customWidth="1"/>
    <col min="12566" max="12566" width="11.28515625" bestFit="1" customWidth="1"/>
    <col min="12567" max="12567" width="12.5703125" bestFit="1" customWidth="1"/>
    <col min="12568" max="12568" width="14" bestFit="1" customWidth="1"/>
    <col min="12569" max="12569" width="6" bestFit="1" customWidth="1"/>
    <col min="12570" max="12570" width="15" customWidth="1"/>
    <col min="12571" max="12571" width="14.85546875" bestFit="1" customWidth="1"/>
    <col min="12572" max="12572" width="16.140625" bestFit="1" customWidth="1"/>
    <col min="12800" max="12800" width="24" bestFit="1" customWidth="1"/>
    <col min="12801" max="12801" width="43.85546875" customWidth="1"/>
    <col min="12802" max="12802" width="19.7109375" bestFit="1" customWidth="1"/>
    <col min="12803" max="12803" width="15.28515625" bestFit="1" customWidth="1"/>
    <col min="12804" max="12804" width="14.85546875" bestFit="1" customWidth="1"/>
    <col min="12805" max="12805" width="13.42578125" customWidth="1"/>
    <col min="12806" max="12806" width="15.28515625" bestFit="1" customWidth="1"/>
    <col min="12807" max="12807" width="14.140625" bestFit="1" customWidth="1"/>
    <col min="12808" max="12808" width="15.28515625" customWidth="1"/>
    <col min="12809" max="12809" width="15.85546875" customWidth="1"/>
    <col min="12810" max="12810" width="17" bestFit="1" customWidth="1"/>
    <col min="12811" max="12811" width="12.7109375" customWidth="1"/>
    <col min="12812" max="12812" width="13.7109375" customWidth="1"/>
    <col min="12813" max="12813" width="13.85546875" bestFit="1" customWidth="1"/>
    <col min="12814" max="12814" width="15.5703125" bestFit="1" customWidth="1"/>
    <col min="12815" max="12815" width="16.140625" customWidth="1"/>
    <col min="12816" max="12816" width="16.7109375" bestFit="1" customWidth="1"/>
    <col min="12817" max="12818" width="15.5703125" bestFit="1" customWidth="1"/>
    <col min="12819" max="12819" width="16.42578125" bestFit="1" customWidth="1"/>
    <col min="12820" max="12820" width="14.28515625" customWidth="1"/>
    <col min="12821" max="12821" width="12.85546875" bestFit="1" customWidth="1"/>
    <col min="12822" max="12822" width="11.28515625" bestFit="1" customWidth="1"/>
    <col min="12823" max="12823" width="12.5703125" bestFit="1" customWidth="1"/>
    <col min="12824" max="12824" width="14" bestFit="1" customWidth="1"/>
    <col min="12825" max="12825" width="6" bestFit="1" customWidth="1"/>
    <col min="12826" max="12826" width="15" customWidth="1"/>
    <col min="12827" max="12827" width="14.85546875" bestFit="1" customWidth="1"/>
    <col min="12828" max="12828" width="16.140625" bestFit="1" customWidth="1"/>
    <col min="13056" max="13056" width="24" bestFit="1" customWidth="1"/>
    <col min="13057" max="13057" width="43.85546875" customWidth="1"/>
    <col min="13058" max="13058" width="19.7109375" bestFit="1" customWidth="1"/>
    <col min="13059" max="13059" width="15.28515625" bestFit="1" customWidth="1"/>
    <col min="13060" max="13060" width="14.85546875" bestFit="1" customWidth="1"/>
    <col min="13061" max="13061" width="13.42578125" customWidth="1"/>
    <col min="13062" max="13062" width="15.28515625" bestFit="1" customWidth="1"/>
    <col min="13063" max="13063" width="14.140625" bestFit="1" customWidth="1"/>
    <col min="13064" max="13064" width="15.28515625" customWidth="1"/>
    <col min="13065" max="13065" width="15.85546875" customWidth="1"/>
    <col min="13066" max="13066" width="17" bestFit="1" customWidth="1"/>
    <col min="13067" max="13067" width="12.7109375" customWidth="1"/>
    <col min="13068" max="13068" width="13.7109375" customWidth="1"/>
    <col min="13069" max="13069" width="13.85546875" bestFit="1" customWidth="1"/>
    <col min="13070" max="13070" width="15.5703125" bestFit="1" customWidth="1"/>
    <col min="13071" max="13071" width="16.140625" customWidth="1"/>
    <col min="13072" max="13072" width="16.7109375" bestFit="1" customWidth="1"/>
    <col min="13073" max="13074" width="15.5703125" bestFit="1" customWidth="1"/>
    <col min="13075" max="13075" width="16.42578125" bestFit="1" customWidth="1"/>
    <col min="13076" max="13076" width="14.28515625" customWidth="1"/>
    <col min="13077" max="13077" width="12.85546875" bestFit="1" customWidth="1"/>
    <col min="13078" max="13078" width="11.28515625" bestFit="1" customWidth="1"/>
    <col min="13079" max="13079" width="12.5703125" bestFit="1" customWidth="1"/>
    <col min="13080" max="13080" width="14" bestFit="1" customWidth="1"/>
    <col min="13081" max="13081" width="6" bestFit="1" customWidth="1"/>
    <col min="13082" max="13082" width="15" customWidth="1"/>
    <col min="13083" max="13083" width="14.85546875" bestFit="1" customWidth="1"/>
    <col min="13084" max="13084" width="16.140625" bestFit="1" customWidth="1"/>
    <col min="13312" max="13312" width="24" bestFit="1" customWidth="1"/>
    <col min="13313" max="13313" width="43.85546875" customWidth="1"/>
    <col min="13314" max="13314" width="19.7109375" bestFit="1" customWidth="1"/>
    <col min="13315" max="13315" width="15.28515625" bestFit="1" customWidth="1"/>
    <col min="13316" max="13316" width="14.85546875" bestFit="1" customWidth="1"/>
    <col min="13317" max="13317" width="13.42578125" customWidth="1"/>
    <col min="13318" max="13318" width="15.28515625" bestFit="1" customWidth="1"/>
    <col min="13319" max="13319" width="14.140625" bestFit="1" customWidth="1"/>
    <col min="13320" max="13320" width="15.28515625" customWidth="1"/>
    <col min="13321" max="13321" width="15.85546875" customWidth="1"/>
    <col min="13322" max="13322" width="17" bestFit="1" customWidth="1"/>
    <col min="13323" max="13323" width="12.7109375" customWidth="1"/>
    <col min="13324" max="13324" width="13.7109375" customWidth="1"/>
    <col min="13325" max="13325" width="13.85546875" bestFit="1" customWidth="1"/>
    <col min="13326" max="13326" width="15.5703125" bestFit="1" customWidth="1"/>
    <col min="13327" max="13327" width="16.140625" customWidth="1"/>
    <col min="13328" max="13328" width="16.7109375" bestFit="1" customWidth="1"/>
    <col min="13329" max="13330" width="15.5703125" bestFit="1" customWidth="1"/>
    <col min="13331" max="13331" width="16.42578125" bestFit="1" customWidth="1"/>
    <col min="13332" max="13332" width="14.28515625" customWidth="1"/>
    <col min="13333" max="13333" width="12.85546875" bestFit="1" customWidth="1"/>
    <col min="13334" max="13334" width="11.28515625" bestFit="1" customWidth="1"/>
    <col min="13335" max="13335" width="12.5703125" bestFit="1" customWidth="1"/>
    <col min="13336" max="13336" width="14" bestFit="1" customWidth="1"/>
    <col min="13337" max="13337" width="6" bestFit="1" customWidth="1"/>
    <col min="13338" max="13338" width="15" customWidth="1"/>
    <col min="13339" max="13339" width="14.85546875" bestFit="1" customWidth="1"/>
    <col min="13340" max="13340" width="16.140625" bestFit="1" customWidth="1"/>
    <col min="13568" max="13568" width="24" bestFit="1" customWidth="1"/>
    <col min="13569" max="13569" width="43.85546875" customWidth="1"/>
    <col min="13570" max="13570" width="19.7109375" bestFit="1" customWidth="1"/>
    <col min="13571" max="13571" width="15.28515625" bestFit="1" customWidth="1"/>
    <col min="13572" max="13572" width="14.85546875" bestFit="1" customWidth="1"/>
    <col min="13573" max="13573" width="13.42578125" customWidth="1"/>
    <col min="13574" max="13574" width="15.28515625" bestFit="1" customWidth="1"/>
    <col min="13575" max="13575" width="14.140625" bestFit="1" customWidth="1"/>
    <col min="13576" max="13576" width="15.28515625" customWidth="1"/>
    <col min="13577" max="13577" width="15.85546875" customWidth="1"/>
    <col min="13578" max="13578" width="17" bestFit="1" customWidth="1"/>
    <col min="13579" max="13579" width="12.7109375" customWidth="1"/>
    <col min="13580" max="13580" width="13.7109375" customWidth="1"/>
    <col min="13581" max="13581" width="13.85546875" bestFit="1" customWidth="1"/>
    <col min="13582" max="13582" width="15.5703125" bestFit="1" customWidth="1"/>
    <col min="13583" max="13583" width="16.140625" customWidth="1"/>
    <col min="13584" max="13584" width="16.7109375" bestFit="1" customWidth="1"/>
    <col min="13585" max="13586" width="15.5703125" bestFit="1" customWidth="1"/>
    <col min="13587" max="13587" width="16.42578125" bestFit="1" customWidth="1"/>
    <col min="13588" max="13588" width="14.28515625" customWidth="1"/>
    <col min="13589" max="13589" width="12.85546875" bestFit="1" customWidth="1"/>
    <col min="13590" max="13590" width="11.28515625" bestFit="1" customWidth="1"/>
    <col min="13591" max="13591" width="12.5703125" bestFit="1" customWidth="1"/>
    <col min="13592" max="13592" width="14" bestFit="1" customWidth="1"/>
    <col min="13593" max="13593" width="6" bestFit="1" customWidth="1"/>
    <col min="13594" max="13594" width="15" customWidth="1"/>
    <col min="13595" max="13595" width="14.85546875" bestFit="1" customWidth="1"/>
    <col min="13596" max="13596" width="16.140625" bestFit="1" customWidth="1"/>
    <col min="13824" max="13824" width="24" bestFit="1" customWidth="1"/>
    <col min="13825" max="13825" width="43.85546875" customWidth="1"/>
    <col min="13826" max="13826" width="19.7109375" bestFit="1" customWidth="1"/>
    <col min="13827" max="13827" width="15.28515625" bestFit="1" customWidth="1"/>
    <col min="13828" max="13828" width="14.85546875" bestFit="1" customWidth="1"/>
    <col min="13829" max="13829" width="13.42578125" customWidth="1"/>
    <col min="13830" max="13830" width="15.28515625" bestFit="1" customWidth="1"/>
    <col min="13831" max="13831" width="14.140625" bestFit="1" customWidth="1"/>
    <col min="13832" max="13832" width="15.28515625" customWidth="1"/>
    <col min="13833" max="13833" width="15.85546875" customWidth="1"/>
    <col min="13834" max="13834" width="17" bestFit="1" customWidth="1"/>
    <col min="13835" max="13835" width="12.7109375" customWidth="1"/>
    <col min="13836" max="13836" width="13.7109375" customWidth="1"/>
    <col min="13837" max="13837" width="13.85546875" bestFit="1" customWidth="1"/>
    <col min="13838" max="13838" width="15.5703125" bestFit="1" customWidth="1"/>
    <col min="13839" max="13839" width="16.140625" customWidth="1"/>
    <col min="13840" max="13840" width="16.7109375" bestFit="1" customWidth="1"/>
    <col min="13841" max="13842" width="15.5703125" bestFit="1" customWidth="1"/>
    <col min="13843" max="13843" width="16.42578125" bestFit="1" customWidth="1"/>
    <col min="13844" max="13844" width="14.28515625" customWidth="1"/>
    <col min="13845" max="13845" width="12.85546875" bestFit="1" customWidth="1"/>
    <col min="13846" max="13846" width="11.28515625" bestFit="1" customWidth="1"/>
    <col min="13847" max="13847" width="12.5703125" bestFit="1" customWidth="1"/>
    <col min="13848" max="13848" width="14" bestFit="1" customWidth="1"/>
    <col min="13849" max="13849" width="6" bestFit="1" customWidth="1"/>
    <col min="13850" max="13850" width="15" customWidth="1"/>
    <col min="13851" max="13851" width="14.85546875" bestFit="1" customWidth="1"/>
    <col min="13852" max="13852" width="16.140625" bestFit="1" customWidth="1"/>
    <col min="14080" max="14080" width="24" bestFit="1" customWidth="1"/>
    <col min="14081" max="14081" width="43.85546875" customWidth="1"/>
    <col min="14082" max="14082" width="19.7109375" bestFit="1" customWidth="1"/>
    <col min="14083" max="14083" width="15.28515625" bestFit="1" customWidth="1"/>
    <col min="14084" max="14084" width="14.85546875" bestFit="1" customWidth="1"/>
    <col min="14085" max="14085" width="13.42578125" customWidth="1"/>
    <col min="14086" max="14086" width="15.28515625" bestFit="1" customWidth="1"/>
    <col min="14087" max="14087" width="14.140625" bestFit="1" customWidth="1"/>
    <col min="14088" max="14088" width="15.28515625" customWidth="1"/>
    <col min="14089" max="14089" width="15.85546875" customWidth="1"/>
    <col min="14090" max="14090" width="17" bestFit="1" customWidth="1"/>
    <col min="14091" max="14091" width="12.7109375" customWidth="1"/>
    <col min="14092" max="14092" width="13.7109375" customWidth="1"/>
    <col min="14093" max="14093" width="13.85546875" bestFit="1" customWidth="1"/>
    <col min="14094" max="14094" width="15.5703125" bestFit="1" customWidth="1"/>
    <col min="14095" max="14095" width="16.140625" customWidth="1"/>
    <col min="14096" max="14096" width="16.7109375" bestFit="1" customWidth="1"/>
    <col min="14097" max="14098" width="15.5703125" bestFit="1" customWidth="1"/>
    <col min="14099" max="14099" width="16.42578125" bestFit="1" customWidth="1"/>
    <col min="14100" max="14100" width="14.28515625" customWidth="1"/>
    <col min="14101" max="14101" width="12.85546875" bestFit="1" customWidth="1"/>
    <col min="14102" max="14102" width="11.28515625" bestFit="1" customWidth="1"/>
    <col min="14103" max="14103" width="12.5703125" bestFit="1" customWidth="1"/>
    <col min="14104" max="14104" width="14" bestFit="1" customWidth="1"/>
    <col min="14105" max="14105" width="6" bestFit="1" customWidth="1"/>
    <col min="14106" max="14106" width="15" customWidth="1"/>
    <col min="14107" max="14107" width="14.85546875" bestFit="1" customWidth="1"/>
    <col min="14108" max="14108" width="16.140625" bestFit="1" customWidth="1"/>
    <col min="14336" max="14336" width="24" bestFit="1" customWidth="1"/>
    <col min="14337" max="14337" width="43.85546875" customWidth="1"/>
    <col min="14338" max="14338" width="19.7109375" bestFit="1" customWidth="1"/>
    <col min="14339" max="14339" width="15.28515625" bestFit="1" customWidth="1"/>
    <col min="14340" max="14340" width="14.85546875" bestFit="1" customWidth="1"/>
    <col min="14341" max="14341" width="13.42578125" customWidth="1"/>
    <col min="14342" max="14342" width="15.28515625" bestFit="1" customWidth="1"/>
    <col min="14343" max="14343" width="14.140625" bestFit="1" customWidth="1"/>
    <col min="14344" max="14344" width="15.28515625" customWidth="1"/>
    <col min="14345" max="14345" width="15.85546875" customWidth="1"/>
    <col min="14346" max="14346" width="17" bestFit="1" customWidth="1"/>
    <col min="14347" max="14347" width="12.7109375" customWidth="1"/>
    <col min="14348" max="14348" width="13.7109375" customWidth="1"/>
    <col min="14349" max="14349" width="13.85546875" bestFit="1" customWidth="1"/>
    <col min="14350" max="14350" width="15.5703125" bestFit="1" customWidth="1"/>
    <col min="14351" max="14351" width="16.140625" customWidth="1"/>
    <col min="14352" max="14352" width="16.7109375" bestFit="1" customWidth="1"/>
    <col min="14353" max="14354" width="15.5703125" bestFit="1" customWidth="1"/>
    <col min="14355" max="14355" width="16.42578125" bestFit="1" customWidth="1"/>
    <col min="14356" max="14356" width="14.28515625" customWidth="1"/>
    <col min="14357" max="14357" width="12.85546875" bestFit="1" customWidth="1"/>
    <col min="14358" max="14358" width="11.28515625" bestFit="1" customWidth="1"/>
    <col min="14359" max="14359" width="12.5703125" bestFit="1" customWidth="1"/>
    <col min="14360" max="14360" width="14" bestFit="1" customWidth="1"/>
    <col min="14361" max="14361" width="6" bestFit="1" customWidth="1"/>
    <col min="14362" max="14362" width="15" customWidth="1"/>
    <col min="14363" max="14363" width="14.85546875" bestFit="1" customWidth="1"/>
    <col min="14364" max="14364" width="16.140625" bestFit="1" customWidth="1"/>
    <col min="14592" max="14592" width="24" bestFit="1" customWidth="1"/>
    <col min="14593" max="14593" width="43.85546875" customWidth="1"/>
    <col min="14594" max="14594" width="19.7109375" bestFit="1" customWidth="1"/>
    <col min="14595" max="14595" width="15.28515625" bestFit="1" customWidth="1"/>
    <col min="14596" max="14596" width="14.85546875" bestFit="1" customWidth="1"/>
    <col min="14597" max="14597" width="13.42578125" customWidth="1"/>
    <col min="14598" max="14598" width="15.28515625" bestFit="1" customWidth="1"/>
    <col min="14599" max="14599" width="14.140625" bestFit="1" customWidth="1"/>
    <col min="14600" max="14600" width="15.28515625" customWidth="1"/>
    <col min="14601" max="14601" width="15.85546875" customWidth="1"/>
    <col min="14602" max="14602" width="17" bestFit="1" customWidth="1"/>
    <col min="14603" max="14603" width="12.7109375" customWidth="1"/>
    <col min="14604" max="14604" width="13.7109375" customWidth="1"/>
    <col min="14605" max="14605" width="13.85546875" bestFit="1" customWidth="1"/>
    <col min="14606" max="14606" width="15.5703125" bestFit="1" customWidth="1"/>
    <col min="14607" max="14607" width="16.140625" customWidth="1"/>
    <col min="14608" max="14608" width="16.7109375" bestFit="1" customWidth="1"/>
    <col min="14609" max="14610" width="15.5703125" bestFit="1" customWidth="1"/>
    <col min="14611" max="14611" width="16.42578125" bestFit="1" customWidth="1"/>
    <col min="14612" max="14612" width="14.28515625" customWidth="1"/>
    <col min="14613" max="14613" width="12.85546875" bestFit="1" customWidth="1"/>
    <col min="14614" max="14614" width="11.28515625" bestFit="1" customWidth="1"/>
    <col min="14615" max="14615" width="12.5703125" bestFit="1" customWidth="1"/>
    <col min="14616" max="14616" width="14" bestFit="1" customWidth="1"/>
    <col min="14617" max="14617" width="6" bestFit="1" customWidth="1"/>
    <col min="14618" max="14618" width="15" customWidth="1"/>
    <col min="14619" max="14619" width="14.85546875" bestFit="1" customWidth="1"/>
    <col min="14620" max="14620" width="16.140625" bestFit="1" customWidth="1"/>
    <col min="14848" max="14848" width="24" bestFit="1" customWidth="1"/>
    <col min="14849" max="14849" width="43.85546875" customWidth="1"/>
    <col min="14850" max="14850" width="19.7109375" bestFit="1" customWidth="1"/>
    <col min="14851" max="14851" width="15.28515625" bestFit="1" customWidth="1"/>
    <col min="14852" max="14852" width="14.85546875" bestFit="1" customWidth="1"/>
    <col min="14853" max="14853" width="13.42578125" customWidth="1"/>
    <col min="14854" max="14854" width="15.28515625" bestFit="1" customWidth="1"/>
    <col min="14855" max="14855" width="14.140625" bestFit="1" customWidth="1"/>
    <col min="14856" max="14856" width="15.28515625" customWidth="1"/>
    <col min="14857" max="14857" width="15.85546875" customWidth="1"/>
    <col min="14858" max="14858" width="17" bestFit="1" customWidth="1"/>
    <col min="14859" max="14859" width="12.7109375" customWidth="1"/>
    <col min="14860" max="14860" width="13.7109375" customWidth="1"/>
    <col min="14861" max="14861" width="13.85546875" bestFit="1" customWidth="1"/>
    <col min="14862" max="14862" width="15.5703125" bestFit="1" customWidth="1"/>
    <col min="14863" max="14863" width="16.140625" customWidth="1"/>
    <col min="14864" max="14864" width="16.7109375" bestFit="1" customWidth="1"/>
    <col min="14865" max="14866" width="15.5703125" bestFit="1" customWidth="1"/>
    <col min="14867" max="14867" width="16.42578125" bestFit="1" customWidth="1"/>
    <col min="14868" max="14868" width="14.28515625" customWidth="1"/>
    <col min="14869" max="14869" width="12.85546875" bestFit="1" customWidth="1"/>
    <col min="14870" max="14870" width="11.28515625" bestFit="1" customWidth="1"/>
    <col min="14871" max="14871" width="12.5703125" bestFit="1" customWidth="1"/>
    <col min="14872" max="14872" width="14" bestFit="1" customWidth="1"/>
    <col min="14873" max="14873" width="6" bestFit="1" customWidth="1"/>
    <col min="14874" max="14874" width="15" customWidth="1"/>
    <col min="14875" max="14875" width="14.85546875" bestFit="1" customWidth="1"/>
    <col min="14876" max="14876" width="16.140625" bestFit="1" customWidth="1"/>
    <col min="15104" max="15104" width="24" bestFit="1" customWidth="1"/>
    <col min="15105" max="15105" width="43.85546875" customWidth="1"/>
    <col min="15106" max="15106" width="19.7109375" bestFit="1" customWidth="1"/>
    <col min="15107" max="15107" width="15.28515625" bestFit="1" customWidth="1"/>
    <col min="15108" max="15108" width="14.85546875" bestFit="1" customWidth="1"/>
    <col min="15109" max="15109" width="13.42578125" customWidth="1"/>
    <col min="15110" max="15110" width="15.28515625" bestFit="1" customWidth="1"/>
    <col min="15111" max="15111" width="14.140625" bestFit="1" customWidth="1"/>
    <col min="15112" max="15112" width="15.28515625" customWidth="1"/>
    <col min="15113" max="15113" width="15.85546875" customWidth="1"/>
    <col min="15114" max="15114" width="17" bestFit="1" customWidth="1"/>
    <col min="15115" max="15115" width="12.7109375" customWidth="1"/>
    <col min="15116" max="15116" width="13.7109375" customWidth="1"/>
    <col min="15117" max="15117" width="13.85546875" bestFit="1" customWidth="1"/>
    <col min="15118" max="15118" width="15.5703125" bestFit="1" customWidth="1"/>
    <col min="15119" max="15119" width="16.140625" customWidth="1"/>
    <col min="15120" max="15120" width="16.7109375" bestFit="1" customWidth="1"/>
    <col min="15121" max="15122" width="15.5703125" bestFit="1" customWidth="1"/>
    <col min="15123" max="15123" width="16.42578125" bestFit="1" customWidth="1"/>
    <col min="15124" max="15124" width="14.28515625" customWidth="1"/>
    <col min="15125" max="15125" width="12.85546875" bestFit="1" customWidth="1"/>
    <col min="15126" max="15126" width="11.28515625" bestFit="1" customWidth="1"/>
    <col min="15127" max="15127" width="12.5703125" bestFit="1" customWidth="1"/>
    <col min="15128" max="15128" width="14" bestFit="1" customWidth="1"/>
    <col min="15129" max="15129" width="6" bestFit="1" customWidth="1"/>
    <col min="15130" max="15130" width="15" customWidth="1"/>
    <col min="15131" max="15131" width="14.85546875" bestFit="1" customWidth="1"/>
    <col min="15132" max="15132" width="16.140625" bestFit="1" customWidth="1"/>
    <col min="15360" max="15360" width="24" bestFit="1" customWidth="1"/>
    <col min="15361" max="15361" width="43.85546875" customWidth="1"/>
    <col min="15362" max="15362" width="19.7109375" bestFit="1" customWidth="1"/>
    <col min="15363" max="15363" width="15.28515625" bestFit="1" customWidth="1"/>
    <col min="15364" max="15364" width="14.85546875" bestFit="1" customWidth="1"/>
    <col min="15365" max="15365" width="13.42578125" customWidth="1"/>
    <col min="15366" max="15366" width="15.28515625" bestFit="1" customWidth="1"/>
    <col min="15367" max="15367" width="14.140625" bestFit="1" customWidth="1"/>
    <col min="15368" max="15368" width="15.28515625" customWidth="1"/>
    <col min="15369" max="15369" width="15.85546875" customWidth="1"/>
    <col min="15370" max="15370" width="17" bestFit="1" customWidth="1"/>
    <col min="15371" max="15371" width="12.7109375" customWidth="1"/>
    <col min="15372" max="15372" width="13.7109375" customWidth="1"/>
    <col min="15373" max="15373" width="13.85546875" bestFit="1" customWidth="1"/>
    <col min="15374" max="15374" width="15.5703125" bestFit="1" customWidth="1"/>
    <col min="15375" max="15375" width="16.140625" customWidth="1"/>
    <col min="15376" max="15376" width="16.7109375" bestFit="1" customWidth="1"/>
    <col min="15377" max="15378" width="15.5703125" bestFit="1" customWidth="1"/>
    <col min="15379" max="15379" width="16.42578125" bestFit="1" customWidth="1"/>
    <col min="15380" max="15380" width="14.28515625" customWidth="1"/>
    <col min="15381" max="15381" width="12.85546875" bestFit="1" customWidth="1"/>
    <col min="15382" max="15382" width="11.28515625" bestFit="1" customWidth="1"/>
    <col min="15383" max="15383" width="12.5703125" bestFit="1" customWidth="1"/>
    <col min="15384" max="15384" width="14" bestFit="1" customWidth="1"/>
    <col min="15385" max="15385" width="6" bestFit="1" customWidth="1"/>
    <col min="15386" max="15386" width="15" customWidth="1"/>
    <col min="15387" max="15387" width="14.85546875" bestFit="1" customWidth="1"/>
    <col min="15388" max="15388" width="16.140625" bestFit="1" customWidth="1"/>
    <col min="15616" max="15616" width="24" bestFit="1" customWidth="1"/>
    <col min="15617" max="15617" width="43.85546875" customWidth="1"/>
    <col min="15618" max="15618" width="19.7109375" bestFit="1" customWidth="1"/>
    <col min="15619" max="15619" width="15.28515625" bestFit="1" customWidth="1"/>
    <col min="15620" max="15620" width="14.85546875" bestFit="1" customWidth="1"/>
    <col min="15621" max="15621" width="13.42578125" customWidth="1"/>
    <col min="15622" max="15622" width="15.28515625" bestFit="1" customWidth="1"/>
    <col min="15623" max="15623" width="14.140625" bestFit="1" customWidth="1"/>
    <col min="15624" max="15624" width="15.28515625" customWidth="1"/>
    <col min="15625" max="15625" width="15.85546875" customWidth="1"/>
    <col min="15626" max="15626" width="17" bestFit="1" customWidth="1"/>
    <col min="15627" max="15627" width="12.7109375" customWidth="1"/>
    <col min="15628" max="15628" width="13.7109375" customWidth="1"/>
    <col min="15629" max="15629" width="13.85546875" bestFit="1" customWidth="1"/>
    <col min="15630" max="15630" width="15.5703125" bestFit="1" customWidth="1"/>
    <col min="15631" max="15631" width="16.140625" customWidth="1"/>
    <col min="15632" max="15632" width="16.7109375" bestFit="1" customWidth="1"/>
    <col min="15633" max="15634" width="15.5703125" bestFit="1" customWidth="1"/>
    <col min="15635" max="15635" width="16.42578125" bestFit="1" customWidth="1"/>
    <col min="15636" max="15636" width="14.28515625" customWidth="1"/>
    <col min="15637" max="15637" width="12.85546875" bestFit="1" customWidth="1"/>
    <col min="15638" max="15638" width="11.28515625" bestFit="1" customWidth="1"/>
    <col min="15639" max="15639" width="12.5703125" bestFit="1" customWidth="1"/>
    <col min="15640" max="15640" width="14" bestFit="1" customWidth="1"/>
    <col min="15641" max="15641" width="6" bestFit="1" customWidth="1"/>
    <col min="15642" max="15642" width="15" customWidth="1"/>
    <col min="15643" max="15643" width="14.85546875" bestFit="1" customWidth="1"/>
    <col min="15644" max="15644" width="16.140625" bestFit="1" customWidth="1"/>
    <col min="15872" max="15872" width="24" bestFit="1" customWidth="1"/>
    <col min="15873" max="15873" width="43.85546875" customWidth="1"/>
    <col min="15874" max="15874" width="19.7109375" bestFit="1" customWidth="1"/>
    <col min="15875" max="15875" width="15.28515625" bestFit="1" customWidth="1"/>
    <col min="15876" max="15876" width="14.85546875" bestFit="1" customWidth="1"/>
    <col min="15877" max="15877" width="13.42578125" customWidth="1"/>
    <col min="15878" max="15878" width="15.28515625" bestFit="1" customWidth="1"/>
    <col min="15879" max="15879" width="14.140625" bestFit="1" customWidth="1"/>
    <col min="15880" max="15880" width="15.28515625" customWidth="1"/>
    <col min="15881" max="15881" width="15.85546875" customWidth="1"/>
    <col min="15882" max="15882" width="17" bestFit="1" customWidth="1"/>
    <col min="15883" max="15883" width="12.7109375" customWidth="1"/>
    <col min="15884" max="15884" width="13.7109375" customWidth="1"/>
    <col min="15885" max="15885" width="13.85546875" bestFit="1" customWidth="1"/>
    <col min="15886" max="15886" width="15.5703125" bestFit="1" customWidth="1"/>
    <col min="15887" max="15887" width="16.140625" customWidth="1"/>
    <col min="15888" max="15888" width="16.7109375" bestFit="1" customWidth="1"/>
    <col min="15889" max="15890" width="15.5703125" bestFit="1" customWidth="1"/>
    <col min="15891" max="15891" width="16.42578125" bestFit="1" customWidth="1"/>
    <col min="15892" max="15892" width="14.28515625" customWidth="1"/>
    <col min="15893" max="15893" width="12.85546875" bestFit="1" customWidth="1"/>
    <col min="15894" max="15894" width="11.28515625" bestFit="1" customWidth="1"/>
    <col min="15895" max="15895" width="12.5703125" bestFit="1" customWidth="1"/>
    <col min="15896" max="15896" width="14" bestFit="1" customWidth="1"/>
    <col min="15897" max="15897" width="6" bestFit="1" customWidth="1"/>
    <col min="15898" max="15898" width="15" customWidth="1"/>
    <col min="15899" max="15899" width="14.85546875" bestFit="1" customWidth="1"/>
    <col min="15900" max="15900" width="16.140625" bestFit="1" customWidth="1"/>
    <col min="16128" max="16128" width="24" bestFit="1" customWidth="1"/>
    <col min="16129" max="16129" width="43.85546875" customWidth="1"/>
    <col min="16130" max="16130" width="19.7109375" bestFit="1" customWidth="1"/>
    <col min="16131" max="16131" width="15.28515625" bestFit="1" customWidth="1"/>
    <col min="16132" max="16132" width="14.85546875" bestFit="1" customWidth="1"/>
    <col min="16133" max="16133" width="13.42578125" customWidth="1"/>
    <col min="16134" max="16134" width="15.28515625" bestFit="1" customWidth="1"/>
    <col min="16135" max="16135" width="14.140625" bestFit="1" customWidth="1"/>
    <col min="16136" max="16136" width="15.28515625" customWidth="1"/>
    <col min="16137" max="16137" width="15.85546875" customWidth="1"/>
    <col min="16138" max="16138" width="17" bestFit="1" customWidth="1"/>
    <col min="16139" max="16139" width="12.7109375" customWidth="1"/>
    <col min="16140" max="16140" width="13.7109375" customWidth="1"/>
    <col min="16141" max="16141" width="13.85546875" bestFit="1" customWidth="1"/>
    <col min="16142" max="16142" width="15.5703125" bestFit="1" customWidth="1"/>
    <col min="16143" max="16143" width="16.140625" customWidth="1"/>
    <col min="16144" max="16144" width="16.7109375" bestFit="1" customWidth="1"/>
    <col min="16145" max="16146" width="15.5703125" bestFit="1" customWidth="1"/>
    <col min="16147" max="16147" width="16.42578125" bestFit="1" customWidth="1"/>
    <col min="16148" max="16148" width="14.28515625" customWidth="1"/>
    <col min="16149" max="16149" width="12.85546875" bestFit="1" customWidth="1"/>
    <col min="16150" max="16150" width="11.28515625" bestFit="1" customWidth="1"/>
    <col min="16151" max="16151" width="12.5703125" bestFit="1" customWidth="1"/>
    <col min="16152" max="16152" width="14" bestFit="1" customWidth="1"/>
    <col min="16153" max="16153" width="6" bestFit="1" customWidth="1"/>
    <col min="16154" max="16154" width="15" customWidth="1"/>
    <col min="16155" max="16155" width="14.85546875" bestFit="1" customWidth="1"/>
    <col min="16156" max="16156" width="16.140625" bestFit="1" customWidth="1"/>
  </cols>
  <sheetData>
    <row r="1" spans="1:33" ht="57" customHeight="1" thickBot="1">
      <c r="C1" s="1812" t="s">
        <v>288</v>
      </c>
      <c r="D1" s="1831" t="s">
        <v>289</v>
      </c>
      <c r="E1" s="1812" t="s">
        <v>6</v>
      </c>
      <c r="F1" s="1812">
        <v>18230442</v>
      </c>
      <c r="G1" s="1812" t="s">
        <v>31</v>
      </c>
      <c r="J1" s="45"/>
      <c r="M1" s="1812" t="s">
        <v>288</v>
      </c>
      <c r="N1" s="1831" t="s">
        <v>289</v>
      </c>
      <c r="O1" s="1812" t="s">
        <v>6</v>
      </c>
      <c r="P1" s="1812">
        <v>18230442</v>
      </c>
      <c r="Q1" s="1812" t="s">
        <v>31</v>
      </c>
      <c r="V1" s="1812" t="s">
        <v>288</v>
      </c>
      <c r="W1" s="1831" t="s">
        <v>289</v>
      </c>
      <c r="X1" s="1812" t="s">
        <v>6</v>
      </c>
      <c r="Y1" s="1812">
        <v>18230442</v>
      </c>
      <c r="Z1" s="1812" t="s">
        <v>31</v>
      </c>
    </row>
    <row r="2" spans="1:33" ht="16.5" thickBot="1">
      <c r="C2" s="45"/>
      <c r="D2" s="46"/>
      <c r="H2" s="1576" t="s">
        <v>674</v>
      </c>
      <c r="R2" s="3596"/>
      <c r="S2" s="3596"/>
      <c r="T2" s="3597" t="s">
        <v>36</v>
      </c>
      <c r="U2" s="3598"/>
      <c r="V2" s="3599"/>
      <c r="W2" s="3594" t="s">
        <v>37</v>
      </c>
    </row>
    <row r="3" spans="1:33" ht="26.25" thickBot="1">
      <c r="A3" s="1808" t="s">
        <v>288</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3" ht="16.5" thickBot="1">
      <c r="A4" s="1844" t="s">
        <v>289</v>
      </c>
      <c r="B4" s="1844"/>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33" ht="16.5" thickBot="1">
      <c r="A5" s="1808" t="s">
        <v>6</v>
      </c>
      <c r="B5" s="1808"/>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3" ht="16.5" thickBot="1">
      <c r="A6" s="1808">
        <v>18230442</v>
      </c>
      <c r="B6" s="1808"/>
      <c r="D6" s="1592"/>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33" ht="16.5" thickBot="1">
      <c r="A7" s="1808"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66" t="e">
        <f>P7/R7</f>
        <v>#DIV/0!</v>
      </c>
      <c r="U7" s="66" t="e">
        <f>(K7+(I7*1.63))/R7</f>
        <v>#DIV/0!</v>
      </c>
      <c r="V7" s="66" t="e">
        <f>M7/R7</f>
        <v>#DIV/0!</v>
      </c>
      <c r="W7" s="56" t="e">
        <f>R7/S7</f>
        <v>#DIV/0!</v>
      </c>
    </row>
    <row r="8" spans="1:33" ht="15.75">
      <c r="B8" s="1808"/>
      <c r="C8" s="1866"/>
      <c r="D8" s="1592"/>
      <c r="E8" s="1867"/>
      <c r="F8" s="1866"/>
    </row>
    <row r="9" spans="1:33" ht="20.25" customHeight="1">
      <c r="A9" s="1808"/>
      <c r="B9" s="1808"/>
      <c r="C9" s="1866"/>
      <c r="D9" s="1592"/>
      <c r="E9" s="1867"/>
      <c r="F9" s="1866"/>
    </row>
    <row r="10" spans="1:33">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3601" t="s">
        <v>317</v>
      </c>
      <c r="AA10" s="3601"/>
      <c r="AB10" s="3601"/>
      <c r="AC10" s="3601"/>
      <c r="AD10" s="3601"/>
      <c r="AE10" s="3601"/>
      <c r="AF10" s="3601"/>
      <c r="AG10" s="1927"/>
    </row>
    <row r="11" spans="1:33">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1885"/>
      <c r="C17" s="1876"/>
      <c r="D17" s="1905"/>
      <c r="E17" s="1904"/>
      <c r="F17" s="1879">
        <f t="shared" ref="F17:F19"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1885"/>
      <c r="C18" s="1876"/>
      <c r="D18" s="1905"/>
      <c r="E18" s="1904"/>
      <c r="F18" s="1879">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1885"/>
      <c r="C19" s="1876"/>
      <c r="D19" s="1903"/>
      <c r="E19" s="1902"/>
      <c r="F19" s="1879">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1910" t="s">
        <v>47</v>
      </c>
      <c r="D21" s="1911">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1876"/>
      <c r="D22" s="1907"/>
      <c r="E22" s="1906"/>
      <c r="F22" s="1879">
        <f t="shared" ref="F22:F25" si="2">SUM(D22:E22)</f>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1876"/>
      <c r="D23" s="1900"/>
      <c r="E23" s="1899"/>
      <c r="F23" s="1879">
        <f t="shared" si="2"/>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1876"/>
      <c r="D24" s="1898"/>
      <c r="E24" s="1897"/>
      <c r="F24" s="1879">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1876"/>
      <c r="D25" s="1896"/>
      <c r="E25" s="1899"/>
      <c r="F25" s="1879">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1910" t="s">
        <v>48</v>
      </c>
      <c r="D27" s="1911">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1876" t="s">
        <v>778</v>
      </c>
      <c r="D29" s="1971">
        <f>D15*D28</f>
        <v>0</v>
      </c>
      <c r="E29" s="1972">
        <f>E15*E28</f>
        <v>0</v>
      </c>
      <c r="F29" s="1879">
        <f t="shared" ref="F29:F32" si="3">SUM(D29:E29)</f>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1876" t="s">
        <v>779</v>
      </c>
      <c r="D30" s="1973">
        <f>D21*D28</f>
        <v>0</v>
      </c>
      <c r="E30" s="1972">
        <f>E21*E28</f>
        <v>0</v>
      </c>
      <c r="F30" s="1879">
        <f t="shared" si="3"/>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79">
        <f t="shared" si="3"/>
        <v>0</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79">
        <f t="shared" si="3"/>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1808" t="s">
        <v>288</v>
      </c>
      <c r="C34" s="1910" t="s">
        <v>49</v>
      </c>
      <c r="D34" s="1911">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1844" t="s">
        <v>289</v>
      </c>
      <c r="C35" s="1876"/>
      <c r="D35" s="1971"/>
      <c r="E35" s="1988"/>
      <c r="F35" s="1879">
        <f t="shared" ref="F35:F38" si="4">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1808" t="s">
        <v>6</v>
      </c>
      <c r="C36" s="1876"/>
      <c r="D36" s="1971"/>
      <c r="E36" s="1988"/>
      <c r="F36" s="1879">
        <f t="shared" si="4"/>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1808">
        <v>18230442</v>
      </c>
      <c r="C37" s="1876"/>
      <c r="D37" s="1971"/>
      <c r="E37" s="1988"/>
      <c r="F37" s="1879">
        <f t="shared" si="4"/>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1808" t="s">
        <v>31</v>
      </c>
      <c r="C38" s="1876"/>
      <c r="D38" s="1971"/>
      <c r="E38" s="1988"/>
      <c r="F38" s="1879">
        <f t="shared" si="4"/>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C40" s="2106" t="s">
        <v>506</v>
      </c>
      <c r="D40" s="1911">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1876"/>
      <c r="D41" s="1971"/>
      <c r="E41" s="1988"/>
      <c r="F41" s="1879">
        <f t="shared" ref="F41:F44" si="5">SUM(D41:E41)</f>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1876"/>
      <c r="D42" s="1971"/>
      <c r="E42" s="1988"/>
      <c r="F42" s="1879">
        <f t="shared" si="5"/>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1876"/>
      <c r="D43" s="1971"/>
      <c r="E43" s="1988"/>
      <c r="F43" s="1879">
        <f t="shared" si="5"/>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1876"/>
      <c r="D44" s="1971"/>
      <c r="E44" s="1988"/>
      <c r="F44" s="1879">
        <f t="shared" si="5"/>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1910" t="s">
        <v>50</v>
      </c>
      <c r="D46" s="1911">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1876"/>
      <c r="D47" s="1971"/>
      <c r="E47" s="1988"/>
      <c r="F47" s="1879">
        <f t="shared" ref="F47:F50" si="6">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1876"/>
      <c r="D48" s="1971"/>
      <c r="E48" s="1988"/>
      <c r="F48" s="1879">
        <f t="shared" si="6"/>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1876"/>
      <c r="D49" s="1971"/>
      <c r="E49" s="1988"/>
      <c r="F49" s="1879">
        <f t="shared" si="6"/>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1876"/>
      <c r="D50" s="1971"/>
      <c r="E50" s="1988"/>
      <c r="F50" s="1879">
        <f t="shared" si="6"/>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1910" t="s">
        <v>51</v>
      </c>
      <c r="D52" s="1911">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1876"/>
      <c r="D53" s="1971"/>
      <c r="E53" s="1972"/>
      <c r="F53" s="1879">
        <f t="shared" ref="F53:F56" si="7">SUM(D53:E53)</f>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1876"/>
      <c r="D54" s="1971"/>
      <c r="E54" s="1972"/>
      <c r="F54" s="1879">
        <f t="shared" si="7"/>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1876"/>
      <c r="D55" s="1971"/>
      <c r="E55" s="1972"/>
      <c r="F55" s="1879">
        <f t="shared" si="7"/>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1876"/>
      <c r="D56" s="1971"/>
      <c r="E56" s="1972"/>
      <c r="F56" s="1879">
        <f t="shared" si="7"/>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1910" t="s">
        <v>52</v>
      </c>
      <c r="D58" s="1911">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1876"/>
      <c r="D59" s="1971"/>
      <c r="E59" s="1988"/>
      <c r="F59" s="1879">
        <f t="shared" ref="F59:F62" si="8">SUM(D59:E59)</f>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1876"/>
      <c r="D60" s="1971"/>
      <c r="E60" s="1988"/>
      <c r="F60" s="1879">
        <f t="shared" si="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1876"/>
      <c r="D61" s="1971"/>
      <c r="E61" s="1988"/>
      <c r="F61" s="1879">
        <f t="shared" si="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1876"/>
      <c r="D62" s="1971"/>
      <c r="E62" s="1988"/>
      <c r="F62" s="1879">
        <f t="shared" si="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1808" t="s">
        <v>288</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1844" t="s">
        <v>289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1808" t="s">
        <v>6</v>
      </c>
      <c r="C66" s="1968"/>
      <c r="D66" s="1963"/>
      <c r="E66" s="1964"/>
      <c r="F66" s="1965"/>
    </row>
    <row r="67" spans="1:33">
      <c r="A67" s="1808">
        <v>18230442</v>
      </c>
      <c r="C67" s="1959" t="s">
        <v>54</v>
      </c>
      <c r="D67" s="1971">
        <v>0</v>
      </c>
      <c r="E67" s="1971">
        <v>0</v>
      </c>
      <c r="F67" s="1956">
        <v>0</v>
      </c>
    </row>
    <row r="68" spans="1:33">
      <c r="A68" s="1808" t="s">
        <v>31</v>
      </c>
    </row>
  </sheetData>
  <customSheetViews>
    <customSheetView guid="{074EB09C-6289-46D7-9513-012B68BCA7BF}" showGridLines="0" fitToPage="1">
      <pane xSplit="1" ySplit="1" topLeftCell="B2" activePane="bottomRight" state="frozen"/>
      <selection pane="bottomRight" activeCell="E31" sqref="E31"/>
      <pageMargins left="0.17" right="0.23" top="0.34" bottom="0.37" header="0.3" footer="0.3"/>
      <pageSetup paperSize="17" scale="44" orientation="landscape" r:id="rId1"/>
    </customSheetView>
    <customSheetView guid="{D9EFFE19-D14B-4C6F-BDF4-FF696F73968D}" showGridLines="0" fitToPage="1">
      <pane xSplit="1" ySplit="1" topLeftCell="B2" activePane="bottomRight" state="frozen"/>
      <selection pane="bottomRight" activeCell="I20" sqref="I20"/>
      <pageMargins left="0.17" right="0.23" top="0.34" bottom="0.37" header="0.3" footer="0.3"/>
      <pageSetup paperSize="17" scale="44" orientation="landscape" r:id="rId2"/>
    </customSheetView>
  </customSheetViews>
  <mergeCells count="10">
    <mergeCell ref="R2:S2"/>
    <mergeCell ref="T2:V2"/>
    <mergeCell ref="W2:W3"/>
    <mergeCell ref="H10:P10"/>
    <mergeCell ref="Z10:AF10"/>
    <mergeCell ref="H12:P12"/>
    <mergeCell ref="Q12:S12"/>
    <mergeCell ref="T12:V12"/>
    <mergeCell ref="W12:Y12"/>
    <mergeCell ref="Z12:AF12"/>
  </mergeCells>
  <pageMargins left="0.17" right="0.23" top="0.34" bottom="0.37" header="0.3" footer="0.3"/>
  <pageSetup paperSize="17" scale="44" orientation="landscape" r:id="rId3"/>
  <ignoredErrors>
    <ignoredError sqref="R4:W6 S7:W7" evalError="1"/>
    <ignoredError sqref="R7" evalError="1" formula="1"/>
  </ignoredErrors>
  <drawing r:id="rId4"/>
  <legacy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60497B"/>
  </sheetPr>
  <dimension ref="A1:Z68"/>
  <sheetViews>
    <sheetView showGridLines="0" workbookViewId="0">
      <pane xSplit="1" ySplit="1" topLeftCell="H4" activePane="bottomRight" state="frozen"/>
      <selection pane="topRight" activeCell="B1" sqref="B1"/>
      <selection pane="bottomLeft" activeCell="A2" sqref="A2"/>
      <selection pane="bottomRight" activeCell="A20" sqref="A20"/>
    </sheetView>
  </sheetViews>
  <sheetFormatPr defaultRowHeight="12.75"/>
  <cols>
    <col min="1" max="1" width="18.28515625" style="1164" customWidth="1"/>
    <col min="2" max="2" width="15.140625" style="1866" customWidth="1"/>
    <col min="3" max="3" width="33" customWidth="1"/>
    <col min="4" max="4" width="19.5703125" customWidth="1"/>
    <col min="5" max="5" width="15.7109375" style="9" customWidth="1"/>
    <col min="6" max="6" width="15.7109375" customWidth="1"/>
    <col min="7" max="7" width="17.42578125" customWidth="1"/>
    <col min="8" max="8" width="46.140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2.140625" bestFit="1" customWidth="1"/>
    <col min="19" max="19" width="17.7109375" bestFit="1" customWidth="1"/>
    <col min="20" max="21" width="15.5703125" bestFit="1" customWidth="1"/>
    <col min="22" max="22" width="16.42578125" bestFit="1" customWidth="1"/>
    <col min="23" max="23" width="14.28515625" customWidth="1"/>
    <col min="24" max="25" width="16.42578125" customWidth="1"/>
    <col min="26" max="26" width="12.5703125" style="2530" bestFit="1" customWidth="1"/>
    <col min="249" max="249" width="24" bestFit="1" customWidth="1"/>
    <col min="250" max="250" width="43.85546875" customWidth="1"/>
    <col min="251" max="251" width="19.7109375" bestFit="1" customWidth="1"/>
    <col min="252" max="252" width="15.28515625" bestFit="1" customWidth="1"/>
    <col min="253" max="253" width="18.71093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2.140625" bestFit="1" customWidth="1"/>
    <col min="265" max="265" width="17.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5.28515625" bestFit="1" customWidth="1"/>
    <col min="509" max="509" width="18.71093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2.140625" bestFit="1" customWidth="1"/>
    <col min="521" max="521" width="17.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5.28515625" bestFit="1" customWidth="1"/>
    <col min="765" max="765" width="18.71093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2.140625" bestFit="1" customWidth="1"/>
    <col min="777" max="777" width="17.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5.28515625" bestFit="1" customWidth="1"/>
    <col min="1021" max="1021" width="18.71093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2.140625" bestFit="1" customWidth="1"/>
    <col min="1033" max="1033" width="17.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5.28515625" bestFit="1" customWidth="1"/>
    <col min="1277" max="1277" width="18.71093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2.140625" bestFit="1" customWidth="1"/>
    <col min="1289" max="1289" width="17.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5.28515625" bestFit="1" customWidth="1"/>
    <col min="1533" max="1533" width="18.71093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2.140625" bestFit="1" customWidth="1"/>
    <col min="1545" max="1545" width="17.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5.28515625" bestFit="1" customWidth="1"/>
    <col min="1789" max="1789" width="18.71093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2.140625" bestFit="1" customWidth="1"/>
    <col min="1801" max="1801" width="17.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5.28515625" bestFit="1" customWidth="1"/>
    <col min="2045" max="2045" width="18.71093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2.140625" bestFit="1" customWidth="1"/>
    <col min="2057" max="2057" width="17.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5.28515625" bestFit="1" customWidth="1"/>
    <col min="2301" max="2301" width="18.71093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2.140625" bestFit="1" customWidth="1"/>
    <col min="2313" max="2313" width="17.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5.28515625" bestFit="1" customWidth="1"/>
    <col min="2557" max="2557" width="18.71093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2.140625" bestFit="1" customWidth="1"/>
    <col min="2569" max="2569" width="17.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5.28515625" bestFit="1" customWidth="1"/>
    <col min="2813" max="2813" width="18.71093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2.140625" bestFit="1" customWidth="1"/>
    <col min="2825" max="2825" width="17.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5.28515625" bestFit="1" customWidth="1"/>
    <col min="3069" max="3069" width="18.71093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2.140625" bestFit="1" customWidth="1"/>
    <col min="3081" max="3081" width="17.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5.28515625" bestFit="1" customWidth="1"/>
    <col min="3325" max="3325" width="18.71093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2.140625" bestFit="1" customWidth="1"/>
    <col min="3337" max="3337" width="17.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5.28515625" bestFit="1" customWidth="1"/>
    <col min="3581" max="3581" width="18.71093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2.140625" bestFit="1" customWidth="1"/>
    <col min="3593" max="3593" width="17.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5.28515625" bestFit="1" customWidth="1"/>
    <col min="3837" max="3837" width="18.71093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2.140625" bestFit="1" customWidth="1"/>
    <col min="3849" max="3849" width="17.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5.28515625" bestFit="1" customWidth="1"/>
    <col min="4093" max="4093" width="18.71093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2.140625" bestFit="1" customWidth="1"/>
    <col min="4105" max="4105" width="17.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5.28515625" bestFit="1" customWidth="1"/>
    <col min="4349" max="4349" width="18.71093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2.140625" bestFit="1" customWidth="1"/>
    <col min="4361" max="4361" width="17.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5.28515625" bestFit="1" customWidth="1"/>
    <col min="4605" max="4605" width="18.71093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2.140625" bestFit="1" customWidth="1"/>
    <col min="4617" max="4617" width="17.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5.28515625" bestFit="1" customWidth="1"/>
    <col min="4861" max="4861" width="18.71093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2.140625" bestFit="1" customWidth="1"/>
    <col min="4873" max="4873" width="17.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5.28515625" bestFit="1" customWidth="1"/>
    <col min="5117" max="5117" width="18.71093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2.140625" bestFit="1" customWidth="1"/>
    <col min="5129" max="5129" width="17.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5.28515625" bestFit="1" customWidth="1"/>
    <col min="5373" max="5373" width="18.71093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2.140625" bestFit="1" customWidth="1"/>
    <col min="5385" max="5385" width="17.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5.28515625" bestFit="1" customWidth="1"/>
    <col min="5629" max="5629" width="18.71093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2.140625" bestFit="1" customWidth="1"/>
    <col min="5641" max="5641" width="17.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5.28515625" bestFit="1" customWidth="1"/>
    <col min="5885" max="5885" width="18.71093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2.140625" bestFit="1" customWidth="1"/>
    <col min="5897" max="5897" width="17.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5.28515625" bestFit="1" customWidth="1"/>
    <col min="6141" max="6141" width="18.71093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2.140625" bestFit="1" customWidth="1"/>
    <col min="6153" max="6153" width="17.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5.28515625" bestFit="1" customWidth="1"/>
    <col min="6397" max="6397" width="18.71093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2.140625" bestFit="1" customWidth="1"/>
    <col min="6409" max="6409" width="17.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5.28515625" bestFit="1" customWidth="1"/>
    <col min="6653" max="6653" width="18.71093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2.140625" bestFit="1" customWidth="1"/>
    <col min="6665" max="6665" width="17.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5.28515625" bestFit="1" customWidth="1"/>
    <col min="6909" max="6909" width="18.71093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2.140625" bestFit="1" customWidth="1"/>
    <col min="6921" max="6921" width="17.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5.28515625" bestFit="1" customWidth="1"/>
    <col min="7165" max="7165" width="18.71093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2.140625" bestFit="1" customWidth="1"/>
    <col min="7177" max="7177" width="17.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5.28515625" bestFit="1" customWidth="1"/>
    <col min="7421" max="7421" width="18.71093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2.140625" bestFit="1" customWidth="1"/>
    <col min="7433" max="7433" width="17.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5.28515625" bestFit="1" customWidth="1"/>
    <col min="7677" max="7677" width="18.71093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2.140625" bestFit="1" customWidth="1"/>
    <col min="7689" max="7689" width="17.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5.28515625" bestFit="1" customWidth="1"/>
    <col min="7933" max="7933" width="18.71093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2.140625" bestFit="1" customWidth="1"/>
    <col min="7945" max="7945" width="17.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5.28515625" bestFit="1" customWidth="1"/>
    <col min="8189" max="8189" width="18.71093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2.140625" bestFit="1" customWidth="1"/>
    <col min="8201" max="8201" width="17.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5.28515625" bestFit="1" customWidth="1"/>
    <col min="8445" max="8445" width="18.71093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2.140625" bestFit="1" customWidth="1"/>
    <col min="8457" max="8457" width="17.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5.28515625" bestFit="1" customWidth="1"/>
    <col min="8701" max="8701" width="18.71093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2.140625" bestFit="1" customWidth="1"/>
    <col min="8713" max="8713" width="17.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5.28515625" bestFit="1" customWidth="1"/>
    <col min="8957" max="8957" width="18.71093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2.140625" bestFit="1" customWidth="1"/>
    <col min="8969" max="8969" width="17.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5.28515625" bestFit="1" customWidth="1"/>
    <col min="9213" max="9213" width="18.71093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2.140625" bestFit="1" customWidth="1"/>
    <col min="9225" max="9225" width="17.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5.28515625" bestFit="1" customWidth="1"/>
    <col min="9469" max="9469" width="18.71093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2.140625" bestFit="1" customWidth="1"/>
    <col min="9481" max="9481" width="17.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5.28515625" bestFit="1" customWidth="1"/>
    <col min="9725" max="9725" width="18.71093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2.140625" bestFit="1" customWidth="1"/>
    <col min="9737" max="9737" width="17.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5.28515625" bestFit="1" customWidth="1"/>
    <col min="9981" max="9981" width="18.71093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2.140625" bestFit="1" customWidth="1"/>
    <col min="9993" max="9993" width="17.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5.28515625" bestFit="1" customWidth="1"/>
    <col min="10237" max="10237" width="18.71093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2.140625" bestFit="1" customWidth="1"/>
    <col min="10249" max="10249" width="17.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5.28515625" bestFit="1" customWidth="1"/>
    <col min="10493" max="10493" width="18.71093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2.140625" bestFit="1" customWidth="1"/>
    <col min="10505" max="10505" width="17.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5.28515625" bestFit="1" customWidth="1"/>
    <col min="10749" max="10749" width="18.71093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2.140625" bestFit="1" customWidth="1"/>
    <col min="10761" max="10761" width="17.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5.28515625" bestFit="1" customWidth="1"/>
    <col min="11005" max="11005" width="18.71093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2.140625" bestFit="1" customWidth="1"/>
    <col min="11017" max="11017" width="17.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5.28515625" bestFit="1" customWidth="1"/>
    <col min="11261" max="11261" width="18.71093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2.140625" bestFit="1" customWidth="1"/>
    <col min="11273" max="11273" width="17.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5.28515625" bestFit="1" customWidth="1"/>
    <col min="11517" max="11517" width="18.71093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2.140625" bestFit="1" customWidth="1"/>
    <col min="11529" max="11529" width="17.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5.28515625" bestFit="1" customWidth="1"/>
    <col min="11773" max="11773" width="18.71093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2.140625" bestFit="1" customWidth="1"/>
    <col min="11785" max="11785" width="17.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5.28515625" bestFit="1" customWidth="1"/>
    <col min="12029" max="12029" width="18.71093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2.140625" bestFit="1" customWidth="1"/>
    <col min="12041" max="12041" width="17.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5.28515625" bestFit="1" customWidth="1"/>
    <col min="12285" max="12285" width="18.71093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2.140625" bestFit="1" customWidth="1"/>
    <col min="12297" max="12297" width="17.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5.28515625" bestFit="1" customWidth="1"/>
    <col min="12541" max="12541" width="18.71093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2.140625" bestFit="1" customWidth="1"/>
    <col min="12553" max="12553" width="17.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5.28515625" bestFit="1" customWidth="1"/>
    <col min="12797" max="12797" width="18.71093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2.140625" bestFit="1" customWidth="1"/>
    <col min="12809" max="12809" width="17.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5.28515625" bestFit="1" customWidth="1"/>
    <col min="13053" max="13053" width="18.71093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2.140625" bestFit="1" customWidth="1"/>
    <col min="13065" max="13065" width="17.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5.28515625" bestFit="1" customWidth="1"/>
    <col min="13309" max="13309" width="18.71093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2.140625" bestFit="1" customWidth="1"/>
    <col min="13321" max="13321" width="17.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5.28515625" bestFit="1" customWidth="1"/>
    <col min="13565" max="13565" width="18.71093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2.140625" bestFit="1" customWidth="1"/>
    <col min="13577" max="13577" width="17.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5.28515625" bestFit="1" customWidth="1"/>
    <col min="13821" max="13821" width="18.71093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2.140625" bestFit="1" customWidth="1"/>
    <col min="13833" max="13833" width="17.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5.28515625" bestFit="1" customWidth="1"/>
    <col min="14077" max="14077" width="18.71093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2.140625" bestFit="1" customWidth="1"/>
    <col min="14089" max="14089" width="17.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5.28515625" bestFit="1" customWidth="1"/>
    <col min="14333" max="14333" width="18.71093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2.140625" bestFit="1" customWidth="1"/>
    <col min="14345" max="14345" width="17.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5.28515625" bestFit="1" customWidth="1"/>
    <col min="14589" max="14589" width="18.71093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2.140625" bestFit="1" customWidth="1"/>
    <col min="14601" max="14601" width="17.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5.28515625" bestFit="1" customWidth="1"/>
    <col min="14845" max="14845" width="18.71093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2.140625" bestFit="1" customWidth="1"/>
    <col min="14857" max="14857" width="17.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5.28515625" bestFit="1" customWidth="1"/>
    <col min="15101" max="15101" width="18.71093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2.140625" bestFit="1" customWidth="1"/>
    <col min="15113" max="15113" width="17.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5.28515625" bestFit="1" customWidth="1"/>
    <col min="15357" max="15357" width="18.71093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2.140625" bestFit="1" customWidth="1"/>
    <col min="15369" max="15369" width="17.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5.28515625" bestFit="1" customWidth="1"/>
    <col min="15613" max="15613" width="18.71093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2.140625" bestFit="1" customWidth="1"/>
    <col min="15625" max="15625" width="17.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5.28515625" bestFit="1" customWidth="1"/>
    <col min="15869" max="15869" width="18.71093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2.140625" bestFit="1" customWidth="1"/>
    <col min="15881" max="15881" width="17.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5.28515625" bestFit="1" customWidth="1"/>
    <col min="16125" max="16125" width="18.71093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2.140625" bestFit="1" customWidth="1"/>
    <col min="16137" max="16137" width="17.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812" t="s">
        <v>286</v>
      </c>
      <c r="D1" s="1812" t="s">
        <v>287</v>
      </c>
      <c r="E1" s="1812" t="s">
        <v>6</v>
      </c>
      <c r="F1" s="1812">
        <v>18230736</v>
      </c>
      <c r="G1" s="1812" t="s">
        <v>31</v>
      </c>
      <c r="J1" s="45"/>
      <c r="M1" s="1812" t="s">
        <v>286</v>
      </c>
      <c r="N1" s="1812" t="s">
        <v>287</v>
      </c>
      <c r="O1" s="1812" t="s">
        <v>6</v>
      </c>
      <c r="P1" s="1812">
        <v>18230736</v>
      </c>
      <c r="Q1" s="1812" t="s">
        <v>31</v>
      </c>
      <c r="V1" s="1812" t="s">
        <v>286</v>
      </c>
      <c r="W1" s="1812" t="s">
        <v>287</v>
      </c>
      <c r="X1" s="1812" t="s">
        <v>6</v>
      </c>
      <c r="Y1" s="1812">
        <v>18230736</v>
      </c>
      <c r="Z1" s="2535" t="s">
        <v>31</v>
      </c>
    </row>
    <row r="2" spans="1:26" ht="16.5" thickBot="1">
      <c r="C2" s="45"/>
      <c r="D2" s="46"/>
      <c r="H2" s="1576" t="s">
        <v>674</v>
      </c>
      <c r="R2" s="3596"/>
      <c r="S2" s="3596"/>
      <c r="T2" s="3597" t="s">
        <v>36</v>
      </c>
      <c r="U2" s="3598"/>
      <c r="V2" s="3599"/>
      <c r="W2" s="3594" t="s">
        <v>37</v>
      </c>
    </row>
    <row r="3" spans="1:26" ht="26.25" thickBot="1">
      <c r="A3" s="1808" t="s">
        <v>286</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287</v>
      </c>
      <c r="B4" s="1808"/>
      <c r="C4" s="46"/>
      <c r="G4" s="1704" t="s">
        <v>668</v>
      </c>
      <c r="H4" s="2003">
        <v>52724</v>
      </c>
      <c r="I4" s="2002">
        <v>3321</v>
      </c>
      <c r="J4" s="2002">
        <v>39624</v>
      </c>
      <c r="K4" s="2002">
        <v>3750</v>
      </c>
      <c r="L4" s="2002">
        <v>1500</v>
      </c>
      <c r="M4" s="2002">
        <v>54404</v>
      </c>
      <c r="N4" s="2002">
        <v>1500</v>
      </c>
      <c r="O4" s="2002">
        <v>200</v>
      </c>
      <c r="P4" s="2002">
        <v>342023</v>
      </c>
      <c r="Q4" s="2002">
        <v>0</v>
      </c>
      <c r="R4" s="2000">
        <v>499044</v>
      </c>
      <c r="S4" s="2969" t="s">
        <v>689</v>
      </c>
      <c r="T4" s="65">
        <f>P4/R4</f>
        <v>0.68535640143955245</v>
      </c>
      <c r="U4" s="65">
        <f>(K4+(I4*1.63))/R4</f>
        <v>1.8361567316709546E-2</v>
      </c>
      <c r="V4" s="65">
        <f>M4/R4</f>
        <v>0.10901643943219436</v>
      </c>
      <c r="W4" s="52" t="e">
        <f>R4/S4</f>
        <v>#VALUE!</v>
      </c>
    </row>
    <row r="5" spans="1:26" ht="16.5" thickBot="1">
      <c r="A5" s="1808" t="s">
        <v>6</v>
      </c>
      <c r="B5" s="1808"/>
      <c r="C5" s="45"/>
      <c r="G5" s="45">
        <v>2016</v>
      </c>
      <c r="H5" s="1582">
        <f>D15</f>
        <v>54250.900000000009</v>
      </c>
      <c r="I5" s="1549">
        <f>D21</f>
        <v>14400.000000000002</v>
      </c>
      <c r="J5" s="1549">
        <f>D27</f>
        <v>45790.150300000008</v>
      </c>
      <c r="K5" s="1549">
        <f>D34</f>
        <v>4000</v>
      </c>
      <c r="L5" s="1549">
        <f>D40</f>
        <v>1000</v>
      </c>
      <c r="M5" s="1549">
        <f>D46</f>
        <v>200000</v>
      </c>
      <c r="N5" s="1549">
        <f>D52</f>
        <v>500</v>
      </c>
      <c r="O5" s="1549">
        <f>D58</f>
        <v>500</v>
      </c>
      <c r="P5" s="1549">
        <f>D64</f>
        <v>654214</v>
      </c>
      <c r="Q5" s="1549">
        <f>D67</f>
        <v>0</v>
      </c>
      <c r="R5" s="2001">
        <f>SUM(H5:Q5)</f>
        <v>974655.0503</v>
      </c>
      <c r="S5" s="2042">
        <f>T15</f>
        <v>102945.8</v>
      </c>
      <c r="T5" s="66">
        <f>P5/R5</f>
        <v>0.67122619412748352</v>
      </c>
      <c r="U5" s="66">
        <f>(K5+(I5*1.63))/R5</f>
        <v>2.8186382445301118E-2</v>
      </c>
      <c r="V5" s="66">
        <f>M5/R5</f>
        <v>0.20520080405723004</v>
      </c>
      <c r="W5" s="56">
        <f>R5/S5</f>
        <v>9.4676523986408387</v>
      </c>
    </row>
    <row r="6" spans="1:26" ht="16.5" thickBot="1">
      <c r="A6" s="1808">
        <v>18230736</v>
      </c>
      <c r="B6" s="1808"/>
      <c r="D6" s="45"/>
      <c r="G6" s="45">
        <v>2017</v>
      </c>
      <c r="H6" s="57">
        <f>E15</f>
        <v>55607.200000000012</v>
      </c>
      <c r="I6" s="1990">
        <f>E21</f>
        <v>14400.000000000002</v>
      </c>
      <c r="J6" s="1989">
        <f>E27</f>
        <v>47604.896000000008</v>
      </c>
      <c r="K6" s="58">
        <f>E34</f>
        <v>4000</v>
      </c>
      <c r="L6" s="58">
        <f>E40</f>
        <v>1000</v>
      </c>
      <c r="M6" s="58">
        <f>E46</f>
        <v>200000</v>
      </c>
      <c r="N6" s="58">
        <f>E52</f>
        <v>500</v>
      </c>
      <c r="O6" s="58">
        <f>E58</f>
        <v>500</v>
      </c>
      <c r="P6" s="58">
        <f>E64</f>
        <v>660214</v>
      </c>
      <c r="Q6" s="58">
        <f>E67</f>
        <v>0</v>
      </c>
      <c r="R6" s="1997">
        <f>SUM(H6:Q6)</f>
        <v>983826.09600000002</v>
      </c>
      <c r="S6" s="2043">
        <f>U15</f>
        <v>130945.8</v>
      </c>
      <c r="T6" s="66">
        <f>P6/R6</f>
        <v>0.6710677859474059</v>
      </c>
      <c r="U6" s="66">
        <f>(K6+(I6*1.63))/R6</f>
        <v>2.7923634178534738E-2</v>
      </c>
      <c r="V6" s="66">
        <f>M6/R6</f>
        <v>0.20328795994856391</v>
      </c>
      <c r="W6" s="56">
        <f>R6/S6</f>
        <v>7.513231398028803</v>
      </c>
    </row>
    <row r="7" spans="1:26" ht="16.5" thickBot="1">
      <c r="A7" s="1808" t="s">
        <v>31</v>
      </c>
      <c r="B7" s="1808"/>
      <c r="C7" s="1866"/>
      <c r="D7" s="1592"/>
      <c r="E7" s="1867"/>
      <c r="F7" s="1866"/>
      <c r="G7" s="1608" t="s">
        <v>23</v>
      </c>
      <c r="H7" s="1564">
        <f>SUM(H5:H6)</f>
        <v>109858.10000000002</v>
      </c>
      <c r="I7" s="1991">
        <f t="shared" ref="I7:Q7" si="0">SUM(I5:I6)</f>
        <v>28800.000000000004</v>
      </c>
      <c r="J7" s="1992">
        <f t="shared" si="0"/>
        <v>93395.046300000016</v>
      </c>
      <c r="K7" s="1993">
        <f t="shared" si="0"/>
        <v>8000</v>
      </c>
      <c r="L7" s="1991">
        <f t="shared" si="0"/>
        <v>2000</v>
      </c>
      <c r="M7" s="1992">
        <f t="shared" si="0"/>
        <v>400000</v>
      </c>
      <c r="N7" s="1991">
        <f t="shared" si="0"/>
        <v>1000</v>
      </c>
      <c r="O7" s="1992">
        <f t="shared" si="0"/>
        <v>1000</v>
      </c>
      <c r="P7" s="1993">
        <f t="shared" si="0"/>
        <v>1314428</v>
      </c>
      <c r="Q7" s="1991">
        <f t="shared" si="0"/>
        <v>0</v>
      </c>
      <c r="R7" s="1993">
        <f>SUM(H7:Q7)</f>
        <v>1958481.1463000001</v>
      </c>
      <c r="S7" s="2600">
        <f>SUM(S5:S6)</f>
        <v>233891.6</v>
      </c>
      <c r="T7" s="66">
        <f>P7/R7</f>
        <v>0.67114661914578166</v>
      </c>
      <c r="U7" s="66">
        <f>(K7+(I7*1.63))/R7</f>
        <v>2.8054393121833852E-2</v>
      </c>
      <c r="V7" s="66">
        <f>M7/R7</f>
        <v>0.20423990333309444</v>
      </c>
      <c r="W7" s="56">
        <f>R7/S7</f>
        <v>8.3734565341380378</v>
      </c>
    </row>
    <row r="8" spans="1:26" ht="15.75">
      <c r="B8" s="1808"/>
      <c r="C8" s="1866"/>
      <c r="D8" s="1592"/>
      <c r="E8" s="1867"/>
      <c r="F8" s="1866"/>
    </row>
    <row r="9" spans="1:26" ht="20.25" customHeight="1">
      <c r="A9" s="1808"/>
      <c r="B9" s="1808"/>
      <c r="C9" s="1866"/>
      <c r="D9" s="1592"/>
      <c r="E9" s="1867"/>
      <c r="F9" s="1866"/>
    </row>
    <row r="10" spans="1:2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546"/>
    </row>
    <row r="12" spans="1:26">
      <c r="A12" s="1808"/>
      <c r="B12" s="1808"/>
      <c r="C12" s="1887" t="s">
        <v>314</v>
      </c>
      <c r="D12" s="1924">
        <f>D15+D21+D27+D34+D40+D46+D52+D58+D64</f>
        <v>974655.0503</v>
      </c>
      <c r="E12" s="1948">
        <f>E15+E21+E27+E34+E40+E46+E52+E58+E64</f>
        <v>983826.09600000002</v>
      </c>
      <c r="F12" s="1924">
        <f>D12+E12</f>
        <v>1958481.1463000001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547" t="s">
        <v>262</v>
      </c>
    </row>
    <row r="14" spans="1:26"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531" t="s">
        <v>326</v>
      </c>
    </row>
    <row r="15" spans="1:26">
      <c r="B15" s="1886" t="s">
        <v>312</v>
      </c>
      <c r="C15" s="1910" t="s">
        <v>46</v>
      </c>
      <c r="D15" s="1911">
        <f>SUM(D16:D19)</f>
        <v>54250.900000000009</v>
      </c>
      <c r="E15" s="1926">
        <f>SUM(E16:E19)</f>
        <v>55607.200000000012</v>
      </c>
      <c r="F15" s="1924">
        <f>D15+E15</f>
        <v>109858.10000000002</v>
      </c>
      <c r="H15" s="1938" t="s">
        <v>327</v>
      </c>
      <c r="I15" s="1939"/>
      <c r="J15" s="1939"/>
      <c r="K15" s="1940"/>
      <c r="L15" s="1941">
        <f>SUMPRODUCT(L16:L179,S16:S179)</f>
        <v>2995298</v>
      </c>
      <c r="M15" s="1941">
        <f>SUM(M16:M179)</f>
        <v>56527.199999999997</v>
      </c>
      <c r="N15" s="1942"/>
      <c r="O15" s="1940">
        <v>20</v>
      </c>
      <c r="P15" s="1940"/>
      <c r="Q15" s="1940"/>
      <c r="R15" s="1940"/>
      <c r="S15" s="1940"/>
      <c r="T15" s="1943">
        <f t="shared" ref="T15:Y15" si="1">SUM(T16:T65)</f>
        <v>102945.8</v>
      </c>
      <c r="U15" s="1943">
        <f t="shared" si="1"/>
        <v>130945.8</v>
      </c>
      <c r="V15" s="1943">
        <f t="shared" si="1"/>
        <v>233891.6</v>
      </c>
      <c r="W15" s="1941">
        <f t="shared" si="1"/>
        <v>654214</v>
      </c>
      <c r="X15" s="1941">
        <f t="shared" si="1"/>
        <v>660214</v>
      </c>
      <c r="Y15" s="1941">
        <f t="shared" si="1"/>
        <v>1314428</v>
      </c>
      <c r="Z15" s="2534">
        <v>0</v>
      </c>
    </row>
    <row r="16" spans="1:26">
      <c r="B16" s="1885">
        <v>0.05</v>
      </c>
      <c r="C16" s="1876" t="s">
        <v>791</v>
      </c>
      <c r="D16" s="1907">
        <v>4931.9000000000005</v>
      </c>
      <c r="E16" s="1906">
        <v>5055.2000000000007</v>
      </c>
      <c r="F16" s="1879">
        <f>SUM(D16:E16)</f>
        <v>9987.1000000000022</v>
      </c>
      <c r="H16" s="2599" t="s">
        <v>1259</v>
      </c>
      <c r="I16" s="2610">
        <v>2</v>
      </c>
      <c r="J16" s="1932" t="s">
        <v>582</v>
      </c>
      <c r="K16" s="2605" t="s">
        <v>909</v>
      </c>
      <c r="L16" s="2606">
        <v>2.1</v>
      </c>
      <c r="M16" s="2609">
        <v>2.1</v>
      </c>
      <c r="N16" s="1923">
        <v>1.5273494835267722E-2</v>
      </c>
      <c r="O16" s="1922">
        <v>10</v>
      </c>
      <c r="P16" s="1925" t="s">
        <v>910</v>
      </c>
      <c r="Q16" s="1928">
        <v>1000</v>
      </c>
      <c r="R16" s="1928">
        <v>1000</v>
      </c>
      <c r="S16" s="1931">
        <f>SUM(Q16:R16)</f>
        <v>2000</v>
      </c>
      <c r="T16" s="1931">
        <f>Q16*I16</f>
        <v>2000</v>
      </c>
      <c r="U16" s="1931">
        <f>R16*I16</f>
        <v>2000</v>
      </c>
      <c r="V16" s="1931">
        <f>SUM(T16:U16)</f>
        <v>4000</v>
      </c>
      <c r="W16" s="1921">
        <f>Q16*M16</f>
        <v>2100</v>
      </c>
      <c r="X16" s="1921">
        <f>R16*M16</f>
        <v>2100</v>
      </c>
      <c r="Y16" s="1921">
        <f>SUM(W16:X16)</f>
        <v>4200</v>
      </c>
      <c r="Z16" s="2533">
        <v>4.8499999999999996</v>
      </c>
    </row>
    <row r="17" spans="2:26">
      <c r="B17" s="1885">
        <v>0.2</v>
      </c>
      <c r="C17" s="1876" t="s">
        <v>792</v>
      </c>
      <c r="D17" s="1905">
        <v>19727.600000000002</v>
      </c>
      <c r="E17" s="1904">
        <v>20220.800000000003</v>
      </c>
      <c r="F17" s="1879">
        <f t="shared" ref="F17:F19" si="2">SUM(D17:E17)</f>
        <v>39948.400000000009</v>
      </c>
      <c r="H17" s="2599" t="s">
        <v>1260</v>
      </c>
      <c r="I17" s="2610">
        <v>0.09</v>
      </c>
      <c r="J17" s="1932" t="s">
        <v>582</v>
      </c>
      <c r="K17" s="2605" t="s">
        <v>1067</v>
      </c>
      <c r="L17" s="2606">
        <v>1.06</v>
      </c>
      <c r="M17" s="2609">
        <v>0.75</v>
      </c>
      <c r="N17" s="1923">
        <v>3.4365363379352372E-2</v>
      </c>
      <c r="O17" s="1922">
        <v>30</v>
      </c>
      <c r="P17" s="1925" t="s">
        <v>1084</v>
      </c>
      <c r="Q17" s="1928">
        <v>50000</v>
      </c>
      <c r="R17" s="1928">
        <v>50000</v>
      </c>
      <c r="S17" s="1931">
        <f t="shared" ref="S17:S30" si="3">SUM(Q17:R17)</f>
        <v>100000</v>
      </c>
      <c r="T17" s="1931">
        <f t="shared" ref="T17:T30" si="4">Q17*I17</f>
        <v>4500</v>
      </c>
      <c r="U17" s="1931">
        <f t="shared" ref="U17:U30" si="5">R17*I17</f>
        <v>4500</v>
      </c>
      <c r="V17" s="1931">
        <f t="shared" ref="V17:V30" si="6">SUM(T17:U17)</f>
        <v>9000</v>
      </c>
      <c r="W17" s="1921">
        <f t="shared" ref="W17:W30" si="7">Q17*M17</f>
        <v>37500</v>
      </c>
      <c r="X17" s="1921">
        <f t="shared" ref="X17:X30" si="8">R17*M17</f>
        <v>37500</v>
      </c>
      <c r="Y17" s="1921">
        <f t="shared" ref="Y17:Y30" si="9">SUM(W17:X17)</f>
        <v>75000</v>
      </c>
      <c r="Z17" s="2533">
        <v>0</v>
      </c>
    </row>
    <row r="18" spans="2:26">
      <c r="B18" s="1885">
        <v>0.1</v>
      </c>
      <c r="C18" s="2197" t="s">
        <v>794</v>
      </c>
      <c r="D18" s="1905">
        <v>9863.8000000000011</v>
      </c>
      <c r="E18" s="1904">
        <v>10110.400000000001</v>
      </c>
      <c r="F18" s="1879">
        <f t="shared" si="2"/>
        <v>19974.200000000004</v>
      </c>
      <c r="H18" s="2599" t="s">
        <v>1261</v>
      </c>
      <c r="I18" s="2610">
        <v>0.06</v>
      </c>
      <c r="J18" s="1932" t="s">
        <v>582</v>
      </c>
      <c r="K18" s="2605" t="s">
        <v>1067</v>
      </c>
      <c r="L18" s="2606">
        <v>0.75</v>
      </c>
      <c r="M18" s="2609">
        <v>0.75</v>
      </c>
      <c r="N18" s="1923">
        <v>4.5820484505803165E-2</v>
      </c>
      <c r="O18" s="1922">
        <v>30</v>
      </c>
      <c r="P18" s="1925" t="s">
        <v>1084</v>
      </c>
      <c r="Q18" s="1928">
        <v>100000</v>
      </c>
      <c r="R18" s="1928">
        <v>100000</v>
      </c>
      <c r="S18" s="1931">
        <f t="shared" si="3"/>
        <v>200000</v>
      </c>
      <c r="T18" s="1931">
        <f t="shared" si="4"/>
        <v>6000</v>
      </c>
      <c r="U18" s="1931">
        <f t="shared" si="5"/>
        <v>6000</v>
      </c>
      <c r="V18" s="1931">
        <f t="shared" si="6"/>
        <v>12000</v>
      </c>
      <c r="W18" s="1921">
        <f t="shared" si="7"/>
        <v>75000</v>
      </c>
      <c r="X18" s="1921">
        <f t="shared" si="8"/>
        <v>75000</v>
      </c>
      <c r="Y18" s="1921">
        <f t="shared" si="9"/>
        <v>150000</v>
      </c>
      <c r="Z18" s="2533">
        <v>0</v>
      </c>
    </row>
    <row r="19" spans="2:26">
      <c r="B19" s="1885">
        <v>0.2</v>
      </c>
      <c r="C19" s="2197" t="s">
        <v>967</v>
      </c>
      <c r="D19" s="2242">
        <v>19727.600000000002</v>
      </c>
      <c r="E19" s="2079">
        <v>20220.800000000003</v>
      </c>
      <c r="F19" s="1879">
        <f t="shared" si="2"/>
        <v>39948.400000000009</v>
      </c>
      <c r="H19" s="2599" t="s">
        <v>1262</v>
      </c>
      <c r="I19" s="2610">
        <v>1923</v>
      </c>
      <c r="J19" s="1932" t="s">
        <v>582</v>
      </c>
      <c r="K19" s="2605" t="s">
        <v>1066</v>
      </c>
      <c r="L19" s="2606">
        <v>36251</v>
      </c>
      <c r="M19" s="2609">
        <v>11660</v>
      </c>
      <c r="N19" s="1923">
        <v>1.4685465284109914E-2</v>
      </c>
      <c r="O19" s="1922">
        <v>24</v>
      </c>
      <c r="P19" s="1925" t="s">
        <v>1249</v>
      </c>
      <c r="Q19" s="1928">
        <v>1</v>
      </c>
      <c r="R19" s="1928">
        <v>1</v>
      </c>
      <c r="S19" s="1931">
        <f t="shared" si="3"/>
        <v>2</v>
      </c>
      <c r="T19" s="1931">
        <f t="shared" si="4"/>
        <v>1923</v>
      </c>
      <c r="U19" s="1931">
        <f t="shared" si="5"/>
        <v>1923</v>
      </c>
      <c r="V19" s="1931">
        <f t="shared" si="6"/>
        <v>3846</v>
      </c>
      <c r="W19" s="1921">
        <f t="shared" si="7"/>
        <v>11660</v>
      </c>
      <c r="X19" s="1921">
        <f t="shared" si="8"/>
        <v>11660</v>
      </c>
      <c r="Y19" s="1921">
        <f t="shared" si="9"/>
        <v>23320</v>
      </c>
      <c r="Z19" s="2533">
        <v>0</v>
      </c>
    </row>
    <row r="20" spans="2:26">
      <c r="B20" s="2926">
        <f>SUM(B16:B19)</f>
        <v>0.55000000000000004</v>
      </c>
      <c r="C20" s="1952"/>
      <c r="D20" s="1954"/>
      <c r="E20" s="1955"/>
      <c r="F20" s="1957"/>
      <c r="H20" s="2599" t="s">
        <v>1263</v>
      </c>
      <c r="I20" s="2610">
        <v>1100</v>
      </c>
      <c r="J20" s="1932" t="s">
        <v>582</v>
      </c>
      <c r="K20" s="2605" t="s">
        <v>1066</v>
      </c>
      <c r="L20" s="2606">
        <v>11560</v>
      </c>
      <c r="M20" s="2609">
        <v>5500</v>
      </c>
      <c r="N20" s="1923">
        <v>8.4004221593972465E-3</v>
      </c>
      <c r="O20" s="1922">
        <v>15</v>
      </c>
      <c r="P20" s="1925" t="s">
        <v>1072</v>
      </c>
      <c r="Q20" s="1928">
        <v>1</v>
      </c>
      <c r="R20" s="1928">
        <v>1</v>
      </c>
      <c r="S20" s="1931">
        <f t="shared" si="3"/>
        <v>2</v>
      </c>
      <c r="T20" s="1931">
        <f t="shared" si="4"/>
        <v>1100</v>
      </c>
      <c r="U20" s="1931">
        <f t="shared" si="5"/>
        <v>1100</v>
      </c>
      <c r="V20" s="1931">
        <f t="shared" si="6"/>
        <v>2200</v>
      </c>
      <c r="W20" s="1921">
        <f t="shared" si="7"/>
        <v>5500</v>
      </c>
      <c r="X20" s="1921">
        <f t="shared" si="8"/>
        <v>5500</v>
      </c>
      <c r="Y20" s="1921">
        <f t="shared" si="9"/>
        <v>11000</v>
      </c>
      <c r="Z20" s="2533">
        <v>0</v>
      </c>
    </row>
    <row r="21" spans="2:26">
      <c r="C21" s="1910" t="s">
        <v>47</v>
      </c>
      <c r="D21" s="1911">
        <f>SUM(D22:D25)</f>
        <v>14400.000000000002</v>
      </c>
      <c r="E21" s="1926">
        <f>SUM(E22:E25)</f>
        <v>14400.000000000002</v>
      </c>
      <c r="F21" s="2157">
        <f>D21+E21</f>
        <v>28800.000000000004</v>
      </c>
      <c r="H21" s="2599" t="s">
        <v>1264</v>
      </c>
      <c r="I21" s="2610">
        <v>412</v>
      </c>
      <c r="J21" s="1932" t="s">
        <v>582</v>
      </c>
      <c r="K21" s="2605" t="s">
        <v>1066</v>
      </c>
      <c r="L21" s="2606">
        <v>3600</v>
      </c>
      <c r="M21" s="2609">
        <v>1686</v>
      </c>
      <c r="N21" s="1923">
        <v>3.1463399360651505E-3</v>
      </c>
      <c r="O21" s="1922">
        <v>24</v>
      </c>
      <c r="P21" s="1925" t="s">
        <v>1072</v>
      </c>
      <c r="Q21" s="1928">
        <v>1</v>
      </c>
      <c r="R21" s="1928">
        <v>1</v>
      </c>
      <c r="S21" s="1931">
        <f t="shared" si="3"/>
        <v>2</v>
      </c>
      <c r="T21" s="1931">
        <f t="shared" si="4"/>
        <v>412</v>
      </c>
      <c r="U21" s="1931">
        <f t="shared" si="5"/>
        <v>412</v>
      </c>
      <c r="V21" s="1931">
        <f t="shared" si="6"/>
        <v>824</v>
      </c>
      <c r="W21" s="1921">
        <f t="shared" si="7"/>
        <v>1686</v>
      </c>
      <c r="X21" s="1921">
        <f t="shared" si="8"/>
        <v>1686</v>
      </c>
      <c r="Y21" s="1921">
        <f t="shared" si="9"/>
        <v>3372</v>
      </c>
      <c r="Z21" s="2533">
        <v>0</v>
      </c>
    </row>
    <row r="22" spans="2:26">
      <c r="C22" s="1876" t="s">
        <v>968</v>
      </c>
      <c r="D22" s="1907">
        <v>11200.000000000002</v>
      </c>
      <c r="E22" s="1906">
        <v>11200.000000000002</v>
      </c>
      <c r="F22" s="1879">
        <f t="shared" ref="F22:F25" si="10">SUM(D22:E22)</f>
        <v>22400.000000000004</v>
      </c>
      <c r="H22" s="2599" t="s">
        <v>1265</v>
      </c>
      <c r="I22" s="2610">
        <v>734</v>
      </c>
      <c r="J22" s="1932" t="s">
        <v>582</v>
      </c>
      <c r="K22" s="2605" t="s">
        <v>1066</v>
      </c>
      <c r="L22" s="2606">
        <v>6000</v>
      </c>
      <c r="M22" s="2609">
        <v>3670</v>
      </c>
      <c r="N22" s="1923">
        <v>2.2421490418173016E-2</v>
      </c>
      <c r="O22" s="1922">
        <v>24</v>
      </c>
      <c r="P22" s="1925" t="s">
        <v>1249</v>
      </c>
      <c r="Q22" s="1928">
        <v>4</v>
      </c>
      <c r="R22" s="1928">
        <v>4</v>
      </c>
      <c r="S22" s="1931">
        <f t="shared" si="3"/>
        <v>8</v>
      </c>
      <c r="T22" s="1931">
        <f t="shared" si="4"/>
        <v>2936</v>
      </c>
      <c r="U22" s="1931">
        <f t="shared" si="5"/>
        <v>2936</v>
      </c>
      <c r="V22" s="1931">
        <f t="shared" si="6"/>
        <v>5872</v>
      </c>
      <c r="W22" s="1921">
        <f t="shared" si="7"/>
        <v>14680</v>
      </c>
      <c r="X22" s="1921">
        <f t="shared" si="8"/>
        <v>14680</v>
      </c>
      <c r="Y22" s="1921">
        <f t="shared" si="9"/>
        <v>29360</v>
      </c>
      <c r="Z22" s="2533">
        <v>0</v>
      </c>
    </row>
    <row r="23" spans="2:26">
      <c r="C23" s="1876" t="s">
        <v>1193</v>
      </c>
      <c r="D23" s="2053">
        <v>3200</v>
      </c>
      <c r="E23" s="2054">
        <v>3200</v>
      </c>
      <c r="F23" s="1879">
        <f t="shared" si="10"/>
        <v>6400</v>
      </c>
      <c r="H23" s="2599" t="s">
        <v>1266</v>
      </c>
      <c r="I23" s="2610">
        <v>0.05</v>
      </c>
      <c r="J23" s="1932" t="s">
        <v>582</v>
      </c>
      <c r="K23" s="2605" t="s">
        <v>1067</v>
      </c>
      <c r="L23" s="2606">
        <v>1.59</v>
      </c>
      <c r="M23" s="2609">
        <v>0.75</v>
      </c>
      <c r="N23" s="1923">
        <v>3.8183737088169304E-3</v>
      </c>
      <c r="O23" s="1922">
        <v>30</v>
      </c>
      <c r="P23" s="1925" t="s">
        <v>1084</v>
      </c>
      <c r="Q23" s="1928">
        <v>10000</v>
      </c>
      <c r="R23" s="1928">
        <v>10000</v>
      </c>
      <c r="S23" s="1931">
        <f t="shared" si="3"/>
        <v>20000</v>
      </c>
      <c r="T23" s="1931">
        <f t="shared" si="4"/>
        <v>500</v>
      </c>
      <c r="U23" s="1931">
        <f t="shared" si="5"/>
        <v>500</v>
      </c>
      <c r="V23" s="1931">
        <f t="shared" si="6"/>
        <v>1000</v>
      </c>
      <c r="W23" s="1921">
        <f t="shared" si="7"/>
        <v>7500</v>
      </c>
      <c r="X23" s="1921">
        <f t="shared" si="8"/>
        <v>7500</v>
      </c>
      <c r="Y23" s="1921">
        <f t="shared" si="9"/>
        <v>15000</v>
      </c>
      <c r="Z23" s="2533">
        <v>0</v>
      </c>
    </row>
    <row r="24" spans="2:26">
      <c r="C24" s="1876"/>
      <c r="D24" s="1898"/>
      <c r="E24" s="1897"/>
      <c r="F24" s="1879">
        <f t="shared" si="10"/>
        <v>0</v>
      </c>
      <c r="H24" s="2599" t="s">
        <v>1267</v>
      </c>
      <c r="I24" s="2610">
        <v>72</v>
      </c>
      <c r="J24" s="1932" t="s">
        <v>582</v>
      </c>
      <c r="K24" s="2605" t="s">
        <v>966</v>
      </c>
      <c r="L24" s="2606">
        <v>562</v>
      </c>
      <c r="M24" s="2609">
        <v>200</v>
      </c>
      <c r="N24" s="1923">
        <v>6.5981497688356559E-3</v>
      </c>
      <c r="O24" s="1922">
        <v>20</v>
      </c>
      <c r="P24" s="1925" t="s">
        <v>1084</v>
      </c>
      <c r="Q24" s="1928">
        <v>12</v>
      </c>
      <c r="R24" s="1928">
        <v>12</v>
      </c>
      <c r="S24" s="1931">
        <f t="shared" si="3"/>
        <v>24</v>
      </c>
      <c r="T24" s="1931">
        <f t="shared" si="4"/>
        <v>864</v>
      </c>
      <c r="U24" s="1931">
        <f t="shared" si="5"/>
        <v>864</v>
      </c>
      <c r="V24" s="1931">
        <f t="shared" si="6"/>
        <v>1728</v>
      </c>
      <c r="W24" s="1921">
        <f t="shared" si="7"/>
        <v>2400</v>
      </c>
      <c r="X24" s="1921">
        <f t="shared" si="8"/>
        <v>2400</v>
      </c>
      <c r="Y24" s="1921">
        <f t="shared" si="9"/>
        <v>4800</v>
      </c>
      <c r="Z24" s="2533">
        <v>0</v>
      </c>
    </row>
    <row r="25" spans="2:26">
      <c r="C25" s="1876"/>
      <c r="D25" s="1896"/>
      <c r="E25" s="1899"/>
      <c r="F25" s="1879">
        <f t="shared" si="10"/>
        <v>0</v>
      </c>
      <c r="H25" s="2599" t="s">
        <v>1268</v>
      </c>
      <c r="I25" s="2610">
        <v>129.69999999999999</v>
      </c>
      <c r="J25" s="1932" t="s">
        <v>582</v>
      </c>
      <c r="K25" s="2605" t="s">
        <v>966</v>
      </c>
      <c r="L25" s="2606">
        <v>1526</v>
      </c>
      <c r="M25" s="2609">
        <v>800</v>
      </c>
      <c r="N25" s="1923">
        <v>1.1885833680805339E-2</v>
      </c>
      <c r="O25" s="1922">
        <v>18</v>
      </c>
      <c r="P25" s="1925" t="s">
        <v>1084</v>
      </c>
      <c r="Q25" s="1928">
        <v>12</v>
      </c>
      <c r="R25" s="1928">
        <v>12</v>
      </c>
      <c r="S25" s="1931">
        <f t="shared" si="3"/>
        <v>24</v>
      </c>
      <c r="T25" s="1931">
        <f t="shared" si="4"/>
        <v>1556.3999999999999</v>
      </c>
      <c r="U25" s="1931">
        <f t="shared" si="5"/>
        <v>1556.3999999999999</v>
      </c>
      <c r="V25" s="1931">
        <f t="shared" si="6"/>
        <v>3112.7999999999997</v>
      </c>
      <c r="W25" s="1921">
        <f t="shared" si="7"/>
        <v>9600</v>
      </c>
      <c r="X25" s="1921">
        <f t="shared" si="8"/>
        <v>9600</v>
      </c>
      <c r="Y25" s="1921">
        <f t="shared" si="9"/>
        <v>19200</v>
      </c>
      <c r="Z25" s="2533">
        <v>0</v>
      </c>
    </row>
    <row r="26" spans="2:26">
      <c r="C26" s="1877"/>
      <c r="D26" s="1892"/>
      <c r="E26" s="1884"/>
      <c r="F26" s="1892"/>
      <c r="H26" s="2599" t="s">
        <v>1269</v>
      </c>
      <c r="I26" s="2610">
        <v>89.3</v>
      </c>
      <c r="J26" s="1932" t="s">
        <v>582</v>
      </c>
      <c r="K26" s="2605" t="s">
        <v>966</v>
      </c>
      <c r="L26" s="2606">
        <v>1393</v>
      </c>
      <c r="M26" s="2609">
        <v>350</v>
      </c>
      <c r="N26" s="1923">
        <v>8.1835385327364441E-3</v>
      </c>
      <c r="O26" s="1922">
        <v>20</v>
      </c>
      <c r="P26" s="1925" t="s">
        <v>1084</v>
      </c>
      <c r="Q26" s="1928">
        <v>12</v>
      </c>
      <c r="R26" s="1928">
        <v>12</v>
      </c>
      <c r="S26" s="1931">
        <f t="shared" si="3"/>
        <v>24</v>
      </c>
      <c r="T26" s="1931">
        <f t="shared" si="4"/>
        <v>1071.5999999999999</v>
      </c>
      <c r="U26" s="1931">
        <f t="shared" si="5"/>
        <v>1071.5999999999999</v>
      </c>
      <c r="V26" s="1931">
        <f t="shared" si="6"/>
        <v>2143.1999999999998</v>
      </c>
      <c r="W26" s="1921">
        <f t="shared" si="7"/>
        <v>4200</v>
      </c>
      <c r="X26" s="1921">
        <f t="shared" si="8"/>
        <v>4200</v>
      </c>
      <c r="Y26" s="1921">
        <f t="shared" si="9"/>
        <v>8400</v>
      </c>
      <c r="Z26" s="2533">
        <v>0</v>
      </c>
    </row>
    <row r="27" spans="2:26">
      <c r="C27" s="1910" t="s">
        <v>48</v>
      </c>
      <c r="D27" s="1911">
        <f>SUM(D29:D32)</f>
        <v>45790.150300000008</v>
      </c>
      <c r="E27" s="1926">
        <f>SUM(E29:E32)</f>
        <v>47604.896000000008</v>
      </c>
      <c r="F27" s="2157">
        <f>D27+E27</f>
        <v>93395.046300000016</v>
      </c>
      <c r="H27" s="2599" t="s">
        <v>1270</v>
      </c>
      <c r="I27" s="2610">
        <v>82.4</v>
      </c>
      <c r="J27" s="1932" t="s">
        <v>582</v>
      </c>
      <c r="K27" s="2605" t="s">
        <v>966</v>
      </c>
      <c r="L27" s="2606">
        <v>603</v>
      </c>
      <c r="M27" s="2609">
        <v>250</v>
      </c>
      <c r="N27" s="1923">
        <v>7.5512158465563615E-3</v>
      </c>
      <c r="O27" s="1922">
        <v>18</v>
      </c>
      <c r="P27" s="1925" t="s">
        <v>1084</v>
      </c>
      <c r="Q27" s="1928">
        <v>12</v>
      </c>
      <c r="R27" s="1928">
        <v>12</v>
      </c>
      <c r="S27" s="1931">
        <f t="shared" si="3"/>
        <v>24</v>
      </c>
      <c r="T27" s="1931">
        <f t="shared" si="4"/>
        <v>988.80000000000007</v>
      </c>
      <c r="U27" s="1931">
        <f t="shared" si="5"/>
        <v>988.80000000000007</v>
      </c>
      <c r="V27" s="1931">
        <f t="shared" si="6"/>
        <v>1977.6000000000001</v>
      </c>
      <c r="W27" s="1921">
        <f t="shared" si="7"/>
        <v>3000</v>
      </c>
      <c r="X27" s="1921">
        <f t="shared" si="8"/>
        <v>3000</v>
      </c>
      <c r="Y27" s="1921">
        <f t="shared" si="9"/>
        <v>6000</v>
      </c>
      <c r="Z27" s="2533">
        <v>0</v>
      </c>
    </row>
    <row r="28" spans="2:26">
      <c r="C28" s="1909" t="s">
        <v>315</v>
      </c>
      <c r="D28" s="1912">
        <v>0.66700000000000004</v>
      </c>
      <c r="E28" s="1913">
        <v>0.68</v>
      </c>
      <c r="F28" s="1949"/>
      <c r="H28" s="2599" t="s">
        <v>1271</v>
      </c>
      <c r="I28" s="2610">
        <v>13</v>
      </c>
      <c r="J28" s="1932" t="s">
        <v>582</v>
      </c>
      <c r="K28" s="2605" t="s">
        <v>909</v>
      </c>
      <c r="L28" s="2606">
        <v>18</v>
      </c>
      <c r="M28" s="2609">
        <v>18</v>
      </c>
      <c r="N28" s="1923">
        <v>2.4819429107310047E-2</v>
      </c>
      <c r="O28" s="1922">
        <v>10</v>
      </c>
      <c r="P28" s="1925" t="s">
        <v>910</v>
      </c>
      <c r="Q28" s="1928">
        <v>250</v>
      </c>
      <c r="R28" s="1928">
        <v>250</v>
      </c>
      <c r="S28" s="1931">
        <f t="shared" si="3"/>
        <v>500</v>
      </c>
      <c r="T28" s="1931">
        <f t="shared" si="4"/>
        <v>3250</v>
      </c>
      <c r="U28" s="1931">
        <f t="shared" si="5"/>
        <v>3250</v>
      </c>
      <c r="V28" s="1931">
        <f t="shared" si="6"/>
        <v>6500</v>
      </c>
      <c r="W28" s="1921">
        <f t="shared" si="7"/>
        <v>4500</v>
      </c>
      <c r="X28" s="1921">
        <f t="shared" si="8"/>
        <v>4500</v>
      </c>
      <c r="Y28" s="1921">
        <f t="shared" si="9"/>
        <v>9000</v>
      </c>
      <c r="Z28" s="2533">
        <v>24.31</v>
      </c>
    </row>
    <row r="29" spans="2:26">
      <c r="C29" s="1876" t="s">
        <v>778</v>
      </c>
      <c r="D29" s="1971">
        <f>D15*D28</f>
        <v>36185.350300000006</v>
      </c>
      <c r="E29" s="1972">
        <f>E15*E28</f>
        <v>37812.896000000008</v>
      </c>
      <c r="F29" s="1879">
        <f t="shared" ref="F29:F32" si="11">SUM(D29:E29)</f>
        <v>73998.246300000013</v>
      </c>
      <c r="H29" s="2599" t="s">
        <v>1227</v>
      </c>
      <c r="I29" s="2610">
        <v>15</v>
      </c>
      <c r="J29" s="1932" t="s">
        <v>582</v>
      </c>
      <c r="K29" s="2605" t="s">
        <v>909</v>
      </c>
      <c r="L29" s="2606">
        <v>58</v>
      </c>
      <c r="M29" s="2609">
        <v>58</v>
      </c>
      <c r="N29" s="1923">
        <v>2.8637802816126975E-2</v>
      </c>
      <c r="O29" s="1922">
        <v>10</v>
      </c>
      <c r="P29" s="1925" t="s">
        <v>910</v>
      </c>
      <c r="Q29" s="1928">
        <v>250</v>
      </c>
      <c r="R29" s="1928">
        <v>250</v>
      </c>
      <c r="S29" s="1931">
        <f t="shared" si="3"/>
        <v>500</v>
      </c>
      <c r="T29" s="1931">
        <f t="shared" si="4"/>
        <v>3750</v>
      </c>
      <c r="U29" s="1931">
        <f t="shared" si="5"/>
        <v>3750</v>
      </c>
      <c r="V29" s="1931">
        <f t="shared" si="6"/>
        <v>7500</v>
      </c>
      <c r="W29" s="1921">
        <f t="shared" si="7"/>
        <v>14500</v>
      </c>
      <c r="X29" s="1921">
        <f t="shared" si="8"/>
        <v>14500</v>
      </c>
      <c r="Y29" s="1921">
        <f t="shared" si="9"/>
        <v>29000</v>
      </c>
      <c r="Z29" s="2533">
        <v>42.32</v>
      </c>
    </row>
    <row r="30" spans="2:26">
      <c r="C30" s="1876" t="s">
        <v>779</v>
      </c>
      <c r="D30" s="1973">
        <f>D21*D28</f>
        <v>9604.8000000000011</v>
      </c>
      <c r="E30" s="1972">
        <f>E21*E28</f>
        <v>9792.0000000000018</v>
      </c>
      <c r="F30" s="1879">
        <f t="shared" si="11"/>
        <v>19396.800000000003</v>
      </c>
      <c r="H30" s="2599" t="s">
        <v>1228</v>
      </c>
      <c r="I30" s="2610">
        <v>15</v>
      </c>
      <c r="J30" s="1932" t="s">
        <v>582</v>
      </c>
      <c r="K30" s="2605" t="s">
        <v>909</v>
      </c>
      <c r="L30" s="2606">
        <v>41</v>
      </c>
      <c r="M30" s="2609">
        <v>41</v>
      </c>
      <c r="N30" s="1923">
        <v>9.164096901160633E-2</v>
      </c>
      <c r="O30" s="1922">
        <v>10</v>
      </c>
      <c r="P30" s="1925" t="s">
        <v>910</v>
      </c>
      <c r="Q30" s="1928">
        <v>800</v>
      </c>
      <c r="R30" s="1928">
        <v>800</v>
      </c>
      <c r="S30" s="1931">
        <f t="shared" si="3"/>
        <v>1600</v>
      </c>
      <c r="T30" s="1931">
        <f t="shared" si="4"/>
        <v>12000</v>
      </c>
      <c r="U30" s="1931">
        <f t="shared" si="5"/>
        <v>12000</v>
      </c>
      <c r="V30" s="1931">
        <f t="shared" si="6"/>
        <v>24000</v>
      </c>
      <c r="W30" s="1921">
        <f t="shared" si="7"/>
        <v>32800</v>
      </c>
      <c r="X30" s="1921">
        <f t="shared" si="8"/>
        <v>32800</v>
      </c>
      <c r="Y30" s="1921">
        <f t="shared" si="9"/>
        <v>65600</v>
      </c>
      <c r="Z30" s="2533">
        <v>42.32</v>
      </c>
    </row>
    <row r="31" spans="2:26">
      <c r="C31" s="1901"/>
      <c r="D31" s="1898"/>
      <c r="E31" s="1897"/>
      <c r="F31" s="1879">
        <f t="shared" si="11"/>
        <v>0</v>
      </c>
      <c r="H31" s="2599" t="s">
        <v>1229</v>
      </c>
      <c r="I31" s="2610">
        <v>2.6</v>
      </c>
      <c r="J31" s="1932" t="s">
        <v>582</v>
      </c>
      <c r="K31" s="2605" t="s">
        <v>909</v>
      </c>
      <c r="L31" s="2606">
        <v>33</v>
      </c>
      <c r="M31" s="2609">
        <v>33</v>
      </c>
      <c r="N31" s="1923">
        <v>1.4891657464386029E-2</v>
      </c>
      <c r="O31" s="1922">
        <v>10</v>
      </c>
      <c r="P31" s="1925" t="s">
        <v>910</v>
      </c>
      <c r="Q31" s="1928">
        <v>750</v>
      </c>
      <c r="R31" s="1928">
        <v>750</v>
      </c>
      <c r="S31" s="1931">
        <f t="shared" ref="S31:S38" si="12">SUM(Q31:R31)</f>
        <v>1500</v>
      </c>
      <c r="T31" s="1931">
        <f t="shared" ref="T31:T38" si="13">Q31*I31</f>
        <v>1950</v>
      </c>
      <c r="U31" s="1931">
        <f t="shared" ref="U31:U38" si="14">R31*I31</f>
        <v>1950</v>
      </c>
      <c r="V31" s="1931">
        <f t="shared" ref="V31:V38" si="15">SUM(T31:U31)</f>
        <v>3900</v>
      </c>
      <c r="W31" s="1921">
        <f t="shared" ref="W31:W38" si="16">Q31*M31</f>
        <v>24750</v>
      </c>
      <c r="X31" s="1921">
        <f t="shared" ref="X31:X38" si="17">R31*M31</f>
        <v>24750</v>
      </c>
      <c r="Y31" s="1921">
        <f t="shared" ref="Y31:Y38" si="18">SUM(W31:X31)</f>
        <v>49500</v>
      </c>
      <c r="Z31" s="2533">
        <v>18.010000000000002</v>
      </c>
    </row>
    <row r="32" spans="2:26">
      <c r="C32" s="1901"/>
      <c r="D32" s="1896"/>
      <c r="E32" s="1899"/>
      <c r="F32" s="1879">
        <f t="shared" si="11"/>
        <v>0</v>
      </c>
      <c r="H32" s="2599" t="s">
        <v>1272</v>
      </c>
      <c r="I32" s="2610">
        <v>2724</v>
      </c>
      <c r="J32" s="1932" t="s">
        <v>582</v>
      </c>
      <c r="K32" s="2605" t="s">
        <v>1066</v>
      </c>
      <c r="L32" s="2606">
        <v>63620</v>
      </c>
      <c r="M32" s="2609">
        <v>27238</v>
      </c>
      <c r="N32" s="1923">
        <v>2.0802499965634637E-2</v>
      </c>
      <c r="O32" s="1922">
        <v>15</v>
      </c>
      <c r="P32" s="1925" t="s">
        <v>1249</v>
      </c>
      <c r="Q32" s="1928">
        <v>1</v>
      </c>
      <c r="R32" s="1928">
        <v>1</v>
      </c>
      <c r="S32" s="1931">
        <f t="shared" si="12"/>
        <v>2</v>
      </c>
      <c r="T32" s="1931">
        <f t="shared" si="13"/>
        <v>2724</v>
      </c>
      <c r="U32" s="1931">
        <f t="shared" si="14"/>
        <v>2724</v>
      </c>
      <c r="V32" s="1931">
        <f t="shared" si="15"/>
        <v>5448</v>
      </c>
      <c r="W32" s="1921">
        <f t="shared" si="16"/>
        <v>27238</v>
      </c>
      <c r="X32" s="1921">
        <f t="shared" si="17"/>
        <v>27238</v>
      </c>
      <c r="Y32" s="1921">
        <f t="shared" si="18"/>
        <v>54476</v>
      </c>
      <c r="Z32" s="2533">
        <v>0</v>
      </c>
    </row>
    <row r="33" spans="1:26">
      <c r="C33" s="1952"/>
      <c r="D33" s="1958"/>
      <c r="E33" s="1955"/>
      <c r="F33" s="1958"/>
      <c r="H33" s="2599" t="s">
        <v>1273</v>
      </c>
      <c r="I33" s="2610">
        <v>0.05</v>
      </c>
      <c r="J33" s="1932" t="s">
        <v>582</v>
      </c>
      <c r="K33" s="2605" t="s">
        <v>1067</v>
      </c>
      <c r="L33" s="2606">
        <v>0.76</v>
      </c>
      <c r="M33" s="2609">
        <v>0.75</v>
      </c>
      <c r="N33" s="1923">
        <v>7.6367474176338606E-4</v>
      </c>
      <c r="O33" s="1922">
        <v>30</v>
      </c>
      <c r="P33" s="1925" t="s">
        <v>1084</v>
      </c>
      <c r="Q33" s="1928">
        <v>2000</v>
      </c>
      <c r="R33" s="1928">
        <v>2000</v>
      </c>
      <c r="S33" s="1931">
        <f t="shared" si="12"/>
        <v>4000</v>
      </c>
      <c r="T33" s="1931">
        <f t="shared" si="13"/>
        <v>100</v>
      </c>
      <c r="U33" s="1931">
        <f t="shared" si="14"/>
        <v>100</v>
      </c>
      <c r="V33" s="1931">
        <f t="shared" si="15"/>
        <v>200</v>
      </c>
      <c r="W33" s="1921">
        <f t="shared" si="16"/>
        <v>1500</v>
      </c>
      <c r="X33" s="1921">
        <f t="shared" si="17"/>
        <v>1500</v>
      </c>
      <c r="Y33" s="1921">
        <f t="shared" si="18"/>
        <v>3000</v>
      </c>
      <c r="Z33" s="2533">
        <v>0</v>
      </c>
    </row>
    <row r="34" spans="1:26">
      <c r="A34" s="1808" t="s">
        <v>286</v>
      </c>
      <c r="C34" s="1910" t="s">
        <v>49</v>
      </c>
      <c r="D34" s="1911">
        <f>SUM(D35:D38)</f>
        <v>4000</v>
      </c>
      <c r="E34" s="1926">
        <f>SUM(E35:E38)</f>
        <v>4000</v>
      </c>
      <c r="F34" s="2157">
        <f>D34+E34</f>
        <v>8000</v>
      </c>
      <c r="H34" s="1922" t="s">
        <v>1236</v>
      </c>
      <c r="I34" s="2927">
        <v>0.88</v>
      </c>
      <c r="J34" s="1932" t="s">
        <v>582</v>
      </c>
      <c r="K34" s="1922" t="s">
        <v>1067</v>
      </c>
      <c r="L34" s="1929">
        <v>20.61</v>
      </c>
      <c r="M34" s="1929">
        <v>7</v>
      </c>
      <c r="N34" s="1923">
        <v>0.33601688637588989</v>
      </c>
      <c r="O34" s="1922">
        <v>30</v>
      </c>
      <c r="P34" s="1925" t="s">
        <v>1084</v>
      </c>
      <c r="Q34" s="1928">
        <v>50000</v>
      </c>
      <c r="R34" s="1928">
        <v>50000</v>
      </c>
      <c r="S34" s="1931">
        <f t="shared" si="12"/>
        <v>100000</v>
      </c>
      <c r="T34" s="1931">
        <f t="shared" si="13"/>
        <v>44000</v>
      </c>
      <c r="U34" s="1931">
        <f t="shared" si="14"/>
        <v>44000</v>
      </c>
      <c r="V34" s="1931">
        <f t="shared" si="15"/>
        <v>88000</v>
      </c>
      <c r="W34" s="1921">
        <f t="shared" si="16"/>
        <v>350000</v>
      </c>
      <c r="X34" s="1921">
        <f t="shared" si="17"/>
        <v>350000</v>
      </c>
      <c r="Y34" s="1921">
        <f t="shared" si="18"/>
        <v>700000</v>
      </c>
      <c r="Z34" s="2533">
        <v>0</v>
      </c>
    </row>
    <row r="35" spans="1:26">
      <c r="A35" s="1808" t="s">
        <v>287</v>
      </c>
      <c r="C35" s="2197" t="s">
        <v>1194</v>
      </c>
      <c r="D35" s="1971">
        <v>4000</v>
      </c>
      <c r="E35" s="1988">
        <v>4000</v>
      </c>
      <c r="F35" s="1879">
        <f t="shared" ref="F35:F38" si="19">SUM(D35:E35)</f>
        <v>8000</v>
      </c>
      <c r="H35" s="1922" t="s">
        <v>1237</v>
      </c>
      <c r="I35" s="2927">
        <v>0.96</v>
      </c>
      <c r="J35" s="1932" t="s">
        <v>582</v>
      </c>
      <c r="K35" s="1922" t="s">
        <v>1067</v>
      </c>
      <c r="L35" s="1929">
        <v>21.97</v>
      </c>
      <c r="M35" s="1929">
        <v>9</v>
      </c>
      <c r="N35" s="1923">
        <v>1.4662555041857012E-2</v>
      </c>
      <c r="O35" s="1922">
        <v>30</v>
      </c>
      <c r="P35" s="1925" t="s">
        <v>1084</v>
      </c>
      <c r="Q35" s="1928">
        <v>2000</v>
      </c>
      <c r="R35" s="1928">
        <v>2000</v>
      </c>
      <c r="S35" s="1931">
        <f t="shared" si="12"/>
        <v>4000</v>
      </c>
      <c r="T35" s="1931">
        <f t="shared" si="13"/>
        <v>1920</v>
      </c>
      <c r="U35" s="1931">
        <f t="shared" si="14"/>
        <v>1920</v>
      </c>
      <c r="V35" s="1931">
        <f t="shared" si="15"/>
        <v>3840</v>
      </c>
      <c r="W35" s="1921">
        <f t="shared" si="16"/>
        <v>18000</v>
      </c>
      <c r="X35" s="1921">
        <f t="shared" si="17"/>
        <v>18000</v>
      </c>
      <c r="Y35" s="1921">
        <f t="shared" si="18"/>
        <v>36000</v>
      </c>
      <c r="Z35" s="2533">
        <v>0</v>
      </c>
    </row>
    <row r="36" spans="1:26">
      <c r="A36" s="1808" t="s">
        <v>6</v>
      </c>
      <c r="C36" s="1876"/>
      <c r="D36" s="1971"/>
      <c r="E36" s="1988"/>
      <c r="F36" s="1879">
        <f t="shared" si="19"/>
        <v>0</v>
      </c>
      <c r="H36" s="1922" t="s">
        <v>1241</v>
      </c>
      <c r="I36" s="2927">
        <v>6000</v>
      </c>
      <c r="J36" s="1932" t="s">
        <v>582</v>
      </c>
      <c r="K36" s="1922" t="s">
        <v>1066</v>
      </c>
      <c r="L36" s="1929">
        <v>8000</v>
      </c>
      <c r="M36" s="1929">
        <v>4000</v>
      </c>
      <c r="N36" s="1923">
        <v>0</v>
      </c>
      <c r="O36" s="1922">
        <v>5</v>
      </c>
      <c r="P36" s="1925" t="s">
        <v>1249</v>
      </c>
      <c r="Q36" s="1928">
        <v>1</v>
      </c>
      <c r="R36" s="1928">
        <v>0</v>
      </c>
      <c r="S36" s="1931">
        <f t="shared" si="12"/>
        <v>1</v>
      </c>
      <c r="T36" s="1931">
        <f t="shared" si="13"/>
        <v>6000</v>
      </c>
      <c r="U36" s="1931">
        <f t="shared" si="14"/>
        <v>0</v>
      </c>
      <c r="V36" s="1931">
        <f t="shared" si="15"/>
        <v>6000</v>
      </c>
      <c r="W36" s="1921">
        <f t="shared" si="16"/>
        <v>4000</v>
      </c>
      <c r="X36" s="1921">
        <f t="shared" si="17"/>
        <v>0</v>
      </c>
      <c r="Y36" s="1921">
        <f t="shared" si="18"/>
        <v>4000</v>
      </c>
      <c r="Z36" s="2533">
        <v>0</v>
      </c>
    </row>
    <row r="37" spans="1:26">
      <c r="A37" s="1808">
        <v>18230736</v>
      </c>
      <c r="C37" s="1876"/>
      <c r="D37" s="1971"/>
      <c r="E37" s="1988"/>
      <c r="F37" s="1879">
        <f t="shared" si="19"/>
        <v>0</v>
      </c>
      <c r="H37" s="1922" t="s">
        <v>1274</v>
      </c>
      <c r="I37" s="2927">
        <v>3.4</v>
      </c>
      <c r="J37" s="1932" t="s">
        <v>582</v>
      </c>
      <c r="K37" s="1922" t="s">
        <v>909</v>
      </c>
      <c r="L37" s="1929">
        <v>2.1</v>
      </c>
      <c r="M37" s="1929">
        <v>2.1</v>
      </c>
      <c r="N37" s="1923">
        <v>2.5964941219955125E-2</v>
      </c>
      <c r="O37" s="1922">
        <v>10</v>
      </c>
      <c r="P37" s="1925" t="s">
        <v>910</v>
      </c>
      <c r="Q37" s="1928">
        <v>1000</v>
      </c>
      <c r="R37" s="1928">
        <v>1000</v>
      </c>
      <c r="S37" s="1931">
        <f t="shared" si="12"/>
        <v>2000</v>
      </c>
      <c r="T37" s="1931">
        <f t="shared" si="13"/>
        <v>3400</v>
      </c>
      <c r="U37" s="1931">
        <f t="shared" si="14"/>
        <v>3400</v>
      </c>
      <c r="V37" s="1931">
        <f t="shared" si="15"/>
        <v>6800</v>
      </c>
      <c r="W37" s="1921">
        <f t="shared" si="16"/>
        <v>2100</v>
      </c>
      <c r="X37" s="1921">
        <f t="shared" si="17"/>
        <v>2100</v>
      </c>
      <c r="Y37" s="1921">
        <f t="shared" si="18"/>
        <v>4200</v>
      </c>
      <c r="Z37" s="2533">
        <v>8.33</v>
      </c>
    </row>
    <row r="38" spans="1:26">
      <c r="A38" s="1808" t="s">
        <v>31</v>
      </c>
      <c r="C38" s="1876"/>
      <c r="D38" s="1971"/>
      <c r="E38" s="1988"/>
      <c r="F38" s="1879">
        <f t="shared" si="19"/>
        <v>0</v>
      </c>
      <c r="H38" s="1922" t="s">
        <v>567</v>
      </c>
      <c r="I38" s="2927">
        <v>3400</v>
      </c>
      <c r="J38" s="1932" t="s">
        <v>582</v>
      </c>
      <c r="K38" s="1922" t="s">
        <v>1066</v>
      </c>
      <c r="L38" s="1929">
        <v>1000</v>
      </c>
      <c r="M38" s="1929">
        <v>1000</v>
      </c>
      <c r="N38" s="1923">
        <v>0.25964941219955123</v>
      </c>
      <c r="O38" s="1922">
        <v>3</v>
      </c>
      <c r="P38" s="1925" t="s">
        <v>1084</v>
      </c>
      <c r="Q38" s="1928">
        <v>0</v>
      </c>
      <c r="R38" s="1928">
        <v>10</v>
      </c>
      <c r="S38" s="1931">
        <f t="shared" si="12"/>
        <v>10</v>
      </c>
      <c r="T38" s="1931">
        <f t="shared" si="13"/>
        <v>0</v>
      </c>
      <c r="U38" s="1931">
        <f t="shared" si="14"/>
        <v>34000</v>
      </c>
      <c r="V38" s="1931">
        <f t="shared" si="15"/>
        <v>34000</v>
      </c>
      <c r="W38" s="1921">
        <f t="shared" si="16"/>
        <v>0</v>
      </c>
      <c r="X38" s="1921">
        <f t="shared" si="17"/>
        <v>10000</v>
      </c>
      <c r="Y38" s="1921">
        <f t="shared" si="18"/>
        <v>10000</v>
      </c>
      <c r="Z38" s="2533">
        <v>0</v>
      </c>
    </row>
    <row r="39" spans="1:26">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533"/>
    </row>
    <row r="40" spans="1:26">
      <c r="C40" s="2106" t="s">
        <v>506</v>
      </c>
      <c r="D40" s="1911">
        <f>SUM(D41:D44)</f>
        <v>1000</v>
      </c>
      <c r="E40" s="1926">
        <f>SUM(E41:E44)</f>
        <v>1000</v>
      </c>
      <c r="F40" s="2157">
        <f>D40+E40</f>
        <v>2000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533"/>
    </row>
    <row r="41" spans="1:26">
      <c r="C41" s="2197" t="s">
        <v>1195</v>
      </c>
      <c r="D41" s="1971">
        <v>1000</v>
      </c>
      <c r="E41" s="1988">
        <v>1000</v>
      </c>
      <c r="F41" s="1879">
        <f t="shared" ref="F41:F44" si="20">SUM(D41:E41)</f>
        <v>2000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533"/>
    </row>
    <row r="42" spans="1:26">
      <c r="C42" s="2197"/>
      <c r="D42" s="1971"/>
      <c r="E42" s="1988"/>
      <c r="F42" s="1879">
        <f t="shared" si="2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533"/>
    </row>
    <row r="43" spans="1:26">
      <c r="C43" s="1876"/>
      <c r="D43" s="1971"/>
      <c r="E43" s="1988"/>
      <c r="F43" s="1879">
        <f t="shared" si="2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533"/>
    </row>
    <row r="44" spans="1:26">
      <c r="C44" s="1876"/>
      <c r="D44" s="1971"/>
      <c r="E44" s="1988"/>
      <c r="F44" s="1879">
        <f t="shared" si="20"/>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533"/>
    </row>
    <row r="45" spans="1:26">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533"/>
    </row>
    <row r="46" spans="1:26">
      <c r="C46" s="1910" t="s">
        <v>50</v>
      </c>
      <c r="D46" s="1911">
        <f>SUM(D47:D50)</f>
        <v>200000</v>
      </c>
      <c r="E46" s="1926">
        <f>SUM(E47:E50)</f>
        <v>200000</v>
      </c>
      <c r="F46" s="2157">
        <f>D46+E46</f>
        <v>400000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533"/>
    </row>
    <row r="47" spans="1:26">
      <c r="C47" s="2197" t="s">
        <v>1196</v>
      </c>
      <c r="D47" s="1971">
        <v>200000</v>
      </c>
      <c r="E47" s="1988">
        <v>200000</v>
      </c>
      <c r="F47" s="1879">
        <f t="shared" ref="F47:F50" si="21">SUM(D47:E47)</f>
        <v>400000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533"/>
    </row>
    <row r="48" spans="1:26">
      <c r="C48" s="1876"/>
      <c r="D48" s="1971"/>
      <c r="E48" s="1988"/>
      <c r="F48" s="1879">
        <f t="shared" si="2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533"/>
    </row>
    <row r="49" spans="1:26">
      <c r="C49" s="1876"/>
      <c r="D49" s="1971"/>
      <c r="E49" s="1988"/>
      <c r="F49" s="1879">
        <f t="shared" si="2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533"/>
    </row>
    <row r="50" spans="1:26">
      <c r="C50" s="1876"/>
      <c r="D50" s="1971"/>
      <c r="E50" s="1988"/>
      <c r="F50" s="1879">
        <f t="shared" si="21"/>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533"/>
    </row>
    <row r="51" spans="1:26">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533"/>
    </row>
    <row r="52" spans="1:26">
      <c r="C52" s="1910" t="s">
        <v>51</v>
      </c>
      <c r="D52" s="1911">
        <f>SUM(D53:D56)</f>
        <v>500</v>
      </c>
      <c r="E52" s="1926">
        <f>SUM(E53:E56)</f>
        <v>500</v>
      </c>
      <c r="F52" s="2157">
        <f>D52+E52</f>
        <v>1000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533"/>
    </row>
    <row r="53" spans="1:26">
      <c r="C53" s="2197" t="s">
        <v>13</v>
      </c>
      <c r="D53" s="1971">
        <v>500</v>
      </c>
      <c r="E53" s="1972">
        <v>500</v>
      </c>
      <c r="F53" s="1879">
        <f t="shared" ref="F53:F56" si="22">SUM(D53:E53)</f>
        <v>1000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533"/>
    </row>
    <row r="54" spans="1:26">
      <c r="C54" s="1876"/>
      <c r="D54" s="1971"/>
      <c r="E54" s="1972"/>
      <c r="F54" s="1879">
        <f t="shared" si="22"/>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533"/>
    </row>
    <row r="55" spans="1:26">
      <c r="C55" s="1876"/>
      <c r="D55" s="1971"/>
      <c r="E55" s="1972"/>
      <c r="F55" s="1879">
        <f t="shared" si="22"/>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533"/>
    </row>
    <row r="56" spans="1:26">
      <c r="C56" s="1876"/>
      <c r="D56" s="1971"/>
      <c r="E56" s="1972"/>
      <c r="F56" s="1879">
        <f t="shared" si="22"/>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533"/>
    </row>
    <row r="57" spans="1:2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533"/>
    </row>
    <row r="58" spans="1:26">
      <c r="C58" s="1910" t="s">
        <v>52</v>
      </c>
      <c r="D58" s="1926">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533"/>
    </row>
    <row r="59" spans="1:26">
      <c r="C59" s="1876" t="s">
        <v>14</v>
      </c>
      <c r="D59" s="1971">
        <v>500</v>
      </c>
      <c r="E59" s="1988">
        <v>500</v>
      </c>
      <c r="F59" s="1879">
        <f t="shared" ref="F59:F62" si="23">SUM(D59:E59)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533"/>
    </row>
    <row r="60" spans="1:26">
      <c r="C60" s="1876"/>
      <c r="D60" s="1971"/>
      <c r="E60" s="1988"/>
      <c r="F60" s="1879">
        <f t="shared" si="2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533"/>
    </row>
    <row r="61" spans="1:26">
      <c r="C61" s="1876"/>
      <c r="D61" s="1971"/>
      <c r="E61" s="1988"/>
      <c r="F61" s="1879">
        <f t="shared" si="2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533"/>
    </row>
    <row r="62" spans="1:26">
      <c r="C62" s="1876"/>
      <c r="D62" s="1971"/>
      <c r="E62" s="1988"/>
      <c r="F62" s="1879">
        <f t="shared" si="2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533"/>
    </row>
    <row r="63" spans="1:2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533"/>
    </row>
    <row r="64" spans="1:26">
      <c r="A64" s="1808" t="s">
        <v>286</v>
      </c>
      <c r="C64" s="1910" t="s">
        <v>53</v>
      </c>
      <c r="D64" s="1911">
        <f>W15</f>
        <v>654214</v>
      </c>
      <c r="E64" s="1926">
        <f>X15</f>
        <v>660214</v>
      </c>
      <c r="F64" s="1924">
        <f>D64+E64</f>
        <v>1314428</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533"/>
    </row>
    <row r="65" spans="1:26">
      <c r="A65" s="1808" t="s">
        <v>287</v>
      </c>
      <c r="C65" s="1967" t="s">
        <v>313</v>
      </c>
      <c r="D65" s="2615">
        <f>D64/D12</f>
        <v>0.67122619412748352</v>
      </c>
      <c r="E65" s="2616">
        <f>E64/E12</f>
        <v>0.6710677859474059</v>
      </c>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533"/>
    </row>
    <row r="66" spans="1:26">
      <c r="A66" s="1808" t="s">
        <v>6</v>
      </c>
      <c r="C66" s="1968"/>
      <c r="D66" s="1963"/>
      <c r="E66" s="1964"/>
      <c r="F66" s="1965"/>
    </row>
    <row r="67" spans="1:26">
      <c r="A67" s="1808">
        <v>18230736</v>
      </c>
      <c r="C67" s="1959" t="s">
        <v>54</v>
      </c>
      <c r="D67" s="1971">
        <v>0</v>
      </c>
      <c r="E67" s="1971">
        <v>0</v>
      </c>
      <c r="F67" s="1956">
        <v>0</v>
      </c>
    </row>
    <row r="68" spans="1:26">
      <c r="A68" s="1808" t="s">
        <v>31</v>
      </c>
    </row>
  </sheetData>
  <customSheetViews>
    <customSheetView guid="{074EB09C-6289-46D7-9513-012B68BCA7BF}" showGridLines="0">
      <pane xSplit="1" ySplit="1" topLeftCell="H4" activePane="bottomRight" state="frozen"/>
      <selection pane="bottomRight" activeCell="H32" sqref="H32"/>
      <pageMargins left="0.17" right="0.21" top="0.35" bottom="0.34" header="0.3" footer="0.3"/>
      <pageSetup paperSize="17" scale="46" orientation="landscape" r:id="rId1"/>
    </customSheetView>
    <customSheetView guid="{D9EFFE19-D14B-4C6F-BDF4-FF696F73968D}" showGridLines="0">
      <pane xSplit="1" ySplit="1" topLeftCell="G2" activePane="bottomRight" state="frozen"/>
      <selection pane="bottomRight" activeCell="O16" sqref="O16"/>
      <pageMargins left="0.17" right="0.21" top="0.35" bottom="0.34"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17" right="0.21" top="0.35" bottom="0.34" header="0.3" footer="0.3"/>
  <pageSetup paperSize="17" scale="46" orientation="landscape" r:id="rId3"/>
  <ignoredErrors>
    <ignoredError sqref="R7" formula="1"/>
  </ignoredError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60497B"/>
  </sheetPr>
  <dimension ref="A1:Z69"/>
  <sheetViews>
    <sheetView showGridLines="0" workbookViewId="0">
      <pane xSplit="1" ySplit="1" topLeftCell="H2" activePane="bottomRight" state="frozen"/>
      <selection pane="topRight" activeCell="B1" sqref="B1"/>
      <selection pane="bottomLeft" activeCell="A2" sqref="A2"/>
      <selection pane="bottomRight" activeCell="A9" sqref="A9"/>
    </sheetView>
  </sheetViews>
  <sheetFormatPr defaultRowHeight="12.75"/>
  <cols>
    <col min="1" max="1" width="17.85546875" style="1164" customWidth="1"/>
    <col min="2" max="2" width="15.5703125" style="1866" customWidth="1"/>
    <col min="3" max="3" width="29" customWidth="1"/>
    <col min="4" max="4" width="20" customWidth="1"/>
    <col min="5" max="5" width="17" style="9" customWidth="1"/>
    <col min="6" max="6" width="17" customWidth="1"/>
    <col min="7" max="7" width="16.85546875" bestFit="1" customWidth="1"/>
    <col min="8" max="8" width="48.42578125" customWidth="1"/>
    <col min="9" max="9" width="15.42578125" bestFit="1" customWidth="1"/>
    <col min="10" max="10" width="14.285156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7.28515625" bestFit="1" customWidth="1"/>
    <col min="18" max="18" width="16.140625" customWidth="1"/>
    <col min="19" max="19" width="17.5703125" bestFit="1" customWidth="1"/>
    <col min="20" max="20" width="16.28515625" bestFit="1" customWidth="1"/>
    <col min="21" max="21" width="20.5703125" bestFit="1" customWidth="1"/>
    <col min="22" max="22" width="16.42578125" bestFit="1" customWidth="1"/>
    <col min="23" max="23" width="14.28515625" customWidth="1"/>
    <col min="24" max="24" width="16.28515625" customWidth="1"/>
    <col min="25" max="25" width="14.42578125" customWidth="1"/>
    <col min="26" max="26" width="12.5703125" bestFit="1" customWidth="1"/>
    <col min="249" max="249" width="24" bestFit="1" customWidth="1"/>
    <col min="250" max="250" width="43.85546875" customWidth="1"/>
    <col min="251" max="251" width="19.85546875" bestFit="1" customWidth="1"/>
    <col min="252" max="252" width="14.85546875" bestFit="1" customWidth="1"/>
    <col min="253" max="253" width="16.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7.28515625" bestFit="1" customWidth="1"/>
    <col min="264" max="264" width="16.140625" customWidth="1"/>
    <col min="265" max="265" width="17.5703125" bestFit="1" customWidth="1"/>
    <col min="266" max="266" width="16.285156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85546875" bestFit="1" customWidth="1"/>
    <col min="508" max="508" width="14.85546875" bestFit="1" customWidth="1"/>
    <col min="509" max="509" width="16.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7.28515625" bestFit="1" customWidth="1"/>
    <col min="520" max="520" width="16.140625" customWidth="1"/>
    <col min="521" max="521" width="17.5703125" bestFit="1" customWidth="1"/>
    <col min="522" max="522" width="16.285156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85546875" bestFit="1" customWidth="1"/>
    <col min="764" max="764" width="14.85546875" bestFit="1" customWidth="1"/>
    <col min="765" max="765" width="16.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7.28515625" bestFit="1" customWidth="1"/>
    <col min="776" max="776" width="16.140625" customWidth="1"/>
    <col min="777" max="777" width="17.5703125" bestFit="1" customWidth="1"/>
    <col min="778" max="778" width="16.285156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85546875" bestFit="1" customWidth="1"/>
    <col min="1020" max="1020" width="14.85546875" bestFit="1" customWidth="1"/>
    <col min="1021" max="1021" width="16.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7.28515625" bestFit="1" customWidth="1"/>
    <col min="1032" max="1032" width="16.140625" customWidth="1"/>
    <col min="1033" max="1033" width="17.5703125" bestFit="1" customWidth="1"/>
    <col min="1034" max="1034" width="16.285156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85546875" bestFit="1" customWidth="1"/>
    <col min="1276" max="1276" width="14.85546875" bestFit="1" customWidth="1"/>
    <col min="1277" max="1277" width="16.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7.28515625" bestFit="1" customWidth="1"/>
    <col min="1288" max="1288" width="16.140625" customWidth="1"/>
    <col min="1289" max="1289" width="17.5703125" bestFit="1" customWidth="1"/>
    <col min="1290" max="1290" width="16.285156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85546875" bestFit="1" customWidth="1"/>
    <col min="1532" max="1532" width="14.85546875" bestFit="1" customWidth="1"/>
    <col min="1533" max="1533" width="16.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7.28515625" bestFit="1" customWidth="1"/>
    <col min="1544" max="1544" width="16.140625" customWidth="1"/>
    <col min="1545" max="1545" width="17.5703125" bestFit="1" customWidth="1"/>
    <col min="1546" max="1546" width="16.285156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85546875" bestFit="1" customWidth="1"/>
    <col min="1788" max="1788" width="14.85546875" bestFit="1" customWidth="1"/>
    <col min="1789" max="1789" width="16.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7.28515625" bestFit="1" customWidth="1"/>
    <col min="1800" max="1800" width="16.140625" customWidth="1"/>
    <col min="1801" max="1801" width="17.5703125" bestFit="1" customWidth="1"/>
    <col min="1802" max="1802" width="16.285156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85546875" bestFit="1" customWidth="1"/>
    <col min="2044" max="2044" width="14.85546875" bestFit="1" customWidth="1"/>
    <col min="2045" max="2045" width="16.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7.28515625" bestFit="1" customWidth="1"/>
    <col min="2056" max="2056" width="16.140625" customWidth="1"/>
    <col min="2057" max="2057" width="17.5703125" bestFit="1" customWidth="1"/>
    <col min="2058" max="2058" width="16.285156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85546875" bestFit="1" customWidth="1"/>
    <col min="2300" max="2300" width="14.85546875" bestFit="1" customWidth="1"/>
    <col min="2301" max="2301" width="16.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7.28515625" bestFit="1" customWidth="1"/>
    <col min="2312" max="2312" width="16.140625" customWidth="1"/>
    <col min="2313" max="2313" width="17.5703125" bestFit="1" customWidth="1"/>
    <col min="2314" max="2314" width="16.285156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85546875" bestFit="1" customWidth="1"/>
    <col min="2556" max="2556" width="14.85546875" bestFit="1" customWidth="1"/>
    <col min="2557" max="2557" width="16.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7.28515625" bestFit="1" customWidth="1"/>
    <col min="2568" max="2568" width="16.140625" customWidth="1"/>
    <col min="2569" max="2569" width="17.5703125" bestFit="1" customWidth="1"/>
    <col min="2570" max="2570" width="16.285156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85546875" bestFit="1" customWidth="1"/>
    <col min="2812" max="2812" width="14.85546875" bestFit="1" customWidth="1"/>
    <col min="2813" max="2813" width="16.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7.28515625" bestFit="1" customWidth="1"/>
    <col min="2824" max="2824" width="16.140625" customWidth="1"/>
    <col min="2825" max="2825" width="17.5703125" bestFit="1" customWidth="1"/>
    <col min="2826" max="2826" width="16.285156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85546875" bestFit="1" customWidth="1"/>
    <col min="3068" max="3068" width="14.85546875" bestFit="1" customWidth="1"/>
    <col min="3069" max="3069" width="16.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7.28515625" bestFit="1" customWidth="1"/>
    <col min="3080" max="3080" width="16.140625" customWidth="1"/>
    <col min="3081" max="3081" width="17.5703125" bestFit="1" customWidth="1"/>
    <col min="3082" max="3082" width="16.285156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85546875" bestFit="1" customWidth="1"/>
    <col min="3324" max="3324" width="14.85546875" bestFit="1" customWidth="1"/>
    <col min="3325" max="3325" width="16.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7.28515625" bestFit="1" customWidth="1"/>
    <col min="3336" max="3336" width="16.140625" customWidth="1"/>
    <col min="3337" max="3337" width="17.5703125" bestFit="1" customWidth="1"/>
    <col min="3338" max="3338" width="16.285156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85546875" bestFit="1" customWidth="1"/>
    <col min="3580" max="3580" width="14.85546875" bestFit="1" customWidth="1"/>
    <col min="3581" max="3581" width="16.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7.28515625" bestFit="1" customWidth="1"/>
    <col min="3592" max="3592" width="16.140625" customWidth="1"/>
    <col min="3593" max="3593" width="17.5703125" bestFit="1" customWidth="1"/>
    <col min="3594" max="3594" width="16.285156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85546875" bestFit="1" customWidth="1"/>
    <col min="3836" max="3836" width="14.85546875" bestFit="1" customWidth="1"/>
    <col min="3837" max="3837" width="16.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7.28515625" bestFit="1" customWidth="1"/>
    <col min="3848" max="3848" width="16.140625" customWidth="1"/>
    <col min="3849" max="3849" width="17.5703125" bestFit="1" customWidth="1"/>
    <col min="3850" max="3850" width="16.285156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85546875" bestFit="1" customWidth="1"/>
    <col min="4092" max="4092" width="14.85546875" bestFit="1" customWidth="1"/>
    <col min="4093" max="4093" width="16.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7.28515625" bestFit="1" customWidth="1"/>
    <col min="4104" max="4104" width="16.140625" customWidth="1"/>
    <col min="4105" max="4105" width="17.5703125" bestFit="1" customWidth="1"/>
    <col min="4106" max="4106" width="16.285156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85546875" bestFit="1" customWidth="1"/>
    <col min="4348" max="4348" width="14.85546875" bestFit="1" customWidth="1"/>
    <col min="4349" max="4349" width="16.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7.28515625" bestFit="1" customWidth="1"/>
    <col min="4360" max="4360" width="16.140625" customWidth="1"/>
    <col min="4361" max="4361" width="17.5703125" bestFit="1" customWidth="1"/>
    <col min="4362" max="4362" width="16.285156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85546875" bestFit="1" customWidth="1"/>
    <col min="4604" max="4604" width="14.85546875" bestFit="1" customWidth="1"/>
    <col min="4605" max="4605" width="16.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7.28515625" bestFit="1" customWidth="1"/>
    <col min="4616" max="4616" width="16.140625" customWidth="1"/>
    <col min="4617" max="4617" width="17.5703125" bestFit="1" customWidth="1"/>
    <col min="4618" max="4618" width="16.285156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85546875" bestFit="1" customWidth="1"/>
    <col min="4860" max="4860" width="14.85546875" bestFit="1" customWidth="1"/>
    <col min="4861" max="4861" width="16.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7.28515625" bestFit="1" customWidth="1"/>
    <col min="4872" max="4872" width="16.140625" customWidth="1"/>
    <col min="4873" max="4873" width="17.5703125" bestFit="1" customWidth="1"/>
    <col min="4874" max="4874" width="16.285156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85546875" bestFit="1" customWidth="1"/>
    <col min="5116" max="5116" width="14.85546875" bestFit="1" customWidth="1"/>
    <col min="5117" max="5117" width="16.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7.28515625" bestFit="1" customWidth="1"/>
    <col min="5128" max="5128" width="16.140625" customWidth="1"/>
    <col min="5129" max="5129" width="17.5703125" bestFit="1" customWidth="1"/>
    <col min="5130" max="5130" width="16.285156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85546875" bestFit="1" customWidth="1"/>
    <col min="5372" max="5372" width="14.85546875" bestFit="1" customWidth="1"/>
    <col min="5373" max="5373" width="16.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7.28515625" bestFit="1" customWidth="1"/>
    <col min="5384" max="5384" width="16.140625" customWidth="1"/>
    <col min="5385" max="5385" width="17.5703125" bestFit="1" customWidth="1"/>
    <col min="5386" max="5386" width="16.285156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85546875" bestFit="1" customWidth="1"/>
    <col min="5628" max="5628" width="14.85546875" bestFit="1" customWidth="1"/>
    <col min="5629" max="5629" width="16.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7.28515625" bestFit="1" customWidth="1"/>
    <col min="5640" max="5640" width="16.140625" customWidth="1"/>
    <col min="5641" max="5641" width="17.5703125" bestFit="1" customWidth="1"/>
    <col min="5642" max="5642" width="16.285156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85546875" bestFit="1" customWidth="1"/>
    <col min="5884" max="5884" width="14.85546875" bestFit="1" customWidth="1"/>
    <col min="5885" max="5885" width="16.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7.28515625" bestFit="1" customWidth="1"/>
    <col min="5896" max="5896" width="16.140625" customWidth="1"/>
    <col min="5897" max="5897" width="17.5703125" bestFit="1" customWidth="1"/>
    <col min="5898" max="5898" width="16.285156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85546875" bestFit="1" customWidth="1"/>
    <col min="6140" max="6140" width="14.85546875" bestFit="1" customWidth="1"/>
    <col min="6141" max="6141" width="16.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7.28515625" bestFit="1" customWidth="1"/>
    <col min="6152" max="6152" width="16.140625" customWidth="1"/>
    <col min="6153" max="6153" width="17.5703125" bestFit="1" customWidth="1"/>
    <col min="6154" max="6154" width="16.285156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85546875" bestFit="1" customWidth="1"/>
    <col min="6396" max="6396" width="14.85546875" bestFit="1" customWidth="1"/>
    <col min="6397" max="6397" width="16.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7.28515625" bestFit="1" customWidth="1"/>
    <col min="6408" max="6408" width="16.140625" customWidth="1"/>
    <col min="6409" max="6409" width="17.5703125" bestFit="1" customWidth="1"/>
    <col min="6410" max="6410" width="16.285156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85546875" bestFit="1" customWidth="1"/>
    <col min="6652" max="6652" width="14.85546875" bestFit="1" customWidth="1"/>
    <col min="6653" max="6653" width="16.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7.28515625" bestFit="1" customWidth="1"/>
    <col min="6664" max="6664" width="16.140625" customWidth="1"/>
    <col min="6665" max="6665" width="17.5703125" bestFit="1" customWidth="1"/>
    <col min="6666" max="6666" width="16.285156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85546875" bestFit="1" customWidth="1"/>
    <col min="6908" max="6908" width="14.85546875" bestFit="1" customWidth="1"/>
    <col min="6909" max="6909" width="16.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7.28515625" bestFit="1" customWidth="1"/>
    <col min="6920" max="6920" width="16.140625" customWidth="1"/>
    <col min="6921" max="6921" width="17.5703125" bestFit="1" customWidth="1"/>
    <col min="6922" max="6922" width="16.285156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85546875" bestFit="1" customWidth="1"/>
    <col min="7164" max="7164" width="14.85546875" bestFit="1" customWidth="1"/>
    <col min="7165" max="7165" width="16.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7.28515625" bestFit="1" customWidth="1"/>
    <col min="7176" max="7176" width="16.140625" customWidth="1"/>
    <col min="7177" max="7177" width="17.5703125" bestFit="1" customWidth="1"/>
    <col min="7178" max="7178" width="16.285156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85546875" bestFit="1" customWidth="1"/>
    <col min="7420" max="7420" width="14.85546875" bestFit="1" customWidth="1"/>
    <col min="7421" max="7421" width="16.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7.28515625" bestFit="1" customWidth="1"/>
    <col min="7432" max="7432" width="16.140625" customWidth="1"/>
    <col min="7433" max="7433" width="17.5703125" bestFit="1" customWidth="1"/>
    <col min="7434" max="7434" width="16.285156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85546875" bestFit="1" customWidth="1"/>
    <col min="7676" max="7676" width="14.85546875" bestFit="1" customWidth="1"/>
    <col min="7677" max="7677" width="16.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7.28515625" bestFit="1" customWidth="1"/>
    <col min="7688" max="7688" width="16.140625" customWidth="1"/>
    <col min="7689" max="7689" width="17.5703125" bestFit="1" customWidth="1"/>
    <col min="7690" max="7690" width="16.285156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85546875" bestFit="1" customWidth="1"/>
    <col min="7932" max="7932" width="14.85546875" bestFit="1" customWidth="1"/>
    <col min="7933" max="7933" width="16.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7.28515625" bestFit="1" customWidth="1"/>
    <col min="7944" max="7944" width="16.140625" customWidth="1"/>
    <col min="7945" max="7945" width="17.5703125" bestFit="1" customWidth="1"/>
    <col min="7946" max="7946" width="16.285156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85546875" bestFit="1" customWidth="1"/>
    <col min="8188" max="8188" width="14.85546875" bestFit="1" customWidth="1"/>
    <col min="8189" max="8189" width="16.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7.28515625" bestFit="1" customWidth="1"/>
    <col min="8200" max="8200" width="16.140625" customWidth="1"/>
    <col min="8201" max="8201" width="17.5703125" bestFit="1" customWidth="1"/>
    <col min="8202" max="8202" width="16.285156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85546875" bestFit="1" customWidth="1"/>
    <col min="8444" max="8444" width="14.85546875" bestFit="1" customWidth="1"/>
    <col min="8445" max="8445" width="16.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7.28515625" bestFit="1" customWidth="1"/>
    <col min="8456" max="8456" width="16.140625" customWidth="1"/>
    <col min="8457" max="8457" width="17.5703125" bestFit="1" customWidth="1"/>
    <col min="8458" max="8458" width="16.285156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85546875" bestFit="1" customWidth="1"/>
    <col min="8700" max="8700" width="14.85546875" bestFit="1" customWidth="1"/>
    <col min="8701" max="8701" width="16.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7.28515625" bestFit="1" customWidth="1"/>
    <col min="8712" max="8712" width="16.140625" customWidth="1"/>
    <col min="8713" max="8713" width="17.5703125" bestFit="1" customWidth="1"/>
    <col min="8714" max="8714" width="16.285156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85546875" bestFit="1" customWidth="1"/>
    <col min="8956" max="8956" width="14.85546875" bestFit="1" customWidth="1"/>
    <col min="8957" max="8957" width="16.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7.28515625" bestFit="1" customWidth="1"/>
    <col min="8968" max="8968" width="16.140625" customWidth="1"/>
    <col min="8969" max="8969" width="17.5703125" bestFit="1" customWidth="1"/>
    <col min="8970" max="8970" width="16.285156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85546875" bestFit="1" customWidth="1"/>
    <col min="9212" max="9212" width="14.85546875" bestFit="1" customWidth="1"/>
    <col min="9213" max="9213" width="16.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7.28515625" bestFit="1" customWidth="1"/>
    <col min="9224" max="9224" width="16.140625" customWidth="1"/>
    <col min="9225" max="9225" width="17.5703125" bestFit="1" customWidth="1"/>
    <col min="9226" max="9226" width="16.285156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85546875" bestFit="1" customWidth="1"/>
    <col min="9468" max="9468" width="14.85546875" bestFit="1" customWidth="1"/>
    <col min="9469" max="9469" width="16.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7.28515625" bestFit="1" customWidth="1"/>
    <col min="9480" max="9480" width="16.140625" customWidth="1"/>
    <col min="9481" max="9481" width="17.5703125" bestFit="1" customWidth="1"/>
    <col min="9482" max="9482" width="16.285156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85546875" bestFit="1" customWidth="1"/>
    <col min="9724" max="9724" width="14.85546875" bestFit="1" customWidth="1"/>
    <col min="9725" max="9725" width="16.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7.28515625" bestFit="1" customWidth="1"/>
    <col min="9736" max="9736" width="16.140625" customWidth="1"/>
    <col min="9737" max="9737" width="17.5703125" bestFit="1" customWidth="1"/>
    <col min="9738" max="9738" width="16.285156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85546875" bestFit="1" customWidth="1"/>
    <col min="9980" max="9980" width="14.85546875" bestFit="1" customWidth="1"/>
    <col min="9981" max="9981" width="16.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7.28515625" bestFit="1" customWidth="1"/>
    <col min="9992" max="9992" width="16.140625" customWidth="1"/>
    <col min="9993" max="9993" width="17.5703125" bestFit="1" customWidth="1"/>
    <col min="9994" max="9994" width="16.285156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85546875" bestFit="1" customWidth="1"/>
    <col min="10236" max="10236" width="14.85546875" bestFit="1" customWidth="1"/>
    <col min="10237" max="10237" width="16.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7.28515625" bestFit="1" customWidth="1"/>
    <col min="10248" max="10248" width="16.140625" customWidth="1"/>
    <col min="10249" max="10249" width="17.5703125" bestFit="1" customWidth="1"/>
    <col min="10250" max="10250" width="16.285156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85546875" bestFit="1" customWidth="1"/>
    <col min="10492" max="10492" width="14.85546875" bestFit="1" customWidth="1"/>
    <col min="10493" max="10493" width="16.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7.28515625" bestFit="1" customWidth="1"/>
    <col min="10504" max="10504" width="16.140625" customWidth="1"/>
    <col min="10505" max="10505" width="17.5703125" bestFit="1" customWidth="1"/>
    <col min="10506" max="10506" width="16.285156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85546875" bestFit="1" customWidth="1"/>
    <col min="10748" max="10748" width="14.85546875" bestFit="1" customWidth="1"/>
    <col min="10749" max="10749" width="16.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7.28515625" bestFit="1" customWidth="1"/>
    <col min="10760" max="10760" width="16.140625" customWidth="1"/>
    <col min="10761" max="10761" width="17.5703125" bestFit="1" customWidth="1"/>
    <col min="10762" max="10762" width="16.285156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85546875" bestFit="1" customWidth="1"/>
    <col min="11004" max="11004" width="14.85546875" bestFit="1" customWidth="1"/>
    <col min="11005" max="11005" width="16.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7.28515625" bestFit="1" customWidth="1"/>
    <col min="11016" max="11016" width="16.140625" customWidth="1"/>
    <col min="11017" max="11017" width="17.5703125" bestFit="1" customWidth="1"/>
    <col min="11018" max="11018" width="16.285156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85546875" bestFit="1" customWidth="1"/>
    <col min="11260" max="11260" width="14.85546875" bestFit="1" customWidth="1"/>
    <col min="11261" max="11261" width="16.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7.28515625" bestFit="1" customWidth="1"/>
    <col min="11272" max="11272" width="16.140625" customWidth="1"/>
    <col min="11273" max="11273" width="17.5703125" bestFit="1" customWidth="1"/>
    <col min="11274" max="11274" width="16.285156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85546875" bestFit="1" customWidth="1"/>
    <col min="11516" max="11516" width="14.85546875" bestFit="1" customWidth="1"/>
    <col min="11517" max="11517" width="16.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7.28515625" bestFit="1" customWidth="1"/>
    <col min="11528" max="11528" width="16.140625" customWidth="1"/>
    <col min="11529" max="11529" width="17.5703125" bestFit="1" customWidth="1"/>
    <col min="11530" max="11530" width="16.285156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85546875" bestFit="1" customWidth="1"/>
    <col min="11772" max="11772" width="14.85546875" bestFit="1" customWidth="1"/>
    <col min="11773" max="11773" width="16.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7.28515625" bestFit="1" customWidth="1"/>
    <col min="11784" max="11784" width="16.140625" customWidth="1"/>
    <col min="11785" max="11785" width="17.5703125" bestFit="1" customWidth="1"/>
    <col min="11786" max="11786" width="16.285156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85546875" bestFit="1" customWidth="1"/>
    <col min="12028" max="12028" width="14.85546875" bestFit="1" customWidth="1"/>
    <col min="12029" max="12029" width="16.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7.28515625" bestFit="1" customWidth="1"/>
    <col min="12040" max="12040" width="16.140625" customWidth="1"/>
    <col min="12041" max="12041" width="17.5703125" bestFit="1" customWidth="1"/>
    <col min="12042" max="12042" width="16.285156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85546875" bestFit="1" customWidth="1"/>
    <col min="12284" max="12284" width="14.85546875" bestFit="1" customWidth="1"/>
    <col min="12285" max="12285" width="16.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7.28515625" bestFit="1" customWidth="1"/>
    <col min="12296" max="12296" width="16.140625" customWidth="1"/>
    <col min="12297" max="12297" width="17.5703125" bestFit="1" customWidth="1"/>
    <col min="12298" max="12298" width="16.285156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85546875" bestFit="1" customWidth="1"/>
    <col min="12540" max="12540" width="14.85546875" bestFit="1" customWidth="1"/>
    <col min="12541" max="12541" width="16.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7.28515625" bestFit="1" customWidth="1"/>
    <col min="12552" max="12552" width="16.140625" customWidth="1"/>
    <col min="12553" max="12553" width="17.5703125" bestFit="1" customWidth="1"/>
    <col min="12554" max="12554" width="16.285156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85546875" bestFit="1" customWidth="1"/>
    <col min="12796" max="12796" width="14.85546875" bestFit="1" customWidth="1"/>
    <col min="12797" max="12797" width="16.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7.28515625" bestFit="1" customWidth="1"/>
    <col min="12808" max="12808" width="16.140625" customWidth="1"/>
    <col min="12809" max="12809" width="17.5703125" bestFit="1" customWidth="1"/>
    <col min="12810" max="12810" width="16.285156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85546875" bestFit="1" customWidth="1"/>
    <col min="13052" max="13052" width="14.85546875" bestFit="1" customWidth="1"/>
    <col min="13053" max="13053" width="16.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7.28515625" bestFit="1" customWidth="1"/>
    <col min="13064" max="13064" width="16.140625" customWidth="1"/>
    <col min="13065" max="13065" width="17.5703125" bestFit="1" customWidth="1"/>
    <col min="13066" max="13066" width="16.285156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85546875" bestFit="1" customWidth="1"/>
    <col min="13308" max="13308" width="14.85546875" bestFit="1" customWidth="1"/>
    <col min="13309" max="13309" width="16.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7.28515625" bestFit="1" customWidth="1"/>
    <col min="13320" max="13320" width="16.140625" customWidth="1"/>
    <col min="13321" max="13321" width="17.5703125" bestFit="1" customWidth="1"/>
    <col min="13322" max="13322" width="16.285156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85546875" bestFit="1" customWidth="1"/>
    <col min="13564" max="13564" width="14.85546875" bestFit="1" customWidth="1"/>
    <col min="13565" max="13565" width="16.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7.28515625" bestFit="1" customWidth="1"/>
    <col min="13576" max="13576" width="16.140625" customWidth="1"/>
    <col min="13577" max="13577" width="17.5703125" bestFit="1" customWidth="1"/>
    <col min="13578" max="13578" width="16.285156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85546875" bestFit="1" customWidth="1"/>
    <col min="13820" max="13820" width="14.85546875" bestFit="1" customWidth="1"/>
    <col min="13821" max="13821" width="16.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7.28515625" bestFit="1" customWidth="1"/>
    <col min="13832" max="13832" width="16.140625" customWidth="1"/>
    <col min="13833" max="13833" width="17.5703125" bestFit="1" customWidth="1"/>
    <col min="13834" max="13834" width="16.285156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85546875" bestFit="1" customWidth="1"/>
    <col min="14076" max="14076" width="14.85546875" bestFit="1" customWidth="1"/>
    <col min="14077" max="14077" width="16.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7.28515625" bestFit="1" customWidth="1"/>
    <col min="14088" max="14088" width="16.140625" customWidth="1"/>
    <col min="14089" max="14089" width="17.5703125" bestFit="1" customWidth="1"/>
    <col min="14090" max="14090" width="16.285156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85546875" bestFit="1" customWidth="1"/>
    <col min="14332" max="14332" width="14.85546875" bestFit="1" customWidth="1"/>
    <col min="14333" max="14333" width="16.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7.28515625" bestFit="1" customWidth="1"/>
    <col min="14344" max="14344" width="16.140625" customWidth="1"/>
    <col min="14345" max="14345" width="17.5703125" bestFit="1" customWidth="1"/>
    <col min="14346" max="14346" width="16.285156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85546875" bestFit="1" customWidth="1"/>
    <col min="14588" max="14588" width="14.85546875" bestFit="1" customWidth="1"/>
    <col min="14589" max="14589" width="16.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7.28515625" bestFit="1" customWidth="1"/>
    <col min="14600" max="14600" width="16.140625" customWidth="1"/>
    <col min="14601" max="14601" width="17.5703125" bestFit="1" customWidth="1"/>
    <col min="14602" max="14602" width="16.285156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85546875" bestFit="1" customWidth="1"/>
    <col min="14844" max="14844" width="14.85546875" bestFit="1" customWidth="1"/>
    <col min="14845" max="14845" width="16.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7.28515625" bestFit="1" customWidth="1"/>
    <col min="14856" max="14856" width="16.140625" customWidth="1"/>
    <col min="14857" max="14857" width="17.5703125" bestFit="1" customWidth="1"/>
    <col min="14858" max="14858" width="16.285156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85546875" bestFit="1" customWidth="1"/>
    <col min="15100" max="15100" width="14.85546875" bestFit="1" customWidth="1"/>
    <col min="15101" max="15101" width="16.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7.28515625" bestFit="1" customWidth="1"/>
    <col min="15112" max="15112" width="16.140625" customWidth="1"/>
    <col min="15113" max="15113" width="17.5703125" bestFit="1" customWidth="1"/>
    <col min="15114" max="15114" width="16.285156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85546875" bestFit="1" customWidth="1"/>
    <col min="15356" max="15356" width="14.85546875" bestFit="1" customWidth="1"/>
    <col min="15357" max="15357" width="16.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7.28515625" bestFit="1" customWidth="1"/>
    <col min="15368" max="15368" width="16.140625" customWidth="1"/>
    <col min="15369" max="15369" width="17.5703125" bestFit="1" customWidth="1"/>
    <col min="15370" max="15370" width="16.285156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85546875" bestFit="1" customWidth="1"/>
    <col min="15612" max="15612" width="14.85546875" bestFit="1" customWidth="1"/>
    <col min="15613" max="15613" width="16.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7.28515625" bestFit="1" customWidth="1"/>
    <col min="15624" max="15624" width="16.140625" customWidth="1"/>
    <col min="15625" max="15625" width="17.5703125" bestFit="1" customWidth="1"/>
    <col min="15626" max="15626" width="16.285156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85546875" bestFit="1" customWidth="1"/>
    <col min="15868" max="15868" width="14.85546875" bestFit="1" customWidth="1"/>
    <col min="15869" max="15869" width="16.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7.28515625" bestFit="1" customWidth="1"/>
    <col min="15880" max="15880" width="16.140625" customWidth="1"/>
    <col min="15881" max="15881" width="17.5703125" bestFit="1" customWidth="1"/>
    <col min="15882" max="15882" width="16.285156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85546875" bestFit="1" customWidth="1"/>
    <col min="16124" max="16124" width="14.85546875" bestFit="1" customWidth="1"/>
    <col min="16125" max="16125" width="16.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7.28515625" bestFit="1" customWidth="1"/>
    <col min="16136" max="16136" width="16.140625" customWidth="1"/>
    <col min="16137" max="16137" width="17.5703125" bestFit="1" customWidth="1"/>
    <col min="16138" max="16138" width="16.285156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812" t="s">
        <v>284</v>
      </c>
      <c r="D1" s="1812" t="s">
        <v>285</v>
      </c>
      <c r="E1" s="1812" t="s">
        <v>6</v>
      </c>
      <c r="F1" s="1812">
        <v>18230673</v>
      </c>
      <c r="G1" s="1812" t="s">
        <v>31</v>
      </c>
      <c r="J1" s="45"/>
      <c r="M1" s="1812" t="s">
        <v>284</v>
      </c>
      <c r="N1" s="1812" t="s">
        <v>285</v>
      </c>
      <c r="O1" s="1812" t="s">
        <v>6</v>
      </c>
      <c r="P1" s="1812">
        <v>18230673</v>
      </c>
      <c r="Q1" s="1812" t="s">
        <v>31</v>
      </c>
      <c r="V1" s="1812" t="s">
        <v>284</v>
      </c>
      <c r="W1" s="1812" t="s">
        <v>285</v>
      </c>
      <c r="X1" s="1812" t="s">
        <v>6</v>
      </c>
      <c r="Y1" s="1812">
        <v>18230673</v>
      </c>
      <c r="Z1" s="1812" t="s">
        <v>31</v>
      </c>
    </row>
    <row r="2" spans="1:26" ht="16.5" thickBot="1">
      <c r="C2" s="45"/>
      <c r="D2" s="46"/>
      <c r="H2" s="1576" t="s">
        <v>674</v>
      </c>
      <c r="R2" s="3596"/>
      <c r="S2" s="3596"/>
      <c r="T2" s="3597" t="s">
        <v>36</v>
      </c>
      <c r="U2" s="3598"/>
      <c r="V2" s="3599"/>
      <c r="W2" s="3594" t="s">
        <v>37</v>
      </c>
    </row>
    <row r="3" spans="1:26" ht="26.25" thickBot="1">
      <c r="A3" s="1808" t="s">
        <v>284</v>
      </c>
      <c r="B3" s="1808"/>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6" ht="16.5" thickBot="1">
      <c r="A4" s="1808" t="s">
        <v>285</v>
      </c>
      <c r="B4" s="1808"/>
      <c r="C4" s="46"/>
      <c r="G4" s="1704" t="s">
        <v>668</v>
      </c>
      <c r="H4" s="2003">
        <v>105000</v>
      </c>
      <c r="I4" s="2002">
        <v>2500</v>
      </c>
      <c r="J4" s="2002">
        <v>76003</v>
      </c>
      <c r="K4" s="2002">
        <v>10000</v>
      </c>
      <c r="L4" s="2002">
        <v>7000</v>
      </c>
      <c r="M4" s="2002">
        <v>8000</v>
      </c>
      <c r="N4" s="2002">
        <v>200</v>
      </c>
      <c r="O4" s="2002">
        <v>0</v>
      </c>
      <c r="P4" s="2002">
        <v>412172</v>
      </c>
      <c r="Q4" s="2002">
        <v>0</v>
      </c>
      <c r="R4" s="2000">
        <v>620874</v>
      </c>
      <c r="S4" s="2041" t="s">
        <v>690</v>
      </c>
      <c r="T4" s="65">
        <f>P4/R4</f>
        <v>0.66385772314511482</v>
      </c>
      <c r="U4" s="65">
        <f>(K4+(I4*1.63))/R4</f>
        <v>2.2669656001056575E-2</v>
      </c>
      <c r="V4" s="65">
        <f>M4/R4</f>
        <v>1.2885062025467325E-2</v>
      </c>
      <c r="W4" s="52" t="e">
        <f>R4/S4</f>
        <v>#VALUE!</v>
      </c>
    </row>
    <row r="5" spans="1:26" ht="16.5" thickBot="1">
      <c r="A5" s="1808" t="s">
        <v>6</v>
      </c>
      <c r="B5" s="1808"/>
      <c r="C5" s="45"/>
      <c r="G5" s="45">
        <v>2016</v>
      </c>
      <c r="H5" s="1582">
        <f>D15</f>
        <v>30531</v>
      </c>
      <c r="I5" s="1549">
        <f>D22</f>
        <v>6000</v>
      </c>
      <c r="J5" s="1549">
        <f>D28</f>
        <v>24366.177</v>
      </c>
      <c r="K5" s="1549">
        <f>D35</f>
        <v>10000</v>
      </c>
      <c r="L5" s="1549">
        <f>D41</f>
        <v>500</v>
      </c>
      <c r="M5" s="1549">
        <f>D47</f>
        <v>0</v>
      </c>
      <c r="N5" s="1549">
        <f>D53</f>
        <v>500</v>
      </c>
      <c r="O5" s="1549">
        <f>D59</f>
        <v>500</v>
      </c>
      <c r="P5" s="1549">
        <f>D65</f>
        <v>108120</v>
      </c>
      <c r="Q5" s="1549">
        <f>D68</f>
        <v>0</v>
      </c>
      <c r="R5" s="2001">
        <f>SUM(H5:Q5)</f>
        <v>180517.177</v>
      </c>
      <c r="S5" s="2042">
        <f>T15</f>
        <v>52630</v>
      </c>
      <c r="T5" s="66">
        <f>P5/R5</f>
        <v>0.59894577234608537</v>
      </c>
      <c r="U5" s="66">
        <f>(K5+(I5*1.63))/R5</f>
        <v>0.10957406009069154</v>
      </c>
      <c r="V5" s="66">
        <f>M5/R5</f>
        <v>0</v>
      </c>
      <c r="W5" s="56">
        <f>R5/S5</f>
        <v>3.4299292608778265</v>
      </c>
    </row>
    <row r="6" spans="1:26" ht="16.5" thickBot="1">
      <c r="A6" s="1808">
        <v>18230673</v>
      </c>
      <c r="B6" s="1808"/>
      <c r="D6" s="45"/>
      <c r="G6" s="45">
        <v>2017</v>
      </c>
      <c r="H6" s="57">
        <f>E15</f>
        <v>30531</v>
      </c>
      <c r="I6" s="1990">
        <f>E22</f>
        <v>6000</v>
      </c>
      <c r="J6" s="1989">
        <f>E28</f>
        <v>24841.08</v>
      </c>
      <c r="K6" s="58">
        <f>E35</f>
        <v>10000</v>
      </c>
      <c r="L6" s="58">
        <f>E41</f>
        <v>500</v>
      </c>
      <c r="M6" s="58">
        <f>E47</f>
        <v>0</v>
      </c>
      <c r="N6" s="58">
        <f>E53</f>
        <v>500</v>
      </c>
      <c r="O6" s="58">
        <f>E59</f>
        <v>500</v>
      </c>
      <c r="P6" s="58">
        <f>E65</f>
        <v>108120</v>
      </c>
      <c r="Q6" s="58">
        <f>E68</f>
        <v>0</v>
      </c>
      <c r="R6" s="1997">
        <f>SUM(H6:Q6)</f>
        <v>180992.08000000002</v>
      </c>
      <c r="S6" s="2043">
        <f>U15</f>
        <v>52630</v>
      </c>
      <c r="T6" s="66">
        <f>P6/R6</f>
        <v>0.59737420554534759</v>
      </c>
      <c r="U6" s="66">
        <f>(K6+(I6*1.63))/R6</f>
        <v>0.10928654999710484</v>
      </c>
      <c r="V6" s="66">
        <f>M6/R6</f>
        <v>0</v>
      </c>
      <c r="W6" s="56">
        <f>R6/S6</f>
        <v>3.4389526885806578</v>
      </c>
    </row>
    <row r="7" spans="1:26" ht="16.5" thickBot="1">
      <c r="A7" s="1808" t="s">
        <v>31</v>
      </c>
      <c r="B7" s="1808"/>
      <c r="C7" s="1866"/>
      <c r="D7" s="1592"/>
      <c r="E7" s="1867"/>
      <c r="F7" s="1866"/>
      <c r="G7" s="1608" t="s">
        <v>23</v>
      </c>
      <c r="H7" s="1564">
        <f>SUM(H5:H6)</f>
        <v>61062</v>
      </c>
      <c r="I7" s="1991">
        <f t="shared" ref="I7:P7" si="0">SUM(I5:I6)</f>
        <v>12000</v>
      </c>
      <c r="J7" s="1992">
        <f t="shared" si="0"/>
        <v>49207.256999999998</v>
      </c>
      <c r="K7" s="1993">
        <f t="shared" si="0"/>
        <v>20000</v>
      </c>
      <c r="L7" s="1991">
        <f t="shared" si="0"/>
        <v>1000</v>
      </c>
      <c r="M7" s="1992">
        <f t="shared" si="0"/>
        <v>0</v>
      </c>
      <c r="N7" s="1991">
        <f t="shared" si="0"/>
        <v>1000</v>
      </c>
      <c r="O7" s="1992">
        <f t="shared" si="0"/>
        <v>1000</v>
      </c>
      <c r="P7" s="1993">
        <f t="shared" si="0"/>
        <v>216240</v>
      </c>
      <c r="Q7" s="1991">
        <f>SUM(Q5:Q6)</f>
        <v>0</v>
      </c>
      <c r="R7" s="1993">
        <f>SUM(H7:Q7)</f>
        <v>361509.25699999998</v>
      </c>
      <c r="S7" s="2600">
        <f>SUM(S5:S6)</f>
        <v>105260</v>
      </c>
      <c r="T7" s="66">
        <f>P7/R7</f>
        <v>0.59815895668751851</v>
      </c>
      <c r="U7" s="66">
        <f>(K7+(I7*1.63))/R7</f>
        <v>0.1094301161975501</v>
      </c>
      <c r="V7" s="66">
        <f>M7/R7</f>
        <v>0</v>
      </c>
      <c r="W7" s="56">
        <f>R7/S7</f>
        <v>3.4344409747292417</v>
      </c>
    </row>
    <row r="8" spans="1:26" ht="15.75">
      <c r="B8" s="1808"/>
      <c r="C8" s="1866"/>
      <c r="D8" s="1592"/>
      <c r="E8" s="1867"/>
      <c r="F8" s="1866"/>
    </row>
    <row r="9" spans="1:26" ht="20.25" customHeight="1">
      <c r="A9" s="1808"/>
      <c r="B9" s="1808"/>
      <c r="C9" s="1866"/>
      <c r="D9" s="1592"/>
      <c r="E9" s="1867"/>
      <c r="F9" s="1866"/>
    </row>
    <row r="10" spans="1:26">
      <c r="A10" s="1808"/>
      <c r="B10" s="2832"/>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c r="Z10" s="2577" t="s">
        <v>317</v>
      </c>
    </row>
    <row r="11" spans="1:26">
      <c r="A11" s="1808"/>
      <c r="B11" s="2832"/>
      <c r="C11" s="2177"/>
      <c r="D11" s="2177"/>
      <c r="E11" s="2193"/>
      <c r="F11" s="2177"/>
      <c r="H11" s="1917"/>
      <c r="I11" s="1918"/>
      <c r="J11" s="1918"/>
      <c r="K11" s="1917"/>
      <c r="L11" s="1917"/>
      <c r="M11" s="1917"/>
      <c r="N11" s="1917"/>
      <c r="O11" s="1917"/>
      <c r="P11" s="1917"/>
      <c r="Q11" s="1917"/>
      <c r="R11" s="1917"/>
      <c r="S11" s="1917"/>
      <c r="T11" s="1917"/>
      <c r="U11" s="1917"/>
      <c r="V11" s="1917"/>
      <c r="W11" s="1917"/>
      <c r="X11" s="1917"/>
      <c r="Y11" s="1917"/>
      <c r="Z11" s="1917"/>
    </row>
    <row r="12" spans="1:26">
      <c r="A12" s="1808"/>
      <c r="B12" s="2832"/>
      <c r="C12" s="1887" t="s">
        <v>314</v>
      </c>
      <c r="D12" s="2157">
        <f>D15+D22+D28+D35+D41+D47+D53+D59+D65</f>
        <v>180517.177</v>
      </c>
      <c r="E12" s="1948">
        <f>E15+E22+E28+E35+E41+E47+E53+E59+E65</f>
        <v>180992.08000000002</v>
      </c>
      <c r="F12" s="2157">
        <f>D12+E12</f>
        <v>361509.25699999998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578" t="s">
        <v>319</v>
      </c>
    </row>
    <row r="13" spans="1:26">
      <c r="B13" s="2832"/>
      <c r="C13" s="1947"/>
      <c r="D13" s="2177"/>
      <c r="E13" s="1787"/>
      <c r="F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row>
    <row r="14" spans="1:26" ht="15.75">
      <c r="B14" s="2832"/>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row>
    <row r="15" spans="1:26">
      <c r="B15" s="1886" t="s">
        <v>312</v>
      </c>
      <c r="C15" s="2106" t="s">
        <v>46</v>
      </c>
      <c r="D15" s="2158">
        <f>SUM(D16:D20)</f>
        <v>30531</v>
      </c>
      <c r="E15" s="1926">
        <f>SUM(E16:E20)</f>
        <v>30531</v>
      </c>
      <c r="F15" s="2157">
        <f>D15+E15</f>
        <v>61062</v>
      </c>
      <c r="H15" s="1938" t="s">
        <v>327</v>
      </c>
      <c r="I15" s="1939"/>
      <c r="J15" s="1939"/>
      <c r="K15" s="1940"/>
      <c r="L15" s="1941">
        <f>SUMPRODUCT(L16:L179,S16:S179)</f>
        <v>223730</v>
      </c>
      <c r="M15" s="1941">
        <f>SUM(M16:M179)</f>
        <v>153.22</v>
      </c>
      <c r="N15" s="1942" t="s">
        <v>241</v>
      </c>
      <c r="O15" s="1940">
        <v>15</v>
      </c>
      <c r="P15" s="1940"/>
      <c r="Q15" s="1940"/>
      <c r="R15" s="1940"/>
      <c r="S15" s="1940"/>
      <c r="T15" s="1943">
        <f t="shared" ref="T15:Y15" si="1">SUM(T16:T66)</f>
        <v>52630</v>
      </c>
      <c r="U15" s="1943">
        <f t="shared" si="1"/>
        <v>52630</v>
      </c>
      <c r="V15" s="1943">
        <f t="shared" si="1"/>
        <v>105260</v>
      </c>
      <c r="W15" s="1941">
        <f t="shared" si="1"/>
        <v>108120</v>
      </c>
      <c r="X15" s="1941">
        <f t="shared" si="1"/>
        <v>108120</v>
      </c>
      <c r="Y15" s="1941">
        <f t="shared" si="1"/>
        <v>216240</v>
      </c>
      <c r="Z15" s="1945">
        <v>0</v>
      </c>
    </row>
    <row r="16" spans="1:26">
      <c r="B16" s="2610">
        <v>0.05</v>
      </c>
      <c r="C16" s="2197" t="s">
        <v>791</v>
      </c>
      <c r="D16" s="2201">
        <v>4500</v>
      </c>
      <c r="E16" s="2200">
        <v>4500</v>
      </c>
      <c r="F16" s="1879">
        <f>SUM(D16:E16)</f>
        <v>9000</v>
      </c>
      <c r="H16" s="1928" t="s">
        <v>1547</v>
      </c>
      <c r="I16" s="2927">
        <v>1</v>
      </c>
      <c r="J16" s="1932" t="s">
        <v>582</v>
      </c>
      <c r="K16" s="1922" t="s">
        <v>909</v>
      </c>
      <c r="L16" s="1929">
        <v>5</v>
      </c>
      <c r="M16" s="1929">
        <v>5</v>
      </c>
      <c r="N16" s="1923">
        <v>0</v>
      </c>
      <c r="O16" s="1922">
        <v>24</v>
      </c>
      <c r="P16" s="2612" t="s">
        <v>1249</v>
      </c>
      <c r="Q16" s="1928">
        <v>2500</v>
      </c>
      <c r="R16" s="1928">
        <v>2500</v>
      </c>
      <c r="S16" s="1931">
        <f>SUM(Q16:R16)</f>
        <v>5000</v>
      </c>
      <c r="T16" s="1931">
        <f>Q16*I16</f>
        <v>2500</v>
      </c>
      <c r="U16" s="1931">
        <f>R16*I16</f>
        <v>2500</v>
      </c>
      <c r="V16" s="1931">
        <f>SUM(T16:U16)</f>
        <v>5000</v>
      </c>
      <c r="W16" s="1921">
        <f>Q16*M16</f>
        <v>12500</v>
      </c>
      <c r="X16" s="1921">
        <f>R16*M16</f>
        <v>12500</v>
      </c>
      <c r="Y16" s="1921">
        <f>SUM(W16:X16)</f>
        <v>25000</v>
      </c>
      <c r="Z16" s="1946"/>
    </row>
    <row r="17" spans="2:26" s="2177" customFormat="1">
      <c r="B17" s="2610">
        <v>0.1</v>
      </c>
      <c r="C17" s="2197" t="s">
        <v>792</v>
      </c>
      <c r="D17" s="2201">
        <v>9000</v>
      </c>
      <c r="E17" s="2200">
        <v>9000</v>
      </c>
      <c r="F17" s="1879">
        <f>SUM(D17:E17)</f>
        <v>18000</v>
      </c>
      <c r="H17" s="1928" t="s">
        <v>1548</v>
      </c>
      <c r="I17" s="2927">
        <v>1</v>
      </c>
      <c r="J17" s="1932" t="s">
        <v>582</v>
      </c>
      <c r="K17" s="1922" t="s">
        <v>909</v>
      </c>
      <c r="L17" s="1929">
        <v>3.88</v>
      </c>
      <c r="M17" s="1929">
        <v>3.88</v>
      </c>
      <c r="N17" s="1923">
        <v>0</v>
      </c>
      <c r="O17" s="1922">
        <v>15</v>
      </c>
      <c r="P17" s="2612" t="s">
        <v>1072</v>
      </c>
      <c r="Q17" s="1928">
        <v>20000</v>
      </c>
      <c r="R17" s="1928">
        <v>20000</v>
      </c>
      <c r="S17" s="1931">
        <f>SUM(Q17:R17)</f>
        <v>40000</v>
      </c>
      <c r="T17" s="1931">
        <f>Q17*I17</f>
        <v>20000</v>
      </c>
      <c r="U17" s="1931">
        <f>R17*I17</f>
        <v>20000</v>
      </c>
      <c r="V17" s="1931">
        <f>SUM(T17:U17)</f>
        <v>40000</v>
      </c>
      <c r="W17" s="1921">
        <f>Q17*M17</f>
        <v>77600</v>
      </c>
      <c r="X17" s="1921">
        <f>R17*M17</f>
        <v>77600</v>
      </c>
      <c r="Y17" s="1921">
        <f>SUM(W17:X17)</f>
        <v>155200</v>
      </c>
      <c r="Z17" s="1946"/>
    </row>
    <row r="18" spans="2:26">
      <c r="B18" s="2610">
        <v>0.05</v>
      </c>
      <c r="C18" s="2197" t="s">
        <v>793</v>
      </c>
      <c r="D18" s="2199">
        <v>4500</v>
      </c>
      <c r="E18" s="2198">
        <v>4500</v>
      </c>
      <c r="F18" s="1879">
        <f t="shared" ref="F18:F20" si="2">SUM(D18:E18)</f>
        <v>9000</v>
      </c>
      <c r="H18" s="1928" t="s">
        <v>1549</v>
      </c>
      <c r="I18" s="2927">
        <v>1</v>
      </c>
      <c r="J18" s="1932" t="s">
        <v>582</v>
      </c>
      <c r="K18" s="1922" t="s">
        <v>909</v>
      </c>
      <c r="L18" s="1929">
        <v>1.84</v>
      </c>
      <c r="M18" s="1929">
        <v>1.84</v>
      </c>
      <c r="N18" s="1923">
        <v>0</v>
      </c>
      <c r="O18" s="1922">
        <v>7</v>
      </c>
      <c r="P18" s="2612" t="s">
        <v>1072</v>
      </c>
      <c r="Q18" s="1928">
        <v>3000</v>
      </c>
      <c r="R18" s="1928">
        <v>3000</v>
      </c>
      <c r="S18" s="1931">
        <f t="shared" ref="S18:S22" si="3">SUM(Q18:R18)</f>
        <v>6000</v>
      </c>
      <c r="T18" s="1931">
        <f t="shared" ref="T18:T22" si="4">Q18*I18</f>
        <v>3000</v>
      </c>
      <c r="U18" s="1931">
        <f t="shared" ref="U18:U22" si="5">R18*I18</f>
        <v>3000</v>
      </c>
      <c r="V18" s="1931">
        <f t="shared" ref="V18:V22" si="6">SUM(T18:U18)</f>
        <v>6000</v>
      </c>
      <c r="W18" s="1921">
        <f t="shared" ref="W18:W21" si="7">Q18*M18</f>
        <v>5520</v>
      </c>
      <c r="X18" s="1921">
        <f t="shared" ref="X18:X21" si="8">R18*M18</f>
        <v>5520</v>
      </c>
      <c r="Y18" s="1921">
        <f t="shared" ref="Y18:Y21" si="9">SUM(W18:X18)</f>
        <v>11040</v>
      </c>
      <c r="Z18" s="1946"/>
    </row>
    <row r="19" spans="2:26">
      <c r="B19" s="2610">
        <v>0.01</v>
      </c>
      <c r="C19" s="2197" t="s">
        <v>794</v>
      </c>
      <c r="D19" s="2199">
        <v>9000</v>
      </c>
      <c r="E19" s="2198">
        <v>9000</v>
      </c>
      <c r="F19" s="1879">
        <f t="shared" si="2"/>
        <v>18000</v>
      </c>
      <c r="H19" s="1928" t="s">
        <v>1550</v>
      </c>
      <c r="I19" s="2927">
        <v>24</v>
      </c>
      <c r="J19" s="1932" t="s">
        <v>582</v>
      </c>
      <c r="K19" s="1922" t="s">
        <v>909</v>
      </c>
      <c r="L19" s="1929">
        <v>2.7</v>
      </c>
      <c r="M19" s="1929">
        <v>2.5</v>
      </c>
      <c r="N19" s="1923">
        <v>0</v>
      </c>
      <c r="O19" s="1922">
        <v>10</v>
      </c>
      <c r="P19" s="2612" t="s">
        <v>1072</v>
      </c>
      <c r="Q19" s="1928">
        <v>100</v>
      </c>
      <c r="R19" s="1928">
        <v>100</v>
      </c>
      <c r="S19" s="1931">
        <f t="shared" si="3"/>
        <v>200</v>
      </c>
      <c r="T19" s="1931">
        <f t="shared" si="4"/>
        <v>2400</v>
      </c>
      <c r="U19" s="1931">
        <f t="shared" si="5"/>
        <v>2400</v>
      </c>
      <c r="V19" s="1931">
        <f t="shared" si="6"/>
        <v>4800</v>
      </c>
      <c r="W19" s="1921">
        <f t="shared" si="7"/>
        <v>250</v>
      </c>
      <c r="X19" s="1921">
        <f t="shared" si="8"/>
        <v>250</v>
      </c>
      <c r="Y19" s="1921">
        <f t="shared" si="9"/>
        <v>500</v>
      </c>
      <c r="Z19" s="1946"/>
    </row>
    <row r="20" spans="2:26" s="2177" customFormat="1">
      <c r="B20" s="2610">
        <v>0.01</v>
      </c>
      <c r="C20" s="2197" t="s">
        <v>967</v>
      </c>
      <c r="D20" s="2242">
        <v>3531</v>
      </c>
      <c r="E20" s="2079">
        <v>3531</v>
      </c>
      <c r="F20" s="1879">
        <f t="shared" si="2"/>
        <v>7062</v>
      </c>
      <c r="H20" s="2611" t="s">
        <v>1551</v>
      </c>
      <c r="I20" s="2610">
        <v>9</v>
      </c>
      <c r="J20" s="2557" t="s">
        <v>582</v>
      </c>
      <c r="K20" s="2556" t="s">
        <v>909</v>
      </c>
      <c r="L20" s="2609">
        <v>31</v>
      </c>
      <c r="M20" s="2609">
        <v>15</v>
      </c>
      <c r="N20" s="2607">
        <v>0</v>
      </c>
      <c r="O20" s="2556">
        <v>10</v>
      </c>
      <c r="P20" s="2612" t="s">
        <v>910</v>
      </c>
      <c r="Q20" s="2608">
        <v>50</v>
      </c>
      <c r="R20" s="2608">
        <v>50</v>
      </c>
      <c r="S20" s="1931">
        <f t="shared" si="3"/>
        <v>100</v>
      </c>
      <c r="T20" s="1931">
        <f t="shared" si="4"/>
        <v>450</v>
      </c>
      <c r="U20" s="1931">
        <f t="shared" si="5"/>
        <v>450</v>
      </c>
      <c r="V20" s="1931">
        <f t="shared" si="6"/>
        <v>900</v>
      </c>
      <c r="W20" s="1921">
        <f t="shared" si="7"/>
        <v>750</v>
      </c>
      <c r="X20" s="1921">
        <f t="shared" si="8"/>
        <v>750</v>
      </c>
      <c r="Y20" s="1921">
        <f t="shared" si="9"/>
        <v>1500</v>
      </c>
      <c r="Z20" s="2598"/>
    </row>
    <row r="21" spans="2:26">
      <c r="B21" s="1908">
        <f>SUM(B16:B20)</f>
        <v>0.22000000000000003</v>
      </c>
      <c r="C21" s="1952"/>
      <c r="D21" s="1954"/>
      <c r="E21" s="1955"/>
      <c r="F21" s="1957"/>
      <c r="H21" s="1928" t="s">
        <v>1552</v>
      </c>
      <c r="I21" s="2927">
        <v>13</v>
      </c>
      <c r="J21" s="1932" t="s">
        <v>582</v>
      </c>
      <c r="K21" s="1922" t="s">
        <v>909</v>
      </c>
      <c r="L21" s="1929">
        <v>31</v>
      </c>
      <c r="M21" s="1929">
        <v>25</v>
      </c>
      <c r="N21" s="1923">
        <v>0</v>
      </c>
      <c r="O21" s="1922">
        <v>10</v>
      </c>
      <c r="P21" s="2612" t="s">
        <v>910</v>
      </c>
      <c r="Q21" s="1928">
        <v>400</v>
      </c>
      <c r="R21" s="1928">
        <v>400</v>
      </c>
      <c r="S21" s="1931">
        <f t="shared" si="3"/>
        <v>800</v>
      </c>
      <c r="T21" s="1931">
        <f t="shared" si="4"/>
        <v>5200</v>
      </c>
      <c r="U21" s="1931">
        <f t="shared" si="5"/>
        <v>5200</v>
      </c>
      <c r="V21" s="1931">
        <f t="shared" si="6"/>
        <v>10400</v>
      </c>
      <c r="W21" s="1921">
        <f t="shared" si="7"/>
        <v>10000</v>
      </c>
      <c r="X21" s="1921">
        <f t="shared" si="8"/>
        <v>10000</v>
      </c>
      <c r="Y21" s="1921">
        <f t="shared" si="9"/>
        <v>20000</v>
      </c>
      <c r="Z21" s="1946"/>
    </row>
    <row r="22" spans="2:26">
      <c r="B22" s="2177"/>
      <c r="C22" s="2106" t="s">
        <v>47</v>
      </c>
      <c r="D22" s="2158">
        <f>SUM(D23:D26)</f>
        <v>6000</v>
      </c>
      <c r="E22" s="1926">
        <f>SUM(E23:E26)</f>
        <v>6000</v>
      </c>
      <c r="F22" s="2157">
        <f>D22+E22</f>
        <v>12000</v>
      </c>
      <c r="H22" s="1928" t="s">
        <v>1690</v>
      </c>
      <c r="I22" s="2927">
        <v>1272</v>
      </c>
      <c r="J22" s="1932" t="s">
        <v>582</v>
      </c>
      <c r="K22" s="1922" t="s">
        <v>1066</v>
      </c>
      <c r="L22" s="1929">
        <v>135</v>
      </c>
      <c r="M22" s="1929">
        <v>100</v>
      </c>
      <c r="N22" s="1923">
        <v>0</v>
      </c>
      <c r="O22" s="1922">
        <v>30</v>
      </c>
      <c r="P22" s="2612" t="s">
        <v>1084</v>
      </c>
      <c r="Q22" s="1928">
        <v>15</v>
      </c>
      <c r="R22" s="1928">
        <v>15</v>
      </c>
      <c r="S22" s="1931">
        <f t="shared" si="3"/>
        <v>30</v>
      </c>
      <c r="T22" s="1931">
        <f t="shared" si="4"/>
        <v>19080</v>
      </c>
      <c r="U22" s="1931">
        <f t="shared" si="5"/>
        <v>19080</v>
      </c>
      <c r="V22" s="1931">
        <f t="shared" si="6"/>
        <v>38160</v>
      </c>
      <c r="W22" s="1921">
        <f t="shared" ref="W22:W23" si="10">Q22*M22</f>
        <v>1500</v>
      </c>
      <c r="X22" s="1921">
        <f t="shared" ref="X22:X23" si="11">R22*M22</f>
        <v>1500</v>
      </c>
      <c r="Y22" s="1921">
        <f t="shared" ref="Y22:Y23" si="12">SUM(W22:X22)</f>
        <v>3000</v>
      </c>
      <c r="Z22" s="1946"/>
    </row>
    <row r="23" spans="2:26">
      <c r="B23" s="2177"/>
      <c r="C23" s="2197" t="s">
        <v>968</v>
      </c>
      <c r="D23" s="2201">
        <v>6000</v>
      </c>
      <c r="E23" s="2200">
        <v>6000</v>
      </c>
      <c r="F23" s="1879">
        <f t="shared" ref="F23:F26" si="13">SUM(D23:E23)</f>
        <v>12000</v>
      </c>
      <c r="H23" s="1928"/>
      <c r="I23" s="2927"/>
      <c r="J23" s="1932"/>
      <c r="K23" s="1922"/>
      <c r="L23" s="1929"/>
      <c r="M23" s="1929"/>
      <c r="N23" s="1923"/>
      <c r="O23" s="1922"/>
      <c r="P23" s="2612"/>
      <c r="Q23" s="1928"/>
      <c r="R23" s="1928"/>
      <c r="S23" s="1931">
        <f t="shared" ref="S23:S25" si="14">SUM(Q23:R23)</f>
        <v>0</v>
      </c>
      <c r="T23" s="1931">
        <f t="shared" ref="T23:T25" si="15">Q23*I23</f>
        <v>0</v>
      </c>
      <c r="U23" s="1931">
        <f t="shared" ref="U23:U25" si="16">R23*I23</f>
        <v>0</v>
      </c>
      <c r="V23" s="1931">
        <f t="shared" ref="V23:V25" si="17">SUM(T23:U23)</f>
        <v>0</v>
      </c>
      <c r="W23" s="1921">
        <f t="shared" si="10"/>
        <v>0</v>
      </c>
      <c r="X23" s="1921">
        <f t="shared" si="11"/>
        <v>0</v>
      </c>
      <c r="Y23" s="1921">
        <f t="shared" si="12"/>
        <v>0</v>
      </c>
      <c r="Z23" s="1946"/>
    </row>
    <row r="24" spans="2:26">
      <c r="B24" s="2177"/>
      <c r="C24" s="2197"/>
      <c r="D24" s="2053"/>
      <c r="E24" s="2054"/>
      <c r="F24" s="1879">
        <f t="shared" si="13"/>
        <v>0</v>
      </c>
      <c r="H24" s="1928"/>
      <c r="I24" s="2927"/>
      <c r="J24" s="1932"/>
      <c r="K24" s="1922"/>
      <c r="L24" s="1929"/>
      <c r="M24" s="1929"/>
      <c r="N24" s="1923"/>
      <c r="O24" s="1922"/>
      <c r="P24" s="2612"/>
      <c r="Q24" s="1928"/>
      <c r="R24" s="1928"/>
      <c r="S24" s="1931">
        <f t="shared" si="14"/>
        <v>0</v>
      </c>
      <c r="T24" s="1931">
        <f t="shared" si="15"/>
        <v>0</v>
      </c>
      <c r="U24" s="1931">
        <f t="shared" si="16"/>
        <v>0</v>
      </c>
      <c r="V24" s="1931">
        <f t="shared" si="17"/>
        <v>0</v>
      </c>
      <c r="W24" s="1921">
        <f t="shared" ref="W24:W25" si="18">Q24*M24</f>
        <v>0</v>
      </c>
      <c r="X24" s="1921">
        <f t="shared" ref="X24:X25" si="19">R24*M24</f>
        <v>0</v>
      </c>
      <c r="Y24" s="1921">
        <f t="shared" ref="Y24:Y25" si="20">SUM(W24:X24)</f>
        <v>0</v>
      </c>
      <c r="Z24" s="1946"/>
    </row>
    <row r="25" spans="2:26">
      <c r="B25" s="2177"/>
      <c r="C25" s="2197"/>
      <c r="D25" s="1898"/>
      <c r="E25" s="1897"/>
      <c r="F25" s="1879">
        <f t="shared" si="13"/>
        <v>0</v>
      </c>
      <c r="H25" s="1922"/>
      <c r="I25" s="2927"/>
      <c r="J25" s="1932"/>
      <c r="K25" s="1922"/>
      <c r="L25" s="1929"/>
      <c r="M25" s="1929"/>
      <c r="N25" s="1923"/>
      <c r="O25" s="1922"/>
      <c r="P25" s="1925"/>
      <c r="Q25" s="1928"/>
      <c r="R25" s="1928"/>
      <c r="S25" s="1931">
        <f t="shared" si="14"/>
        <v>0</v>
      </c>
      <c r="T25" s="1931">
        <f t="shared" si="15"/>
        <v>0</v>
      </c>
      <c r="U25" s="1931">
        <f t="shared" si="16"/>
        <v>0</v>
      </c>
      <c r="V25" s="1931">
        <f t="shared" si="17"/>
        <v>0</v>
      </c>
      <c r="W25" s="1921">
        <f t="shared" si="18"/>
        <v>0</v>
      </c>
      <c r="X25" s="1921">
        <f t="shared" si="19"/>
        <v>0</v>
      </c>
      <c r="Y25" s="1921">
        <f t="shared" si="20"/>
        <v>0</v>
      </c>
      <c r="Z25" s="1946"/>
    </row>
    <row r="26" spans="2:26">
      <c r="B26" s="2177"/>
      <c r="C26" s="2197"/>
      <c r="D26" s="1896"/>
      <c r="E26" s="1899"/>
      <c r="F26" s="1879">
        <f t="shared" si="13"/>
        <v>0</v>
      </c>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row>
    <row r="27" spans="2:26">
      <c r="B27" s="2177"/>
      <c r="C27" s="1877"/>
      <c r="D27" s="1892"/>
      <c r="E27" s="1884"/>
      <c r="F27" s="1892"/>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row>
    <row r="28" spans="2:26">
      <c r="B28" s="2177"/>
      <c r="C28" s="2106" t="s">
        <v>48</v>
      </c>
      <c r="D28" s="2158">
        <f>SUM(D30:D33)</f>
        <v>24366.177</v>
      </c>
      <c r="E28" s="1926">
        <f>SUM(E30:E33)</f>
        <v>24841.08</v>
      </c>
      <c r="F28" s="2157">
        <f>D28+E28</f>
        <v>49207.256999999998</v>
      </c>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row>
    <row r="29" spans="2:26">
      <c r="B29" s="2177"/>
      <c r="C29" s="1909" t="s">
        <v>315</v>
      </c>
      <c r="D29" s="1912">
        <v>0.66700000000000004</v>
      </c>
      <c r="E29" s="1913">
        <v>0.68</v>
      </c>
      <c r="F29" s="1949"/>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row>
    <row r="30" spans="2:26">
      <c r="B30" s="2177"/>
      <c r="C30" s="2197" t="s">
        <v>778</v>
      </c>
      <c r="D30" s="2202">
        <f>D15*D29</f>
        <v>20364.177</v>
      </c>
      <c r="E30" s="2163">
        <f>E15*E29</f>
        <v>20761.080000000002</v>
      </c>
      <c r="F30" s="1879">
        <f t="shared" ref="F30:F33" si="21">SUM(D30:E30)</f>
        <v>41125.256999999998</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row>
    <row r="31" spans="2:26">
      <c r="B31" s="2177"/>
      <c r="C31" s="2197" t="s">
        <v>779</v>
      </c>
      <c r="D31" s="1973">
        <f>D22*D29</f>
        <v>4002</v>
      </c>
      <c r="E31" s="2163">
        <f>E22*E29</f>
        <v>4080.0000000000005</v>
      </c>
      <c r="F31" s="1879">
        <f t="shared" si="21"/>
        <v>8082</v>
      </c>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row>
    <row r="32" spans="2:26">
      <c r="B32" s="2177"/>
      <c r="C32" s="1901"/>
      <c r="D32" s="1898"/>
      <c r="E32" s="1897"/>
      <c r="F32" s="1879">
        <f t="shared" si="21"/>
        <v>0</v>
      </c>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row>
    <row r="33" spans="1:26">
      <c r="B33" s="2177"/>
      <c r="C33" s="1901"/>
      <c r="D33" s="1896"/>
      <c r="E33" s="1899"/>
      <c r="F33" s="1879">
        <f t="shared" si="21"/>
        <v>0</v>
      </c>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row>
    <row r="34" spans="1:26">
      <c r="B34" s="2177"/>
      <c r="C34" s="1952"/>
      <c r="D34" s="1958"/>
      <c r="E34" s="1955"/>
      <c r="F34" s="1958"/>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row>
    <row r="35" spans="1:26" ht="25.5">
      <c r="A35" s="1808" t="s">
        <v>284</v>
      </c>
      <c r="B35" s="2177"/>
      <c r="C35" s="2106" t="s">
        <v>49</v>
      </c>
      <c r="D35" s="2158">
        <f>SUM(D36:D39)</f>
        <v>10000</v>
      </c>
      <c r="E35" s="1926">
        <f>SUM(E36:E39)</f>
        <v>10000</v>
      </c>
      <c r="F35" s="2157">
        <f>D35+E35</f>
        <v>20000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row>
    <row r="36" spans="1:26">
      <c r="A36" s="1808" t="s">
        <v>285</v>
      </c>
      <c r="B36" s="2177"/>
      <c r="C36" s="2197" t="s">
        <v>13</v>
      </c>
      <c r="D36" s="2202">
        <v>10000</v>
      </c>
      <c r="E36" s="2203">
        <v>10000</v>
      </c>
      <c r="F36" s="1879">
        <f t="shared" ref="F36:F39" si="22">SUM(D36:E36)</f>
        <v>20000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row>
    <row r="37" spans="1:26">
      <c r="A37" s="1808" t="s">
        <v>6</v>
      </c>
      <c r="B37" s="2177"/>
      <c r="C37" s="2197"/>
      <c r="D37" s="2202"/>
      <c r="E37" s="2203"/>
      <c r="F37" s="1879">
        <f t="shared" si="2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row>
    <row r="38" spans="1:26">
      <c r="A38" s="1808">
        <v>18230673</v>
      </c>
      <c r="B38" s="2177"/>
      <c r="C38" s="2197"/>
      <c r="D38" s="2202"/>
      <c r="E38" s="2203"/>
      <c r="F38" s="1879">
        <f t="shared" si="2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row>
    <row r="39" spans="1:26">
      <c r="A39" s="1808" t="s">
        <v>31</v>
      </c>
      <c r="B39" s="2177"/>
      <c r="C39" s="2197"/>
      <c r="D39" s="2202"/>
      <c r="E39" s="2203"/>
      <c r="F39" s="1879">
        <f t="shared" si="22"/>
        <v>0</v>
      </c>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row>
    <row r="40" spans="1:26">
      <c r="B40" s="2177"/>
      <c r="C40" s="1952"/>
      <c r="D40" s="1958"/>
      <c r="E40" s="1955"/>
      <c r="F40" s="1958"/>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row>
    <row r="41" spans="1:26">
      <c r="B41" s="2177"/>
      <c r="C41" s="2106" t="s">
        <v>506</v>
      </c>
      <c r="D41" s="2158">
        <f>SUM(D42:D45)</f>
        <v>500</v>
      </c>
      <c r="E41" s="1926">
        <f>SUM(E42:E45)</f>
        <v>500</v>
      </c>
      <c r="F41" s="2157">
        <f>D41+E41</f>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row>
    <row r="42" spans="1:26">
      <c r="B42" s="2177"/>
      <c r="C42" s="2197" t="s">
        <v>804</v>
      </c>
      <c r="D42" s="2202">
        <v>500</v>
      </c>
      <c r="E42" s="2203">
        <v>500</v>
      </c>
      <c r="F42" s="1879">
        <f t="shared" ref="F42:F45" si="23">SUM(D42:E42)</f>
        <v>1000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row>
    <row r="43" spans="1:26">
      <c r="B43" s="2177"/>
      <c r="C43" s="2197"/>
      <c r="D43" s="2202"/>
      <c r="E43" s="2203"/>
      <c r="F43" s="1879">
        <f t="shared" si="23"/>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row>
    <row r="44" spans="1:26">
      <c r="B44" s="2177"/>
      <c r="C44" s="2197"/>
      <c r="D44" s="2202"/>
      <c r="E44" s="2203"/>
      <c r="F44" s="1879">
        <f t="shared" si="2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row>
    <row r="45" spans="1:26">
      <c r="B45" s="2177"/>
      <c r="C45" s="2197"/>
      <c r="D45" s="2202"/>
      <c r="E45" s="2203"/>
      <c r="F45" s="1879">
        <f t="shared" si="23"/>
        <v>0</v>
      </c>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row>
    <row r="46" spans="1:26">
      <c r="B46" s="2177"/>
      <c r="C46" s="1952"/>
      <c r="D46" s="1958"/>
      <c r="E46" s="1955"/>
      <c r="F46" s="1958"/>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row>
    <row r="47" spans="1:26">
      <c r="B47" s="2177"/>
      <c r="C47" s="2106" t="s">
        <v>50</v>
      </c>
      <c r="D47" s="2158">
        <f>SUM(D48:D51)</f>
        <v>0</v>
      </c>
      <c r="E47" s="1926">
        <f>SUM(E48:E51)</f>
        <v>0</v>
      </c>
      <c r="F47" s="2157">
        <f>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row>
    <row r="48" spans="1:26">
      <c r="B48" s="2177"/>
      <c r="C48" s="2197"/>
      <c r="D48" s="2202"/>
      <c r="E48" s="2203"/>
      <c r="F48" s="1879">
        <f t="shared" ref="F48:F51" si="24">SUM(D48:E48)</f>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row>
    <row r="49" spans="2:26">
      <c r="B49" s="2177"/>
      <c r="C49" s="2197"/>
      <c r="D49" s="2202"/>
      <c r="E49" s="2203"/>
      <c r="F49" s="1879">
        <f t="shared" si="2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row>
    <row r="50" spans="2:26">
      <c r="B50" s="2177"/>
      <c r="C50" s="2197"/>
      <c r="D50" s="2202"/>
      <c r="E50" s="2203"/>
      <c r="F50" s="1879">
        <f t="shared" si="2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row>
    <row r="51" spans="2:26">
      <c r="B51" s="2177"/>
      <c r="C51" s="2197"/>
      <c r="D51" s="2202"/>
      <c r="E51" s="2203"/>
      <c r="F51" s="1879">
        <f t="shared" si="24"/>
        <v>0</v>
      </c>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row>
    <row r="52" spans="2:26">
      <c r="B52" s="2177"/>
      <c r="C52" s="1952"/>
      <c r="D52" s="1958"/>
      <c r="E52" s="1955"/>
      <c r="F52" s="1958"/>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row>
    <row r="53" spans="2:26">
      <c r="B53" s="2177"/>
      <c r="C53" s="2106" t="s">
        <v>51</v>
      </c>
      <c r="D53" s="2158">
        <f>SUM(D54:D57)</f>
        <v>500</v>
      </c>
      <c r="E53" s="1926">
        <f>SUM(E54:E57)</f>
        <v>500</v>
      </c>
      <c r="F53" s="2157">
        <f>D53+E53</f>
        <v>1000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row>
    <row r="54" spans="2:26">
      <c r="B54" s="2177"/>
      <c r="C54" s="2197" t="s">
        <v>1553</v>
      </c>
      <c r="D54" s="2202">
        <v>500</v>
      </c>
      <c r="E54" s="2163">
        <v>500</v>
      </c>
      <c r="F54" s="1879">
        <f t="shared" ref="F54:F57" si="25">SUM(D54:E54)</f>
        <v>1000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row>
    <row r="55" spans="2:26">
      <c r="B55" s="2177"/>
      <c r="C55" s="2197"/>
      <c r="D55" s="2202"/>
      <c r="E55" s="2163"/>
      <c r="F55" s="1879">
        <f t="shared" si="25"/>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row>
    <row r="56" spans="2:26">
      <c r="B56" s="2177"/>
      <c r="C56" s="2197"/>
      <c r="D56" s="2202"/>
      <c r="E56" s="2163"/>
      <c r="F56" s="1879">
        <f t="shared" si="25"/>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row>
    <row r="57" spans="2:26">
      <c r="B57" s="2177"/>
      <c r="C57" s="2197"/>
      <c r="D57" s="2202"/>
      <c r="E57" s="2163"/>
      <c r="F57" s="1879">
        <f t="shared" si="25"/>
        <v>0</v>
      </c>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row>
    <row r="58" spans="2:26">
      <c r="B58" s="2177"/>
      <c r="C58" s="1952"/>
      <c r="D58" s="1958"/>
      <c r="E58" s="1955"/>
      <c r="F58" s="1958"/>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row>
    <row r="59" spans="2:26">
      <c r="B59" s="2177"/>
      <c r="C59" s="2106" t="s">
        <v>52</v>
      </c>
      <c r="D59" s="1926">
        <f>SUM(D60:D63)</f>
        <v>500</v>
      </c>
      <c r="E59" s="1926">
        <f>SUM(E60:E63)</f>
        <v>500</v>
      </c>
      <c r="F59" s="2157">
        <f>D59+E59</f>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row>
    <row r="60" spans="2:26">
      <c r="B60" s="2177"/>
      <c r="C60" s="2197"/>
      <c r="D60" s="2202">
        <v>500</v>
      </c>
      <c r="E60" s="2203">
        <v>500</v>
      </c>
      <c r="F60" s="1879">
        <f t="shared" ref="F60:F63" si="26">SUM(D60:E60)</f>
        <v>1000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row>
    <row r="61" spans="2:26">
      <c r="B61" s="2177"/>
      <c r="C61" s="2197"/>
      <c r="D61" s="2202"/>
      <c r="E61" s="2203"/>
      <c r="F61" s="1879">
        <f t="shared" si="26"/>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row>
    <row r="62" spans="2:26">
      <c r="B62" s="2177"/>
      <c r="C62" s="2197"/>
      <c r="D62" s="2202"/>
      <c r="E62" s="2203"/>
      <c r="F62" s="1879">
        <f t="shared" si="26"/>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row>
    <row r="63" spans="2:26">
      <c r="B63" s="2177"/>
      <c r="C63" s="2197"/>
      <c r="D63" s="2202"/>
      <c r="E63" s="2203"/>
      <c r="F63" s="1879">
        <f t="shared" si="26"/>
        <v>0</v>
      </c>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row>
    <row r="64" spans="2:26">
      <c r="B64" s="2177"/>
      <c r="C64" s="1952"/>
      <c r="D64" s="1958"/>
      <c r="E64" s="1955"/>
      <c r="F64" s="1958"/>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row>
    <row r="65" spans="1:26" ht="25.5">
      <c r="A65" s="1808" t="s">
        <v>284</v>
      </c>
      <c r="B65" s="2177"/>
      <c r="C65" s="2106" t="s">
        <v>53</v>
      </c>
      <c r="D65" s="2158">
        <f>W15</f>
        <v>108120</v>
      </c>
      <c r="E65" s="1926">
        <f>X15</f>
        <v>108120</v>
      </c>
      <c r="F65" s="2157">
        <f>D65+E65</f>
        <v>216240</v>
      </c>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row>
    <row r="66" spans="1:26">
      <c r="A66" s="1808" t="s">
        <v>285</v>
      </c>
      <c r="B66" s="2177"/>
      <c r="C66" s="1967" t="s">
        <v>313</v>
      </c>
      <c r="D66" s="2615">
        <f>D65/D12</f>
        <v>0.59894577234608537</v>
      </c>
      <c r="E66" s="2616">
        <f>E65/E12</f>
        <v>0.59737420554534759</v>
      </c>
      <c r="F66" s="1966"/>
      <c r="H66" s="1922"/>
      <c r="I66" s="1928"/>
      <c r="J66" s="1932" t="s">
        <v>241</v>
      </c>
      <c r="K66" s="1922"/>
      <c r="L66" s="1929"/>
      <c r="M66" s="1929"/>
      <c r="N66" s="1923"/>
      <c r="O66" s="1922"/>
      <c r="P66" s="1925"/>
      <c r="Q66" s="1928"/>
      <c r="R66" s="1928"/>
      <c r="S66" s="1931" t="s">
        <v>241</v>
      </c>
      <c r="T66" s="1931" t="s">
        <v>241</v>
      </c>
      <c r="U66" s="1931" t="s">
        <v>241</v>
      </c>
      <c r="V66" s="1931" t="s">
        <v>241</v>
      </c>
      <c r="W66" s="1921" t="s">
        <v>241</v>
      </c>
      <c r="X66" s="1921" t="s">
        <v>241</v>
      </c>
      <c r="Y66" s="1921" t="s">
        <v>241</v>
      </c>
      <c r="Z66" s="1946"/>
    </row>
    <row r="67" spans="1:26">
      <c r="A67" s="1808" t="s">
        <v>6</v>
      </c>
      <c r="B67" s="2177"/>
      <c r="C67" s="1968"/>
      <c r="D67" s="1963"/>
      <c r="E67" s="1964"/>
      <c r="F67" s="1965"/>
    </row>
    <row r="68" spans="1:26">
      <c r="A68" s="1808">
        <v>18230673</v>
      </c>
      <c r="B68" s="2177"/>
      <c r="C68" s="1959" t="s">
        <v>54</v>
      </c>
      <c r="D68" s="2202">
        <v>0</v>
      </c>
      <c r="E68" s="2202">
        <v>0</v>
      </c>
      <c r="F68" s="1956">
        <v>0</v>
      </c>
    </row>
    <row r="69" spans="1:26">
      <c r="A69" s="1808" t="s">
        <v>31</v>
      </c>
    </row>
  </sheetData>
  <customSheetViews>
    <customSheetView guid="{074EB09C-6289-46D7-9513-012B68BCA7BF}" showGridLines="0">
      <pane xSplit="1" ySplit="1" topLeftCell="H2" activePane="bottomRight" state="frozen"/>
      <selection pane="bottomRight" activeCell="C49" sqref="C49"/>
      <pageMargins left="0.21" right="0.17" top="0.34" bottom="0.36" header="0.3" footer="0.3"/>
      <pageSetup paperSize="17" scale="46" orientation="landscape" r:id="rId1"/>
    </customSheetView>
    <customSheetView guid="{D9EFFE19-D14B-4C6F-BDF4-FF696F73968D}" showGridLines="0">
      <pane xSplit="1" ySplit="1" topLeftCell="I2" activePane="bottomRight" state="frozen"/>
      <selection pane="bottomRight" activeCell="L15" sqref="L15:M15"/>
      <pageMargins left="0.21" right="0.17" top="0.34" bottom="0.36" header="0.3" footer="0.3"/>
      <pageSetup paperSize="17" scale="46" orientation="landscape" r:id="rId2"/>
    </customSheetView>
  </customSheetViews>
  <mergeCells count="8">
    <mergeCell ref="R2:S2"/>
    <mergeCell ref="T2:V2"/>
    <mergeCell ref="W2:W3"/>
    <mergeCell ref="H10:P10"/>
    <mergeCell ref="H12:P12"/>
    <mergeCell ref="Q12:S12"/>
    <mergeCell ref="T12:V12"/>
    <mergeCell ref="W12:Y12"/>
  </mergeCells>
  <pageMargins left="0.21" right="0.17" top="0.34" bottom="0.36" header="0.3" footer="0.3"/>
  <pageSetup paperSize="17" scale="46" orientation="landscape" r:id="rId3"/>
  <ignoredErrors>
    <ignoredError sqref="R7" formula="1"/>
  </ignoredError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8DB4E3"/>
    <pageSetUpPr fitToPage="1"/>
  </sheetPr>
  <dimension ref="A1:V90"/>
  <sheetViews>
    <sheetView showGridLines="0" zoomScaleNormal="100" workbookViewId="0">
      <pane xSplit="1" ySplit="1" topLeftCell="D17" activePane="bottomRight" state="frozen"/>
      <selection pane="topRight" activeCell="B1" sqref="B1"/>
      <selection pane="bottomLeft" activeCell="A2" sqref="A2"/>
      <selection pane="bottomRight" activeCell="G33" sqref="G33"/>
    </sheetView>
  </sheetViews>
  <sheetFormatPr defaultColWidth="20" defaultRowHeight="12.75"/>
  <cols>
    <col min="1" max="1" width="18.28515625" style="1164" customWidth="1"/>
    <col min="2" max="2" width="56" bestFit="1" customWidth="1"/>
    <col min="14" max="14" width="33.140625" customWidth="1"/>
  </cols>
  <sheetData>
    <row r="1" spans="1:22" ht="55.5" customHeight="1">
      <c r="B1" s="1838" t="s">
        <v>281</v>
      </c>
      <c r="C1" s="1812" t="s">
        <v>277</v>
      </c>
      <c r="D1" s="1838" t="s">
        <v>89</v>
      </c>
      <c r="E1" s="1837" t="s">
        <v>5</v>
      </c>
      <c r="H1" s="1812"/>
      <c r="I1" s="69"/>
      <c r="J1" s="69"/>
      <c r="K1" s="2351" t="s">
        <v>281</v>
      </c>
      <c r="L1" s="1977" t="s">
        <v>277</v>
      </c>
      <c r="M1" s="1838" t="s">
        <v>89</v>
      </c>
      <c r="N1" s="1837" t="s">
        <v>5</v>
      </c>
    </row>
    <row r="2" spans="1:22" ht="21" thickBot="1">
      <c r="B2" s="75"/>
      <c r="C2" s="2860"/>
      <c r="D2" s="2860"/>
      <c r="E2" s="2861"/>
      <c r="F2" s="2862"/>
      <c r="G2" s="2862"/>
      <c r="H2" s="2353"/>
      <c r="I2" s="2353"/>
      <c r="J2" s="2353"/>
      <c r="K2" s="2352"/>
      <c r="L2" s="2352"/>
      <c r="M2" s="2865"/>
      <c r="N2" s="1518"/>
      <c r="O2" s="1518"/>
      <c r="P2" s="1518"/>
      <c r="Q2" s="1518"/>
      <c r="R2" s="1518"/>
      <c r="S2" s="1518"/>
      <c r="T2" s="1518"/>
      <c r="U2" s="1518"/>
      <c r="V2" s="1518"/>
    </row>
    <row r="3" spans="1:22" s="2006" customFormat="1" ht="38.25">
      <c r="A3" s="1833" t="s">
        <v>281</v>
      </c>
      <c r="C3" s="2863"/>
      <c r="D3" s="2863"/>
      <c r="E3" s="2863"/>
      <c r="F3" s="2863"/>
      <c r="G3" s="2864"/>
      <c r="H3" s="787" t="s">
        <v>8</v>
      </c>
      <c r="I3" s="720" t="s">
        <v>9</v>
      </c>
      <c r="J3" s="720" t="s">
        <v>87</v>
      </c>
      <c r="K3" s="721" t="s">
        <v>11</v>
      </c>
      <c r="L3" s="721" t="s">
        <v>504</v>
      </c>
      <c r="M3" s="2866" t="s">
        <v>12</v>
      </c>
      <c r="N3" s="2866" t="s">
        <v>13</v>
      </c>
      <c r="O3" s="2866" t="s">
        <v>14</v>
      </c>
      <c r="P3" s="2866" t="s">
        <v>88</v>
      </c>
      <c r="Q3" s="2347" t="s">
        <v>39</v>
      </c>
      <c r="R3" s="2492" t="s">
        <v>16</v>
      </c>
      <c r="S3" s="2347" t="s">
        <v>40</v>
      </c>
      <c r="T3" s="2031"/>
      <c r="U3" s="2032"/>
      <c r="V3" s="2033"/>
    </row>
    <row r="4" spans="1:22" ht="15.75">
      <c r="A4" s="1808" t="s">
        <v>277</v>
      </c>
      <c r="G4" s="1704" t="s">
        <v>668</v>
      </c>
      <c r="H4" s="2806">
        <v>429996</v>
      </c>
      <c r="I4" s="2807">
        <v>8217</v>
      </c>
      <c r="J4" s="2807">
        <v>313200</v>
      </c>
      <c r="K4" s="1664" t="s">
        <v>691</v>
      </c>
      <c r="L4" s="2807">
        <v>33944</v>
      </c>
      <c r="M4" s="2808">
        <v>1932673</v>
      </c>
      <c r="N4" s="2807">
        <v>8679</v>
      </c>
      <c r="O4" s="2807">
        <v>66400</v>
      </c>
      <c r="P4" s="2807">
        <v>5831917</v>
      </c>
      <c r="Q4" s="2807"/>
      <c r="R4" s="2809">
        <v>8642651</v>
      </c>
      <c r="S4" s="2348" t="s">
        <v>692</v>
      </c>
      <c r="T4" s="2028"/>
      <c r="U4" s="2029"/>
      <c r="V4" s="2030"/>
    </row>
    <row r="5" spans="1:22" ht="25.5">
      <c r="A5" s="1833" t="s">
        <v>89</v>
      </c>
      <c r="G5" s="71">
        <v>2016</v>
      </c>
      <c r="H5" s="92">
        <f>C19</f>
        <v>479585.94267861627</v>
      </c>
      <c r="I5" s="93">
        <f>C21</f>
        <v>11339</v>
      </c>
      <c r="J5" s="93">
        <f>C45</f>
        <v>325134.63239404804</v>
      </c>
      <c r="K5" s="93">
        <f>C41</f>
        <v>0</v>
      </c>
      <c r="L5" s="93">
        <f>C31</f>
        <v>25000</v>
      </c>
      <c r="M5" s="93">
        <f>C59</f>
        <v>1770000</v>
      </c>
      <c r="N5" s="93">
        <f>C39</f>
        <v>8500</v>
      </c>
      <c r="O5" s="93">
        <f>C33</f>
        <v>0</v>
      </c>
      <c r="P5" s="770">
        <f>C14</f>
        <v>5500000</v>
      </c>
      <c r="Q5" s="770"/>
      <c r="R5" s="2493">
        <f>SUM(H5:P5)</f>
        <v>8119559.5750726648</v>
      </c>
      <c r="S5" s="2349">
        <f>C74</f>
        <v>27500000</v>
      </c>
      <c r="T5" s="2028"/>
      <c r="U5" s="2029"/>
      <c r="V5" s="2030"/>
    </row>
    <row r="6" spans="1:22" ht="13.5" thickBot="1">
      <c r="A6" s="1839" t="s">
        <v>5</v>
      </c>
      <c r="G6" s="98">
        <v>2017</v>
      </c>
      <c r="H6" s="92">
        <f>D19</f>
        <v>479585.94267861627</v>
      </c>
      <c r="I6" s="93">
        <f>D21</f>
        <v>11622.48</v>
      </c>
      <c r="J6" s="93">
        <f>D45</f>
        <v>336334.63239404804</v>
      </c>
      <c r="K6" s="93">
        <f>D41</f>
        <v>0</v>
      </c>
      <c r="L6" s="93">
        <f>D31</f>
        <v>25000</v>
      </c>
      <c r="M6" s="101">
        <f>D59</f>
        <v>740000</v>
      </c>
      <c r="N6" s="93">
        <f>D39</f>
        <v>8500</v>
      </c>
      <c r="O6" s="93">
        <f>D33</f>
        <v>0</v>
      </c>
      <c r="P6" s="770">
        <f>D14</f>
        <v>6000000</v>
      </c>
      <c r="Q6" s="770"/>
      <c r="R6" s="2493">
        <f>SUM(H6:P6)</f>
        <v>7601043.0550726643</v>
      </c>
      <c r="S6" s="2349">
        <f>D74</f>
        <v>25500000</v>
      </c>
      <c r="T6" s="2029"/>
      <c r="U6" s="2029"/>
      <c r="V6" s="2030"/>
    </row>
    <row r="7" spans="1:22" s="1569" customFormat="1" ht="13.5" thickBot="1">
      <c r="G7" s="1591" t="s">
        <v>55</v>
      </c>
      <c r="H7" s="1571">
        <f t="shared" ref="H7:P7" si="0">SUM(H5:H6)</f>
        <v>959171.88535723253</v>
      </c>
      <c r="I7" s="1593">
        <f t="shared" si="0"/>
        <v>22961.48</v>
      </c>
      <c r="J7" s="1593">
        <f t="shared" si="0"/>
        <v>661469.26478809607</v>
      </c>
      <c r="K7" s="1593">
        <f t="shared" si="0"/>
        <v>0</v>
      </c>
      <c r="L7" s="1593">
        <f t="shared" si="0"/>
        <v>50000</v>
      </c>
      <c r="M7" s="1593">
        <f t="shared" si="0"/>
        <v>2510000</v>
      </c>
      <c r="N7" s="1593">
        <f t="shared" si="0"/>
        <v>17000</v>
      </c>
      <c r="O7" s="1593">
        <f t="shared" si="0"/>
        <v>0</v>
      </c>
      <c r="P7" s="1593">
        <f t="shared" si="0"/>
        <v>11500000</v>
      </c>
      <c r="Q7" s="1593"/>
      <c r="R7" s="2494">
        <f>SUM(R5:R6)</f>
        <v>15720602.63014533</v>
      </c>
      <c r="S7" s="2350">
        <f>SUM(S5:S6)</f>
        <v>53000000</v>
      </c>
    </row>
    <row r="8" spans="1:22" ht="18">
      <c r="A8" s="1808"/>
      <c r="B8" s="87"/>
      <c r="C8" s="76"/>
      <c r="D8" s="76"/>
      <c r="E8" s="90"/>
      <c r="F8" s="77"/>
      <c r="G8" s="77"/>
      <c r="H8" s="69"/>
      <c r="I8" s="69"/>
      <c r="J8" s="69"/>
      <c r="K8" s="69"/>
      <c r="L8" s="69"/>
      <c r="M8" s="69"/>
      <c r="N8" s="69"/>
    </row>
    <row r="9" spans="1:22" ht="18">
      <c r="A9" s="1808"/>
      <c r="C9" s="95">
        <v>2016</v>
      </c>
      <c r="D9" s="96">
        <v>2017</v>
      </c>
      <c r="E9" s="96" t="s">
        <v>23</v>
      </c>
      <c r="F9" s="97"/>
      <c r="G9" s="88"/>
      <c r="H9" s="88"/>
      <c r="I9" s="88"/>
      <c r="J9" s="69"/>
      <c r="K9" s="69"/>
      <c r="L9" s="69"/>
      <c r="M9" s="69"/>
      <c r="N9" s="69"/>
    </row>
    <row r="10" spans="1:22" ht="18">
      <c r="A10" s="1808"/>
      <c r="B10" s="94"/>
      <c r="C10" s="69"/>
      <c r="D10" s="69"/>
      <c r="E10" s="69"/>
      <c r="F10" s="91"/>
      <c r="G10" s="81"/>
      <c r="H10" s="1347"/>
      <c r="I10" s="1355"/>
      <c r="J10" s="1344"/>
      <c r="K10" s="1344"/>
      <c r="N10" s="69"/>
    </row>
    <row r="11" spans="1:22">
      <c r="A11" s="1808"/>
      <c r="B11" s="822" t="s">
        <v>90</v>
      </c>
      <c r="C11" s="862"/>
      <c r="D11" s="863"/>
      <c r="E11" s="850"/>
      <c r="F11" s="829"/>
      <c r="G11" s="81"/>
      <c r="H11" s="1347"/>
      <c r="I11" s="1347"/>
      <c r="J11" s="1348"/>
      <c r="K11" s="1344"/>
      <c r="N11" s="69"/>
    </row>
    <row r="12" spans="1:22" ht="15.75">
      <c r="A12" s="1808"/>
      <c r="B12" s="1318"/>
      <c r="C12" s="2337">
        <v>5500000</v>
      </c>
      <c r="D12" s="2339">
        <v>6000000</v>
      </c>
      <c r="E12" s="861">
        <f>SUM(C12:D12)</f>
        <v>11500000</v>
      </c>
      <c r="F12" s="829"/>
      <c r="G12" s="81"/>
      <c r="H12" s="1347"/>
      <c r="I12" s="1347"/>
      <c r="J12" s="1349"/>
      <c r="K12" s="1344"/>
      <c r="N12" s="69"/>
    </row>
    <row r="13" spans="1:22" ht="17.25">
      <c r="B13" s="1318"/>
      <c r="C13" s="2490"/>
      <c r="D13" s="2491"/>
      <c r="E13" s="2443">
        <f>SUM(C13:D13)</f>
        <v>0</v>
      </c>
      <c r="F13" s="829"/>
      <c r="G13" s="81"/>
      <c r="H13" s="1347"/>
      <c r="I13" s="1347"/>
      <c r="J13" s="1349"/>
      <c r="K13" s="1341"/>
      <c r="N13" s="69"/>
    </row>
    <row r="14" spans="1:22">
      <c r="B14" s="1299"/>
      <c r="C14" s="864">
        <f>SUM(C12:C13)</f>
        <v>5500000</v>
      </c>
      <c r="D14" s="2716">
        <f>SUM(D12:D13)</f>
        <v>6000000</v>
      </c>
      <c r="E14" s="850">
        <f>SUM(C14:D14)</f>
        <v>11500000</v>
      </c>
      <c r="F14" s="829"/>
      <c r="G14" s="81"/>
      <c r="H14" s="1347"/>
      <c r="I14" s="1465"/>
      <c r="J14" s="1343"/>
      <c r="K14" s="1341"/>
      <c r="N14" s="69"/>
    </row>
    <row r="15" spans="1:22" ht="18">
      <c r="B15" s="824"/>
      <c r="C15" s="1144"/>
      <c r="D15" s="817"/>
      <c r="E15" s="836"/>
      <c r="F15" s="829"/>
      <c r="G15" s="81"/>
      <c r="H15" s="1347"/>
      <c r="I15" s="1347"/>
      <c r="J15" s="1343"/>
      <c r="K15" s="1341"/>
      <c r="N15" s="69"/>
    </row>
    <row r="16" spans="1:22">
      <c r="B16" s="822" t="s">
        <v>93</v>
      </c>
      <c r="C16" s="837"/>
      <c r="D16" s="817"/>
      <c r="E16" s="836"/>
      <c r="F16" s="3162">
        <v>2016</v>
      </c>
      <c r="G16" s="3163">
        <v>2017</v>
      </c>
      <c r="H16" s="1345"/>
      <c r="I16" s="1347"/>
      <c r="J16" s="1343"/>
      <c r="K16" s="1341"/>
    </row>
    <row r="17" spans="2:12" customFormat="1">
      <c r="B17" s="828" t="s">
        <v>95</v>
      </c>
      <c r="C17" s="2338">
        <v>839000</v>
      </c>
      <c r="D17" s="2339">
        <v>839000</v>
      </c>
      <c r="E17" s="847">
        <f>SUM(C17:D17)</f>
        <v>1678000</v>
      </c>
      <c r="F17" s="833">
        <v>7.1</v>
      </c>
      <c r="G17">
        <v>6.9</v>
      </c>
      <c r="H17" s="82" t="s">
        <v>96</v>
      </c>
      <c r="I17" s="1347"/>
      <c r="J17" s="1343"/>
      <c r="K17" s="1341"/>
    </row>
    <row r="18" spans="2:12" customFormat="1" ht="15" customHeight="1">
      <c r="B18" s="1262" t="s">
        <v>336</v>
      </c>
      <c r="C18" s="2718">
        <f>-('LPSD_Detail_Non-449 Elec'!C17+LPSD_Detail_449_Elec!C17)</f>
        <v>-359414.05732138373</v>
      </c>
      <c r="D18" s="3343">
        <f>-('LPSD_Detail_Non-449 Elec'!D17+LPSD_Detail_449_Elec!D17)</f>
        <v>-359414.05732138373</v>
      </c>
      <c r="E18" s="2027">
        <f>SUM(C18:D18)</f>
        <v>-718828.11464276747</v>
      </c>
      <c r="I18" s="1347"/>
      <c r="J18" s="1343"/>
      <c r="K18" s="1341"/>
    </row>
    <row r="19" spans="2:12" customFormat="1">
      <c r="B19" s="1250" t="s">
        <v>243</v>
      </c>
      <c r="C19" s="1278">
        <f>C17+C18</f>
        <v>479585.94267861627</v>
      </c>
      <c r="D19" s="2341">
        <f>D17+D18</f>
        <v>479585.94267861627</v>
      </c>
      <c r="E19" s="1254">
        <f>SUM(E17:E18)</f>
        <v>959171.88535723253</v>
      </c>
      <c r="I19" s="1347"/>
      <c r="J19" s="1354"/>
      <c r="K19" s="1341"/>
    </row>
    <row r="20" spans="2:12" customFormat="1">
      <c r="C20" s="1951"/>
      <c r="E20" s="1953"/>
      <c r="I20" s="1341"/>
      <c r="J20" s="1342"/>
      <c r="K20" s="1341"/>
    </row>
    <row r="21" spans="2:12" customFormat="1">
      <c r="B21" s="828" t="s">
        <v>1647</v>
      </c>
      <c r="C21" s="1170">
        <v>11339</v>
      </c>
      <c r="D21" s="41">
        <v>11622.48</v>
      </c>
      <c r="E21" s="1189">
        <f>SUM(C21:D21)</f>
        <v>22961.48</v>
      </c>
      <c r="F21">
        <v>0.1</v>
      </c>
      <c r="G21">
        <v>0.1</v>
      </c>
      <c r="H21" s="82" t="s">
        <v>96</v>
      </c>
      <c r="I21" s="1347"/>
      <c r="J21" s="1359"/>
      <c r="K21" s="1341"/>
    </row>
    <row r="22" spans="2:12" customFormat="1">
      <c r="B22" s="1252"/>
      <c r="C22" s="1255"/>
      <c r="D22" s="1251"/>
      <c r="E22" s="1258"/>
      <c r="F22" s="1249"/>
      <c r="G22" s="1248"/>
      <c r="H22" s="1346"/>
      <c r="I22" s="1352" t="s">
        <v>102</v>
      </c>
      <c r="J22" s="1357"/>
      <c r="K22" s="1350" t="s">
        <v>103</v>
      </c>
    </row>
    <row r="23" spans="2:12" customFormat="1">
      <c r="C23" s="1951"/>
      <c r="E23" s="1953"/>
      <c r="F23" s="833"/>
      <c r="H23" s="1346"/>
      <c r="I23" s="1352" t="s">
        <v>105</v>
      </c>
      <c r="J23" s="1356"/>
      <c r="K23" s="1353" t="s">
        <v>106</v>
      </c>
    </row>
    <row r="24" spans="2:12" customFormat="1">
      <c r="B24" s="828"/>
      <c r="C24" s="838"/>
      <c r="D24" s="817"/>
      <c r="E24" s="836"/>
      <c r="F24" s="827"/>
      <c r="G24" s="80"/>
      <c r="H24" s="1346"/>
      <c r="I24" s="1352" t="s">
        <v>108</v>
      </c>
      <c r="J24" s="1356"/>
      <c r="K24" s="1353" t="s">
        <v>106</v>
      </c>
    </row>
    <row r="25" spans="2:12" customFormat="1">
      <c r="B25" s="1126" t="s">
        <v>506</v>
      </c>
      <c r="C25" s="837"/>
      <c r="D25" s="817"/>
      <c r="E25" s="836"/>
      <c r="F25" s="826"/>
      <c r="G25" s="79"/>
      <c r="H25" s="1346"/>
      <c r="I25" s="1351" t="s">
        <v>109</v>
      </c>
      <c r="J25" s="1358"/>
      <c r="K25" s="1341"/>
    </row>
    <row r="26" spans="2:12" customFormat="1">
      <c r="B26" s="816" t="s">
        <v>100</v>
      </c>
      <c r="C26" s="1182"/>
      <c r="D26" s="1174"/>
      <c r="E26" s="847">
        <f>C26+D26</f>
        <v>0</v>
      </c>
      <c r="J26" s="1341"/>
      <c r="K26" s="1341"/>
    </row>
    <row r="27" spans="2:12" customFormat="1">
      <c r="B27" s="1130" t="s">
        <v>520</v>
      </c>
      <c r="C27" s="1148"/>
      <c r="D27" s="1174"/>
      <c r="E27" s="1189">
        <f>C27+D27</f>
        <v>0</v>
      </c>
      <c r="J27" s="1341"/>
      <c r="K27" s="1341"/>
    </row>
    <row r="28" spans="2:12" customFormat="1">
      <c r="B28" s="828" t="s">
        <v>104</v>
      </c>
      <c r="C28" s="1182"/>
      <c r="D28" s="1174"/>
      <c r="E28" s="1189">
        <f>C28+D28</f>
        <v>0</v>
      </c>
      <c r="J28" s="1341"/>
      <c r="K28" s="1341"/>
    </row>
    <row r="29" spans="2:12" s="2177" customFormat="1">
      <c r="B29" s="1130" t="s">
        <v>521</v>
      </c>
      <c r="C29" s="1182"/>
      <c r="D29" s="1174"/>
      <c r="E29" s="1189">
        <f>C29+D29</f>
        <v>0</v>
      </c>
      <c r="J29" s="1458"/>
      <c r="K29" s="1458"/>
    </row>
    <row r="30" spans="2:12" customFormat="1" ht="12.75" customHeight="1">
      <c r="B30" s="828" t="s">
        <v>107</v>
      </c>
      <c r="C30" s="2441"/>
      <c r="D30" s="2442"/>
      <c r="E30" s="2443">
        <f>C30+D30</f>
        <v>0</v>
      </c>
    </row>
    <row r="31" spans="2:12" customFormat="1" ht="12.75" customHeight="1">
      <c r="B31" s="816"/>
      <c r="C31" s="1149">
        <v>25000</v>
      </c>
      <c r="D31" s="1136">
        <v>25000</v>
      </c>
      <c r="E31" s="850">
        <f>SUM(C31:D31)</f>
        <v>50000</v>
      </c>
      <c r="F31" s="826"/>
      <c r="G31" s="79"/>
      <c r="I31" s="3617"/>
      <c r="J31" s="3617"/>
      <c r="K31" s="3617"/>
      <c r="L31" s="3617"/>
    </row>
    <row r="32" spans="2:12" customFormat="1">
      <c r="B32" s="817"/>
      <c r="C32" s="841"/>
      <c r="D32" s="817"/>
      <c r="E32" s="836"/>
      <c r="F32" s="826"/>
      <c r="G32" s="79"/>
      <c r="I32" s="3617"/>
      <c r="J32" s="3617"/>
      <c r="K32" s="3617"/>
      <c r="L32" s="3617"/>
    </row>
    <row r="33" spans="1:22">
      <c r="B33" s="822" t="s">
        <v>94</v>
      </c>
      <c r="C33" s="840"/>
      <c r="D33" s="835"/>
      <c r="E33" s="850">
        <f>SUM(C33:D33)</f>
        <v>0</v>
      </c>
      <c r="F33" s="826"/>
      <c r="G33" s="79"/>
      <c r="I33" s="3617"/>
      <c r="J33" s="3617"/>
      <c r="K33" s="3617"/>
      <c r="L33" s="3617"/>
    </row>
    <row r="34" spans="1:22">
      <c r="B34" s="1122" t="s">
        <v>522</v>
      </c>
      <c r="C34" s="841"/>
      <c r="D34" s="817"/>
      <c r="E34" s="836"/>
      <c r="F34" s="826"/>
      <c r="G34" s="79"/>
      <c r="H34" s="74"/>
      <c r="I34" s="3617"/>
      <c r="J34" s="3617"/>
      <c r="K34" s="3617"/>
      <c r="L34" s="3617"/>
      <c r="O34" s="1518"/>
      <c r="P34" s="1518"/>
      <c r="Q34" s="1518"/>
      <c r="R34" s="1518"/>
      <c r="S34" s="1518"/>
      <c r="T34" s="1518"/>
      <c r="U34" s="1518"/>
      <c r="V34" s="1518"/>
    </row>
    <row r="35" spans="1:22" s="2177" customFormat="1">
      <c r="B35" s="1122"/>
      <c r="C35" s="943"/>
      <c r="D35" s="1122"/>
      <c r="E35" s="1145"/>
      <c r="F35" s="1129"/>
      <c r="G35" s="733"/>
      <c r="H35" s="725"/>
      <c r="I35" s="3617"/>
      <c r="J35" s="3617"/>
      <c r="K35" s="3617"/>
      <c r="L35" s="3617"/>
      <c r="O35" s="1518"/>
      <c r="P35" s="1518"/>
      <c r="Q35" s="1518"/>
      <c r="R35" s="1518"/>
      <c r="S35" s="1518"/>
      <c r="T35" s="1518"/>
      <c r="U35" s="1518"/>
      <c r="V35" s="1518"/>
    </row>
    <row r="36" spans="1:22">
      <c r="B36" s="821" t="s">
        <v>97</v>
      </c>
      <c r="C36" s="841"/>
      <c r="D36" s="817"/>
      <c r="E36" s="836"/>
      <c r="F36" s="823"/>
      <c r="G36" s="74"/>
      <c r="H36" s="74"/>
      <c r="I36" s="3617"/>
      <c r="J36" s="3617"/>
      <c r="K36" s="3617"/>
      <c r="L36" s="3617"/>
      <c r="O36" s="2028"/>
      <c r="P36" s="2028"/>
      <c r="Q36" s="2028"/>
      <c r="R36" s="2028"/>
      <c r="S36" s="2028"/>
      <c r="T36" s="2028"/>
      <c r="U36" s="2029"/>
      <c r="V36" s="2030"/>
    </row>
    <row r="37" spans="1:22">
      <c r="B37" s="816" t="s">
        <v>110</v>
      </c>
      <c r="C37" s="841"/>
      <c r="D37" s="849"/>
      <c r="E37" s="847">
        <f>C37+D37</f>
        <v>0</v>
      </c>
      <c r="F37" s="823"/>
      <c r="G37" s="74"/>
      <c r="H37" s="74"/>
      <c r="I37" s="2028"/>
      <c r="J37" s="2028"/>
      <c r="K37" s="2028"/>
      <c r="L37" s="2028"/>
      <c r="O37" s="2028"/>
      <c r="P37" s="2028"/>
      <c r="Q37" s="2028"/>
      <c r="R37" s="2028"/>
      <c r="S37" s="2028"/>
      <c r="T37" s="2028"/>
      <c r="U37" s="2029"/>
      <c r="V37" s="2030"/>
    </row>
    <row r="38" spans="1:22" ht="15">
      <c r="B38" s="817" t="s">
        <v>112</v>
      </c>
      <c r="C38" s="2444"/>
      <c r="D38" s="2442"/>
      <c r="E38" s="2443">
        <f>C38+D38</f>
        <v>0</v>
      </c>
      <c r="F38" s="823"/>
      <c r="G38" s="74"/>
      <c r="H38" s="74"/>
      <c r="O38" s="2029"/>
      <c r="P38" s="2029"/>
      <c r="Q38" s="2029"/>
      <c r="R38" s="2029"/>
      <c r="S38" s="2029"/>
      <c r="T38" s="2029"/>
      <c r="U38" s="2029"/>
      <c r="V38" s="2030"/>
    </row>
    <row r="39" spans="1:22">
      <c r="B39" s="821" t="s">
        <v>113</v>
      </c>
      <c r="C39" s="842">
        <v>8500</v>
      </c>
      <c r="D39" s="1132">
        <v>8500</v>
      </c>
      <c r="E39" s="850">
        <f>SUM(C39:D39)</f>
        <v>17000</v>
      </c>
      <c r="F39" s="823"/>
      <c r="G39" s="74"/>
      <c r="H39" s="74"/>
    </row>
    <row r="40" spans="1:22">
      <c r="B40" s="817"/>
      <c r="C40" s="841"/>
      <c r="D40" s="817"/>
      <c r="E40" s="836"/>
      <c r="F40" s="823"/>
      <c r="G40" s="74"/>
      <c r="H40" s="74"/>
    </row>
    <row r="41" spans="1:22">
      <c r="A41" s="1833" t="s">
        <v>281</v>
      </c>
      <c r="B41" s="821" t="s">
        <v>98</v>
      </c>
      <c r="C41" s="1201"/>
      <c r="D41" s="1202"/>
      <c r="E41" s="850">
        <f>SUM(C41:D41)</f>
        <v>0</v>
      </c>
      <c r="F41" s="823"/>
      <c r="G41" s="74"/>
      <c r="H41" s="74"/>
      <c r="I41" s="78"/>
    </row>
    <row r="42" spans="1:22">
      <c r="A42" s="1808" t="s">
        <v>277</v>
      </c>
      <c r="B42" s="817"/>
      <c r="C42" s="841"/>
      <c r="D42" s="817"/>
      <c r="E42" s="836"/>
      <c r="F42" s="823"/>
      <c r="G42" s="73"/>
      <c r="H42" s="74"/>
      <c r="I42" s="78"/>
    </row>
    <row r="43" spans="1:22" ht="25.5">
      <c r="A43" s="1833" t="s">
        <v>89</v>
      </c>
      <c r="B43" s="821" t="s">
        <v>10</v>
      </c>
      <c r="C43" s="1169">
        <f>ROUND(SUM(C17,C21)*F43, -2)</f>
        <v>567200</v>
      </c>
      <c r="D43" s="1168">
        <f>ROUND(SUM(D17,D21)*F44, -2)</f>
        <v>578400</v>
      </c>
      <c r="E43" s="850">
        <f>SUM(C43:D43)</f>
        <v>1145600</v>
      </c>
      <c r="F43" s="2805">
        <v>0.66700000000000004</v>
      </c>
      <c r="G43" s="2827" t="s">
        <v>725</v>
      </c>
      <c r="H43" s="74"/>
      <c r="I43" s="78"/>
    </row>
    <row r="44" spans="1:22">
      <c r="A44" s="1839" t="s">
        <v>5</v>
      </c>
      <c r="B44" s="1256" t="s">
        <v>340</v>
      </c>
      <c r="C44" s="3344">
        <f>-SUM('LPSD_Detail_Non-449 Elec'!C37+LPSD_Detail_449_Elec!C37)</f>
        <v>-242065.36760595196</v>
      </c>
      <c r="D44" s="3345">
        <f>-SUM('LPSD_Detail_Non-449 Elec'!D37+LPSD_Detail_449_Elec!D37)</f>
        <v>-242065.36760595196</v>
      </c>
      <c r="E44" s="1258">
        <f>-J47</f>
        <v>-484130.73521190393</v>
      </c>
      <c r="F44" s="2804">
        <v>0.68</v>
      </c>
      <c r="G44" s="2803" t="s">
        <v>726</v>
      </c>
      <c r="H44" s="1345" t="s">
        <v>245</v>
      </c>
      <c r="I44" s="1341"/>
      <c r="J44" s="1341"/>
    </row>
    <row r="45" spans="1:22">
      <c r="B45" s="1253" t="s">
        <v>244</v>
      </c>
      <c r="C45" s="1265">
        <f>C43+C44</f>
        <v>325134.63239404804</v>
      </c>
      <c r="D45" s="1264">
        <f>D43+D44</f>
        <v>336334.63239404804</v>
      </c>
      <c r="E45" s="1254">
        <f>E43+E44</f>
        <v>661469.26478809607</v>
      </c>
      <c r="F45" s="823"/>
      <c r="H45" s="1361"/>
      <c r="I45" s="1362" t="s">
        <v>246</v>
      </c>
      <c r="J45" s="3346">
        <f>'LPSD_Detail_Non-449 Elec'!I33+LPSD_Detail_449_Elec!I33</f>
        <v>1202958.8498546714</v>
      </c>
    </row>
    <row r="46" spans="1:22">
      <c r="B46" s="816"/>
      <c r="C46" s="841"/>
      <c r="D46" s="817"/>
      <c r="E46" s="836"/>
      <c r="F46" s="823"/>
      <c r="H46" s="1360"/>
      <c r="I46" s="1363" t="s">
        <v>247</v>
      </c>
      <c r="J46" s="3347">
        <f>'LPSD_Detail_Non-449 Elec'!I34+LPSD_Detail_449_Elec!I34</f>
        <v>718828.11464276747</v>
      </c>
    </row>
    <row r="47" spans="1:22">
      <c r="B47" s="818" t="s">
        <v>12</v>
      </c>
      <c r="C47" s="841"/>
      <c r="D47" s="817"/>
      <c r="E47" s="836"/>
      <c r="F47" s="823"/>
      <c r="H47" s="1365"/>
      <c r="I47" s="1364" t="s">
        <v>248</v>
      </c>
      <c r="J47" s="3348">
        <f>'LPSD_Detail_Non-449 Elec'!I35+LPSD_Detail_449_Elec!I35</f>
        <v>484130.73521190393</v>
      </c>
    </row>
    <row r="48" spans="1:22">
      <c r="B48" s="857" t="s">
        <v>91</v>
      </c>
      <c r="C48" s="841"/>
      <c r="D48" s="817"/>
      <c r="E48" s="836"/>
      <c r="F48" s="823"/>
      <c r="G48" s="70"/>
      <c r="H48" s="74"/>
      <c r="I48" s="78"/>
    </row>
    <row r="49" spans="2:10" customFormat="1">
      <c r="B49" s="1193" t="s">
        <v>523</v>
      </c>
      <c r="C49" s="1182"/>
      <c r="D49" s="1174"/>
      <c r="E49" s="847">
        <f>SUM(C49:D49)</f>
        <v>0</v>
      </c>
      <c r="F49" s="823"/>
      <c r="G49" s="70"/>
      <c r="H49" s="74"/>
      <c r="I49" s="78"/>
      <c r="J49" s="69"/>
    </row>
    <row r="50" spans="2:10" customFormat="1">
      <c r="B50" s="1193" t="s">
        <v>126</v>
      </c>
      <c r="C50" s="1182"/>
      <c r="D50" s="1174"/>
      <c r="E50" s="1189">
        <f t="shared" ref="E50:E58" si="1">SUM(C50:D50)</f>
        <v>0</v>
      </c>
      <c r="F50" s="823"/>
      <c r="G50" s="70"/>
      <c r="H50" s="74"/>
      <c r="I50" s="78"/>
      <c r="J50" s="69"/>
    </row>
    <row r="51" spans="2:10" customFormat="1">
      <c r="B51" s="1193" t="s">
        <v>127</v>
      </c>
      <c r="C51" s="1182"/>
      <c r="D51" s="1174"/>
      <c r="E51" s="1189">
        <f t="shared" si="1"/>
        <v>0</v>
      </c>
      <c r="F51" s="823"/>
      <c r="G51" s="70"/>
      <c r="H51" s="74"/>
      <c r="I51" s="78"/>
      <c r="J51" s="69"/>
    </row>
    <row r="52" spans="2:10" customFormat="1">
      <c r="B52" s="1193" t="s">
        <v>524</v>
      </c>
      <c r="C52" s="1182"/>
      <c r="D52" s="1174"/>
      <c r="E52" s="1189">
        <f t="shared" si="1"/>
        <v>0</v>
      </c>
      <c r="F52" s="823"/>
      <c r="G52" s="70"/>
      <c r="H52" s="74"/>
      <c r="I52" s="78"/>
      <c r="J52" s="69"/>
    </row>
    <row r="53" spans="2:10" customFormat="1">
      <c r="B53" s="1193" t="s">
        <v>125</v>
      </c>
      <c r="C53" s="1182">
        <v>10000</v>
      </c>
      <c r="D53" s="1174">
        <v>10000</v>
      </c>
      <c r="E53" s="1189">
        <f t="shared" si="1"/>
        <v>20000</v>
      </c>
      <c r="F53" s="823"/>
      <c r="G53" s="70"/>
      <c r="H53" s="74"/>
      <c r="I53" s="78"/>
      <c r="J53" s="69"/>
    </row>
    <row r="54" spans="2:10" customFormat="1">
      <c r="B54" s="1193" t="s">
        <v>131</v>
      </c>
      <c r="C54" s="1182"/>
      <c r="D54" s="1174"/>
      <c r="E54" s="1189">
        <f t="shared" si="1"/>
        <v>0</v>
      </c>
      <c r="F54" s="823"/>
      <c r="G54" s="70"/>
      <c r="H54" s="74"/>
      <c r="I54" s="78"/>
      <c r="J54" s="69"/>
    </row>
    <row r="55" spans="2:10" customFormat="1">
      <c r="B55" s="854" t="s">
        <v>92</v>
      </c>
      <c r="C55" s="1173"/>
      <c r="D55" s="1174"/>
      <c r="E55" s="1189"/>
      <c r="F55" s="1858" t="s">
        <v>305</v>
      </c>
      <c r="G55" s="70"/>
      <c r="H55" s="74"/>
      <c r="I55" s="78"/>
      <c r="J55" s="69"/>
    </row>
    <row r="56" spans="2:10" customFormat="1">
      <c r="B56" s="1859" t="s">
        <v>525</v>
      </c>
      <c r="C56" s="1173">
        <v>500000</v>
      </c>
      <c r="D56" s="1175">
        <v>0</v>
      </c>
      <c r="E56" s="1189">
        <f t="shared" si="1"/>
        <v>500000</v>
      </c>
      <c r="F56" s="1858" t="s">
        <v>306</v>
      </c>
      <c r="G56" s="70"/>
      <c r="H56" s="74"/>
      <c r="I56" s="78"/>
      <c r="J56" s="69"/>
    </row>
    <row r="57" spans="2:10" customFormat="1">
      <c r="B57" s="1859" t="s">
        <v>304</v>
      </c>
      <c r="C57" s="1173">
        <v>260000</v>
      </c>
      <c r="D57" s="1175">
        <v>730000</v>
      </c>
      <c r="E57" s="1189">
        <f t="shared" si="1"/>
        <v>990000</v>
      </c>
      <c r="F57" s="1858" t="s">
        <v>307</v>
      </c>
      <c r="G57" s="73"/>
      <c r="H57" s="74"/>
      <c r="I57" s="78"/>
      <c r="J57" s="69"/>
    </row>
    <row r="58" spans="2:10" customFormat="1" ht="15">
      <c r="B58" s="1859" t="s">
        <v>526</v>
      </c>
      <c r="C58" s="2441">
        <v>1000000</v>
      </c>
      <c r="D58" s="2442"/>
      <c r="E58" s="2443">
        <f t="shared" si="1"/>
        <v>1000000</v>
      </c>
      <c r="F58" s="1858">
        <v>18231132</v>
      </c>
      <c r="G58" s="73"/>
      <c r="H58" s="83"/>
      <c r="I58" s="84"/>
      <c r="J58" s="72"/>
    </row>
    <row r="59" spans="2:10" customFormat="1">
      <c r="B59" s="2342" t="s">
        <v>117</v>
      </c>
      <c r="C59" s="1171">
        <f>SUM(C49:C58)</f>
        <v>1770000</v>
      </c>
      <c r="D59" s="1171">
        <f>SUM(D49:D58)</f>
        <v>740000</v>
      </c>
      <c r="E59" s="850">
        <f>SUM(C59:D59)</f>
        <v>2510000</v>
      </c>
      <c r="F59" s="823"/>
      <c r="G59" s="73"/>
      <c r="H59" s="85"/>
      <c r="I59" s="85"/>
      <c r="J59" s="72"/>
    </row>
    <row r="60" spans="2:10" customFormat="1" ht="13.5" thickBot="1">
      <c r="B60" s="825"/>
      <c r="C60" s="839"/>
      <c r="D60" s="817"/>
      <c r="E60" s="836"/>
      <c r="F60" s="823"/>
      <c r="G60" s="73"/>
      <c r="H60" s="85"/>
      <c r="I60" s="85"/>
      <c r="J60" s="72"/>
    </row>
    <row r="61" spans="2:10" customFormat="1" ht="13.5" thickBot="1">
      <c r="B61" s="831" t="s">
        <v>118</v>
      </c>
      <c r="C61" s="844">
        <f>C14+C19+C21+C31+C33+C39+C41+C45+C59</f>
        <v>8119559.5750726648</v>
      </c>
      <c r="D61" s="2343">
        <f>D14+D19+D21+D31+D33+D39+D41+D45+D59</f>
        <v>7601043.0550726652</v>
      </c>
      <c r="E61" s="2344">
        <f>E14+E19+E21+E31+E33+E39+E41+E45+E59</f>
        <v>15720602.63014533</v>
      </c>
      <c r="F61" s="823"/>
      <c r="G61" s="73"/>
      <c r="H61" s="85"/>
      <c r="I61" s="85"/>
      <c r="J61" s="72"/>
    </row>
    <row r="62" spans="2:10" customFormat="1">
      <c r="B62" s="819"/>
      <c r="C62" s="853"/>
      <c r="D62" s="820"/>
      <c r="E62" s="820"/>
      <c r="F62" s="1172"/>
      <c r="G62" s="73"/>
      <c r="H62" s="85"/>
      <c r="I62" s="85"/>
      <c r="J62" s="72"/>
    </row>
    <row r="63" spans="2:10" customFormat="1">
      <c r="B63" s="821" t="s">
        <v>119</v>
      </c>
      <c r="C63" s="848">
        <v>2016</v>
      </c>
      <c r="D63" s="848">
        <v>2017</v>
      </c>
      <c r="E63" s="848" t="s">
        <v>23</v>
      </c>
      <c r="F63" s="1172"/>
      <c r="G63" s="73"/>
      <c r="H63" s="85"/>
      <c r="I63" s="85"/>
      <c r="J63" s="72"/>
    </row>
    <row r="64" spans="2:10" s="1164" customFormat="1" ht="15.75">
      <c r="B64" s="1318"/>
      <c r="C64" s="845"/>
      <c r="D64" s="846"/>
      <c r="E64" s="846"/>
      <c r="F64" s="858"/>
      <c r="G64" s="73"/>
      <c r="H64" s="743"/>
      <c r="I64" s="743"/>
      <c r="J64" s="717"/>
    </row>
    <row r="65" spans="2:10" customFormat="1">
      <c r="B65" s="855" t="s">
        <v>69</v>
      </c>
      <c r="C65" s="1203"/>
      <c r="D65" s="649"/>
      <c r="E65" s="852">
        <f>C65+D65</f>
        <v>0</v>
      </c>
      <c r="F65" s="851" t="s">
        <v>120</v>
      </c>
      <c r="G65" s="74"/>
      <c r="H65" s="85"/>
      <c r="I65" s="85"/>
      <c r="J65" s="72"/>
    </row>
    <row r="66" spans="2:10" customFormat="1">
      <c r="B66" s="1192" t="s">
        <v>527</v>
      </c>
      <c r="C66" s="1203"/>
      <c r="D66" s="649"/>
      <c r="E66" s="1177">
        <f>C66+D66</f>
        <v>0</v>
      </c>
      <c r="F66" s="851" t="s">
        <v>120</v>
      </c>
      <c r="G66" s="74"/>
      <c r="H66" s="85"/>
      <c r="I66" s="85"/>
      <c r="J66" s="72"/>
    </row>
    <row r="67" spans="2:10" customFormat="1">
      <c r="B67" s="1192" t="s">
        <v>528</v>
      </c>
      <c r="C67" s="1203"/>
      <c r="D67" s="649"/>
      <c r="E67" s="1177">
        <f>C67+D67</f>
        <v>0</v>
      </c>
      <c r="F67" s="851" t="s">
        <v>120</v>
      </c>
      <c r="G67" s="74"/>
      <c r="H67" s="85"/>
      <c r="I67" s="85"/>
      <c r="J67" s="72"/>
    </row>
    <row r="68" spans="2:10" customFormat="1">
      <c r="B68" s="1192" t="s">
        <v>529</v>
      </c>
      <c r="C68" s="1203">
        <v>20000000</v>
      </c>
      <c r="D68" s="649">
        <v>21000000</v>
      </c>
      <c r="E68" s="1177">
        <f>C68+D68</f>
        <v>41000000</v>
      </c>
      <c r="F68" s="851" t="s">
        <v>120</v>
      </c>
      <c r="G68" s="74"/>
      <c r="H68" s="85"/>
      <c r="I68" s="85"/>
      <c r="J68" s="72"/>
    </row>
    <row r="69" spans="2:10" customFormat="1" ht="15.75">
      <c r="B69" s="1318"/>
      <c r="C69" s="1204"/>
      <c r="D69" s="1205"/>
      <c r="E69" s="852"/>
      <c r="F69" s="851"/>
      <c r="G69" s="725"/>
      <c r="H69" s="85"/>
      <c r="I69" s="85"/>
      <c r="J69" s="72"/>
    </row>
    <row r="70" spans="2:10" customFormat="1">
      <c r="B70" s="1178" t="s">
        <v>530</v>
      </c>
      <c r="C70" s="1203">
        <v>3000000</v>
      </c>
      <c r="D70" s="649">
        <v>0</v>
      </c>
      <c r="E70" s="852">
        <f>C70+D70</f>
        <v>3000000</v>
      </c>
      <c r="F70" s="851" t="s">
        <v>120</v>
      </c>
      <c r="G70" s="83"/>
      <c r="H70" s="85"/>
      <c r="I70" s="85"/>
      <c r="J70" s="72"/>
    </row>
    <row r="71" spans="2:10" customFormat="1">
      <c r="B71" s="1178" t="s">
        <v>304</v>
      </c>
      <c r="C71" s="1203">
        <v>1500000</v>
      </c>
      <c r="D71" s="649">
        <v>4500000</v>
      </c>
      <c r="E71" s="1177">
        <f>C71+D71</f>
        <v>6000000</v>
      </c>
      <c r="F71" s="1176"/>
      <c r="G71" s="83"/>
      <c r="H71" s="85"/>
      <c r="I71" s="85"/>
      <c r="J71" s="72"/>
    </row>
    <row r="72" spans="2:10" customFormat="1">
      <c r="B72" s="856" t="s">
        <v>531</v>
      </c>
      <c r="C72" s="1203">
        <v>3000000</v>
      </c>
      <c r="D72" s="649">
        <v>0</v>
      </c>
      <c r="E72" s="1177">
        <f>C72+D72</f>
        <v>3000000</v>
      </c>
      <c r="F72" s="851" t="s">
        <v>120</v>
      </c>
      <c r="G72" s="83"/>
      <c r="H72" s="83"/>
      <c r="I72" s="85"/>
      <c r="J72" s="72"/>
    </row>
    <row r="73" spans="2:10" customFormat="1">
      <c r="B73" s="856"/>
      <c r="C73" s="1206"/>
      <c r="D73" s="1207"/>
      <c r="E73" s="865"/>
      <c r="F73" s="866"/>
      <c r="G73" s="83"/>
      <c r="H73" s="83"/>
      <c r="I73" s="85"/>
      <c r="J73" s="72"/>
    </row>
    <row r="74" spans="2:10" customFormat="1">
      <c r="B74" s="818" t="s">
        <v>121</v>
      </c>
      <c r="C74" s="843">
        <f>SUM(C65:C73)</f>
        <v>27500000</v>
      </c>
      <c r="D74" s="2345">
        <f>SUM(D65:D73)</f>
        <v>25500000</v>
      </c>
      <c r="E74" s="859">
        <f>SUM(C74:D74)</f>
        <v>53000000</v>
      </c>
      <c r="F74" s="860" t="s">
        <v>120</v>
      </c>
      <c r="G74" s="83"/>
      <c r="H74" s="83"/>
      <c r="I74" s="84"/>
      <c r="J74" s="72"/>
    </row>
    <row r="75" spans="2:10" customFormat="1">
      <c r="B75" s="816"/>
      <c r="C75" s="830"/>
      <c r="D75" s="816"/>
      <c r="E75" s="816"/>
      <c r="F75" s="832"/>
      <c r="G75" s="83"/>
      <c r="H75" s="83"/>
      <c r="I75" s="84"/>
      <c r="J75" s="72"/>
    </row>
    <row r="76" spans="2:10" customFormat="1">
      <c r="B76" s="834" t="s">
        <v>122</v>
      </c>
      <c r="C76" s="867">
        <f>C74/E74</f>
        <v>0.51886792452830188</v>
      </c>
      <c r="D76" s="867">
        <f>D74/E74</f>
        <v>0.48113207547169812</v>
      </c>
      <c r="E76" s="816"/>
      <c r="F76" s="832"/>
      <c r="G76" s="85"/>
      <c r="H76" s="83"/>
      <c r="I76" s="84"/>
      <c r="J76" s="72"/>
    </row>
    <row r="77" spans="2:10" customFormat="1">
      <c r="B77" s="100"/>
      <c r="C77" s="801"/>
      <c r="D77" s="755"/>
      <c r="E77" s="798"/>
      <c r="F77" s="740"/>
      <c r="G77" s="85"/>
      <c r="H77" s="83"/>
      <c r="I77" s="84"/>
      <c r="J77" s="72"/>
    </row>
    <row r="78" spans="2:10" customFormat="1">
      <c r="B78" s="100"/>
      <c r="C78" s="801"/>
      <c r="D78" s="755"/>
      <c r="E78" s="807"/>
      <c r="F78" s="740"/>
      <c r="G78" s="85"/>
      <c r="H78" s="83"/>
      <c r="I78" s="84"/>
      <c r="J78" s="72"/>
    </row>
    <row r="79" spans="2:10" customFormat="1">
      <c r="B79" s="100"/>
      <c r="C79" s="807"/>
      <c r="D79" s="815"/>
      <c r="E79" s="798"/>
      <c r="F79" s="715"/>
      <c r="G79" s="85"/>
      <c r="H79" s="69"/>
      <c r="I79" s="69"/>
      <c r="J79" s="72"/>
    </row>
    <row r="80" spans="2:10" customFormat="1">
      <c r="B80" s="71"/>
      <c r="C80" s="746"/>
      <c r="D80" s="746"/>
      <c r="E80" s="812"/>
      <c r="F80" s="745"/>
      <c r="G80" s="85"/>
      <c r="H80" s="69"/>
      <c r="I80" s="69"/>
      <c r="J80" s="72"/>
    </row>
    <row r="81" spans="2:10" customFormat="1">
      <c r="B81" s="69"/>
      <c r="C81" s="83"/>
      <c r="D81" s="69"/>
      <c r="E81" s="69"/>
      <c r="F81" s="85"/>
      <c r="G81" s="85"/>
      <c r="J81" s="72"/>
    </row>
    <row r="82" spans="2:10" customFormat="1">
      <c r="B82" s="89"/>
      <c r="C82" s="99"/>
      <c r="D82" s="99"/>
      <c r="E82" s="69"/>
      <c r="F82" s="85"/>
      <c r="G82" s="85"/>
      <c r="J82" s="72"/>
    </row>
    <row r="83" spans="2:10" customFormat="1">
      <c r="B83" s="69"/>
      <c r="C83" s="85"/>
      <c r="D83" s="69"/>
      <c r="E83" s="69"/>
      <c r="F83" s="83"/>
      <c r="G83" s="69"/>
      <c r="J83" s="72"/>
    </row>
    <row r="84" spans="2:10" customFormat="1" ht="20.25">
      <c r="B84" s="75"/>
      <c r="C84" s="86"/>
      <c r="D84" s="69"/>
      <c r="E84" s="69"/>
      <c r="F84" s="83"/>
      <c r="G84" s="69"/>
      <c r="J84" s="72"/>
    </row>
    <row r="85" spans="2:10" customFormat="1">
      <c r="B85" s="72"/>
      <c r="C85" s="72"/>
      <c r="D85" s="69"/>
      <c r="E85" s="69"/>
      <c r="F85" s="83"/>
      <c r="J85" s="72"/>
    </row>
    <row r="86" spans="2:10" customFormat="1">
      <c r="B86" s="69"/>
      <c r="C86" s="69"/>
      <c r="D86" s="69"/>
      <c r="E86" s="69"/>
      <c r="F86" s="69"/>
      <c r="J86" s="72"/>
    </row>
    <row r="87" spans="2:10" customFormat="1">
      <c r="B87" s="69"/>
      <c r="C87" s="69"/>
      <c r="D87" s="69"/>
      <c r="E87" s="69"/>
      <c r="F87" s="69"/>
      <c r="J87" s="72"/>
    </row>
    <row r="88" spans="2:10" customFormat="1">
      <c r="J88" s="72"/>
    </row>
    <row r="89" spans="2:10" customFormat="1">
      <c r="J89" s="72"/>
    </row>
    <row r="90" spans="2:10" customFormat="1">
      <c r="J90" s="72"/>
    </row>
  </sheetData>
  <customSheetViews>
    <customSheetView guid="{074EB09C-6289-46D7-9513-012B68BCA7BF}" showGridLines="0" fitToPage="1">
      <pane xSplit="1" ySplit="1" topLeftCell="B44" activePane="bottomRight" state="frozen"/>
      <selection pane="bottomRight"/>
      <pageMargins left="0.28000000000000003" right="0.3" top="0.44" bottom="0.45" header="0.3" footer="0.3"/>
      <pageSetup paperSize="17" scale="65" orientation="landscape" r:id="rId1"/>
    </customSheetView>
    <customSheetView guid="{D9EFFE19-D14B-4C6F-BDF4-FF696F73968D}" fitToPage="1">
      <pane xSplit="1" ySplit="1" topLeftCell="B20" activePane="bottomRight" state="frozen"/>
      <selection pane="bottomRight" activeCell="C43" sqref="C43"/>
      <pageMargins left="0.28000000000000003" right="0.3" top="0.44" bottom="0.45" header="0.3" footer="0.3"/>
      <pageSetup paperSize="17" scale="65" orientation="landscape" r:id="rId2"/>
    </customSheetView>
  </customSheetViews>
  <mergeCells count="1">
    <mergeCell ref="I31:L36"/>
  </mergeCells>
  <pageMargins left="0.28000000000000003" right="0.3" top="0.44" bottom="0.45" header="0.3" footer="0.3"/>
  <pageSetup paperSize="17" scale="65" orientation="landscape"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V79"/>
  <sheetViews>
    <sheetView showGridLines="0" workbookViewId="0">
      <pane xSplit="1" ySplit="1" topLeftCell="B2" activePane="bottomRight" state="frozen"/>
      <selection pane="topRight" activeCell="B1" sqref="B1"/>
      <selection pane="bottomLeft" activeCell="A2" sqref="A2"/>
      <selection pane="bottomRight" activeCell="B54" sqref="B54"/>
    </sheetView>
  </sheetViews>
  <sheetFormatPr defaultColWidth="20" defaultRowHeight="12.75"/>
  <cols>
    <col min="1" max="1" width="15.85546875" style="2177" customWidth="1"/>
    <col min="2" max="2" width="56" style="2177" bestFit="1" customWidth="1"/>
    <col min="3" max="13" width="20" style="2177"/>
    <col min="14" max="14" width="33.140625" style="2177" customWidth="1"/>
    <col min="15" max="15" width="20" style="2177"/>
    <col min="16" max="16" width="19.42578125" style="2177" customWidth="1"/>
    <col min="17" max="17" width="18.7109375" style="2177" customWidth="1"/>
    <col min="18" max="18" width="12.85546875" style="2177" customWidth="1"/>
    <col min="19" max="19" width="13.42578125" style="2177" customWidth="1"/>
    <col min="20" max="16384" width="20" style="2177"/>
  </cols>
  <sheetData>
    <row r="1" spans="1:22" ht="46.5" customHeight="1">
      <c r="B1" s="1838" t="s">
        <v>693</v>
      </c>
      <c r="C1" s="1812" t="s">
        <v>277</v>
      </c>
      <c r="D1" s="1838" t="s">
        <v>694</v>
      </c>
      <c r="E1" s="1837" t="s">
        <v>5</v>
      </c>
      <c r="H1" s="1812"/>
      <c r="I1" s="2798"/>
      <c r="J1" s="2798"/>
      <c r="K1" s="2351" t="s">
        <v>693</v>
      </c>
      <c r="L1" s="1977" t="s">
        <v>277</v>
      </c>
      <c r="M1" s="1838" t="s">
        <v>694</v>
      </c>
      <c r="N1" s="1837" t="s">
        <v>5</v>
      </c>
    </row>
    <row r="2" spans="1:22" ht="21" thickBot="1">
      <c r="B2" s="726"/>
      <c r="C2" s="2860"/>
      <c r="D2" s="2860"/>
      <c r="E2" s="2861"/>
      <c r="F2" s="2862"/>
      <c r="G2" s="2862"/>
      <c r="H2" s="2353"/>
      <c r="I2" s="2353"/>
      <c r="J2" s="2353"/>
      <c r="K2" s="2352"/>
      <c r="L2" s="2352"/>
      <c r="M2" s="2352"/>
      <c r="N2" s="1518"/>
      <c r="O2" s="1518"/>
      <c r="P2" s="1518"/>
      <c r="Q2" s="1518"/>
      <c r="R2" s="1518"/>
      <c r="S2" s="1518"/>
      <c r="T2" s="1518"/>
      <c r="U2" s="1518"/>
      <c r="V2" s="1518"/>
    </row>
    <row r="3" spans="1:22" s="2192" customFormat="1" ht="38.25">
      <c r="A3" s="1833" t="s">
        <v>693</v>
      </c>
      <c r="C3" s="2863"/>
      <c r="D3" s="2863"/>
      <c r="E3" s="2863"/>
      <c r="F3" s="2863"/>
      <c r="G3" s="2867"/>
      <c r="H3" s="787" t="s">
        <v>8</v>
      </c>
      <c r="I3" s="720" t="s">
        <v>9</v>
      </c>
      <c r="J3" s="720" t="s">
        <v>87</v>
      </c>
      <c r="K3" s="721" t="s">
        <v>11</v>
      </c>
      <c r="L3" s="721" t="s">
        <v>504</v>
      </c>
      <c r="M3" s="721" t="s">
        <v>12</v>
      </c>
      <c r="N3" s="721" t="s">
        <v>13</v>
      </c>
      <c r="O3" s="721" t="s">
        <v>14</v>
      </c>
      <c r="P3" s="721" t="s">
        <v>88</v>
      </c>
      <c r="Q3" s="720" t="s">
        <v>39</v>
      </c>
      <c r="R3" s="2492" t="s">
        <v>16</v>
      </c>
      <c r="S3" s="2347" t="s">
        <v>40</v>
      </c>
      <c r="U3" s="2032"/>
      <c r="V3" s="2033"/>
    </row>
    <row r="4" spans="1:22" ht="15.75">
      <c r="A4" s="2797" t="s">
        <v>277</v>
      </c>
      <c r="G4" s="1804" t="s">
        <v>668</v>
      </c>
      <c r="H4" s="2806">
        <v>1494904</v>
      </c>
      <c r="I4" s="2807">
        <v>16683</v>
      </c>
      <c r="J4" s="2807">
        <v>1068700</v>
      </c>
      <c r="K4" s="1664" t="s">
        <v>695</v>
      </c>
      <c r="L4" s="2807">
        <v>68916</v>
      </c>
      <c r="M4" s="2808">
        <v>20000</v>
      </c>
      <c r="N4" s="2807">
        <v>17621</v>
      </c>
      <c r="O4" s="2807">
        <v>12000</v>
      </c>
      <c r="P4" s="2840">
        <v>8043893</v>
      </c>
      <c r="Q4" s="2849"/>
      <c r="R4" s="2809">
        <v>10778502</v>
      </c>
      <c r="S4" s="2348" t="s">
        <v>696</v>
      </c>
      <c r="U4" s="2029"/>
      <c r="V4" s="2030"/>
    </row>
    <row r="5" spans="1:22" ht="25.5">
      <c r="A5" s="1833" t="s">
        <v>694</v>
      </c>
      <c r="G5" s="716">
        <v>2016</v>
      </c>
      <c r="H5" s="769">
        <f>C19</f>
        <v>1500000</v>
      </c>
      <c r="I5" s="770">
        <f>C23</f>
        <v>16683</v>
      </c>
      <c r="J5" s="770">
        <f>C45</f>
        <v>1000500</v>
      </c>
      <c r="K5" s="770">
        <f>C41</f>
        <v>35785</v>
      </c>
      <c r="L5" s="770">
        <f>C31</f>
        <v>72362</v>
      </c>
      <c r="M5" s="770">
        <f>C50</f>
        <v>40000</v>
      </c>
      <c r="N5" s="770">
        <f>C39</f>
        <v>20193</v>
      </c>
      <c r="O5" s="770">
        <f>C33</f>
        <v>12000</v>
      </c>
      <c r="P5" s="2834">
        <f>C14</f>
        <v>8040000</v>
      </c>
      <c r="Q5" s="2850"/>
      <c r="R5" s="2493">
        <f>SUM(H5:P5)</f>
        <v>10737523</v>
      </c>
      <c r="S5" s="2349">
        <f>C63</f>
        <v>40300000</v>
      </c>
      <c r="U5" s="2029"/>
      <c r="V5" s="2030"/>
    </row>
    <row r="6" spans="1:22" ht="13.5" thickBot="1">
      <c r="A6" s="1839" t="s">
        <v>5</v>
      </c>
      <c r="G6" s="779">
        <v>2017</v>
      </c>
      <c r="H6" s="769">
        <f>D19</f>
        <v>1500000</v>
      </c>
      <c r="I6" s="770">
        <f>D23</f>
        <v>17100.099999999999</v>
      </c>
      <c r="J6" s="770">
        <f>D45</f>
        <v>1020000.0000000001</v>
      </c>
      <c r="K6" s="770">
        <f>D41</f>
        <v>35785</v>
      </c>
      <c r="L6" s="770">
        <f>D31</f>
        <v>72362</v>
      </c>
      <c r="M6" s="101">
        <f>D50</f>
        <v>40000</v>
      </c>
      <c r="N6" s="770">
        <f>D39</f>
        <v>20193</v>
      </c>
      <c r="O6" s="770">
        <f>D33</f>
        <v>12000</v>
      </c>
      <c r="P6" s="2834">
        <f>D14</f>
        <v>8040000</v>
      </c>
      <c r="Q6" s="2850"/>
      <c r="R6" s="2493">
        <f>SUM(H6:P6)</f>
        <v>10757440.1</v>
      </c>
      <c r="S6" s="2349">
        <f>D63</f>
        <v>40300000</v>
      </c>
      <c r="U6" s="2029"/>
      <c r="V6" s="2030"/>
    </row>
    <row r="7" spans="1:22" s="1569" customFormat="1" ht="13.5" thickBot="1">
      <c r="G7" s="1591" t="s">
        <v>55</v>
      </c>
      <c r="H7" s="1571">
        <f t="shared" ref="H7:P7" si="0">SUM(H5:H6)</f>
        <v>3000000</v>
      </c>
      <c r="I7" s="1593">
        <f t="shared" si="0"/>
        <v>33783.1</v>
      </c>
      <c r="J7" s="1593">
        <f t="shared" si="0"/>
        <v>2020500</v>
      </c>
      <c r="K7" s="1593">
        <f t="shared" si="0"/>
        <v>71570</v>
      </c>
      <c r="L7" s="1593">
        <f t="shared" si="0"/>
        <v>144724</v>
      </c>
      <c r="M7" s="1593">
        <f t="shared" si="0"/>
        <v>80000</v>
      </c>
      <c r="N7" s="1593">
        <f t="shared" si="0"/>
        <v>40386</v>
      </c>
      <c r="O7" s="1593">
        <f t="shared" si="0"/>
        <v>24000</v>
      </c>
      <c r="P7" s="2836">
        <f t="shared" si="0"/>
        <v>16080000</v>
      </c>
      <c r="Q7" s="2851"/>
      <c r="R7" s="2494">
        <f>SUM(R5:R6)</f>
        <v>21494963.100000001</v>
      </c>
      <c r="S7" s="2350">
        <f>SUM(S5:S6)</f>
        <v>80600000</v>
      </c>
    </row>
    <row r="8" spans="1:22" ht="18">
      <c r="A8" s="2797"/>
      <c r="B8" s="748"/>
      <c r="C8" s="727"/>
      <c r="D8" s="727"/>
      <c r="E8" s="753"/>
      <c r="F8" s="728"/>
      <c r="G8" s="728"/>
      <c r="H8" s="2798"/>
      <c r="I8" s="2798"/>
      <c r="J8" s="2798"/>
      <c r="K8" s="2798"/>
      <c r="L8" s="2798"/>
      <c r="M8" s="2798"/>
      <c r="N8" s="2798"/>
    </row>
    <row r="9" spans="1:22" ht="18">
      <c r="A9" s="2797"/>
      <c r="C9" s="774">
        <v>2016</v>
      </c>
      <c r="D9" s="775">
        <v>2017</v>
      </c>
      <c r="E9" s="775" t="s">
        <v>23</v>
      </c>
      <c r="F9" s="776"/>
      <c r="G9" s="750"/>
      <c r="H9" s="750"/>
      <c r="I9" s="750"/>
      <c r="J9" s="2798"/>
      <c r="K9" s="2798"/>
      <c r="L9" s="2798"/>
      <c r="M9" s="2798"/>
      <c r="N9" s="2798"/>
    </row>
    <row r="10" spans="1:22" ht="18">
      <c r="A10" s="2797"/>
      <c r="B10" s="772"/>
      <c r="C10" s="2798"/>
      <c r="D10" s="2798"/>
      <c r="E10" s="2798"/>
      <c r="F10" s="757"/>
      <c r="G10" s="737"/>
      <c r="H10" s="1465"/>
      <c r="I10" s="1473"/>
      <c r="J10" s="1462"/>
      <c r="K10" s="1462"/>
      <c r="N10" s="2798"/>
    </row>
    <row r="11" spans="1:22">
      <c r="A11" s="2797"/>
      <c r="B11" s="1126" t="s">
        <v>90</v>
      </c>
      <c r="C11" s="862"/>
      <c r="D11" s="863"/>
      <c r="E11" s="1161"/>
      <c r="F11" s="2433"/>
      <c r="G11" s="737"/>
      <c r="H11" s="1465"/>
      <c r="I11" s="1465"/>
      <c r="J11" s="1467"/>
      <c r="K11" s="1462"/>
      <c r="N11" s="2798"/>
    </row>
    <row r="12" spans="1:22" ht="15.75">
      <c r="A12" s="2797"/>
      <c r="B12" s="1318"/>
      <c r="C12" s="2337"/>
      <c r="D12" s="2339"/>
      <c r="E12" s="915">
        <f>SUM(C12:D12)</f>
        <v>0</v>
      </c>
      <c r="F12" s="2433"/>
      <c r="G12" s="737"/>
      <c r="H12" s="1465"/>
      <c r="I12" s="1465"/>
      <c r="J12" s="1468"/>
      <c r="K12" s="1462"/>
      <c r="N12" s="2798"/>
    </row>
    <row r="13" spans="1:22" ht="17.25">
      <c r="B13" s="1318"/>
      <c r="C13" s="2490"/>
      <c r="D13" s="2491"/>
      <c r="E13" s="2443">
        <f>SUM(C13:D13)</f>
        <v>0</v>
      </c>
      <c r="F13" s="2433"/>
      <c r="G13" s="737"/>
      <c r="H13" s="1465"/>
      <c r="I13" s="1465"/>
      <c r="J13" s="1468"/>
      <c r="K13" s="1458"/>
      <c r="N13" s="2798"/>
    </row>
    <row r="14" spans="1:22">
      <c r="B14" s="1299"/>
      <c r="C14" s="864">
        <v>8040000</v>
      </c>
      <c r="D14" s="2716">
        <v>8040000</v>
      </c>
      <c r="E14" s="1161">
        <f>SUM(C14:D14)</f>
        <v>16080000</v>
      </c>
      <c r="F14" s="2433"/>
      <c r="G14" s="737"/>
      <c r="H14" s="1465"/>
      <c r="I14" s="1465"/>
      <c r="J14" s="1461"/>
      <c r="K14" s="1458"/>
      <c r="N14" s="2798"/>
    </row>
    <row r="15" spans="1:22" ht="18">
      <c r="B15" s="1127"/>
      <c r="C15" s="1144"/>
      <c r="D15" s="1122"/>
      <c r="E15" s="1145"/>
      <c r="F15" s="2433"/>
      <c r="G15" s="737"/>
      <c r="H15" s="1465"/>
      <c r="I15" s="1465"/>
      <c r="J15" s="1461"/>
      <c r="K15" s="1458"/>
      <c r="N15" s="2798"/>
    </row>
    <row r="16" spans="1:22">
      <c r="B16" s="1126" t="s">
        <v>93</v>
      </c>
      <c r="C16" s="1146"/>
      <c r="D16" s="1122"/>
      <c r="E16" s="1145"/>
      <c r="F16" s="1129"/>
      <c r="G16" s="733"/>
      <c r="H16" s="1463"/>
      <c r="I16" s="1465"/>
      <c r="J16" s="1461"/>
      <c r="K16" s="1458"/>
    </row>
    <row r="17" spans="2:12">
      <c r="B17" s="1130" t="s">
        <v>95</v>
      </c>
      <c r="C17" s="2338"/>
      <c r="D17" s="2339"/>
      <c r="E17" s="1189">
        <f>SUM(C17:D17)</f>
        <v>0</v>
      </c>
      <c r="I17" s="1465"/>
      <c r="J17" s="1461"/>
      <c r="K17" s="1458"/>
    </row>
    <row r="18" spans="2:12" ht="15">
      <c r="B18" s="1262" t="s">
        <v>336</v>
      </c>
      <c r="C18" s="2718"/>
      <c r="D18" s="2719"/>
      <c r="E18" s="2027">
        <f>SUM(C18:D18)</f>
        <v>0</v>
      </c>
      <c r="F18" s="3162">
        <v>2016</v>
      </c>
      <c r="G18" s="3163">
        <v>2017</v>
      </c>
      <c r="H18" s="1463"/>
      <c r="I18" s="1465"/>
      <c r="J18" s="1461"/>
      <c r="K18" s="1458"/>
    </row>
    <row r="19" spans="2:12">
      <c r="B19" s="1262" t="s">
        <v>243</v>
      </c>
      <c r="C19" s="1278">
        <v>1500000</v>
      </c>
      <c r="D19" s="2341">
        <v>1500000</v>
      </c>
      <c r="E19" s="1254">
        <f>SUM(C19:D19)</f>
        <v>3000000</v>
      </c>
      <c r="F19" s="1137">
        <v>16.100000000000001</v>
      </c>
      <c r="G19" s="2177">
        <v>15.7</v>
      </c>
      <c r="H19" s="738" t="s">
        <v>96</v>
      </c>
      <c r="I19" s="1465"/>
      <c r="J19" s="1445"/>
      <c r="K19" s="1458"/>
    </row>
    <row r="20" spans="2:12">
      <c r="C20" s="1255"/>
      <c r="D20" s="1257"/>
      <c r="E20" s="1258"/>
      <c r="I20" s="1458"/>
      <c r="J20" s="1460"/>
      <c r="K20" s="1458"/>
    </row>
    <row r="21" spans="2:12">
      <c r="B21" s="1252"/>
      <c r="C21" s="1255"/>
      <c r="D21" s="1257"/>
      <c r="E21" s="1258"/>
      <c r="I21" s="1465"/>
      <c r="J21" s="1479"/>
      <c r="K21" s="1458"/>
    </row>
    <row r="22" spans="2:12">
      <c r="B22" s="1252"/>
      <c r="C22" s="1255"/>
      <c r="D22" s="1257"/>
      <c r="E22" s="1258"/>
      <c r="I22" s="1471" t="s">
        <v>102</v>
      </c>
      <c r="J22" s="1477"/>
      <c r="K22" s="1469" t="s">
        <v>103</v>
      </c>
    </row>
    <row r="23" spans="2:12">
      <c r="B23" s="1130" t="s">
        <v>99</v>
      </c>
      <c r="C23" s="1170">
        <v>16683</v>
      </c>
      <c r="D23" s="41">
        <v>17100.099999999999</v>
      </c>
      <c r="E23" s="1189">
        <f>SUM(C23:D23)</f>
        <v>33783.1</v>
      </c>
      <c r="F23" s="2177">
        <v>0.2</v>
      </c>
      <c r="G23" s="2177">
        <v>0.2</v>
      </c>
      <c r="H23" s="738" t="s">
        <v>96</v>
      </c>
      <c r="I23" s="1471" t="s">
        <v>105</v>
      </c>
      <c r="J23" s="1474"/>
      <c r="K23" s="1472" t="s">
        <v>106</v>
      </c>
    </row>
    <row r="24" spans="2:12">
      <c r="B24" s="1130"/>
      <c r="C24" s="1147"/>
      <c r="D24" s="1122"/>
      <c r="E24" s="1145"/>
      <c r="F24" s="1102"/>
      <c r="G24" s="734"/>
      <c r="H24" s="1464"/>
      <c r="I24" s="1471" t="s">
        <v>108</v>
      </c>
      <c r="J24" s="1474"/>
      <c r="K24" s="1472" t="s">
        <v>106</v>
      </c>
    </row>
    <row r="25" spans="2:12">
      <c r="B25" s="1126" t="s">
        <v>506</v>
      </c>
      <c r="C25" s="1146"/>
      <c r="D25" s="1122"/>
      <c r="E25" s="1145"/>
      <c r="F25" s="1129"/>
      <c r="G25" s="733"/>
      <c r="H25" s="1464"/>
      <c r="I25" s="1470" t="s">
        <v>109</v>
      </c>
      <c r="J25" s="1478"/>
      <c r="K25" s="1458"/>
    </row>
    <row r="26" spans="2:12">
      <c r="B26" s="2796" t="s">
        <v>100</v>
      </c>
      <c r="C26" s="1182"/>
      <c r="D26" s="1174"/>
      <c r="E26" s="1189">
        <f>C26+D26</f>
        <v>0</v>
      </c>
      <c r="J26" s="1458"/>
      <c r="K26" s="1458"/>
    </row>
    <row r="27" spans="2:12">
      <c r="B27" s="1130" t="s">
        <v>520</v>
      </c>
      <c r="C27" s="1148"/>
      <c r="D27" s="1174"/>
      <c r="E27" s="1189">
        <f>C27+D27</f>
        <v>0</v>
      </c>
      <c r="J27" s="1458"/>
      <c r="K27" s="1458"/>
    </row>
    <row r="28" spans="2:12">
      <c r="B28" s="1130" t="s">
        <v>104</v>
      </c>
      <c r="C28" s="1182"/>
      <c r="D28" s="1174"/>
      <c r="E28" s="1189">
        <f>C28+D28</f>
        <v>0</v>
      </c>
      <c r="J28" s="1458"/>
      <c r="K28" s="1458"/>
    </row>
    <row r="29" spans="2:12">
      <c r="B29" s="1130" t="s">
        <v>521</v>
      </c>
      <c r="C29" s="1182"/>
      <c r="D29" s="1174"/>
      <c r="E29" s="1189">
        <f>C29+D29</f>
        <v>0</v>
      </c>
      <c r="J29" s="1458"/>
      <c r="K29" s="1458"/>
    </row>
    <row r="30" spans="2:12" ht="15">
      <c r="B30" s="1130" t="s">
        <v>107</v>
      </c>
      <c r="C30" s="2441"/>
      <c r="D30" s="2442"/>
      <c r="E30" s="2443">
        <f>C30+D30</f>
        <v>0</v>
      </c>
    </row>
    <row r="31" spans="2:12">
      <c r="B31" s="2796"/>
      <c r="C31" s="1149">
        <v>72362</v>
      </c>
      <c r="D31" s="1136">
        <v>72362</v>
      </c>
      <c r="E31" s="1161">
        <f>SUM(C31:D31)</f>
        <v>144724</v>
      </c>
      <c r="F31" s="1129"/>
      <c r="G31" s="733"/>
      <c r="I31" s="3617"/>
      <c r="J31" s="3617"/>
      <c r="K31" s="3617"/>
      <c r="L31" s="3617"/>
    </row>
    <row r="32" spans="2:12">
      <c r="B32" s="1122"/>
      <c r="C32" s="943"/>
      <c r="D32" s="1122"/>
      <c r="E32" s="1145"/>
      <c r="F32" s="1129"/>
      <c r="G32" s="733"/>
      <c r="I32" s="3617"/>
      <c r="J32" s="3617"/>
      <c r="K32" s="3617"/>
      <c r="L32" s="3617"/>
    </row>
    <row r="33" spans="1:22">
      <c r="B33" s="1126" t="s">
        <v>94</v>
      </c>
      <c r="C33" s="1149">
        <v>12000</v>
      </c>
      <c r="D33" s="1143">
        <v>12000</v>
      </c>
      <c r="E33" s="1161">
        <f>SUM(C33:D33)</f>
        <v>24000</v>
      </c>
      <c r="F33" s="1129"/>
      <c r="G33" s="733"/>
      <c r="I33" s="3617"/>
      <c r="J33" s="3617"/>
      <c r="K33" s="3617"/>
      <c r="L33" s="3617"/>
    </row>
    <row r="34" spans="1:22">
      <c r="B34" s="1122" t="s">
        <v>522</v>
      </c>
      <c r="C34" s="943"/>
      <c r="D34" s="1122"/>
      <c r="E34" s="1145"/>
      <c r="F34" s="1129"/>
      <c r="G34" s="733"/>
      <c r="H34" s="725"/>
      <c r="I34" s="3617"/>
      <c r="J34" s="3617"/>
      <c r="K34" s="3617"/>
      <c r="L34" s="3617"/>
      <c r="O34" s="1518"/>
      <c r="P34" s="1518"/>
      <c r="Q34" s="1518"/>
      <c r="R34" s="1518"/>
      <c r="S34" s="1518"/>
      <c r="T34" s="1518"/>
      <c r="U34" s="1518"/>
      <c r="V34" s="1518"/>
    </row>
    <row r="35" spans="1:22">
      <c r="B35" s="1122"/>
      <c r="C35" s="943"/>
      <c r="D35" s="1122"/>
      <c r="E35" s="1145"/>
      <c r="F35" s="1129"/>
      <c r="G35" s="733"/>
      <c r="H35" s="725"/>
      <c r="I35" s="3617"/>
      <c r="J35" s="3617"/>
      <c r="K35" s="3617"/>
      <c r="L35" s="3617"/>
      <c r="O35" s="1518"/>
      <c r="P35" s="1518"/>
      <c r="Q35" s="1518"/>
      <c r="R35" s="1518"/>
      <c r="S35" s="1518"/>
      <c r="T35" s="1518"/>
      <c r="U35" s="1518"/>
      <c r="V35" s="1518"/>
    </row>
    <row r="36" spans="1:22">
      <c r="B36" s="1125" t="s">
        <v>97</v>
      </c>
      <c r="C36" s="943"/>
      <c r="D36" s="1122"/>
      <c r="E36" s="1145"/>
      <c r="F36" s="1172"/>
      <c r="G36" s="725"/>
      <c r="H36" s="725"/>
      <c r="I36" s="3617"/>
      <c r="J36" s="3617"/>
      <c r="K36" s="3617"/>
      <c r="L36" s="3617"/>
      <c r="O36" s="2028"/>
      <c r="P36" s="2028"/>
      <c r="Q36" s="2028"/>
      <c r="R36" s="2028"/>
      <c r="S36" s="2028"/>
      <c r="T36" s="2028"/>
      <c r="U36" s="2029"/>
      <c r="V36" s="2030"/>
    </row>
    <row r="37" spans="1:22">
      <c r="B37" s="2796" t="s">
        <v>110</v>
      </c>
      <c r="C37" s="943"/>
      <c r="D37" s="1174"/>
      <c r="E37" s="1189">
        <f>C37+D37</f>
        <v>0</v>
      </c>
      <c r="F37" s="1172"/>
      <c r="G37" s="725"/>
      <c r="H37" s="725"/>
      <c r="I37" s="2028"/>
      <c r="J37" s="2028"/>
      <c r="K37" s="2028"/>
      <c r="L37" s="2028"/>
      <c r="O37" s="2028"/>
      <c r="P37" s="2028"/>
      <c r="Q37" s="2028"/>
      <c r="R37" s="2028"/>
      <c r="S37" s="2028"/>
      <c r="T37" s="2028"/>
      <c r="U37" s="2029"/>
      <c r="V37" s="2030"/>
    </row>
    <row r="38" spans="1:22" ht="15">
      <c r="B38" s="1122" t="s">
        <v>112</v>
      </c>
      <c r="C38" s="2444"/>
      <c r="D38" s="2442"/>
      <c r="E38" s="2443">
        <f>C38+D38</f>
        <v>0</v>
      </c>
      <c r="F38" s="1172"/>
      <c r="G38" s="725"/>
      <c r="H38" s="725"/>
      <c r="O38" s="2029"/>
      <c r="P38" s="2029"/>
      <c r="Q38" s="2029"/>
      <c r="R38" s="2029"/>
      <c r="S38" s="2029"/>
      <c r="T38" s="2029"/>
      <c r="U38" s="2029"/>
      <c r="V38" s="2030"/>
    </row>
    <row r="39" spans="1:22">
      <c r="B39" s="1125" t="s">
        <v>113</v>
      </c>
      <c r="C39" s="1150">
        <v>20193</v>
      </c>
      <c r="D39" s="1132">
        <v>20193</v>
      </c>
      <c r="E39" s="1161">
        <f>SUM(C39:D39)</f>
        <v>40386</v>
      </c>
      <c r="F39" s="1172"/>
      <c r="G39" s="725"/>
      <c r="H39" s="725"/>
    </row>
    <row r="40" spans="1:22">
      <c r="B40" s="1122"/>
      <c r="C40" s="943"/>
      <c r="D40" s="1122"/>
      <c r="E40" s="1145"/>
      <c r="F40" s="1172"/>
      <c r="G40" s="725"/>
      <c r="H40" s="725"/>
    </row>
    <row r="41" spans="1:22" ht="38.25">
      <c r="A41" s="1833" t="s">
        <v>693</v>
      </c>
      <c r="B41" s="1125" t="s">
        <v>98</v>
      </c>
      <c r="C41" s="1201">
        <v>35785</v>
      </c>
      <c r="D41" s="1202">
        <v>35785</v>
      </c>
      <c r="E41" s="1161">
        <f>SUM(C41:D41)</f>
        <v>71570</v>
      </c>
      <c r="F41" s="1172"/>
      <c r="G41" s="725"/>
      <c r="H41" s="725"/>
      <c r="I41" s="730"/>
    </row>
    <row r="42" spans="1:22">
      <c r="A42" s="2797" t="s">
        <v>277</v>
      </c>
      <c r="B42" s="1122"/>
      <c r="C42" s="943"/>
      <c r="D42" s="1122"/>
      <c r="E42" s="1145"/>
      <c r="F42" s="1172"/>
      <c r="G42" s="724"/>
      <c r="H42" s="725"/>
      <c r="I42" s="730"/>
    </row>
    <row r="43" spans="1:22" ht="25.5">
      <c r="A43" s="1833" t="s">
        <v>694</v>
      </c>
      <c r="B43" s="1125" t="s">
        <v>10</v>
      </c>
      <c r="C43" s="1265">
        <f>C19*F43</f>
        <v>1000500</v>
      </c>
      <c r="D43" s="1264">
        <f>D19*F44</f>
        <v>1020000.0000000001</v>
      </c>
      <c r="E43" s="1161">
        <f>SUM(C43:D43)</f>
        <v>2020500</v>
      </c>
      <c r="F43" s="2805">
        <v>0.66700000000000004</v>
      </c>
      <c r="G43" s="2827" t="s">
        <v>725</v>
      </c>
      <c r="H43" s="725"/>
      <c r="I43" s="730"/>
    </row>
    <row r="44" spans="1:22">
      <c r="A44" s="1839"/>
      <c r="B44" s="1256" t="s">
        <v>340</v>
      </c>
      <c r="C44" s="1255">
        <f>(E44/2)</f>
        <v>0</v>
      </c>
      <c r="D44" s="1257">
        <f>(E44/2)</f>
        <v>0</v>
      </c>
      <c r="E44" s="1258">
        <f>-J47</f>
        <v>0</v>
      </c>
      <c r="F44" s="2804">
        <v>0.68</v>
      </c>
      <c r="G44" s="2803" t="s">
        <v>726</v>
      </c>
      <c r="H44" s="1463"/>
      <c r="I44" s="1458"/>
      <c r="J44" s="1458"/>
    </row>
    <row r="45" spans="1:22">
      <c r="A45" s="2177" t="s">
        <v>5</v>
      </c>
      <c r="B45" s="1263" t="s">
        <v>244</v>
      </c>
      <c r="C45" s="1265">
        <f>C43+C44</f>
        <v>1000500</v>
      </c>
      <c r="D45" s="1264">
        <f>D43+D44</f>
        <v>1020000.0000000001</v>
      </c>
      <c r="E45" s="1254">
        <f>E43+E44</f>
        <v>2020500</v>
      </c>
      <c r="F45" s="1172"/>
      <c r="H45" s="1459"/>
      <c r="I45" s="1362"/>
      <c r="J45" s="1483"/>
    </row>
    <row r="46" spans="1:22">
      <c r="B46" s="2796"/>
      <c r="C46" s="943"/>
      <c r="D46" s="1122"/>
      <c r="E46" s="1145"/>
      <c r="F46" s="1172"/>
      <c r="H46" s="1459"/>
      <c r="I46" s="1363"/>
      <c r="J46" s="1484"/>
    </row>
    <row r="47" spans="1:22">
      <c r="B47" s="1123" t="s">
        <v>12</v>
      </c>
      <c r="C47" s="943"/>
      <c r="D47" s="1122"/>
      <c r="E47" s="1145"/>
      <c r="F47" s="1172"/>
      <c r="H47" s="1486"/>
      <c r="I47" s="1364"/>
      <c r="J47" s="1485"/>
    </row>
    <row r="48" spans="1:22">
      <c r="B48" s="1081"/>
      <c r="C48" s="943"/>
      <c r="D48" s="1122"/>
      <c r="E48" s="1145"/>
      <c r="F48" s="1172"/>
      <c r="G48" s="714"/>
      <c r="H48" s="725"/>
      <c r="I48" s="730"/>
    </row>
    <row r="49" spans="2:10">
      <c r="B49" s="1193" t="s">
        <v>697</v>
      </c>
      <c r="C49" s="1182">
        <v>40000</v>
      </c>
      <c r="D49" s="1174">
        <v>40000</v>
      </c>
      <c r="E49" s="1189">
        <f>SUM(C49:D49)</f>
        <v>80000</v>
      </c>
      <c r="F49" s="1172"/>
      <c r="G49" s="714"/>
      <c r="H49" s="725"/>
      <c r="I49" s="730"/>
      <c r="J49" s="2798"/>
    </row>
    <row r="50" spans="2:10">
      <c r="B50" s="2342" t="s">
        <v>117</v>
      </c>
      <c r="C50" s="1171">
        <f>SUM(C49:C49)</f>
        <v>40000</v>
      </c>
      <c r="D50" s="1171">
        <f>SUM(D49:D49)</f>
        <v>40000</v>
      </c>
      <c r="E50" s="1161">
        <f>SUM(C50:D50)</f>
        <v>80000</v>
      </c>
      <c r="F50" s="1172"/>
      <c r="G50" s="724"/>
      <c r="H50" s="743"/>
      <c r="I50" s="743"/>
      <c r="J50" s="717"/>
    </row>
    <row r="51" spans="2:10" ht="13.5" thickBot="1">
      <c r="B51" s="1128"/>
      <c r="C51" s="1182"/>
      <c r="D51" s="1122"/>
      <c r="E51" s="1145"/>
      <c r="F51" s="1172"/>
      <c r="G51" s="724"/>
      <c r="H51" s="743"/>
      <c r="I51" s="743"/>
      <c r="J51" s="717"/>
    </row>
    <row r="52" spans="2:10" ht="13.5" thickBot="1">
      <c r="B52" s="1134" t="s">
        <v>118</v>
      </c>
      <c r="C52" s="1151">
        <f>C14+C19+C23+C31+C33+C39+C41+C45+C50</f>
        <v>10737523</v>
      </c>
      <c r="D52" s="2343">
        <f>D14+D19+D23+D31+D33+D39+D41+D45+D50</f>
        <v>10757440.1</v>
      </c>
      <c r="E52" s="2344">
        <f>E14+E19+E23+E31+E33+E39+E41+E45+E50</f>
        <v>21494963.100000001</v>
      </c>
      <c r="F52" s="1172"/>
      <c r="G52" s="724"/>
      <c r="H52" s="743"/>
      <c r="I52" s="743"/>
      <c r="J52" s="717"/>
    </row>
    <row r="53" spans="2:10">
      <c r="B53" s="1185"/>
      <c r="C53" s="853"/>
      <c r="D53" s="820"/>
      <c r="E53" s="820"/>
      <c r="F53" s="1172"/>
      <c r="G53" s="724"/>
      <c r="H53" s="743"/>
      <c r="I53" s="743"/>
      <c r="J53" s="717"/>
    </row>
    <row r="54" spans="2:10">
      <c r="B54" s="1125" t="s">
        <v>119</v>
      </c>
      <c r="C54" s="2371">
        <v>2016</v>
      </c>
      <c r="D54" s="2371">
        <v>2017</v>
      </c>
      <c r="E54" s="2371" t="s">
        <v>23</v>
      </c>
      <c r="F54" s="1172"/>
      <c r="G54" s="724"/>
      <c r="H54" s="743"/>
      <c r="I54" s="743"/>
      <c r="J54" s="717"/>
    </row>
    <row r="55" spans="2:10" ht="15.75">
      <c r="B55" s="1318"/>
      <c r="C55" s="845"/>
      <c r="D55" s="846"/>
      <c r="E55" s="846"/>
      <c r="F55" s="858"/>
      <c r="G55" s="724"/>
      <c r="H55" s="743"/>
      <c r="I55" s="743"/>
      <c r="J55" s="717"/>
    </row>
    <row r="56" spans="2:10">
      <c r="B56" s="1192" t="s">
        <v>69</v>
      </c>
      <c r="C56" s="1203">
        <v>40300000</v>
      </c>
      <c r="D56" s="1624">
        <v>40300000</v>
      </c>
      <c r="E56" s="1177">
        <f>C56+D56</f>
        <v>80600000</v>
      </c>
      <c r="F56" s="1176" t="s">
        <v>120</v>
      </c>
      <c r="G56" s="725"/>
      <c r="H56" s="743"/>
      <c r="I56" s="743"/>
      <c r="J56" s="717"/>
    </row>
    <row r="57" spans="2:10">
      <c r="B57" s="1192"/>
      <c r="C57" s="1203"/>
      <c r="D57" s="1624"/>
      <c r="E57" s="1177"/>
      <c r="F57" s="1176"/>
      <c r="G57" s="725"/>
      <c r="H57" s="743"/>
      <c r="I57" s="743"/>
      <c r="J57" s="717"/>
    </row>
    <row r="58" spans="2:10" ht="15.75">
      <c r="B58" s="1318"/>
      <c r="C58" s="1204"/>
      <c r="D58" s="1205"/>
      <c r="E58" s="1177"/>
      <c r="F58" s="1176"/>
      <c r="G58" s="725"/>
      <c r="H58" s="743"/>
      <c r="I58" s="743"/>
      <c r="J58" s="717"/>
    </row>
    <row r="59" spans="2:10">
      <c r="B59" s="1178"/>
      <c r="C59" s="1203"/>
      <c r="D59" s="1624"/>
      <c r="E59" s="1177"/>
      <c r="F59" s="1176"/>
      <c r="G59" s="740"/>
      <c r="H59" s="743"/>
      <c r="I59" s="743"/>
      <c r="J59" s="717"/>
    </row>
    <row r="60" spans="2:10">
      <c r="B60" s="1178"/>
      <c r="C60" s="1203"/>
      <c r="D60" s="1624"/>
      <c r="E60" s="1177"/>
      <c r="F60" s="1176"/>
      <c r="G60" s="740"/>
      <c r="H60" s="743"/>
      <c r="I60" s="743"/>
      <c r="J60" s="717"/>
    </row>
    <row r="61" spans="2:10">
      <c r="B61" s="856"/>
      <c r="C61" s="1203"/>
      <c r="D61" s="1624"/>
      <c r="E61" s="1177"/>
      <c r="F61" s="1176"/>
      <c r="G61" s="740"/>
      <c r="H61" s="740"/>
      <c r="I61" s="743"/>
      <c r="J61" s="717"/>
    </row>
    <row r="62" spans="2:10">
      <c r="B62" s="856"/>
      <c r="C62" s="1206"/>
      <c r="D62" s="1207"/>
      <c r="E62" s="865"/>
      <c r="F62" s="866"/>
      <c r="G62" s="740"/>
      <c r="H62" s="740"/>
      <c r="I62" s="743"/>
      <c r="J62" s="717"/>
    </row>
    <row r="63" spans="2:10">
      <c r="B63" s="1123" t="s">
        <v>121</v>
      </c>
      <c r="C63" s="1060">
        <f>SUM(C56:C62)</f>
        <v>40300000</v>
      </c>
      <c r="D63" s="2345">
        <f>SUM(D56:D62)</f>
        <v>40300000</v>
      </c>
      <c r="E63" s="859">
        <f>SUM(C63:D63)</f>
        <v>80600000</v>
      </c>
      <c r="F63" s="860" t="s">
        <v>120</v>
      </c>
      <c r="G63" s="740"/>
      <c r="H63" s="740"/>
      <c r="I63" s="741"/>
      <c r="J63" s="717"/>
    </row>
    <row r="64" spans="2:10">
      <c r="B64" s="2796"/>
      <c r="C64" s="1186"/>
      <c r="D64" s="2796"/>
      <c r="E64" s="2796"/>
      <c r="F64" s="1106"/>
      <c r="G64" s="740"/>
      <c r="H64" s="740"/>
      <c r="I64" s="741"/>
      <c r="J64" s="717"/>
    </row>
    <row r="65" spans="2:10">
      <c r="B65" s="1142" t="s">
        <v>122</v>
      </c>
      <c r="C65" s="867">
        <f>C63/E63</f>
        <v>0.5</v>
      </c>
      <c r="D65" s="867">
        <f>D63/E63</f>
        <v>0.5</v>
      </c>
      <c r="E65" s="2796"/>
      <c r="F65" s="1106"/>
      <c r="G65" s="743"/>
      <c r="H65" s="740"/>
      <c r="I65" s="741"/>
      <c r="J65" s="717"/>
    </row>
    <row r="66" spans="2:10">
      <c r="B66" s="100"/>
      <c r="C66" s="801"/>
      <c r="D66" s="755"/>
      <c r="E66" s="798"/>
      <c r="F66" s="740"/>
      <c r="G66" s="743"/>
      <c r="H66" s="740"/>
      <c r="I66" s="741"/>
      <c r="J66" s="717"/>
    </row>
    <row r="67" spans="2:10">
      <c r="B67" s="100"/>
      <c r="C67" s="801"/>
      <c r="D67" s="755"/>
      <c r="E67" s="807"/>
      <c r="F67" s="740"/>
      <c r="G67" s="743"/>
      <c r="H67" s="740"/>
      <c r="I67" s="741"/>
      <c r="J67" s="717"/>
    </row>
    <row r="68" spans="2:10">
      <c r="B68" s="100"/>
      <c r="C68" s="807"/>
      <c r="D68" s="815"/>
      <c r="E68" s="798"/>
      <c r="F68" s="715"/>
      <c r="G68" s="743"/>
      <c r="H68" s="2798"/>
      <c r="I68" s="2798"/>
      <c r="J68" s="717"/>
    </row>
    <row r="69" spans="2:10">
      <c r="B69" s="716"/>
      <c r="C69" s="746"/>
      <c r="D69" s="746"/>
      <c r="E69" s="812"/>
      <c r="F69" s="745"/>
      <c r="G69" s="743"/>
      <c r="H69" s="2798"/>
      <c r="I69" s="2798"/>
      <c r="J69" s="717"/>
    </row>
    <row r="70" spans="2:10">
      <c r="B70" s="2798"/>
      <c r="C70" s="740"/>
      <c r="D70" s="2798"/>
      <c r="E70" s="2798"/>
      <c r="F70" s="743"/>
      <c r="G70" s="743"/>
      <c r="J70" s="717"/>
    </row>
    <row r="71" spans="2:10">
      <c r="B71" s="752"/>
      <c r="C71" s="794"/>
      <c r="D71" s="794"/>
      <c r="E71" s="2798"/>
      <c r="F71" s="743"/>
      <c r="G71" s="743"/>
      <c r="J71" s="717"/>
    </row>
    <row r="72" spans="2:10">
      <c r="B72" s="2798"/>
      <c r="C72" s="743"/>
      <c r="D72" s="2798"/>
      <c r="E72" s="2798"/>
      <c r="F72" s="740"/>
      <c r="G72" s="2798"/>
      <c r="J72" s="717"/>
    </row>
    <row r="73" spans="2:10" ht="20.25">
      <c r="B73" s="726"/>
      <c r="C73" s="204"/>
      <c r="D73" s="2798"/>
      <c r="E73" s="2798"/>
      <c r="F73" s="740"/>
      <c r="G73" s="2798"/>
      <c r="J73" s="717"/>
    </row>
    <row r="74" spans="2:10">
      <c r="B74" s="717"/>
      <c r="C74" s="717"/>
      <c r="D74" s="2798"/>
      <c r="E74" s="2798"/>
      <c r="F74" s="740"/>
      <c r="J74" s="717"/>
    </row>
    <row r="75" spans="2:10">
      <c r="B75" s="2798"/>
      <c r="C75" s="2798"/>
      <c r="D75" s="2798"/>
      <c r="E75" s="2798"/>
      <c r="F75" s="2798"/>
      <c r="J75" s="717"/>
    </row>
    <row r="76" spans="2:10">
      <c r="B76" s="2798"/>
      <c r="C76" s="2798"/>
      <c r="D76" s="2798"/>
      <c r="E76" s="2798"/>
      <c r="F76" s="2798"/>
      <c r="J76" s="717"/>
    </row>
    <row r="77" spans="2:10">
      <c r="J77" s="717"/>
    </row>
    <row r="78" spans="2:10">
      <c r="J78" s="717"/>
    </row>
    <row r="79" spans="2:10">
      <c r="J79" s="717"/>
    </row>
  </sheetData>
  <customSheetViews>
    <customSheetView guid="{074EB09C-6289-46D7-9513-012B68BCA7BF}" showGridLines="0">
      <pane xSplit="1" ySplit="1" topLeftCell="B5" activePane="bottomRight" state="frozen"/>
      <selection pane="bottomRight" activeCell="F18" sqref="F18:H23"/>
      <pageMargins left="0.7" right="0.7" top="0.75" bottom="0.75" header="0.3" footer="0.3"/>
    </customSheetView>
    <customSheetView guid="{D9EFFE19-D14B-4C6F-BDF4-FF696F73968D}">
      <pane xSplit="1" ySplit="1" topLeftCell="B2" activePane="bottomRight" state="frozen"/>
      <selection pane="bottomRight" activeCell="G41" sqref="G41"/>
      <pageMargins left="0.7" right="0.7" top="0.75" bottom="0.75" header="0.3" footer="0.3"/>
    </customSheetView>
  </customSheetViews>
  <mergeCells count="1">
    <mergeCell ref="I31:L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pageSetUpPr fitToPage="1"/>
  </sheetPr>
  <dimension ref="D1:M28"/>
  <sheetViews>
    <sheetView showGridLines="0" workbookViewId="0">
      <pane xSplit="1" ySplit="1" topLeftCell="B5" activePane="bottomRight" state="frozen"/>
      <selection pane="topRight" activeCell="B1" sqref="B1"/>
      <selection pane="bottomLeft" activeCell="A2" sqref="A2"/>
      <selection pane="bottomRight" activeCell="G20" sqref="G20"/>
    </sheetView>
  </sheetViews>
  <sheetFormatPr defaultRowHeight="12.75"/>
  <cols>
    <col min="1" max="1" width="15.42578125" style="2177" customWidth="1"/>
    <col min="2" max="3" width="9.140625" style="2177"/>
    <col min="4" max="4" width="0.85546875" style="2177" customWidth="1"/>
    <col min="5" max="5" width="9.140625" style="2177"/>
    <col min="6" max="6" width="39.85546875" style="2177" customWidth="1"/>
    <col min="7" max="7" width="14.28515625" style="2177" customWidth="1"/>
    <col min="8" max="9" width="9.140625" style="2177"/>
    <col min="10" max="10" width="29.28515625" style="2177" customWidth="1"/>
    <col min="11" max="11" width="18.5703125" style="2177" customWidth="1"/>
    <col min="12" max="12" width="20.85546875" style="2177" customWidth="1"/>
    <col min="13" max="13" width="0.85546875" style="2177" customWidth="1"/>
    <col min="14" max="16384" width="9.140625" style="2177"/>
  </cols>
  <sheetData>
    <row r="1" spans="4:13" ht="43.5" customHeight="1"/>
    <row r="5" spans="4:13" ht="18">
      <c r="D5" s="3338"/>
    </row>
    <row r="6" spans="4:13" ht="13.5" thickBot="1"/>
    <row r="7" spans="4:13" ht="4.5" customHeight="1">
      <c r="D7" s="3565"/>
      <c r="E7" s="2731"/>
      <c r="F7" s="3567" t="s">
        <v>1793</v>
      </c>
      <c r="G7" s="3567"/>
      <c r="H7" s="3568"/>
      <c r="I7" s="3568"/>
      <c r="J7" s="3568"/>
      <c r="K7" s="3568"/>
      <c r="L7" s="3570"/>
    </row>
    <row r="8" spans="4:13" ht="28.5" customHeight="1">
      <c r="D8" s="3566"/>
      <c r="E8" s="2732"/>
      <c r="F8" s="3569"/>
      <c r="G8" s="3569"/>
      <c r="H8" s="3569"/>
      <c r="I8" s="3569"/>
      <c r="J8" s="3569"/>
      <c r="K8" s="3569"/>
      <c r="L8" s="3571"/>
      <c r="M8" s="2733"/>
    </row>
    <row r="9" spans="4:13">
      <c r="D9" s="2734"/>
      <c r="E9" s="2735"/>
      <c r="F9" s="2736"/>
      <c r="G9" s="2758"/>
      <c r="H9" s="2738"/>
      <c r="I9" s="2738"/>
      <c r="J9" s="2739"/>
      <c r="K9" s="2738"/>
      <c r="L9" s="2740"/>
      <c r="M9" s="2733"/>
    </row>
    <row r="10" spans="4:13">
      <c r="D10" s="2741"/>
      <c r="E10" s="2742"/>
      <c r="F10" s="2743" t="s">
        <v>22</v>
      </c>
      <c r="G10" s="2759" t="s">
        <v>632</v>
      </c>
      <c r="H10" s="3572" t="s">
        <v>614</v>
      </c>
      <c r="I10" s="3573"/>
      <c r="J10" s="3574"/>
      <c r="K10" s="3363" t="s">
        <v>625</v>
      </c>
      <c r="L10" s="2745"/>
      <c r="M10" s="2746"/>
    </row>
    <row r="11" spans="4:13">
      <c r="D11" s="3303"/>
      <c r="E11" s="2749"/>
      <c r="F11" s="3307" t="s">
        <v>1776</v>
      </c>
      <c r="G11" s="2748"/>
      <c r="H11" s="2748"/>
      <c r="I11" s="2748"/>
      <c r="J11" s="2749"/>
      <c r="K11" s="2748"/>
      <c r="L11" s="2659"/>
      <c r="M11" s="2750"/>
    </row>
    <row r="12" spans="4:13" ht="21" customHeight="1">
      <c r="D12" s="3303"/>
      <c r="E12" s="2749"/>
      <c r="F12" s="3407" t="s">
        <v>1732</v>
      </c>
      <c r="G12" s="2747"/>
      <c r="H12" s="3410" t="s">
        <v>1772</v>
      </c>
      <c r="I12" s="2748"/>
      <c r="J12" s="2749"/>
      <c r="K12" s="2748"/>
      <c r="L12" s="2659"/>
      <c r="M12" s="2750"/>
    </row>
    <row r="13" spans="4:13" ht="30.75" customHeight="1">
      <c r="D13" s="3335"/>
      <c r="E13" s="2910" t="s">
        <v>440</v>
      </c>
      <c r="F13" s="3304" t="s">
        <v>762</v>
      </c>
      <c r="G13" s="3305">
        <v>6756000</v>
      </c>
      <c r="H13" s="2748" t="s">
        <v>881</v>
      </c>
      <c r="I13" s="3307"/>
      <c r="J13" s="3308"/>
      <c r="K13" s="3309" t="s">
        <v>1751</v>
      </c>
      <c r="L13" s="3310"/>
      <c r="M13" s="2750"/>
    </row>
    <row r="14" spans="4:13" ht="20.25" customHeight="1">
      <c r="D14" s="3303"/>
      <c r="E14" s="2910" t="s">
        <v>441</v>
      </c>
      <c r="F14" s="3311" t="s">
        <v>1777</v>
      </c>
      <c r="G14" s="3312">
        <f>'2016-2017 Portfolio View'!I17</f>
        <v>239967</v>
      </c>
      <c r="H14" s="3307"/>
      <c r="I14" s="3307"/>
      <c r="J14" s="3308"/>
      <c r="K14" s="3309" t="s">
        <v>1746</v>
      </c>
      <c r="L14" s="3310"/>
      <c r="M14" s="2750"/>
    </row>
    <row r="15" spans="4:13" ht="25.5" customHeight="1">
      <c r="D15" s="3303"/>
      <c r="E15" s="2910" t="s">
        <v>442</v>
      </c>
      <c r="F15" s="3311" t="s">
        <v>1778</v>
      </c>
      <c r="G15" s="3305">
        <f>G13+G14</f>
        <v>6995967</v>
      </c>
      <c r="H15" s="3307"/>
      <c r="I15" s="3307"/>
      <c r="J15" s="3308"/>
      <c r="K15" s="3339" t="s">
        <v>1733</v>
      </c>
      <c r="L15" s="3310"/>
      <c r="M15" s="2750"/>
    </row>
    <row r="16" spans="4:13" ht="30" customHeight="1">
      <c r="D16" s="3335"/>
      <c r="E16" s="2690" t="s">
        <v>443</v>
      </c>
      <c r="F16" s="3313" t="s">
        <v>1779</v>
      </c>
      <c r="G16" s="3299">
        <f>'2016-2017 Portfolio View'!I35</f>
        <v>430529</v>
      </c>
      <c r="H16" s="3307" t="s">
        <v>1752</v>
      </c>
      <c r="J16" s="3308"/>
      <c r="K16" s="3309" t="s">
        <v>1745</v>
      </c>
      <c r="L16" s="3310"/>
      <c r="M16" s="2750"/>
    </row>
    <row r="17" spans="4:13" ht="22.5" customHeight="1">
      <c r="D17" s="3336"/>
      <c r="E17" s="3359" t="s">
        <v>444</v>
      </c>
      <c r="F17" s="3320" t="s">
        <v>1726</v>
      </c>
      <c r="G17" s="3321">
        <f>G15+G16</f>
        <v>7426496</v>
      </c>
      <c r="H17" s="3580" t="s">
        <v>1727</v>
      </c>
      <c r="I17" s="3563"/>
      <c r="J17" s="3564"/>
      <c r="K17" s="3339" t="s">
        <v>1749</v>
      </c>
      <c r="L17" s="3310"/>
      <c r="M17" s="2746"/>
    </row>
    <row r="18" spans="4:13" ht="18.75" customHeight="1">
      <c r="D18" s="3303"/>
      <c r="E18" s="3308"/>
      <c r="F18" s="3406" t="s">
        <v>1728</v>
      </c>
      <c r="G18" s="3311"/>
      <c r="H18" s="3411" t="s">
        <v>1773</v>
      </c>
      <c r="I18" s="3307"/>
      <c r="J18" s="3308"/>
      <c r="K18" s="3307"/>
      <c r="L18" s="3310"/>
      <c r="M18" s="2750"/>
    </row>
    <row r="19" spans="4:13" ht="19.5" customHeight="1">
      <c r="D19" s="3314"/>
      <c r="E19" s="3329" t="s">
        <v>445</v>
      </c>
      <c r="F19" s="3323" t="s">
        <v>1729</v>
      </c>
      <c r="G19" s="3324">
        <f>-'2016-2017 Portfolio View'!I39</f>
        <v>-37680</v>
      </c>
      <c r="H19" s="3316"/>
      <c r="I19" s="3316"/>
      <c r="J19" s="3337"/>
      <c r="K19" s="3326" t="s">
        <v>1750</v>
      </c>
      <c r="L19" s="3317"/>
      <c r="M19" s="2750"/>
    </row>
    <row r="20" spans="4:13" ht="19.5" customHeight="1">
      <c r="D20" s="3303"/>
      <c r="E20" s="2910" t="s">
        <v>446</v>
      </c>
      <c r="F20" s="3331" t="s">
        <v>1742</v>
      </c>
      <c r="G20" s="3312">
        <f>-G16</f>
        <v>-430529</v>
      </c>
      <c r="H20" s="1975"/>
      <c r="I20" s="1975"/>
      <c r="J20" s="2910"/>
      <c r="K20" s="3341" t="s">
        <v>1741</v>
      </c>
      <c r="L20" s="3334"/>
      <c r="M20" s="2750"/>
    </row>
    <row r="21" spans="4:13" ht="19.5" customHeight="1">
      <c r="D21" s="3303"/>
      <c r="E21" s="2910" t="s">
        <v>447</v>
      </c>
      <c r="F21" s="3331" t="s">
        <v>1764</v>
      </c>
      <c r="G21" s="3305">
        <f>G19+G20</f>
        <v>-468209</v>
      </c>
      <c r="H21" s="1975"/>
      <c r="I21" s="1975"/>
      <c r="J21" s="2910"/>
      <c r="K21" s="3341" t="s">
        <v>1775</v>
      </c>
      <c r="L21" s="3334"/>
      <c r="M21" s="2750"/>
    </row>
    <row r="22" spans="4:13" ht="24.75" customHeight="1">
      <c r="D22" s="3303"/>
      <c r="E22" s="2910"/>
      <c r="F22" s="3406" t="s">
        <v>1771</v>
      </c>
      <c r="G22" s="3305"/>
      <c r="H22" s="1975"/>
      <c r="I22" s="1975"/>
      <c r="J22" s="2910"/>
      <c r="K22" s="3341"/>
      <c r="L22" s="3334"/>
      <c r="M22" s="2750"/>
    </row>
    <row r="23" spans="4:13" ht="22.5" customHeight="1">
      <c r="D23" s="3303"/>
      <c r="E23" s="3315" t="s">
        <v>326</v>
      </c>
      <c r="F23" s="3332" t="s">
        <v>1743</v>
      </c>
      <c r="G23" s="3318">
        <f>G17+G21</f>
        <v>6958287</v>
      </c>
      <c r="H23" s="3577" t="s">
        <v>760</v>
      </c>
      <c r="I23" s="3578"/>
      <c r="J23" s="3579"/>
      <c r="K23" s="3342" t="s">
        <v>1774</v>
      </c>
      <c r="L23" s="3317"/>
      <c r="M23" s="2746"/>
    </row>
    <row r="24" spans="4:13" ht="6" customHeight="1" thickBot="1">
      <c r="D24" s="2751"/>
      <c r="E24" s="2752"/>
      <c r="F24" s="2753"/>
      <c r="G24" s="2760"/>
      <c r="H24" s="2755"/>
      <c r="I24" s="2755"/>
      <c r="J24" s="2756"/>
      <c r="K24" s="3294"/>
      <c r="L24" s="3295"/>
      <c r="M24" s="2733"/>
    </row>
    <row r="25" spans="4:13" ht="4.5" customHeight="1">
      <c r="E25" s="2733"/>
      <c r="F25" s="2733"/>
      <c r="G25" s="2761"/>
      <c r="H25" s="2733"/>
      <c r="I25" s="2733"/>
      <c r="J25" s="2733"/>
      <c r="K25" s="3296"/>
      <c r="L25" s="3296"/>
      <c r="M25" s="2733"/>
    </row>
    <row r="27" spans="4:13">
      <c r="G27" s="2177" t="s">
        <v>1795</v>
      </c>
    </row>
    <row r="28" spans="4:13">
      <c r="G28" s="2177" t="s">
        <v>1796</v>
      </c>
    </row>
  </sheetData>
  <customSheetViews>
    <customSheetView guid="{074EB09C-6289-46D7-9513-012B68BCA7BF}" showGridLines="0" hiddenRows="1" hiddenColumns="1">
      <pane xSplit="1" ySplit="1" topLeftCell="B2" activePane="bottomRight" state="frozen"/>
      <selection pane="bottomRight"/>
      <pageMargins left="0.7" right="0.7" top="0.75" bottom="0.75" header="0.3" footer="0.3"/>
      <pageSetup orientation="portrait" r:id="rId1"/>
    </customSheetView>
    <customSheetView guid="{D9EFFE19-D14B-4C6F-BDF4-FF696F73968D}" showGridLines="0" hiddenRows="1" hiddenColumns="1">
      <pane xSplit="1" ySplit="1" topLeftCell="B2" activePane="bottomRight" state="frozen"/>
      <selection pane="bottomRight" activeCell="G11" sqref="G11"/>
      <pageMargins left="0.7" right="0.7" top="0.75" bottom="0.75" header="0.3" footer="0.3"/>
      <pageSetup orientation="portrait" r:id="rId2"/>
    </customSheetView>
  </customSheetViews>
  <mergeCells count="6">
    <mergeCell ref="H23:J23"/>
    <mergeCell ref="H17:J17"/>
    <mergeCell ref="D7:D8"/>
    <mergeCell ref="F7:K8"/>
    <mergeCell ref="L7:L8"/>
    <mergeCell ref="H10:J10"/>
  </mergeCells>
  <pageMargins left="0.7" right="0.7" top="0.75" bottom="0.75" header="0.3" footer="0.3"/>
  <pageSetup scale="73" orientation="landscape"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8DB4E3"/>
  </sheetPr>
  <dimension ref="A1:S78"/>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34.85546875" defaultRowHeight="12.75"/>
  <cols>
    <col min="1" max="1" width="18.85546875" style="1164" customWidth="1"/>
    <col min="2" max="2" width="58.5703125" customWidth="1"/>
    <col min="3" max="3" width="20.28515625" customWidth="1"/>
    <col min="4" max="4" width="18" customWidth="1"/>
    <col min="5" max="5" width="19" customWidth="1"/>
    <col min="6" max="6" width="19.28515625" customWidth="1"/>
    <col min="7" max="7" width="19.5703125" customWidth="1"/>
    <col min="8" max="8" width="23.5703125" customWidth="1"/>
    <col min="9" max="9" width="21.7109375" customWidth="1"/>
    <col min="10" max="10" width="20" customWidth="1"/>
    <col min="11" max="11" width="25.85546875" customWidth="1"/>
    <col min="12" max="12" width="21.7109375" customWidth="1"/>
    <col min="13" max="13" width="25.28515625" customWidth="1"/>
    <col min="16" max="16" width="19.42578125" customWidth="1"/>
    <col min="17" max="17" width="18.7109375" customWidth="1"/>
    <col min="18" max="18" width="12.85546875" customWidth="1"/>
    <col min="19" max="19" width="13.42578125" customWidth="1"/>
  </cols>
  <sheetData>
    <row r="1" spans="1:19" ht="51.75" customHeight="1">
      <c r="B1" s="1838" t="s">
        <v>273</v>
      </c>
      <c r="C1" s="1812" t="s">
        <v>274</v>
      </c>
      <c r="D1" s="1838" t="s">
        <v>124</v>
      </c>
      <c r="E1" s="1837" t="s">
        <v>5</v>
      </c>
      <c r="H1" s="1812"/>
      <c r="I1" s="127"/>
      <c r="J1" s="102"/>
      <c r="K1" s="1838" t="s">
        <v>273</v>
      </c>
      <c r="L1" s="1812" t="s">
        <v>274</v>
      </c>
      <c r="M1" s="1838" t="s">
        <v>124</v>
      </c>
      <c r="N1" s="1837" t="s">
        <v>5</v>
      </c>
    </row>
    <row r="2" spans="1:19" ht="20.25">
      <c r="B2" s="111"/>
      <c r="C2" s="126"/>
      <c r="D2" s="126"/>
      <c r="E2" s="126"/>
      <c r="F2" s="126"/>
      <c r="G2" s="133"/>
      <c r="H2" s="127"/>
      <c r="I2" s="127"/>
      <c r="J2" s="102"/>
      <c r="K2" s="102"/>
      <c r="L2" s="102"/>
      <c r="M2" s="102"/>
      <c r="N2" s="102"/>
    </row>
    <row r="3" spans="1:19" ht="38.25">
      <c r="A3" s="1833" t="s">
        <v>273</v>
      </c>
      <c r="C3" s="1607"/>
      <c r="D3" s="1607"/>
      <c r="E3" s="1607"/>
      <c r="F3" s="1607"/>
      <c r="G3" s="2869"/>
      <c r="H3" s="108" t="s">
        <v>8</v>
      </c>
      <c r="I3" s="108" t="s">
        <v>9</v>
      </c>
      <c r="J3" s="108" t="s">
        <v>87</v>
      </c>
      <c r="K3" s="109" t="s">
        <v>11</v>
      </c>
      <c r="L3" s="721" t="s">
        <v>504</v>
      </c>
      <c r="M3" s="109" t="s">
        <v>12</v>
      </c>
      <c r="N3" s="109" t="s">
        <v>13</v>
      </c>
      <c r="O3" s="109" t="s">
        <v>14</v>
      </c>
      <c r="P3" s="109" t="s">
        <v>88</v>
      </c>
      <c r="Q3" s="721" t="s">
        <v>39</v>
      </c>
      <c r="R3" s="109" t="s">
        <v>16</v>
      </c>
      <c r="S3" s="2362" t="s">
        <v>40</v>
      </c>
    </row>
    <row r="4" spans="1:19" ht="15.75">
      <c r="A4" s="1808" t="s">
        <v>274</v>
      </c>
      <c r="G4" s="1704" t="s">
        <v>668</v>
      </c>
      <c r="H4" s="2811">
        <v>240000</v>
      </c>
      <c r="I4" s="2812">
        <v>24300</v>
      </c>
      <c r="J4" s="2812">
        <v>186900</v>
      </c>
      <c r="K4" s="2812">
        <v>19810</v>
      </c>
      <c r="L4" s="2812">
        <v>4410</v>
      </c>
      <c r="M4" s="1665">
        <v>153518</v>
      </c>
      <c r="N4" s="1666">
        <v>1130</v>
      </c>
      <c r="O4" s="1666">
        <v>7906</v>
      </c>
      <c r="P4" s="2833">
        <v>2350000</v>
      </c>
      <c r="Q4" s="2843"/>
      <c r="R4" s="2813">
        <v>2987974</v>
      </c>
      <c r="S4" s="2378" t="s">
        <v>699</v>
      </c>
    </row>
    <row r="5" spans="1:19" ht="25.5">
      <c r="A5" s="1833" t="s">
        <v>124</v>
      </c>
      <c r="G5" s="105">
        <v>2016</v>
      </c>
      <c r="H5" s="142">
        <f>C14</f>
        <v>158400</v>
      </c>
      <c r="I5" s="143">
        <f>C16</f>
        <v>10672</v>
      </c>
      <c r="J5" s="143">
        <f>C35</f>
        <v>105652.8</v>
      </c>
      <c r="K5" s="143">
        <f>C33</f>
        <v>22000</v>
      </c>
      <c r="L5" s="143">
        <f>C18</f>
        <v>3000</v>
      </c>
      <c r="M5" s="143">
        <f>C37</f>
        <v>110000</v>
      </c>
      <c r="N5" s="143">
        <f>C28</f>
        <v>4000</v>
      </c>
      <c r="O5" s="143">
        <f>C26</f>
        <v>4000</v>
      </c>
      <c r="P5" s="2834">
        <f>C12</f>
        <v>2225000</v>
      </c>
      <c r="Q5" s="2844"/>
      <c r="R5" s="144">
        <f>SUM(H5:P5)</f>
        <v>2642724.7999999998</v>
      </c>
      <c r="S5" s="2361">
        <f>C50</f>
        <v>10108435</v>
      </c>
    </row>
    <row r="6" spans="1:19" ht="13.5" thickBot="1">
      <c r="A6" s="1839" t="s">
        <v>5</v>
      </c>
      <c r="G6" s="154">
        <v>2017</v>
      </c>
      <c r="H6" s="142">
        <f>D14</f>
        <v>144000</v>
      </c>
      <c r="I6" s="143">
        <f>D16</f>
        <v>13340</v>
      </c>
      <c r="J6" s="143">
        <f>D35</f>
        <v>97920</v>
      </c>
      <c r="K6" s="143">
        <f>D33</f>
        <v>24000</v>
      </c>
      <c r="L6" s="143">
        <f>D18</f>
        <v>4000</v>
      </c>
      <c r="M6" s="777">
        <f>D37</f>
        <v>120000</v>
      </c>
      <c r="N6" s="782">
        <f>D28</f>
        <v>4000</v>
      </c>
      <c r="O6" s="782">
        <f>D26</f>
        <v>5000</v>
      </c>
      <c r="P6" s="2835">
        <f>D12</f>
        <v>1625000</v>
      </c>
      <c r="Q6" s="2845"/>
      <c r="R6" s="144">
        <f>SUM(H6:P6)</f>
        <v>2037260</v>
      </c>
      <c r="S6" s="2361">
        <f>D50</f>
        <v>6981030</v>
      </c>
    </row>
    <row r="7" spans="1:19" s="1569" customFormat="1" ht="13.5" thickBot="1">
      <c r="G7" s="1591" t="s">
        <v>55</v>
      </c>
      <c r="H7" s="1571">
        <f t="shared" ref="H7:P7" si="0">SUM(H5:H6)</f>
        <v>302400</v>
      </c>
      <c r="I7" s="1593">
        <f t="shared" si="0"/>
        <v>24012</v>
      </c>
      <c r="J7" s="1593">
        <f t="shared" si="0"/>
        <v>203572.8</v>
      </c>
      <c r="K7" s="1593">
        <f t="shared" si="0"/>
        <v>46000</v>
      </c>
      <c r="L7" s="1593">
        <f t="shared" si="0"/>
        <v>7000</v>
      </c>
      <c r="M7" s="1593">
        <f t="shared" si="0"/>
        <v>230000</v>
      </c>
      <c r="N7" s="1593">
        <f t="shared" si="0"/>
        <v>8000</v>
      </c>
      <c r="O7" s="1593">
        <f t="shared" si="0"/>
        <v>9000</v>
      </c>
      <c r="P7" s="2836">
        <f t="shared" si="0"/>
        <v>3850000</v>
      </c>
      <c r="Q7" s="2846"/>
      <c r="R7" s="1594">
        <f>SUM(R5:R6)</f>
        <v>4679984.8</v>
      </c>
      <c r="S7" s="2360">
        <f>SUM(S5:S6)</f>
        <v>17089465</v>
      </c>
    </row>
    <row r="8" spans="1:19" ht="20.25">
      <c r="A8" s="1808"/>
      <c r="B8" s="111"/>
      <c r="C8" s="126"/>
      <c r="D8" s="126"/>
      <c r="E8" s="126"/>
      <c r="F8" s="126"/>
      <c r="G8" s="133"/>
      <c r="H8" s="127"/>
      <c r="I8" s="127"/>
      <c r="J8" s="102"/>
      <c r="K8" s="102"/>
      <c r="L8" s="102"/>
      <c r="M8" s="102"/>
      <c r="N8" s="114"/>
    </row>
    <row r="9" spans="1:19" ht="18">
      <c r="A9" s="1808"/>
      <c r="C9" s="150">
        <v>2016</v>
      </c>
      <c r="D9" s="151">
        <v>2017</v>
      </c>
      <c r="E9" s="152" t="s">
        <v>23</v>
      </c>
      <c r="F9" s="125"/>
      <c r="G9" s="125"/>
      <c r="H9" s="125"/>
      <c r="I9" s="125"/>
      <c r="J9" s="102"/>
      <c r="K9" s="102"/>
      <c r="L9" s="102"/>
      <c r="M9" s="102"/>
      <c r="N9" s="102"/>
    </row>
    <row r="10" spans="1:19" ht="18">
      <c r="A10" s="1808"/>
      <c r="B10" s="112"/>
      <c r="C10" s="2346"/>
      <c r="D10" s="2354"/>
      <c r="E10" s="2355">
        <f>SUM(C10:D10)</f>
        <v>0</v>
      </c>
      <c r="F10" s="117"/>
      <c r="G10" s="117"/>
      <c r="H10" s="117"/>
      <c r="I10" s="1378"/>
      <c r="J10" s="1369"/>
      <c r="K10" s="1369"/>
      <c r="L10" s="114"/>
      <c r="M10" s="155"/>
      <c r="N10" s="102"/>
    </row>
    <row r="11" spans="1:19" s="2177" customFormat="1" ht="19.5">
      <c r="A11" s="2322"/>
      <c r="B11" s="729" t="s">
        <v>90</v>
      </c>
      <c r="C11" s="2479">
        <v>2225000</v>
      </c>
      <c r="D11" s="2480">
        <v>1625000</v>
      </c>
      <c r="E11" s="2481">
        <f>SUM(C11:D11)</f>
        <v>3850000</v>
      </c>
      <c r="F11" s="737"/>
      <c r="G11" s="737"/>
      <c r="H11" s="737"/>
      <c r="I11" s="1473"/>
      <c r="J11" s="1462"/>
      <c r="K11" s="1462"/>
      <c r="L11" s="732"/>
      <c r="M11" s="206"/>
      <c r="N11" s="2323"/>
    </row>
    <row r="12" spans="1:19">
      <c r="A12" s="1808"/>
      <c r="B12" s="1319"/>
      <c r="C12" s="165">
        <f>SUM(C10:C11)</f>
        <v>2225000</v>
      </c>
      <c r="D12" s="159">
        <f>SUM(D10:D11)</f>
        <v>1625000</v>
      </c>
      <c r="E12" s="160">
        <f>SUM(E10:E11)</f>
        <v>3850000</v>
      </c>
      <c r="F12" s="117"/>
      <c r="G12" s="117"/>
      <c r="H12" s="117"/>
      <c r="I12" s="1370"/>
      <c r="J12" s="1371"/>
      <c r="K12" s="1369"/>
      <c r="L12" s="102"/>
      <c r="M12" s="102"/>
      <c r="N12" s="102"/>
    </row>
    <row r="13" spans="1:19" ht="18">
      <c r="A13" s="1808"/>
      <c r="B13" s="112"/>
      <c r="C13" s="135"/>
      <c r="D13" s="104"/>
      <c r="E13" s="136"/>
      <c r="F13" s="117"/>
      <c r="G13" s="117"/>
      <c r="H13" s="117"/>
      <c r="I13" s="1370"/>
      <c r="J13" s="1372"/>
      <c r="K13" s="1369"/>
      <c r="L13" s="102"/>
      <c r="M13" s="102"/>
      <c r="N13" s="102"/>
    </row>
    <row r="14" spans="1:19">
      <c r="B14" s="110" t="s">
        <v>93</v>
      </c>
      <c r="C14" s="137">
        <v>158400</v>
      </c>
      <c r="D14" s="3160">
        <v>144000</v>
      </c>
      <c r="E14" s="3161">
        <f>SUM(C14:D14)</f>
        <v>302400</v>
      </c>
      <c r="F14" s="3162">
        <v>2016</v>
      </c>
      <c r="G14" s="3163">
        <v>2017</v>
      </c>
      <c r="H14" s="1463"/>
      <c r="I14" s="1370"/>
      <c r="J14" s="1372"/>
      <c r="K14" s="1366"/>
      <c r="L14" s="102"/>
      <c r="M14" s="102"/>
      <c r="N14" s="102"/>
    </row>
    <row r="15" spans="1:19">
      <c r="B15" s="116" t="s">
        <v>95</v>
      </c>
      <c r="C15" s="809"/>
      <c r="D15" s="157"/>
      <c r="E15" s="778"/>
      <c r="F15" s="1137">
        <v>1.7</v>
      </c>
      <c r="G15" s="2177">
        <v>1.5</v>
      </c>
      <c r="H15" s="738" t="s">
        <v>96</v>
      </c>
      <c r="I15" s="1465"/>
      <c r="J15" s="1368"/>
      <c r="K15" s="1366"/>
      <c r="L15" s="102"/>
      <c r="M15" s="102"/>
      <c r="N15" s="102"/>
    </row>
    <row r="16" spans="1:19">
      <c r="B16" s="116" t="s">
        <v>99</v>
      </c>
      <c r="C16" s="809">
        <v>10672</v>
      </c>
      <c r="D16" s="157">
        <v>13340</v>
      </c>
      <c r="E16" s="778">
        <f>SUM(C16:D16)</f>
        <v>24012</v>
      </c>
      <c r="F16" s="2177">
        <v>0.1</v>
      </c>
      <c r="G16" s="2177">
        <v>0.2</v>
      </c>
      <c r="H16" s="738" t="s">
        <v>96</v>
      </c>
      <c r="I16" s="1370"/>
      <c r="J16" s="1368"/>
      <c r="K16" s="1366"/>
      <c r="L16" s="102"/>
      <c r="M16" s="102"/>
      <c r="N16" s="102"/>
    </row>
    <row r="17" spans="2:13">
      <c r="B17" s="116"/>
      <c r="C17" s="138"/>
      <c r="D17" s="104"/>
      <c r="E17" s="778"/>
      <c r="F17" s="2177"/>
      <c r="G17" s="2177"/>
      <c r="H17" s="2177"/>
      <c r="I17" s="1370"/>
      <c r="J17" s="1368"/>
      <c r="K17" s="1366"/>
      <c r="L17" s="102"/>
      <c r="M17" s="156"/>
    </row>
    <row r="18" spans="2:13">
      <c r="B18" s="723" t="s">
        <v>506</v>
      </c>
      <c r="C18" s="137">
        <v>3000</v>
      </c>
      <c r="D18" s="2429">
        <v>4000</v>
      </c>
      <c r="E18" s="3161">
        <f t="shared" ref="E18:E23" si="1">SUM(C18:D18)</f>
        <v>7000</v>
      </c>
      <c r="F18" s="2177"/>
      <c r="G18" s="2177"/>
      <c r="H18" s="2177"/>
      <c r="I18" s="1370"/>
      <c r="J18" s="1368"/>
      <c r="K18" s="1366"/>
      <c r="L18" s="102"/>
      <c r="M18" s="102"/>
    </row>
    <row r="19" spans="2:13">
      <c r="B19" s="102" t="s">
        <v>100</v>
      </c>
      <c r="C19" s="145"/>
      <c r="D19" s="157"/>
      <c r="E19" s="153">
        <f t="shared" si="1"/>
        <v>0</v>
      </c>
      <c r="I19" s="1370"/>
      <c r="J19" s="1368"/>
      <c r="K19" s="1366"/>
      <c r="L19" s="102"/>
      <c r="M19" s="102"/>
    </row>
    <row r="20" spans="2:13">
      <c r="B20" s="116" t="s">
        <v>101</v>
      </c>
      <c r="C20" s="139"/>
      <c r="D20" s="157"/>
      <c r="E20" s="778">
        <f t="shared" si="1"/>
        <v>0</v>
      </c>
      <c r="F20" s="102"/>
      <c r="G20" s="115"/>
      <c r="H20" s="128"/>
      <c r="I20" s="1370"/>
      <c r="J20" s="1377"/>
      <c r="K20" s="1366"/>
      <c r="L20" s="102"/>
      <c r="M20" s="102"/>
    </row>
    <row r="21" spans="2:13">
      <c r="B21" s="116" t="s">
        <v>104</v>
      </c>
      <c r="C21" s="145"/>
      <c r="D21" s="157"/>
      <c r="E21" s="778">
        <f t="shared" si="1"/>
        <v>0</v>
      </c>
      <c r="F21" s="115"/>
      <c r="G21" s="115"/>
      <c r="H21" s="115"/>
      <c r="I21" s="1366"/>
      <c r="J21" s="1367"/>
      <c r="K21" s="1366"/>
      <c r="L21" s="102"/>
      <c r="M21" s="102"/>
    </row>
    <row r="22" spans="2:13" s="2177" customFormat="1">
      <c r="B22" s="736" t="s">
        <v>521</v>
      </c>
      <c r="C22" s="145"/>
      <c r="D22" s="792"/>
      <c r="E22" s="778">
        <f t="shared" si="1"/>
        <v>0</v>
      </c>
      <c r="F22" s="733"/>
      <c r="G22" s="733"/>
      <c r="H22" s="733"/>
      <c r="I22" s="1458"/>
      <c r="J22" s="1460"/>
      <c r="K22" s="1458"/>
      <c r="L22" s="2323"/>
      <c r="M22" s="2323"/>
    </row>
    <row r="23" spans="2:13" ht="15">
      <c r="B23" s="116" t="s">
        <v>107</v>
      </c>
      <c r="C23" s="2482"/>
      <c r="D23" s="2483"/>
      <c r="E23" s="2484">
        <f t="shared" si="1"/>
        <v>0</v>
      </c>
      <c r="F23" s="115"/>
      <c r="G23" s="115"/>
      <c r="H23" s="129"/>
      <c r="I23" s="1370"/>
      <c r="J23" s="1382"/>
      <c r="K23" s="1366"/>
      <c r="L23" s="102"/>
      <c r="M23" s="102"/>
    </row>
    <row r="24" spans="2:13">
      <c r="B24" s="102"/>
      <c r="C24" s="140">
        <f>SUM(C19:C23)</f>
        <v>0</v>
      </c>
      <c r="D24" s="123">
        <f>SUM(D19:D23)</f>
        <v>0</v>
      </c>
      <c r="E24" s="161">
        <f>SUM(E19:E23)</f>
        <v>0</v>
      </c>
      <c r="F24" s="115"/>
      <c r="G24" s="115"/>
      <c r="H24" s="129"/>
      <c r="I24" s="1375" t="s">
        <v>102</v>
      </c>
      <c r="J24" s="1380"/>
      <c r="K24" s="1373" t="s">
        <v>103</v>
      </c>
      <c r="L24" s="102"/>
      <c r="M24" s="102"/>
    </row>
    <row r="25" spans="2:13">
      <c r="B25" s="104"/>
      <c r="C25" s="148"/>
      <c r="D25" s="104"/>
      <c r="E25" s="136"/>
      <c r="F25" s="115"/>
      <c r="G25" s="115"/>
      <c r="H25" s="129"/>
      <c r="I25" s="1375" t="s">
        <v>105</v>
      </c>
      <c r="J25" s="1379"/>
      <c r="K25" s="1376" t="s">
        <v>106</v>
      </c>
      <c r="L25" s="102"/>
      <c r="M25" s="102"/>
    </row>
    <row r="26" spans="2:13">
      <c r="B26" s="110" t="s">
        <v>94</v>
      </c>
      <c r="C26" s="140">
        <v>4000</v>
      </c>
      <c r="D26" s="134">
        <v>5000</v>
      </c>
      <c r="E26" s="161">
        <f>SUM(C26:D26)</f>
        <v>9000</v>
      </c>
      <c r="F26" s="115"/>
      <c r="G26" s="115"/>
      <c r="H26" s="129"/>
      <c r="I26" s="1375" t="s">
        <v>108</v>
      </c>
      <c r="J26" s="1379"/>
      <c r="K26" s="1376" t="s">
        <v>106</v>
      </c>
      <c r="L26" s="102"/>
      <c r="M26" s="102"/>
    </row>
    <row r="27" spans="2:13">
      <c r="B27" s="104"/>
      <c r="C27" s="148"/>
      <c r="D27" s="104"/>
      <c r="E27" s="136"/>
      <c r="F27" s="115"/>
      <c r="G27" s="115"/>
      <c r="H27" s="129"/>
      <c r="I27" s="1374" t="s">
        <v>109</v>
      </c>
      <c r="J27" s="1381"/>
      <c r="K27" s="1366"/>
      <c r="L27" s="102"/>
      <c r="M27" s="102"/>
    </row>
    <row r="28" spans="2:13">
      <c r="B28" s="107" t="s">
        <v>97</v>
      </c>
      <c r="C28" s="148">
        <v>4000</v>
      </c>
      <c r="D28" s="3349">
        <v>4000</v>
      </c>
      <c r="E28" s="136"/>
      <c r="F28" s="129"/>
      <c r="G28" s="129"/>
      <c r="H28" s="129"/>
      <c r="I28" s="124"/>
      <c r="J28" s="132"/>
      <c r="K28" s="102"/>
      <c r="L28" s="102"/>
      <c r="M28" s="102"/>
    </row>
    <row r="29" spans="2:13">
      <c r="B29" s="102" t="s">
        <v>110</v>
      </c>
      <c r="C29" s="148"/>
      <c r="D29" s="157"/>
      <c r="E29" s="153">
        <f>SUM(C29:D29)</f>
        <v>0</v>
      </c>
      <c r="F29" s="129"/>
      <c r="G29" s="129"/>
      <c r="H29" s="129"/>
      <c r="I29" s="117"/>
      <c r="J29" s="102"/>
      <c r="K29" s="102"/>
      <c r="L29" s="102"/>
      <c r="M29" s="102"/>
    </row>
    <row r="30" spans="2:13" ht="15">
      <c r="B30" s="104" t="s">
        <v>112</v>
      </c>
      <c r="C30" s="2485"/>
      <c r="D30" s="2483"/>
      <c r="E30" s="2484">
        <f>SUM(C30:D30)</f>
        <v>0</v>
      </c>
      <c r="F30" s="129"/>
      <c r="G30" s="129"/>
      <c r="H30" s="129"/>
      <c r="I30" s="117"/>
      <c r="J30" s="102"/>
      <c r="K30" s="102"/>
      <c r="L30" s="102"/>
      <c r="M30" s="102"/>
    </row>
    <row r="31" spans="2:13">
      <c r="B31" s="107" t="s">
        <v>113</v>
      </c>
      <c r="C31" s="141">
        <f>SUM(C29:C30)</f>
        <v>0</v>
      </c>
      <c r="D31" s="118">
        <f>SUM(D29:D30)</f>
        <v>0</v>
      </c>
      <c r="E31" s="161">
        <f>SUM(E29:E30)</f>
        <v>0</v>
      </c>
      <c r="F31" s="129"/>
      <c r="G31" s="129"/>
      <c r="H31" s="129"/>
      <c r="I31" s="117"/>
      <c r="J31" s="102"/>
      <c r="K31" s="102"/>
      <c r="L31" s="102"/>
      <c r="M31" s="102"/>
    </row>
    <row r="32" spans="2:13">
      <c r="B32" s="104"/>
      <c r="C32" s="148"/>
      <c r="D32" s="104"/>
      <c r="E32" s="136"/>
      <c r="F32" s="129"/>
      <c r="G32" s="129"/>
      <c r="H32" s="129"/>
      <c r="I32" s="117"/>
      <c r="J32" s="102"/>
      <c r="K32" s="102"/>
      <c r="L32" s="102"/>
      <c r="M32" s="102"/>
    </row>
    <row r="33" spans="1:10">
      <c r="A33" s="1833" t="s">
        <v>273</v>
      </c>
      <c r="B33" s="107" t="s">
        <v>98</v>
      </c>
      <c r="C33" s="141">
        <v>22000</v>
      </c>
      <c r="D33" s="158">
        <v>24000</v>
      </c>
      <c r="E33" s="161">
        <f>SUM(C33:D33)</f>
        <v>46000</v>
      </c>
      <c r="F33" s="129"/>
      <c r="G33" s="129"/>
      <c r="H33" s="129"/>
      <c r="I33" s="117"/>
    </row>
    <row r="34" spans="1:10">
      <c r="A34" s="1808" t="s">
        <v>274</v>
      </c>
      <c r="B34" s="104"/>
      <c r="C34" s="148"/>
      <c r="D34" s="104"/>
      <c r="E34" s="136"/>
      <c r="F34" s="129"/>
      <c r="G34" s="130"/>
      <c r="H34" s="129"/>
      <c r="I34" s="117"/>
    </row>
    <row r="35" spans="1:10" ht="25.5">
      <c r="A35" s="1833" t="s">
        <v>124</v>
      </c>
      <c r="B35" s="107" t="s">
        <v>10</v>
      </c>
      <c r="C35" s="1169">
        <f>C14*F35</f>
        <v>105652.8</v>
      </c>
      <c r="D35" s="1168">
        <f>D14*F36</f>
        <v>97920</v>
      </c>
      <c r="E35" s="161">
        <f>SUM(C35:D35)</f>
        <v>203572.8</v>
      </c>
      <c r="F35" s="2805">
        <v>0.66700000000000004</v>
      </c>
      <c r="G35" s="2827" t="s">
        <v>725</v>
      </c>
      <c r="H35" s="129"/>
      <c r="I35" s="117"/>
    </row>
    <row r="36" spans="1:10">
      <c r="A36" s="1839" t="s">
        <v>5</v>
      </c>
      <c r="B36" s="104"/>
      <c r="C36" s="148"/>
      <c r="D36" s="130"/>
      <c r="E36" s="149"/>
      <c r="F36" s="2805">
        <v>0.68</v>
      </c>
      <c r="G36" s="2803" t="s">
        <v>726</v>
      </c>
      <c r="H36" s="129"/>
      <c r="I36" s="117"/>
    </row>
    <row r="37" spans="1:10">
      <c r="B37" s="105" t="s">
        <v>12</v>
      </c>
      <c r="C37" s="3146">
        <v>110000</v>
      </c>
      <c r="D37" s="3147">
        <v>120000</v>
      </c>
      <c r="E37" s="3145">
        <f>SUM(C37:D37)</f>
        <v>230000</v>
      </c>
      <c r="F37" s="129"/>
      <c r="G37" s="103"/>
      <c r="H37" s="129"/>
      <c r="I37" s="113"/>
    </row>
    <row r="38" spans="1:10">
      <c r="B38" s="122"/>
      <c r="C38" s="145"/>
      <c r="D38" s="131"/>
      <c r="E38" s="146"/>
      <c r="F38" s="129"/>
      <c r="G38" s="103"/>
      <c r="H38" s="129"/>
      <c r="I38" s="113"/>
    </row>
    <row r="39" spans="1:10">
      <c r="B39" s="2356" t="s">
        <v>532</v>
      </c>
      <c r="C39" s="145"/>
      <c r="D39" s="131"/>
      <c r="E39" s="146">
        <f>SUM(C39:D39)</f>
        <v>0</v>
      </c>
      <c r="F39" s="129"/>
      <c r="G39" s="103"/>
      <c r="H39" s="129"/>
      <c r="I39" s="113"/>
    </row>
    <row r="40" spans="1:10">
      <c r="B40" s="744" t="s">
        <v>533</v>
      </c>
      <c r="C40" s="145"/>
      <c r="D40" s="131"/>
      <c r="E40" s="773">
        <f>SUM(C40:D40)</f>
        <v>0</v>
      </c>
      <c r="F40" s="129"/>
      <c r="G40" s="103"/>
      <c r="H40" s="129"/>
      <c r="I40" s="113"/>
    </row>
    <row r="41" spans="1:10">
      <c r="B41" s="744" t="s">
        <v>534</v>
      </c>
      <c r="C41" s="145"/>
      <c r="D41" s="131"/>
      <c r="E41" s="773">
        <f>SUM(C41:D41)</f>
        <v>0</v>
      </c>
      <c r="F41" s="129"/>
      <c r="G41" s="103"/>
      <c r="H41" s="129"/>
      <c r="I41" s="113"/>
    </row>
    <row r="42" spans="1:10">
      <c r="B42" s="744" t="s">
        <v>535</v>
      </c>
      <c r="C42" s="145"/>
      <c r="D42" s="131"/>
      <c r="E42" s="773">
        <f>SUM(C42:D42)</f>
        <v>0</v>
      </c>
      <c r="F42" s="129"/>
      <c r="G42" s="103"/>
      <c r="H42" s="129"/>
      <c r="I42" s="113"/>
    </row>
    <row r="43" spans="1:10" ht="15">
      <c r="B43" s="744" t="s">
        <v>525</v>
      </c>
      <c r="C43" s="2482"/>
      <c r="D43" s="2486"/>
      <c r="E43" s="2487">
        <f>SUM(C43:D43)</f>
        <v>0</v>
      </c>
      <c r="F43" s="129"/>
      <c r="G43" s="103"/>
      <c r="H43" s="129"/>
      <c r="I43" s="113"/>
    </row>
    <row r="44" spans="1:10">
      <c r="B44" s="163"/>
      <c r="C44" s="145"/>
      <c r="D44" s="131"/>
      <c r="E44" s="773"/>
      <c r="F44" s="129"/>
      <c r="G44" s="130"/>
      <c r="H44" s="129"/>
      <c r="I44" s="113"/>
    </row>
    <row r="45" spans="1:10">
      <c r="B45" s="163"/>
      <c r="C45" s="764">
        <f>SUM(C39:C44)</f>
        <v>0</v>
      </c>
      <c r="D45" s="745">
        <f>SUM(D39:D44)</f>
        <v>0</v>
      </c>
      <c r="E45" s="147">
        <f>SUM(E39:E44)</f>
        <v>0</v>
      </c>
      <c r="F45" s="129"/>
      <c r="G45" s="130"/>
      <c r="H45" s="129"/>
      <c r="I45" s="113"/>
    </row>
    <row r="46" spans="1:10" ht="13.5" thickBot="1">
      <c r="B46" s="164"/>
      <c r="C46" s="145"/>
      <c r="D46" s="131"/>
      <c r="E46" s="146"/>
      <c r="F46" s="129"/>
      <c r="G46" s="130"/>
      <c r="H46" s="129"/>
      <c r="I46" s="113"/>
    </row>
    <row r="47" spans="1:10" ht="13.5" thickBot="1">
      <c r="B47" s="163"/>
      <c r="C47" s="2364">
        <f>C12+C14+C16+C18+C24+C26+C28+C33+C35+C37</f>
        <v>2642724.7999999998</v>
      </c>
      <c r="D47" s="2364">
        <f>D12+D14+D16+D18+D24+D26+D28+D33+D35+D37</f>
        <v>2037260</v>
      </c>
      <c r="E47" s="2363">
        <f>SUM(C47:D47)</f>
        <v>4679984.8</v>
      </c>
      <c r="F47" s="129"/>
      <c r="G47" s="130"/>
      <c r="H47" s="129"/>
      <c r="I47" s="113"/>
    </row>
    <row r="48" spans="1:10">
      <c r="B48" s="163"/>
      <c r="C48" s="131"/>
      <c r="D48" s="131"/>
      <c r="E48" s="131"/>
      <c r="F48" s="129"/>
      <c r="G48" s="130"/>
      <c r="H48" s="129"/>
      <c r="I48" s="113"/>
      <c r="J48" s="102"/>
    </row>
    <row r="49" spans="2:10">
      <c r="B49" s="2370" t="s">
        <v>119</v>
      </c>
      <c r="C49" s="2371">
        <v>2016</v>
      </c>
      <c r="D49" s="2371">
        <v>2017</v>
      </c>
      <c r="E49" s="2373" t="s">
        <v>23</v>
      </c>
      <c r="F49" s="2368"/>
      <c r="G49" s="130"/>
      <c r="H49" s="131"/>
      <c r="I49" s="119"/>
      <c r="J49" s="106"/>
    </row>
    <row r="50" spans="2:10" ht="25.5">
      <c r="B50" s="2367" t="s">
        <v>536</v>
      </c>
      <c r="C50" s="2380">
        <v>10108435</v>
      </c>
      <c r="D50" s="2381">
        <v>6981030</v>
      </c>
      <c r="E50" s="2381">
        <f>C50+D50</f>
        <v>17089465</v>
      </c>
      <c r="F50" s="2382" t="s">
        <v>120</v>
      </c>
      <c r="G50" s="129"/>
      <c r="H50" s="120"/>
      <c r="I50" s="120"/>
      <c r="J50" s="106"/>
    </row>
    <row r="51" spans="2:10" s="2177" customFormat="1">
      <c r="B51" s="2367"/>
      <c r="C51" s="2720"/>
      <c r="D51" s="2721"/>
      <c r="E51" s="2721"/>
      <c r="F51" s="2377"/>
      <c r="G51" s="205"/>
      <c r="H51" s="743"/>
      <c r="I51" s="743"/>
      <c r="J51" s="717"/>
    </row>
    <row r="52" spans="2:10" s="2177" customFormat="1">
      <c r="B52" s="2367"/>
      <c r="C52" s="2720"/>
      <c r="D52" s="2721"/>
      <c r="E52" s="2721"/>
      <c r="F52" s="2377"/>
      <c r="G52" s="205"/>
      <c r="H52" s="743"/>
      <c r="I52" s="743"/>
      <c r="J52" s="717"/>
    </row>
    <row r="53" spans="2:10" ht="15">
      <c r="B53" s="2366" t="s">
        <v>537</v>
      </c>
      <c r="C53" s="2488"/>
      <c r="D53" s="2489"/>
      <c r="E53" s="2489"/>
      <c r="F53" s="2377" t="s">
        <v>120</v>
      </c>
      <c r="G53" s="129"/>
      <c r="H53" s="120"/>
      <c r="I53" s="120"/>
      <c r="J53" s="106"/>
    </row>
    <row r="54" spans="2:10">
      <c r="B54" s="2365" t="s">
        <v>538</v>
      </c>
      <c r="C54" s="2383"/>
      <c r="D54" s="2372"/>
      <c r="E54" s="2372"/>
      <c r="F54" s="2379" t="s">
        <v>120</v>
      </c>
      <c r="G54" s="129"/>
      <c r="H54" s="120"/>
      <c r="I54" s="120"/>
      <c r="J54" s="106"/>
    </row>
    <row r="55" spans="2:10">
      <c r="B55" s="2368"/>
      <c r="C55" s="2374"/>
      <c r="D55" s="2374"/>
      <c r="E55" s="2374"/>
      <c r="F55" s="2375"/>
      <c r="G55" s="129"/>
      <c r="H55" s="120"/>
      <c r="I55" s="120"/>
      <c r="J55" s="106"/>
    </row>
    <row r="56" spans="2:10">
      <c r="B56" s="2369" t="s">
        <v>122</v>
      </c>
      <c r="C56" s="2376"/>
      <c r="D56" s="2376"/>
      <c r="E56" s="2374"/>
      <c r="F56" s="2375"/>
      <c r="G56" s="131"/>
      <c r="H56" s="120"/>
      <c r="I56" s="120"/>
      <c r="J56" s="106"/>
    </row>
    <row r="57" spans="2:10">
      <c r="B57" s="105"/>
      <c r="C57" s="104"/>
      <c r="D57" s="104"/>
      <c r="E57" s="104"/>
      <c r="F57" s="102"/>
      <c r="G57" s="120"/>
      <c r="H57" s="120"/>
      <c r="I57" s="120"/>
      <c r="J57" s="106"/>
    </row>
    <row r="58" spans="2:10" ht="20.25">
      <c r="B58" s="111"/>
      <c r="C58" s="131"/>
      <c r="D58" s="131"/>
      <c r="E58" s="131"/>
      <c r="F58" s="120"/>
      <c r="G58" s="120"/>
      <c r="H58" s="131"/>
      <c r="I58" s="120"/>
      <c r="J58" s="106"/>
    </row>
    <row r="59" spans="2:10">
      <c r="B59" s="162"/>
      <c r="C59" s="120"/>
      <c r="D59" s="120"/>
      <c r="E59" s="120"/>
      <c r="F59" s="120"/>
      <c r="G59" s="120"/>
      <c r="H59" s="131"/>
      <c r="I59" s="119"/>
      <c r="J59" s="106"/>
    </row>
    <row r="60" spans="2:10">
      <c r="B60" s="162"/>
      <c r="C60" s="120"/>
      <c r="D60" s="120"/>
      <c r="E60" s="120"/>
      <c r="F60" s="131"/>
      <c r="G60" s="120"/>
      <c r="H60" s="131"/>
      <c r="I60" s="119"/>
      <c r="J60" s="106"/>
    </row>
    <row r="61" spans="2:10" ht="15.75">
      <c r="B61" s="162"/>
      <c r="C61" s="121"/>
      <c r="D61" s="121"/>
      <c r="E61" s="121"/>
      <c r="F61" s="131"/>
      <c r="G61" s="120"/>
      <c r="H61" s="131"/>
      <c r="I61" s="119"/>
      <c r="J61" s="106"/>
    </row>
    <row r="62" spans="2:10">
      <c r="B62" s="162"/>
      <c r="C62" s="106"/>
      <c r="D62" s="106"/>
      <c r="E62" s="106"/>
      <c r="F62" s="131"/>
      <c r="G62" s="120"/>
      <c r="H62" s="131"/>
      <c r="I62" s="119"/>
      <c r="J62" s="106"/>
    </row>
    <row r="63" spans="2:10">
      <c r="B63" s="162"/>
      <c r="C63" s="104"/>
      <c r="D63" s="104"/>
      <c r="E63" s="104"/>
      <c r="F63" s="131"/>
      <c r="G63" s="131"/>
      <c r="H63" s="131"/>
      <c r="I63" s="119"/>
      <c r="J63" s="106"/>
    </row>
    <row r="64" spans="2:10">
      <c r="B64" s="102"/>
      <c r="C64" s="104"/>
      <c r="D64" s="104"/>
      <c r="E64" s="104"/>
      <c r="F64" s="102"/>
      <c r="G64" s="131"/>
      <c r="H64" s="131"/>
      <c r="I64" s="119"/>
      <c r="J64" s="106"/>
    </row>
    <row r="65" spans="6:10">
      <c r="F65" s="102"/>
      <c r="G65" s="131"/>
      <c r="H65" s="120"/>
      <c r="I65" s="120"/>
      <c r="J65" s="106"/>
    </row>
    <row r="66" spans="6:10">
      <c r="F66" s="102"/>
      <c r="G66" s="131"/>
      <c r="H66" s="120"/>
      <c r="I66" s="120"/>
      <c r="J66" s="106"/>
    </row>
    <row r="67" spans="6:10">
      <c r="F67" s="102"/>
      <c r="G67" s="131"/>
      <c r="H67" s="120"/>
      <c r="I67" s="120"/>
      <c r="J67" s="106"/>
    </row>
    <row r="68" spans="6:10">
      <c r="F68" s="102"/>
      <c r="G68" s="131"/>
      <c r="H68" s="120"/>
      <c r="I68" s="120"/>
      <c r="J68" s="106"/>
    </row>
    <row r="69" spans="6:10">
      <c r="F69" s="102"/>
      <c r="G69" s="131"/>
      <c r="H69" s="120"/>
      <c r="I69" s="120"/>
      <c r="J69" s="106"/>
    </row>
    <row r="70" spans="6:10">
      <c r="F70" s="120"/>
      <c r="G70" s="120"/>
      <c r="H70" s="120"/>
      <c r="I70" s="120"/>
      <c r="J70" s="106"/>
    </row>
    <row r="71" spans="6:10" ht="15.75">
      <c r="F71" s="120"/>
      <c r="G71" s="120"/>
      <c r="H71" s="121"/>
      <c r="I71" s="121"/>
      <c r="J71" s="106"/>
    </row>
    <row r="72" spans="6:10">
      <c r="F72" s="120"/>
      <c r="G72" s="120"/>
      <c r="H72" s="106"/>
      <c r="I72" s="106"/>
      <c r="J72" s="106"/>
    </row>
    <row r="73" spans="6:10" ht="15.75">
      <c r="F73" s="121"/>
      <c r="G73" s="120"/>
      <c r="H73" s="102"/>
      <c r="I73" s="102"/>
      <c r="J73" s="102"/>
    </row>
    <row r="74" spans="6:10">
      <c r="F74" s="106"/>
      <c r="G74" s="120"/>
      <c r="H74" s="102"/>
      <c r="I74" s="102"/>
      <c r="J74" s="102"/>
    </row>
    <row r="75" spans="6:10">
      <c r="F75" s="102"/>
      <c r="G75" s="120"/>
      <c r="H75" s="102"/>
      <c r="I75" s="102"/>
      <c r="J75" s="102"/>
    </row>
    <row r="76" spans="6:10" ht="15.75">
      <c r="F76" s="102"/>
      <c r="G76" s="121"/>
      <c r="H76" s="102"/>
      <c r="I76" s="102"/>
      <c r="J76" s="102"/>
    </row>
    <row r="77" spans="6:10">
      <c r="F77" s="102"/>
      <c r="G77" s="106"/>
      <c r="H77" s="102"/>
      <c r="I77" s="102"/>
      <c r="J77" s="102"/>
    </row>
    <row r="78" spans="6:10">
      <c r="H78" s="102"/>
      <c r="I78" s="102"/>
      <c r="J78" s="102"/>
    </row>
  </sheetData>
  <customSheetViews>
    <customSheetView guid="{074EB09C-6289-46D7-9513-012B68BCA7BF}" showGridLines="0">
      <pane xSplit="1" ySplit="1" topLeftCell="B8" activePane="bottomRight" state="frozen"/>
      <selection pane="bottomRight" activeCell="F14" sqref="F14:H16"/>
      <pageMargins left="0.38" right="0.27" top="0.5" bottom="0.75" header="0.3" footer="0.3"/>
      <pageSetup paperSize="17" scale="60" orientation="landscape" r:id="rId1"/>
    </customSheetView>
    <customSheetView guid="{D9EFFE19-D14B-4C6F-BDF4-FF696F73968D}" showGridLines="0">
      <pane xSplit="1" ySplit="1" topLeftCell="B2" activePane="bottomRight" state="frozen"/>
      <selection pane="bottomRight" activeCell="S7" sqref="S7"/>
      <pageMargins left="0.38" right="0.27" top="0.5" bottom="0.75" header="0.3" footer="0.3"/>
      <pageSetup paperSize="17" scale="60" orientation="landscape" r:id="rId2"/>
    </customSheetView>
  </customSheetViews>
  <pageMargins left="0.38" right="0.27" top="0.5" bottom="0.75" header="0.3" footer="0.3"/>
  <pageSetup paperSize="17" scale="60" orientation="landscape" r:id="rId3"/>
  <ignoredErrors>
    <ignoredError sqref="C12:D12" formulaRange="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8DB4E3"/>
    <pageSetUpPr fitToPage="1"/>
  </sheetPr>
  <dimension ref="A1:S80"/>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28515625" style="1164" customWidth="1"/>
    <col min="2" max="2" width="61.5703125" customWidth="1"/>
    <col min="3" max="3" width="18.5703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5703125" customWidth="1"/>
    <col min="16" max="16" width="19.42578125" customWidth="1"/>
    <col min="17" max="17" width="18.7109375" customWidth="1"/>
    <col min="18" max="18" width="12.85546875" customWidth="1"/>
    <col min="19" max="19" width="13.42578125" customWidth="1"/>
  </cols>
  <sheetData>
    <row r="1" spans="1:19" ht="54" customHeight="1">
      <c r="B1" s="1838" t="s">
        <v>148</v>
      </c>
      <c r="C1" s="1812" t="s">
        <v>275</v>
      </c>
      <c r="D1" s="1838" t="s">
        <v>128</v>
      </c>
      <c r="E1" s="1837" t="s">
        <v>5</v>
      </c>
      <c r="H1" s="1812"/>
      <c r="I1" s="186"/>
      <c r="J1" s="166"/>
      <c r="K1" s="1838" t="s">
        <v>148</v>
      </c>
      <c r="L1" s="1812" t="s">
        <v>275</v>
      </c>
      <c r="M1" s="1838" t="s">
        <v>128</v>
      </c>
      <c r="N1" s="1837" t="s">
        <v>5</v>
      </c>
    </row>
    <row r="2" spans="1:19" ht="20.25">
      <c r="B2" s="172"/>
      <c r="C2" s="185"/>
      <c r="D2" s="185"/>
      <c r="E2" s="185"/>
      <c r="F2" s="185"/>
      <c r="G2" s="192"/>
      <c r="H2" s="186"/>
      <c r="I2" s="186"/>
      <c r="J2" s="166"/>
      <c r="K2" s="166"/>
      <c r="L2" s="166"/>
      <c r="M2" s="166"/>
      <c r="N2" s="166"/>
    </row>
    <row r="3" spans="1:19" ht="38.25">
      <c r="A3" s="1833" t="s">
        <v>148</v>
      </c>
      <c r="C3" s="1607"/>
      <c r="D3" s="1607"/>
      <c r="E3" s="1607"/>
      <c r="F3" s="1607"/>
      <c r="G3" s="2869"/>
      <c r="H3" s="170" t="s">
        <v>8</v>
      </c>
      <c r="I3" s="170" t="s">
        <v>9</v>
      </c>
      <c r="J3" s="170" t="s">
        <v>87</v>
      </c>
      <c r="K3" s="171" t="s">
        <v>11</v>
      </c>
      <c r="L3" s="721" t="s">
        <v>504</v>
      </c>
      <c r="M3" s="171" t="s">
        <v>12</v>
      </c>
      <c r="N3" s="171" t="s">
        <v>13</v>
      </c>
      <c r="O3" s="171" t="s">
        <v>14</v>
      </c>
      <c r="P3" s="171" t="s">
        <v>88</v>
      </c>
      <c r="Q3" s="721" t="s">
        <v>39</v>
      </c>
      <c r="R3" s="171" t="s">
        <v>16</v>
      </c>
      <c r="S3" s="2419" t="s">
        <v>40</v>
      </c>
    </row>
    <row r="4" spans="1:19" ht="15.75">
      <c r="A4" s="1808" t="s">
        <v>275</v>
      </c>
      <c r="G4" s="1704" t="s">
        <v>668</v>
      </c>
      <c r="H4" s="1667">
        <v>393300</v>
      </c>
      <c r="I4" s="1668">
        <v>20700</v>
      </c>
      <c r="J4" s="1668">
        <v>292700</v>
      </c>
      <c r="K4" s="1668">
        <v>17736</v>
      </c>
      <c r="L4" s="1668">
        <v>13630</v>
      </c>
      <c r="M4" s="1670">
        <v>326759</v>
      </c>
      <c r="N4" s="1671">
        <v>3800</v>
      </c>
      <c r="O4" s="1671">
        <v>30236</v>
      </c>
      <c r="P4" s="2833">
        <v>1645500</v>
      </c>
      <c r="Q4" s="2843"/>
      <c r="R4" s="1669">
        <v>2744361</v>
      </c>
      <c r="S4" s="2420">
        <v>16350000</v>
      </c>
    </row>
    <row r="5" spans="1:19" ht="25.5">
      <c r="A5" s="1833" t="s">
        <v>128</v>
      </c>
      <c r="G5" s="168">
        <v>2016</v>
      </c>
      <c r="H5" s="194">
        <f>C15</f>
        <v>375900</v>
      </c>
      <c r="I5" s="195">
        <f>C16</f>
        <v>0</v>
      </c>
      <c r="J5" s="195">
        <f>C35</f>
        <v>250725.30000000002</v>
      </c>
      <c r="K5" s="195">
        <f>C33</f>
        <v>10000</v>
      </c>
      <c r="L5" s="195">
        <f>C24</f>
        <v>15000</v>
      </c>
      <c r="M5" s="195">
        <f>C44</f>
        <v>278000</v>
      </c>
      <c r="N5" s="195">
        <f>C31</f>
        <v>4000</v>
      </c>
      <c r="O5" s="195">
        <f>C26</f>
        <v>10000</v>
      </c>
      <c r="P5" s="2834">
        <f>C12</f>
        <v>480000</v>
      </c>
      <c r="Q5" s="2844"/>
      <c r="R5" s="196">
        <f>SUM(H5:P5)</f>
        <v>1423625.3</v>
      </c>
      <c r="S5" s="2421">
        <f>C51</f>
        <v>14250000</v>
      </c>
    </row>
    <row r="6" spans="1:19" ht="13.5" thickBot="1">
      <c r="A6" s="1839" t="s">
        <v>5</v>
      </c>
      <c r="G6" s="201">
        <v>2017</v>
      </c>
      <c r="H6" s="194">
        <f>D15</f>
        <v>385000</v>
      </c>
      <c r="I6" s="195">
        <f>D16</f>
        <v>0</v>
      </c>
      <c r="J6" s="195">
        <f>D35</f>
        <v>261800.00000000003</v>
      </c>
      <c r="K6" s="195">
        <f>D33</f>
        <v>10000</v>
      </c>
      <c r="L6" s="195">
        <f>D24</f>
        <v>15000</v>
      </c>
      <c r="M6" s="200">
        <f>D44</f>
        <v>213500</v>
      </c>
      <c r="N6" s="782">
        <f>D31</f>
        <v>4000</v>
      </c>
      <c r="O6" s="782">
        <f>D26</f>
        <v>10000</v>
      </c>
      <c r="P6" s="2835">
        <f>D12</f>
        <v>450000</v>
      </c>
      <c r="Q6" s="2845"/>
      <c r="R6" s="196">
        <f>SUM(H6:P6)</f>
        <v>1349300</v>
      </c>
      <c r="S6" s="2421">
        <f>D51</f>
        <v>14250000</v>
      </c>
    </row>
    <row r="7" spans="1:19" s="1569" customFormat="1" ht="13.5" thickBot="1">
      <c r="G7" s="1591" t="s">
        <v>55</v>
      </c>
      <c r="H7" s="1571">
        <f t="shared" ref="H7:P7" si="0">SUM(H5:H6)</f>
        <v>760900</v>
      </c>
      <c r="I7" s="1593">
        <f t="shared" si="0"/>
        <v>0</v>
      </c>
      <c r="J7" s="1593">
        <f t="shared" si="0"/>
        <v>512525.30000000005</v>
      </c>
      <c r="K7" s="1593">
        <f t="shared" si="0"/>
        <v>20000</v>
      </c>
      <c r="L7" s="1593">
        <f t="shared" si="0"/>
        <v>30000</v>
      </c>
      <c r="M7" s="1593">
        <f t="shared" si="0"/>
        <v>491500</v>
      </c>
      <c r="N7" s="1593">
        <f t="shared" si="0"/>
        <v>8000</v>
      </c>
      <c r="O7" s="1593">
        <f t="shared" si="0"/>
        <v>20000</v>
      </c>
      <c r="P7" s="2836">
        <f t="shared" si="0"/>
        <v>930000</v>
      </c>
      <c r="Q7" s="2846"/>
      <c r="R7" s="1593">
        <f>SUM(R5:R6)</f>
        <v>2772925.3</v>
      </c>
      <c r="S7" s="2478">
        <f>SUM(S5:S6)</f>
        <v>28500000</v>
      </c>
    </row>
    <row r="8" spans="1:19" ht="20.25">
      <c r="A8" s="1808"/>
      <c r="B8" s="172"/>
      <c r="C8" s="185"/>
      <c r="D8" s="185"/>
      <c r="E8" s="185"/>
      <c r="F8" s="185"/>
      <c r="G8" s="192"/>
      <c r="H8" s="186"/>
      <c r="I8" s="186"/>
      <c r="J8" s="166"/>
      <c r="K8" s="166"/>
      <c r="L8" s="166"/>
      <c r="M8" s="166"/>
      <c r="N8" s="175"/>
    </row>
    <row r="9" spans="1:19" ht="18">
      <c r="A9" s="1808"/>
      <c r="C9" s="197">
        <v>2016</v>
      </c>
      <c r="D9" s="198">
        <v>2017</v>
      </c>
      <c r="E9" s="199" t="s">
        <v>23</v>
      </c>
      <c r="F9" s="184"/>
      <c r="G9" s="184"/>
      <c r="H9" s="184"/>
      <c r="I9" s="184"/>
      <c r="J9" s="166"/>
      <c r="K9" s="166"/>
      <c r="L9" s="166"/>
      <c r="M9" s="166"/>
      <c r="N9" s="166"/>
    </row>
    <row r="10" spans="1:19" ht="18">
      <c r="A10" s="1808"/>
      <c r="B10" s="173"/>
      <c r="C10" s="2359"/>
      <c r="D10" s="2354"/>
      <c r="E10" s="2358">
        <f>SUM(C10:D10)</f>
        <v>0</v>
      </c>
      <c r="F10" s="178"/>
      <c r="G10" s="178"/>
      <c r="H10" s="178"/>
      <c r="I10" s="1395"/>
      <c r="J10" s="1386"/>
      <c r="K10" s="1386"/>
      <c r="L10" s="175"/>
      <c r="M10" s="202"/>
      <c r="N10" s="166"/>
    </row>
    <row r="11" spans="1:19" s="2177" customFormat="1" ht="15">
      <c r="A11" s="2322"/>
      <c r="B11" s="723" t="s">
        <v>90</v>
      </c>
      <c r="C11" s="2469">
        <v>480000</v>
      </c>
      <c r="D11" s="2470">
        <v>450000</v>
      </c>
      <c r="E11" s="2471">
        <f>SUM(C11:D11)</f>
        <v>930000</v>
      </c>
      <c r="F11" s="737"/>
      <c r="G11" s="737"/>
      <c r="H11" s="737"/>
      <c r="I11" s="1473"/>
      <c r="J11" s="1462"/>
      <c r="K11" s="1462"/>
      <c r="L11" s="732"/>
      <c r="M11" s="206"/>
      <c r="N11" s="2323"/>
    </row>
    <row r="12" spans="1:19">
      <c r="A12" s="1808"/>
      <c r="B12" s="1319"/>
      <c r="C12" s="910">
        <f>SUM(C10:C11)</f>
        <v>480000</v>
      </c>
      <c r="D12" s="907">
        <f>SUM(D10:D11)</f>
        <v>450000</v>
      </c>
      <c r="E12" s="908">
        <f>SUM(E10:E11)</f>
        <v>930000</v>
      </c>
      <c r="F12" s="880"/>
      <c r="G12" s="178"/>
      <c r="H12" s="178"/>
      <c r="I12" s="1387"/>
      <c r="J12" s="1388"/>
      <c r="K12" s="1386"/>
      <c r="L12" s="166"/>
      <c r="M12" s="166"/>
      <c r="N12" s="166"/>
    </row>
    <row r="13" spans="1:19" ht="18">
      <c r="A13" s="1808"/>
      <c r="B13" s="875"/>
      <c r="C13" s="889"/>
      <c r="D13" s="870"/>
      <c r="E13" s="890"/>
      <c r="F13" s="880"/>
      <c r="G13" s="178"/>
      <c r="H13" s="178"/>
      <c r="I13" s="1387"/>
      <c r="J13" s="1389"/>
      <c r="K13" s="1386"/>
      <c r="L13" s="166"/>
      <c r="M13" s="166"/>
      <c r="N13" s="166"/>
    </row>
    <row r="14" spans="1:19">
      <c r="B14" s="874" t="s">
        <v>93</v>
      </c>
      <c r="C14" s="891"/>
      <c r="D14" s="870"/>
      <c r="E14" s="890"/>
      <c r="F14" s="3162">
        <v>2016</v>
      </c>
      <c r="G14" s="3163">
        <v>2017</v>
      </c>
      <c r="H14" s="1463"/>
      <c r="I14" s="1387"/>
      <c r="J14" s="1389"/>
      <c r="K14" s="1383"/>
      <c r="L14" s="166"/>
      <c r="M14" s="166"/>
      <c r="N14" s="166"/>
    </row>
    <row r="15" spans="1:19">
      <c r="B15" s="879" t="s">
        <v>95</v>
      </c>
      <c r="C15" s="911">
        <v>375900</v>
      </c>
      <c r="D15" s="904">
        <v>385000</v>
      </c>
      <c r="E15" s="902">
        <f>SUM(C15:D15)</f>
        <v>760900</v>
      </c>
      <c r="F15" s="1137">
        <v>3.5</v>
      </c>
      <c r="G15" s="2177">
        <v>3.4</v>
      </c>
      <c r="H15" s="738" t="s">
        <v>96</v>
      </c>
      <c r="I15" s="1465"/>
      <c r="J15" s="1385"/>
      <c r="K15" s="1383"/>
      <c r="L15" s="166"/>
      <c r="M15" s="166"/>
      <c r="N15" s="166"/>
    </row>
    <row r="16" spans="1:19">
      <c r="B16" s="879" t="s">
        <v>99</v>
      </c>
      <c r="C16" s="912">
        <v>0</v>
      </c>
      <c r="D16" s="904">
        <v>0</v>
      </c>
      <c r="E16" s="1189">
        <f t="shared" ref="E16:E17" si="1">SUM(C16:D16)</f>
        <v>0</v>
      </c>
      <c r="F16" s="2177">
        <v>0.1</v>
      </c>
      <c r="G16" s="2177">
        <v>0.1</v>
      </c>
      <c r="H16" s="738" t="s">
        <v>96</v>
      </c>
      <c r="I16" s="1387"/>
      <c r="J16" s="1385"/>
      <c r="K16" s="1383"/>
      <c r="L16" s="166"/>
      <c r="M16" s="166"/>
      <c r="N16" s="166"/>
    </row>
    <row r="17" spans="2:13" customFormat="1">
      <c r="B17" s="879"/>
      <c r="C17" s="3159">
        <f>SUM(C15:C16)</f>
        <v>375900</v>
      </c>
      <c r="D17" s="3149">
        <f>SUM(D15:D16)</f>
        <v>385000</v>
      </c>
      <c r="E17" s="1189">
        <f t="shared" si="1"/>
        <v>760900</v>
      </c>
      <c r="F17" s="878"/>
      <c r="G17" s="177"/>
      <c r="H17" s="177"/>
      <c r="I17" s="1387"/>
      <c r="J17" s="1385"/>
      <c r="K17" s="1383"/>
      <c r="L17" s="166"/>
      <c r="M17" s="203"/>
    </row>
    <row r="18" spans="2:13" customFormat="1">
      <c r="B18" s="1126" t="s">
        <v>506</v>
      </c>
      <c r="C18" s="891"/>
      <c r="D18" s="870"/>
      <c r="E18" s="890"/>
      <c r="F18" s="877"/>
      <c r="G18" s="176"/>
      <c r="H18" s="177"/>
      <c r="I18" s="1387"/>
      <c r="J18" s="1385"/>
      <c r="K18" s="1383"/>
      <c r="L18" s="166"/>
      <c r="M18" s="166"/>
    </row>
    <row r="19" spans="2:13" customFormat="1">
      <c r="B19" s="869" t="s">
        <v>100</v>
      </c>
      <c r="C19" s="896"/>
      <c r="D19" s="904"/>
      <c r="E19" s="902">
        <f t="shared" ref="E19:E23" si="2">SUM(C19:D19)</f>
        <v>0</v>
      </c>
      <c r="F19" s="883"/>
      <c r="G19" s="187"/>
      <c r="H19" s="176"/>
      <c r="I19" s="1387"/>
      <c r="J19" s="1385"/>
      <c r="K19" s="1383"/>
      <c r="L19" s="166"/>
      <c r="M19" s="166"/>
    </row>
    <row r="20" spans="2:13" customFormat="1">
      <c r="B20" s="879" t="s">
        <v>101</v>
      </c>
      <c r="C20" s="892"/>
      <c r="D20" s="904"/>
      <c r="E20" s="1189">
        <f t="shared" si="2"/>
        <v>0</v>
      </c>
      <c r="F20" s="869"/>
      <c r="G20" s="176"/>
      <c r="H20" s="187"/>
      <c r="I20" s="1387"/>
      <c r="J20" s="1394"/>
      <c r="K20" s="1383"/>
      <c r="L20" s="166"/>
      <c r="M20" s="166"/>
    </row>
    <row r="21" spans="2:13" customFormat="1">
      <c r="B21" s="879" t="s">
        <v>104</v>
      </c>
      <c r="C21" s="896"/>
      <c r="D21" s="904"/>
      <c r="E21" s="1189">
        <f t="shared" si="2"/>
        <v>0</v>
      </c>
      <c r="F21" s="877"/>
      <c r="G21" s="176"/>
      <c r="H21" s="176"/>
      <c r="I21" s="1383"/>
      <c r="J21" s="1384"/>
      <c r="K21" s="1383"/>
      <c r="L21" s="166"/>
      <c r="M21" s="166"/>
    </row>
    <row r="22" spans="2:13" s="2177" customFormat="1">
      <c r="B22" s="1130" t="s">
        <v>540</v>
      </c>
      <c r="C22" s="1183"/>
      <c r="D22" s="1174"/>
      <c r="E22" s="1189">
        <f t="shared" si="2"/>
        <v>0</v>
      </c>
      <c r="F22" s="1129"/>
      <c r="G22" s="733"/>
      <c r="H22" s="733"/>
      <c r="I22" s="1458"/>
      <c r="J22" s="1460"/>
      <c r="K22" s="1458"/>
      <c r="L22" s="2323"/>
      <c r="M22" s="2323"/>
    </row>
    <row r="23" spans="2:13" customFormat="1" ht="15">
      <c r="B23" s="879" t="s">
        <v>107</v>
      </c>
      <c r="C23" s="2472"/>
      <c r="D23" s="2473"/>
      <c r="E23" s="2474">
        <f t="shared" si="2"/>
        <v>0</v>
      </c>
      <c r="F23" s="877"/>
      <c r="G23" s="176"/>
      <c r="H23" s="188"/>
      <c r="I23" s="1387"/>
      <c r="J23" s="1399"/>
      <c r="K23" s="1383"/>
      <c r="L23" s="166"/>
      <c r="M23" s="166"/>
    </row>
    <row r="24" spans="2:13" customFormat="1">
      <c r="B24" s="869"/>
      <c r="C24" s="1149">
        <v>15000</v>
      </c>
      <c r="D24" s="1136">
        <v>15000</v>
      </c>
      <c r="E24" s="1077">
        <f>D24+C24</f>
        <v>30000</v>
      </c>
      <c r="F24" s="877"/>
      <c r="G24" s="176"/>
      <c r="H24" s="188"/>
      <c r="I24" s="1392" t="s">
        <v>102</v>
      </c>
      <c r="J24" s="1397"/>
      <c r="K24" s="1390" t="s">
        <v>103</v>
      </c>
      <c r="L24" s="166"/>
      <c r="M24" s="166"/>
    </row>
    <row r="25" spans="2:13" customFormat="1">
      <c r="B25" s="870"/>
      <c r="C25" s="898"/>
      <c r="D25" s="870"/>
      <c r="E25" s="890"/>
      <c r="F25" s="877"/>
      <c r="G25" s="176"/>
      <c r="H25" s="188"/>
      <c r="I25" s="1392" t="s">
        <v>105</v>
      </c>
      <c r="J25" s="1396"/>
      <c r="K25" s="1393" t="s">
        <v>106</v>
      </c>
      <c r="L25" s="166"/>
      <c r="M25" s="166"/>
    </row>
    <row r="26" spans="2:13" customFormat="1">
      <c r="B26" s="874" t="s">
        <v>94</v>
      </c>
      <c r="C26" s="893">
        <v>10000</v>
      </c>
      <c r="D26" s="888">
        <v>10000</v>
      </c>
      <c r="E26" s="909">
        <f>SUM(C26:D26)</f>
        <v>20000</v>
      </c>
      <c r="F26" s="3158" t="s">
        <v>1648</v>
      </c>
      <c r="G26" s="176"/>
      <c r="H26" s="188"/>
      <c r="I26" s="1392" t="s">
        <v>108</v>
      </c>
      <c r="J26" s="1396"/>
      <c r="K26" s="1393" t="s">
        <v>106</v>
      </c>
      <c r="L26" s="166"/>
      <c r="M26" s="166"/>
    </row>
    <row r="27" spans="2:13" customFormat="1">
      <c r="B27" s="870"/>
      <c r="C27" s="898"/>
      <c r="D27" s="870"/>
      <c r="E27" s="890"/>
      <c r="F27" s="877"/>
      <c r="G27" s="176"/>
      <c r="H27" s="188"/>
      <c r="I27" s="1391" t="s">
        <v>109</v>
      </c>
      <c r="J27" s="1398"/>
      <c r="K27" s="1383"/>
      <c r="L27" s="166"/>
      <c r="M27" s="166"/>
    </row>
    <row r="28" spans="2:13" customFormat="1">
      <c r="B28" s="873" t="s">
        <v>97</v>
      </c>
      <c r="C28" s="898"/>
      <c r="D28" s="870"/>
      <c r="E28" s="890"/>
      <c r="F28" s="884"/>
      <c r="H28" s="188"/>
      <c r="I28" s="913"/>
      <c r="J28" s="914"/>
      <c r="K28" s="166"/>
      <c r="L28" s="166"/>
      <c r="M28" s="166"/>
    </row>
    <row r="29" spans="2:13" customFormat="1">
      <c r="B29" s="869" t="s">
        <v>110</v>
      </c>
      <c r="C29" s="898"/>
      <c r="D29" s="904"/>
      <c r="E29" s="902">
        <f>SUM(C29:D29)</f>
        <v>0</v>
      </c>
      <c r="F29" s="884"/>
      <c r="H29" s="188"/>
      <c r="I29" s="178"/>
      <c r="J29" s="166"/>
      <c r="K29" s="166"/>
      <c r="L29" s="166"/>
      <c r="M29" s="166"/>
    </row>
    <row r="30" spans="2:13" customFormat="1" ht="15">
      <c r="B30" s="870" t="s">
        <v>112</v>
      </c>
      <c r="C30" s="2475"/>
      <c r="D30" s="2473"/>
      <c r="E30" s="2474">
        <f>SUM(C30:D30)</f>
        <v>0</v>
      </c>
      <c r="F30" s="884"/>
      <c r="H30" s="188"/>
      <c r="I30" s="193" t="s">
        <v>129</v>
      </c>
      <c r="J30" s="166"/>
      <c r="K30" s="166"/>
      <c r="L30" s="166"/>
      <c r="M30" s="166"/>
    </row>
    <row r="31" spans="2:13" customFormat="1">
      <c r="B31" s="873" t="s">
        <v>113</v>
      </c>
      <c r="C31" s="894">
        <v>4000</v>
      </c>
      <c r="D31" s="881">
        <v>4000</v>
      </c>
      <c r="E31" s="909">
        <f>SUM(C31:D31)</f>
        <v>8000</v>
      </c>
      <c r="F31" s="884"/>
      <c r="G31" s="188"/>
      <c r="H31" s="188"/>
      <c r="I31" s="193" t="s">
        <v>130</v>
      </c>
      <c r="J31" s="166"/>
      <c r="K31" s="166"/>
      <c r="L31" s="166"/>
      <c r="M31" s="166"/>
    </row>
    <row r="32" spans="2:13" customFormat="1">
      <c r="B32" s="870"/>
      <c r="C32" s="898"/>
      <c r="D32" s="870"/>
      <c r="E32" s="890"/>
      <c r="F32" s="884"/>
      <c r="H32" s="188"/>
      <c r="I32" s="178"/>
      <c r="J32" s="166"/>
      <c r="K32" s="166"/>
      <c r="L32" s="166"/>
      <c r="M32" s="166"/>
    </row>
    <row r="33" spans="1:9">
      <c r="A33" s="2357" t="s">
        <v>539</v>
      </c>
      <c r="B33" s="873" t="s">
        <v>98</v>
      </c>
      <c r="C33" s="894">
        <v>10000</v>
      </c>
      <c r="D33" s="905">
        <v>10000</v>
      </c>
      <c r="E33" s="909">
        <f>SUM(C33:D33)</f>
        <v>20000</v>
      </c>
      <c r="F33" s="884"/>
      <c r="H33" s="188"/>
      <c r="I33" s="178"/>
    </row>
    <row r="34" spans="1:9">
      <c r="A34" s="2193" t="s">
        <v>510</v>
      </c>
      <c r="B34" s="870"/>
      <c r="C34" s="898"/>
      <c r="D34" s="870"/>
      <c r="E34" s="890"/>
      <c r="F34" s="884"/>
      <c r="G34" s="189"/>
      <c r="H34" s="188"/>
      <c r="I34" s="178"/>
    </row>
    <row r="35" spans="1:9">
      <c r="A35" s="2193" t="s">
        <v>344</v>
      </c>
      <c r="B35" s="873" t="s">
        <v>10</v>
      </c>
      <c r="C35" s="1169">
        <f>C17*F35</f>
        <v>250725.30000000002</v>
      </c>
      <c r="D35" s="1168">
        <f>D17*F36</f>
        <v>261800.00000000003</v>
      </c>
      <c r="E35" s="909">
        <f>SUM(C35:D35)</f>
        <v>512525.30000000005</v>
      </c>
      <c r="F35" s="2805">
        <v>0.66700000000000004</v>
      </c>
      <c r="G35" s="2827" t="s">
        <v>725</v>
      </c>
      <c r="H35" s="188"/>
      <c r="I35" s="178"/>
    </row>
    <row r="36" spans="1:9">
      <c r="A36" s="1808" t="s">
        <v>275</v>
      </c>
      <c r="B36" s="870"/>
      <c r="C36" s="898"/>
      <c r="D36" s="885"/>
      <c r="E36" s="899"/>
      <c r="F36" s="2805">
        <v>0.68</v>
      </c>
      <c r="G36" s="2803" t="s">
        <v>726</v>
      </c>
      <c r="H36" s="188"/>
      <c r="I36" s="178"/>
    </row>
    <row r="37" spans="1:9" ht="25.5">
      <c r="A37" s="1833" t="s">
        <v>128</v>
      </c>
      <c r="B37" s="871" t="s">
        <v>12</v>
      </c>
      <c r="C37" s="898"/>
      <c r="D37" s="885"/>
      <c r="E37" s="899"/>
      <c r="F37" s="884"/>
      <c r="G37" s="167"/>
      <c r="H37" s="188"/>
      <c r="I37" s="174"/>
    </row>
    <row r="38" spans="1:9">
      <c r="A38" s="1839" t="s">
        <v>5</v>
      </c>
      <c r="B38" s="2384" t="s">
        <v>523</v>
      </c>
      <c r="C38" s="1183">
        <v>8500</v>
      </c>
      <c r="D38" s="1181">
        <v>8500</v>
      </c>
      <c r="E38" s="897">
        <f t="shared" ref="E38:E43" si="3">SUM(D38,C38)</f>
        <v>17000</v>
      </c>
      <c r="F38" s="884"/>
      <c r="G38" s="167"/>
      <c r="H38" s="188"/>
      <c r="I38" s="174"/>
    </row>
    <row r="39" spans="1:9">
      <c r="B39" s="2385" t="s">
        <v>126</v>
      </c>
      <c r="C39" s="1183">
        <v>50000</v>
      </c>
      <c r="D39" s="1181">
        <v>50000</v>
      </c>
      <c r="E39" s="1188">
        <f t="shared" si="3"/>
        <v>100000</v>
      </c>
      <c r="F39" s="884"/>
      <c r="G39" s="167"/>
      <c r="H39" s="188"/>
      <c r="I39" s="174"/>
    </row>
    <row r="40" spans="1:9">
      <c r="B40" s="2385" t="s">
        <v>1622</v>
      </c>
      <c r="C40" s="1183">
        <v>35000</v>
      </c>
      <c r="D40" s="1181">
        <v>35000</v>
      </c>
      <c r="E40" s="1188">
        <f t="shared" si="3"/>
        <v>70000</v>
      </c>
      <c r="F40" s="884"/>
      <c r="G40" s="167"/>
      <c r="H40" s="188"/>
      <c r="I40" s="174"/>
    </row>
    <row r="41" spans="1:9">
      <c r="B41" s="2385" t="s">
        <v>541</v>
      </c>
      <c r="C41" s="1183">
        <v>20000</v>
      </c>
      <c r="D41" s="1181">
        <v>0</v>
      </c>
      <c r="E41" s="1188">
        <f t="shared" si="3"/>
        <v>20000</v>
      </c>
      <c r="F41" s="884"/>
      <c r="G41" s="167"/>
      <c r="H41" s="188"/>
      <c r="I41" s="174"/>
    </row>
    <row r="42" spans="1:9">
      <c r="B42" s="2385" t="s">
        <v>125</v>
      </c>
      <c r="C42" s="1182">
        <v>64500</v>
      </c>
      <c r="D42" s="1186">
        <v>0</v>
      </c>
      <c r="E42" s="1176">
        <f t="shared" si="3"/>
        <v>64500</v>
      </c>
      <c r="F42" s="884"/>
      <c r="G42" s="167"/>
      <c r="H42" s="188"/>
      <c r="I42" s="174"/>
    </row>
    <row r="43" spans="1:9" s="2177" customFormat="1" ht="15">
      <c r="B43" s="2385" t="s">
        <v>1621</v>
      </c>
      <c r="C43" s="2472">
        <v>100000</v>
      </c>
      <c r="D43" s="2476">
        <v>120000</v>
      </c>
      <c r="E43" s="2477">
        <f t="shared" si="3"/>
        <v>220000</v>
      </c>
      <c r="F43" s="1180"/>
      <c r="G43" s="714"/>
      <c r="H43" s="205"/>
      <c r="I43" s="730"/>
    </row>
    <row r="44" spans="1:9">
      <c r="B44" s="882" t="s">
        <v>117</v>
      </c>
      <c r="C44" s="1149">
        <f>SUM(C38:C43)</f>
        <v>278000</v>
      </c>
      <c r="D44" s="1136">
        <f>SUM(D38:D43)</f>
        <v>213500</v>
      </c>
      <c r="E44" s="3151">
        <f>SUM(D44,C44)</f>
        <v>491500</v>
      </c>
      <c r="F44" s="884"/>
      <c r="G44" s="167"/>
      <c r="H44" s="188"/>
      <c r="I44" s="174"/>
    </row>
    <row r="45" spans="1:9" ht="13.5" thickBot="1">
      <c r="B45" s="876"/>
      <c r="C45" s="896"/>
      <c r="D45" s="886"/>
      <c r="E45" s="1188"/>
      <c r="F45" s="884"/>
      <c r="G45" s="189"/>
      <c r="H45" s="188"/>
      <c r="I45" s="174"/>
    </row>
    <row r="46" spans="1:9" ht="13.5" thickBot="1">
      <c r="B46" s="882" t="s">
        <v>118</v>
      </c>
      <c r="C46" s="895">
        <f>C12+C15+C16+C24+C26+C31+C33+C35+C44</f>
        <v>1423625.3</v>
      </c>
      <c r="D46" s="900">
        <f>D12+D15+D16+D24+D26+D31+D33+D35+D44</f>
        <v>1349300</v>
      </c>
      <c r="E46" s="901">
        <f>SUM(C46:D46)</f>
        <v>2772925.3</v>
      </c>
      <c r="F46" s="884"/>
      <c r="G46" s="189"/>
      <c r="H46" s="188"/>
      <c r="I46" s="174"/>
    </row>
    <row r="47" spans="1:9">
      <c r="B47" s="872"/>
      <c r="C47" s="886"/>
      <c r="D47" s="886"/>
      <c r="E47" s="886"/>
      <c r="F47" s="884"/>
      <c r="G47" s="189"/>
      <c r="H47" s="188"/>
      <c r="I47" s="174"/>
    </row>
    <row r="48" spans="1:9">
      <c r="B48" s="1142" t="s">
        <v>119</v>
      </c>
      <c r="C48" s="903">
        <v>2016</v>
      </c>
      <c r="D48" s="903">
        <v>2017</v>
      </c>
      <c r="E48" s="903" t="s">
        <v>23</v>
      </c>
      <c r="F48" s="869"/>
      <c r="G48" s="189"/>
      <c r="H48" s="188"/>
      <c r="I48" s="174"/>
    </row>
    <row r="49" spans="2:10" customFormat="1">
      <c r="B49" s="1142" t="s">
        <v>542</v>
      </c>
      <c r="C49" s="2387">
        <v>14250000</v>
      </c>
      <c r="D49" s="2388">
        <v>14250000</v>
      </c>
      <c r="E49" s="2388">
        <f>C49+D49</f>
        <v>28500000</v>
      </c>
      <c r="F49" s="2389" t="s">
        <v>120</v>
      </c>
      <c r="G49" s="189"/>
      <c r="H49" s="188"/>
      <c r="I49" s="174"/>
    </row>
    <row r="50" spans="2:10" customFormat="1">
      <c r="B50" s="1142" t="s">
        <v>543</v>
      </c>
      <c r="C50" s="2390"/>
      <c r="D50" s="2391"/>
      <c r="E50" s="2391">
        <f>SUM(C50:D50)</f>
        <v>0</v>
      </c>
      <c r="F50" s="2386" t="s">
        <v>120</v>
      </c>
      <c r="G50" s="189"/>
      <c r="H50" s="188"/>
      <c r="I50" s="174"/>
      <c r="J50" s="166"/>
    </row>
    <row r="51" spans="2:10" customFormat="1">
      <c r="C51" s="2392">
        <f>SUM(C49:C50)</f>
        <v>14250000</v>
      </c>
      <c r="D51" s="2393">
        <f>SUM(D49:D50)</f>
        <v>14250000</v>
      </c>
      <c r="E51" s="2393">
        <f>SUM(E49:E50)</f>
        <v>28500000</v>
      </c>
      <c r="F51" s="2394" t="s">
        <v>120</v>
      </c>
      <c r="G51" s="189"/>
      <c r="H51" s="190"/>
      <c r="I51" s="180"/>
      <c r="J51" s="169"/>
    </row>
    <row r="52" spans="2:10" customFormat="1">
      <c r="B52" s="166"/>
      <c r="C52" s="191"/>
      <c r="D52" s="191"/>
      <c r="E52" s="191"/>
      <c r="F52" s="179"/>
      <c r="G52" s="188"/>
      <c r="H52" s="181"/>
      <c r="I52" s="181"/>
      <c r="J52" s="169"/>
    </row>
    <row r="53" spans="2:10" customFormat="1">
      <c r="B53" s="887" t="s">
        <v>122</v>
      </c>
      <c r="C53" s="906"/>
      <c r="D53" s="906"/>
      <c r="E53" s="191"/>
      <c r="F53" s="179"/>
      <c r="G53" s="188"/>
      <c r="H53" s="181"/>
      <c r="I53" s="181"/>
      <c r="J53" s="169"/>
    </row>
    <row r="54" spans="2:10" customFormat="1">
      <c r="B54" s="168"/>
      <c r="C54" s="166"/>
      <c r="D54" s="166"/>
      <c r="E54" s="166"/>
      <c r="F54" s="166"/>
      <c r="G54" s="188"/>
      <c r="H54" s="181"/>
      <c r="I54" s="181"/>
      <c r="J54" s="169"/>
    </row>
    <row r="55" spans="2:10" customFormat="1" ht="20.25">
      <c r="B55" s="172"/>
      <c r="C55" s="190"/>
      <c r="D55" s="190"/>
      <c r="E55" s="190"/>
      <c r="F55" s="181"/>
      <c r="G55" s="188"/>
      <c r="H55" s="181"/>
      <c r="I55" s="181"/>
      <c r="J55" s="169"/>
    </row>
    <row r="56" spans="2:10" customFormat="1">
      <c r="B56" s="166"/>
      <c r="C56" s="181"/>
      <c r="D56" s="181"/>
      <c r="E56" s="181"/>
      <c r="F56" s="181"/>
      <c r="G56" s="190"/>
      <c r="H56" s="181"/>
      <c r="I56" s="181"/>
      <c r="J56" s="169"/>
    </row>
    <row r="57" spans="2:10" customFormat="1">
      <c r="B57" s="166"/>
      <c r="C57" s="181"/>
      <c r="D57" s="181"/>
      <c r="E57" s="181"/>
      <c r="F57" s="190"/>
      <c r="G57" s="181"/>
      <c r="H57" s="181"/>
      <c r="I57" s="181"/>
      <c r="J57" s="169"/>
    </row>
    <row r="58" spans="2:10" customFormat="1" ht="15.75">
      <c r="B58" s="182"/>
      <c r="C58" s="183"/>
      <c r="D58" s="183"/>
      <c r="E58" s="183"/>
      <c r="F58" s="190"/>
      <c r="G58" s="181"/>
      <c r="H58" s="190"/>
      <c r="I58" s="181"/>
      <c r="J58" s="169"/>
    </row>
    <row r="59" spans="2:10" customFormat="1">
      <c r="B59" s="169"/>
      <c r="C59" s="169"/>
      <c r="D59" s="169"/>
      <c r="E59" s="169"/>
      <c r="F59" s="190"/>
      <c r="G59" s="181"/>
      <c r="H59" s="190"/>
      <c r="I59" s="180"/>
      <c r="J59" s="169"/>
    </row>
    <row r="60" spans="2:10" customFormat="1">
      <c r="B60" s="166"/>
      <c r="C60" s="166"/>
      <c r="D60" s="166"/>
      <c r="E60" s="166"/>
      <c r="F60" s="190"/>
      <c r="G60" s="181"/>
      <c r="H60" s="190"/>
      <c r="I60" s="180"/>
      <c r="J60" s="169"/>
    </row>
    <row r="61" spans="2:10" customFormat="1">
      <c r="B61" s="166"/>
      <c r="C61" s="166"/>
      <c r="D61" s="166"/>
      <c r="E61" s="166"/>
      <c r="F61" s="190"/>
      <c r="G61" s="181"/>
      <c r="H61" s="190"/>
      <c r="I61" s="180"/>
      <c r="J61" s="169"/>
    </row>
    <row r="62" spans="2:10" customFormat="1">
      <c r="F62" s="190"/>
      <c r="G62" s="181"/>
      <c r="H62" s="190"/>
      <c r="I62" s="180"/>
      <c r="J62" s="169"/>
    </row>
    <row r="63" spans="2:10" customFormat="1">
      <c r="F63" s="166"/>
      <c r="G63" s="190"/>
      <c r="H63" s="190"/>
      <c r="I63" s="180"/>
      <c r="J63" s="169"/>
    </row>
    <row r="64" spans="2:10" customFormat="1">
      <c r="F64" s="166"/>
      <c r="G64" s="190"/>
      <c r="H64" s="190"/>
      <c r="I64" s="180"/>
      <c r="J64" s="169"/>
    </row>
    <row r="65" spans="6:10" customFormat="1">
      <c r="F65" s="166"/>
      <c r="G65" s="190"/>
      <c r="H65" s="190"/>
      <c r="I65" s="180"/>
      <c r="J65" s="169"/>
    </row>
    <row r="66" spans="6:10" customFormat="1">
      <c r="F66" s="166"/>
      <c r="G66" s="190"/>
      <c r="H66" s="190"/>
      <c r="I66" s="180"/>
      <c r="J66" s="169"/>
    </row>
    <row r="67" spans="6:10" customFormat="1">
      <c r="F67" s="166"/>
      <c r="G67" s="190"/>
      <c r="H67" s="181"/>
      <c r="I67" s="181"/>
      <c r="J67" s="169"/>
    </row>
    <row r="68" spans="6:10" customFormat="1">
      <c r="F68" s="166"/>
      <c r="G68" s="190"/>
      <c r="H68" s="181"/>
      <c r="I68" s="181"/>
      <c r="J68" s="169"/>
    </row>
    <row r="69" spans="6:10" customFormat="1">
      <c r="F69" s="181"/>
      <c r="G69" s="190"/>
      <c r="H69" s="181"/>
      <c r="I69" s="181"/>
      <c r="J69" s="169"/>
    </row>
    <row r="70" spans="6:10" customFormat="1">
      <c r="F70" s="181"/>
      <c r="G70" s="190"/>
      <c r="H70" s="181"/>
      <c r="I70" s="181"/>
      <c r="J70" s="169"/>
    </row>
    <row r="71" spans="6:10" customFormat="1">
      <c r="F71" s="181"/>
      <c r="G71" s="190"/>
      <c r="H71" s="181"/>
      <c r="I71" s="181"/>
      <c r="J71" s="169"/>
    </row>
    <row r="72" spans="6:10" customFormat="1" ht="15.75">
      <c r="F72" s="183"/>
      <c r="G72" s="181"/>
      <c r="H72" s="181"/>
      <c r="I72" s="181"/>
      <c r="J72" s="169"/>
    </row>
    <row r="73" spans="6:10" customFormat="1" ht="15.75">
      <c r="F73" s="169"/>
      <c r="G73" s="181"/>
      <c r="H73" s="183"/>
      <c r="I73" s="183"/>
      <c r="J73" s="169"/>
    </row>
    <row r="74" spans="6:10" customFormat="1">
      <c r="F74" s="166"/>
      <c r="G74" s="181"/>
      <c r="H74" s="169"/>
      <c r="I74" s="169"/>
      <c r="J74" s="169"/>
    </row>
    <row r="75" spans="6:10" customFormat="1">
      <c r="F75" s="166"/>
      <c r="G75" s="181"/>
      <c r="H75" s="166"/>
      <c r="I75" s="166"/>
      <c r="J75" s="166"/>
    </row>
    <row r="76" spans="6:10" customFormat="1">
      <c r="F76" s="166"/>
      <c r="G76" s="181"/>
      <c r="H76" s="166"/>
      <c r="I76" s="166"/>
      <c r="J76" s="166"/>
    </row>
    <row r="77" spans="6:10" customFormat="1">
      <c r="G77" s="181"/>
      <c r="H77" s="166"/>
      <c r="I77" s="166"/>
      <c r="J77" s="166"/>
    </row>
    <row r="78" spans="6:10" customFormat="1" ht="15.75">
      <c r="G78" s="183"/>
      <c r="H78" s="166"/>
      <c r="I78" s="166"/>
      <c r="J78" s="166"/>
    </row>
    <row r="79" spans="6:10" customFormat="1">
      <c r="G79" s="169"/>
      <c r="H79" s="166"/>
      <c r="I79" s="166"/>
      <c r="J79" s="166"/>
    </row>
    <row r="80" spans="6:10" customFormat="1">
      <c r="H80" s="166"/>
      <c r="I80" s="166"/>
      <c r="J80" s="166"/>
    </row>
  </sheetData>
  <customSheetViews>
    <customSheetView guid="{074EB09C-6289-46D7-9513-012B68BCA7BF}" showGridLines="0" fitToPage="1">
      <pane xSplit="1" ySplit="1" topLeftCell="B2" activePane="bottomRight" state="frozen"/>
      <selection pane="bottomRight" activeCell="F14" sqref="F14:H16"/>
      <pageMargins left="0.31" right="0.34" top="0.4" bottom="0.75" header="0.3" footer="0.3"/>
      <pageSetup paperSize="17" scale="71" orientation="landscape" r:id="rId1"/>
    </customSheetView>
    <customSheetView guid="{D9EFFE19-D14B-4C6F-BDF4-FF696F73968D}" showGridLines="0" fitToPage="1">
      <pane xSplit="1" ySplit="1" topLeftCell="B2" activePane="bottomRight" state="frozen"/>
      <selection pane="bottomRight" activeCell="H42" sqref="H42"/>
      <pageMargins left="0.31" right="0.34" top="0.4" bottom="0.75" header="0.3" footer="0.3"/>
      <pageSetup paperSize="17" scale="71" orientation="landscape" r:id="rId2"/>
    </customSheetView>
  </customSheetViews>
  <pageMargins left="0.31" right="0.34" top="0.4" bottom="0.75" header="0.3" footer="0.3"/>
  <pageSetup paperSize="17" scale="71" orientation="landscape" r:id="rId3"/>
  <ignoredErrors>
    <ignoredError sqref="C12:D12" formulaRange="1"/>
  </ignoredError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78"/>
  <sheetViews>
    <sheetView showGridLines="0" workbookViewId="0">
      <pane xSplit="1" ySplit="1" topLeftCell="B2" activePane="bottomRight" state="frozen"/>
      <selection pane="topRight" activeCell="B1" sqref="B1"/>
      <selection pane="bottomLeft" activeCell="A2" sqref="A2"/>
      <selection pane="bottomRight" activeCell="C11" sqref="C11"/>
    </sheetView>
  </sheetViews>
  <sheetFormatPr defaultRowHeight="12.75"/>
  <cols>
    <col min="1" max="1" width="16.140625" style="2177" customWidth="1"/>
    <col min="2" max="2" width="61.5703125" style="2177" customWidth="1"/>
    <col min="3" max="3" width="18.5703125" style="2177" customWidth="1"/>
    <col min="4" max="4" width="17.42578125" style="2177" customWidth="1"/>
    <col min="5" max="5" width="15.42578125" style="2177" customWidth="1"/>
    <col min="6" max="6" width="14.28515625" style="2177" customWidth="1"/>
    <col min="7" max="7" width="23" style="2177" customWidth="1"/>
    <col min="8" max="8" width="18.28515625" style="2177" customWidth="1"/>
    <col min="9" max="9" width="20.7109375" style="2177" customWidth="1"/>
    <col min="10" max="10" width="18.85546875" style="2177" customWidth="1"/>
    <col min="11" max="11" width="21" style="2177" customWidth="1"/>
    <col min="12" max="12" width="18.7109375" style="2177" customWidth="1"/>
    <col min="13" max="13" width="16.7109375" style="2177" customWidth="1"/>
    <col min="14" max="14" width="15.5703125" style="2177" customWidth="1"/>
    <col min="15" max="15" width="9.140625" style="2177"/>
    <col min="16" max="16" width="19.42578125" style="2177" customWidth="1"/>
    <col min="17" max="17" width="18.7109375" style="2177" customWidth="1"/>
    <col min="18" max="18" width="12.85546875" style="2177" customWidth="1"/>
    <col min="19" max="19" width="13.42578125" style="2177" customWidth="1"/>
    <col min="20" max="16384" width="9.140625" style="2177"/>
  </cols>
  <sheetData>
    <row r="1" spans="1:19" ht="43.5" customHeight="1">
      <c r="B1" s="1838" t="s">
        <v>1628</v>
      </c>
      <c r="C1" s="1812" t="s">
        <v>275</v>
      </c>
      <c r="D1" s="1838" t="s">
        <v>1630</v>
      </c>
      <c r="E1" s="1837" t="s">
        <v>5</v>
      </c>
      <c r="H1" s="1812"/>
      <c r="I1" s="186"/>
      <c r="J1" s="3126"/>
      <c r="K1" s="2655" t="s">
        <v>1628</v>
      </c>
      <c r="L1" s="1812" t="s">
        <v>275</v>
      </c>
      <c r="M1" s="2655" t="s">
        <v>1630</v>
      </c>
      <c r="N1" s="1837" t="s">
        <v>5</v>
      </c>
    </row>
    <row r="2" spans="1:19" ht="20.25">
      <c r="B2" s="726"/>
      <c r="C2" s="185"/>
      <c r="D2" s="185"/>
      <c r="E2" s="185"/>
      <c r="F2" s="185"/>
      <c r="G2" s="753"/>
      <c r="H2" s="186"/>
      <c r="I2" s="186"/>
      <c r="J2" s="3126"/>
      <c r="K2" s="3126"/>
      <c r="L2" s="3126"/>
      <c r="M2" s="3126"/>
      <c r="N2" s="3126"/>
    </row>
    <row r="3" spans="1:19" ht="38.25">
      <c r="A3" s="1833" t="s">
        <v>1628</v>
      </c>
      <c r="C3" s="1607"/>
      <c r="D3" s="1607"/>
      <c r="E3" s="1607"/>
      <c r="F3" s="1607"/>
      <c r="G3" s="2869"/>
      <c r="H3" s="720" t="s">
        <v>8</v>
      </c>
      <c r="I3" s="720" t="s">
        <v>9</v>
      </c>
      <c r="J3" s="720" t="s">
        <v>87</v>
      </c>
      <c r="K3" s="721" t="s">
        <v>11</v>
      </c>
      <c r="L3" s="721" t="s">
        <v>504</v>
      </c>
      <c r="M3" s="721" t="s">
        <v>12</v>
      </c>
      <c r="N3" s="721" t="s">
        <v>13</v>
      </c>
      <c r="O3" s="721" t="s">
        <v>14</v>
      </c>
      <c r="P3" s="721" t="s">
        <v>88</v>
      </c>
      <c r="Q3" s="721" t="s">
        <v>39</v>
      </c>
      <c r="R3" s="721" t="s">
        <v>16</v>
      </c>
      <c r="S3" s="2419" t="s">
        <v>40</v>
      </c>
    </row>
    <row r="4" spans="1:19" ht="15.75">
      <c r="A4" s="3125" t="s">
        <v>275</v>
      </c>
      <c r="G4" s="1804" t="s">
        <v>668</v>
      </c>
      <c r="H4" s="1667">
        <v>393300</v>
      </c>
      <c r="I4" s="1668">
        <v>20700</v>
      </c>
      <c r="J4" s="1668">
        <v>292700</v>
      </c>
      <c r="K4" s="1668">
        <v>17736</v>
      </c>
      <c r="L4" s="1668">
        <v>13630</v>
      </c>
      <c r="M4" s="1670">
        <v>326759</v>
      </c>
      <c r="N4" s="1671">
        <v>3800</v>
      </c>
      <c r="O4" s="1671">
        <v>30236</v>
      </c>
      <c r="P4" s="2833">
        <v>1645500</v>
      </c>
      <c r="Q4" s="2843"/>
      <c r="R4" s="1669">
        <v>2744361</v>
      </c>
      <c r="S4" s="2420">
        <v>16350000</v>
      </c>
    </row>
    <row r="5" spans="1:19">
      <c r="A5" s="1833" t="s">
        <v>1629</v>
      </c>
      <c r="G5" s="716">
        <v>2016</v>
      </c>
      <c r="H5" s="769">
        <f>C15</f>
        <v>0</v>
      </c>
      <c r="I5" s="770">
        <f>C16</f>
        <v>0</v>
      </c>
      <c r="J5" s="770">
        <f>C35</f>
        <v>0</v>
      </c>
      <c r="K5" s="770">
        <f>C33</f>
        <v>0</v>
      </c>
      <c r="L5" s="770">
        <f>C24</f>
        <v>0</v>
      </c>
      <c r="M5" s="770">
        <f>C42</f>
        <v>1020000</v>
      </c>
      <c r="N5" s="770">
        <f>C31</f>
        <v>0</v>
      </c>
      <c r="O5" s="770">
        <f>C26</f>
        <v>0</v>
      </c>
      <c r="P5" s="2834">
        <f>C12</f>
        <v>0</v>
      </c>
      <c r="Q5" s="2844"/>
      <c r="R5" s="771">
        <f>SUM(H5:P5)</f>
        <v>1020000</v>
      </c>
      <c r="S5" s="2421">
        <f>C49</f>
        <v>0</v>
      </c>
    </row>
    <row r="6" spans="1:19" ht="13.5" thickBot="1">
      <c r="A6" s="1839">
        <v>18230414</v>
      </c>
      <c r="G6" s="779">
        <v>2017</v>
      </c>
      <c r="H6" s="769">
        <f>D15</f>
        <v>0</v>
      </c>
      <c r="I6" s="770">
        <f>D16</f>
        <v>0</v>
      </c>
      <c r="J6" s="770">
        <f>D35</f>
        <v>0</v>
      </c>
      <c r="K6" s="770">
        <f>D33</f>
        <v>0</v>
      </c>
      <c r="L6" s="770">
        <f>D24</f>
        <v>0</v>
      </c>
      <c r="M6" s="777">
        <f>D42</f>
        <v>494086</v>
      </c>
      <c r="N6" s="782">
        <f>D31</f>
        <v>0</v>
      </c>
      <c r="O6" s="782">
        <f>D26</f>
        <v>0</v>
      </c>
      <c r="P6" s="2835">
        <f>D12</f>
        <v>0</v>
      </c>
      <c r="Q6" s="2845"/>
      <c r="R6" s="771">
        <f>SUM(H6:P6)</f>
        <v>494086</v>
      </c>
      <c r="S6" s="2421">
        <f>D49</f>
        <v>16000000</v>
      </c>
    </row>
    <row r="7" spans="1:19" s="1569" customFormat="1" ht="13.5" thickBot="1">
      <c r="A7" s="2653" t="s">
        <v>5</v>
      </c>
      <c r="G7" s="1591" t="s">
        <v>55</v>
      </c>
      <c r="H7" s="1571">
        <f t="shared" ref="H7:P7" si="0">SUM(H5:H6)</f>
        <v>0</v>
      </c>
      <c r="I7" s="1593">
        <f t="shared" si="0"/>
        <v>0</v>
      </c>
      <c r="J7" s="1593">
        <f t="shared" si="0"/>
        <v>0</v>
      </c>
      <c r="K7" s="1593">
        <f t="shared" si="0"/>
        <v>0</v>
      </c>
      <c r="L7" s="1593">
        <f t="shared" si="0"/>
        <v>0</v>
      </c>
      <c r="M7" s="1593">
        <f t="shared" si="0"/>
        <v>1514086</v>
      </c>
      <c r="N7" s="1593">
        <f t="shared" si="0"/>
        <v>0</v>
      </c>
      <c r="O7" s="1593">
        <f t="shared" si="0"/>
        <v>0</v>
      </c>
      <c r="P7" s="2836">
        <f t="shared" si="0"/>
        <v>0</v>
      </c>
      <c r="Q7" s="2846"/>
      <c r="R7" s="1593">
        <f>SUM(R5:R6)</f>
        <v>1514086</v>
      </c>
      <c r="S7" s="2478">
        <f>SUM(S5:S6)</f>
        <v>16000000</v>
      </c>
    </row>
    <row r="8" spans="1:19" ht="20.25">
      <c r="A8" s="3125"/>
      <c r="B8" s="726"/>
      <c r="C8" s="185"/>
      <c r="D8" s="185"/>
      <c r="E8" s="185"/>
      <c r="F8" s="185"/>
      <c r="G8" s="753"/>
      <c r="H8" s="186"/>
      <c r="I8" s="186"/>
      <c r="J8" s="3126"/>
      <c r="K8" s="3126"/>
      <c r="L8" s="3126"/>
      <c r="M8" s="3126"/>
      <c r="N8" s="732"/>
    </row>
    <row r="9" spans="1:19" ht="18">
      <c r="A9" s="3125"/>
      <c r="C9" s="774">
        <v>2016</v>
      </c>
      <c r="D9" s="775">
        <v>2017</v>
      </c>
      <c r="E9" s="199" t="s">
        <v>23</v>
      </c>
      <c r="F9" s="750"/>
      <c r="G9" s="750"/>
      <c r="H9" s="750"/>
      <c r="I9" s="750"/>
      <c r="J9" s="3126"/>
      <c r="K9" s="3126"/>
      <c r="L9" s="3126"/>
      <c r="M9" s="3126"/>
      <c r="N9" s="3126"/>
    </row>
    <row r="10" spans="1:19" ht="18">
      <c r="A10" s="3125"/>
      <c r="B10" s="729"/>
      <c r="C10" s="2359"/>
      <c r="D10" s="2354"/>
      <c r="E10" s="2358">
        <f>SUM(C10:D10)</f>
        <v>0</v>
      </c>
      <c r="F10" s="737"/>
      <c r="G10" s="737"/>
      <c r="H10" s="737"/>
      <c r="I10" s="1473"/>
      <c r="J10" s="1462"/>
      <c r="K10" s="1462"/>
      <c r="L10" s="732"/>
      <c r="M10" s="206"/>
      <c r="N10" s="3126"/>
    </row>
    <row r="11" spans="1:19" ht="15">
      <c r="A11" s="3125"/>
      <c r="B11" s="723" t="s">
        <v>90</v>
      </c>
      <c r="C11" s="2469">
        <v>0</v>
      </c>
      <c r="D11" s="2470">
        <v>0</v>
      </c>
      <c r="E11" s="2471">
        <f>SUM(C11:D11)</f>
        <v>0</v>
      </c>
      <c r="F11" s="737"/>
      <c r="G11" s="737"/>
      <c r="H11" s="737"/>
      <c r="I11" s="1473"/>
      <c r="J11" s="1462"/>
      <c r="K11" s="1462"/>
      <c r="L11" s="732"/>
      <c r="M11" s="206"/>
      <c r="N11" s="3126"/>
    </row>
    <row r="12" spans="1:19">
      <c r="A12" s="3125"/>
      <c r="B12" s="1319"/>
      <c r="C12" s="910">
        <f>SUM(C10:C11)</f>
        <v>0</v>
      </c>
      <c r="D12" s="1076">
        <f>SUM(D10:D11)</f>
        <v>0</v>
      </c>
      <c r="E12" s="1077">
        <f>SUM(E10:E11)</f>
        <v>0</v>
      </c>
      <c r="F12" s="2433"/>
      <c r="G12" s="737"/>
      <c r="H12" s="737"/>
      <c r="I12" s="1465"/>
      <c r="J12" s="1467"/>
      <c r="K12" s="1462"/>
      <c r="L12" s="3126"/>
      <c r="M12" s="3126"/>
      <c r="N12" s="3126"/>
    </row>
    <row r="13" spans="1:19" ht="18">
      <c r="A13" s="3125"/>
      <c r="B13" s="1127"/>
      <c r="C13" s="1144"/>
      <c r="D13" s="1122"/>
      <c r="E13" s="1145"/>
      <c r="F13" s="2433"/>
      <c r="G13" s="737"/>
      <c r="H13" s="737"/>
      <c r="I13" s="1465"/>
      <c r="J13" s="1468"/>
      <c r="K13" s="1462"/>
      <c r="L13" s="3126"/>
      <c r="M13" s="3126"/>
      <c r="N13" s="3126"/>
    </row>
    <row r="14" spans="1:19">
      <c r="B14" s="1126" t="s">
        <v>93</v>
      </c>
      <c r="C14" s="1146"/>
      <c r="D14" s="1122"/>
      <c r="E14" s="1145"/>
      <c r="F14" s="1129"/>
      <c r="G14" s="733"/>
      <c r="H14" s="733"/>
      <c r="I14" s="1465"/>
      <c r="J14" s="1468"/>
      <c r="K14" s="1458"/>
      <c r="L14" s="3126"/>
      <c r="M14" s="3126"/>
      <c r="N14" s="3126"/>
    </row>
    <row r="15" spans="1:19">
      <c r="B15" s="1130" t="s">
        <v>95</v>
      </c>
      <c r="C15" s="911">
        <v>0</v>
      </c>
      <c r="D15" s="1174">
        <v>0</v>
      </c>
      <c r="E15" s="1189">
        <f>C15+D15</f>
        <v>0</v>
      </c>
      <c r="F15" s="1137"/>
      <c r="G15" s="738" t="s">
        <v>96</v>
      </c>
      <c r="H15" s="734"/>
      <c r="I15" s="1465"/>
      <c r="J15" s="1461"/>
      <c r="K15" s="1458"/>
      <c r="L15" s="3126"/>
      <c r="M15" s="3126"/>
      <c r="N15" s="3126"/>
    </row>
    <row r="16" spans="1:19">
      <c r="B16" s="1130" t="s">
        <v>99</v>
      </c>
      <c r="C16" s="1120">
        <v>0</v>
      </c>
      <c r="D16" s="1174">
        <v>0</v>
      </c>
      <c r="E16" s="1189">
        <f>C16+D16</f>
        <v>0</v>
      </c>
      <c r="F16" s="1137"/>
      <c r="G16" s="738" t="s">
        <v>96</v>
      </c>
      <c r="H16" s="734"/>
      <c r="I16" s="1465"/>
      <c r="J16" s="1461"/>
      <c r="K16" s="1458"/>
      <c r="L16" s="3126"/>
      <c r="M16" s="3126"/>
      <c r="N16" s="3126"/>
    </row>
    <row r="17" spans="2:13">
      <c r="B17" s="1130"/>
      <c r="C17" s="3148">
        <f>SUM(C15:C16)</f>
        <v>0</v>
      </c>
      <c r="D17" s="3149">
        <f>SUM(D15:D16)</f>
        <v>0</v>
      </c>
      <c r="E17" s="3150">
        <f>SUM(E15:E16)</f>
        <v>0</v>
      </c>
      <c r="F17" s="1102"/>
      <c r="G17" s="734"/>
      <c r="H17" s="734"/>
      <c r="I17" s="1465"/>
      <c r="J17" s="1461"/>
      <c r="K17" s="1458"/>
      <c r="L17" s="3126"/>
      <c r="M17" s="203"/>
    </row>
    <row r="18" spans="2:13">
      <c r="B18" s="1126" t="s">
        <v>506</v>
      </c>
      <c r="C18" s="1146"/>
      <c r="D18" s="1122"/>
      <c r="E18" s="1145"/>
      <c r="F18" s="1129"/>
      <c r="G18" s="733"/>
      <c r="H18" s="734"/>
      <c r="I18" s="1465"/>
      <c r="J18" s="1461"/>
      <c r="K18" s="1458"/>
      <c r="L18" s="3126"/>
      <c r="M18" s="3126"/>
    </row>
    <row r="19" spans="2:13">
      <c r="B19" s="3124" t="s">
        <v>100</v>
      </c>
      <c r="C19" s="1183"/>
      <c r="D19" s="1174"/>
      <c r="E19" s="1189">
        <f t="shared" ref="E19:E23" si="1">SUM(C19:D19)</f>
        <v>0</v>
      </c>
      <c r="F19" s="1138"/>
      <c r="G19" s="187"/>
      <c r="H19" s="733"/>
      <c r="I19" s="1465"/>
      <c r="J19" s="1461"/>
      <c r="K19" s="1458"/>
      <c r="L19" s="3126"/>
      <c r="M19" s="3126"/>
    </row>
    <row r="20" spans="2:13">
      <c r="B20" s="1130" t="s">
        <v>101</v>
      </c>
      <c r="C20" s="1148"/>
      <c r="D20" s="1174"/>
      <c r="E20" s="1189">
        <f t="shared" si="1"/>
        <v>0</v>
      </c>
      <c r="F20" s="3124"/>
      <c r="G20" s="733"/>
      <c r="H20" s="187"/>
      <c r="I20" s="1465"/>
      <c r="J20" s="1445"/>
      <c r="K20" s="1458"/>
      <c r="L20" s="3126"/>
      <c r="M20" s="3126"/>
    </row>
    <row r="21" spans="2:13">
      <c r="B21" s="1130" t="s">
        <v>104</v>
      </c>
      <c r="C21" s="1183"/>
      <c r="D21" s="1174"/>
      <c r="E21" s="1189">
        <f t="shared" si="1"/>
        <v>0</v>
      </c>
      <c r="F21" s="1129"/>
      <c r="G21" s="733"/>
      <c r="H21" s="733"/>
      <c r="I21" s="1458"/>
      <c r="J21" s="1460"/>
      <c r="K21" s="1458"/>
      <c r="L21" s="3126"/>
      <c r="M21" s="3126"/>
    </row>
    <row r="22" spans="2:13">
      <c r="B22" s="1130" t="s">
        <v>540</v>
      </c>
      <c r="C22" s="1183"/>
      <c r="D22" s="1174"/>
      <c r="E22" s="1189">
        <f t="shared" si="1"/>
        <v>0</v>
      </c>
      <c r="F22" s="1129"/>
      <c r="G22" s="733"/>
      <c r="H22" s="733"/>
      <c r="I22" s="1458"/>
      <c r="J22" s="1460"/>
      <c r="K22" s="1458"/>
      <c r="L22" s="3126"/>
      <c r="M22" s="3126"/>
    </row>
    <row r="23" spans="2:13" ht="15">
      <c r="B23" s="1130" t="s">
        <v>107</v>
      </c>
      <c r="C23" s="2472"/>
      <c r="D23" s="2473"/>
      <c r="E23" s="2474">
        <f t="shared" si="1"/>
        <v>0</v>
      </c>
      <c r="F23" s="1129"/>
      <c r="G23" s="733"/>
      <c r="H23" s="205"/>
      <c r="I23" s="1465"/>
      <c r="J23" s="1479"/>
      <c r="K23" s="1458"/>
      <c r="L23" s="3126"/>
      <c r="M23" s="3126"/>
    </row>
    <row r="24" spans="2:13">
      <c r="B24" s="3124"/>
      <c r="C24" s="1149">
        <v>0</v>
      </c>
      <c r="D24" s="1136">
        <v>0</v>
      </c>
      <c r="E24" s="1077">
        <f>D24+C24</f>
        <v>0</v>
      </c>
      <c r="F24" s="1129"/>
      <c r="G24" s="733"/>
      <c r="H24" s="205"/>
      <c r="I24" s="1471" t="s">
        <v>102</v>
      </c>
      <c r="J24" s="1477"/>
      <c r="K24" s="1469" t="s">
        <v>103</v>
      </c>
      <c r="L24" s="3126"/>
      <c r="M24" s="3126"/>
    </row>
    <row r="25" spans="2:13">
      <c r="B25" s="1122"/>
      <c r="C25" s="1860"/>
      <c r="D25" s="1122"/>
      <c r="E25" s="1145"/>
      <c r="F25" s="1129"/>
      <c r="G25" s="733"/>
      <c r="H25" s="205"/>
      <c r="I25" s="1471" t="s">
        <v>105</v>
      </c>
      <c r="J25" s="1474"/>
      <c r="K25" s="1472" t="s">
        <v>106</v>
      </c>
      <c r="L25" s="3126"/>
      <c r="M25" s="3126"/>
    </row>
    <row r="26" spans="2:13">
      <c r="B26" s="1126" t="s">
        <v>94</v>
      </c>
      <c r="C26" s="1149">
        <v>0</v>
      </c>
      <c r="D26" s="1143">
        <v>0</v>
      </c>
      <c r="E26" s="1161">
        <f>SUM(C26:D26)</f>
        <v>0</v>
      </c>
      <c r="F26" s="1129"/>
      <c r="G26" s="733"/>
      <c r="H26" s="205"/>
      <c r="I26" s="1471" t="s">
        <v>108</v>
      </c>
      <c r="J26" s="1474"/>
      <c r="K26" s="1472" t="s">
        <v>106</v>
      </c>
      <c r="L26" s="3126"/>
      <c r="M26" s="3126"/>
    </row>
    <row r="27" spans="2:13">
      <c r="B27" s="1122"/>
      <c r="C27" s="1860"/>
      <c r="D27" s="1122"/>
      <c r="E27" s="1145"/>
      <c r="F27" s="1129"/>
      <c r="G27" s="733"/>
      <c r="H27" s="205"/>
      <c r="I27" s="1470" t="s">
        <v>109</v>
      </c>
      <c r="J27" s="1478"/>
      <c r="K27" s="1458"/>
      <c r="L27" s="3126"/>
      <c r="M27" s="3126"/>
    </row>
    <row r="28" spans="2:13">
      <c r="B28" s="1125" t="s">
        <v>97</v>
      </c>
      <c r="C28" s="1860"/>
      <c r="D28" s="1122"/>
      <c r="E28" s="1145"/>
      <c r="F28" s="1180"/>
      <c r="H28" s="205"/>
      <c r="I28" s="1162"/>
      <c r="J28" s="1163"/>
      <c r="K28" s="3126"/>
      <c r="L28" s="3126"/>
      <c r="M28" s="3126"/>
    </row>
    <row r="29" spans="2:13">
      <c r="B29" s="3124" t="s">
        <v>110</v>
      </c>
      <c r="C29" s="1860"/>
      <c r="D29" s="1174"/>
      <c r="E29" s="1189">
        <f>SUM(C29:D29)</f>
        <v>0</v>
      </c>
      <c r="F29" s="1180"/>
      <c r="H29" s="205"/>
      <c r="I29" s="737"/>
      <c r="J29" s="3126"/>
      <c r="K29" s="3126"/>
      <c r="L29" s="3126"/>
      <c r="M29" s="3126"/>
    </row>
    <row r="30" spans="2:13" ht="15">
      <c r="B30" s="1122" t="s">
        <v>112</v>
      </c>
      <c r="C30" s="2475"/>
      <c r="D30" s="2473"/>
      <c r="E30" s="2474">
        <f>SUM(C30:D30)</f>
        <v>0</v>
      </c>
      <c r="F30" s="1180"/>
      <c r="H30" s="205"/>
      <c r="I30" s="193" t="s">
        <v>129</v>
      </c>
      <c r="J30" s="3126"/>
      <c r="K30" s="3126"/>
      <c r="L30" s="3126"/>
      <c r="M30" s="3126"/>
    </row>
    <row r="31" spans="2:13">
      <c r="B31" s="1125" t="s">
        <v>113</v>
      </c>
      <c r="C31" s="1150">
        <v>0</v>
      </c>
      <c r="D31" s="1132">
        <v>0</v>
      </c>
      <c r="E31" s="1161">
        <f>SUM(C31:D31)</f>
        <v>0</v>
      </c>
      <c r="F31" s="1180"/>
      <c r="G31" s="205"/>
      <c r="H31" s="205"/>
      <c r="I31" s="193" t="s">
        <v>130</v>
      </c>
      <c r="J31" s="3126"/>
      <c r="K31" s="3126"/>
      <c r="L31" s="3126"/>
      <c r="M31" s="3126"/>
    </row>
    <row r="32" spans="2:13">
      <c r="B32" s="1122"/>
      <c r="C32" s="1860"/>
      <c r="D32" s="1122"/>
      <c r="E32" s="1145"/>
      <c r="F32" s="1180"/>
      <c r="H32" s="205"/>
      <c r="I32" s="737"/>
      <c r="J32" s="3126"/>
      <c r="K32" s="3126"/>
      <c r="L32" s="3126"/>
      <c r="M32" s="3126"/>
    </row>
    <row r="33" spans="1:10" ht="25.5">
      <c r="A33" s="2458" t="s">
        <v>1628</v>
      </c>
      <c r="B33" s="1125" t="s">
        <v>98</v>
      </c>
      <c r="C33" s="1150">
        <v>0</v>
      </c>
      <c r="D33" s="1074">
        <v>0</v>
      </c>
      <c r="E33" s="1161">
        <f>SUM(C33:D33)</f>
        <v>0</v>
      </c>
      <c r="F33" s="1180"/>
      <c r="H33" s="205"/>
      <c r="I33" s="737"/>
    </row>
    <row r="34" spans="1:10">
      <c r="A34" s="3125" t="s">
        <v>275</v>
      </c>
      <c r="B34" s="1122"/>
      <c r="C34" s="1860"/>
      <c r="D34" s="1122"/>
      <c r="E34" s="1145"/>
      <c r="F34" s="1180"/>
      <c r="G34" s="189"/>
      <c r="H34" s="205"/>
      <c r="I34" s="737"/>
    </row>
    <row r="35" spans="1:10">
      <c r="A35" s="2458" t="s">
        <v>1629</v>
      </c>
      <c r="B35" s="1125" t="s">
        <v>10</v>
      </c>
      <c r="C35" s="1265">
        <v>0</v>
      </c>
      <c r="D35" s="1264">
        <v>0</v>
      </c>
      <c r="E35" s="1161">
        <f>SUM(C35:D35)</f>
        <v>0</v>
      </c>
      <c r="F35" s="2805">
        <v>0.66700000000000004</v>
      </c>
      <c r="G35" s="2827" t="s">
        <v>725</v>
      </c>
      <c r="H35" s="205"/>
      <c r="I35" s="737"/>
    </row>
    <row r="36" spans="1:10">
      <c r="A36" s="2193">
        <v>18230414</v>
      </c>
      <c r="B36" s="1122"/>
      <c r="C36" s="1860"/>
      <c r="D36" s="1140"/>
      <c r="E36" s="1156"/>
      <c r="F36" s="2805">
        <v>0.68</v>
      </c>
      <c r="G36" s="2803" t="s">
        <v>726</v>
      </c>
      <c r="H36" s="205"/>
      <c r="I36" s="737"/>
    </row>
    <row r="37" spans="1:10">
      <c r="A37" s="1839" t="s">
        <v>5</v>
      </c>
      <c r="B37" s="1123" t="s">
        <v>12</v>
      </c>
      <c r="C37" s="1860"/>
      <c r="D37" s="1140"/>
      <c r="E37" s="1156"/>
      <c r="F37" s="1180"/>
      <c r="G37" s="714"/>
      <c r="H37" s="205"/>
      <c r="I37" s="730"/>
    </row>
    <row r="38" spans="1:10">
      <c r="A38" s="1839"/>
      <c r="B38" s="2384" t="s">
        <v>1631</v>
      </c>
      <c r="C38" s="1183">
        <v>900000</v>
      </c>
      <c r="D38" s="1181">
        <v>484086</v>
      </c>
      <c r="E38" s="1188">
        <f t="shared" ref="E38:E42" si="2">SUM(D38,C38)</f>
        <v>1384086</v>
      </c>
      <c r="F38" s="1180"/>
      <c r="G38" s="714"/>
      <c r="H38" s="205"/>
      <c r="I38" s="730"/>
    </row>
    <row r="39" spans="1:10">
      <c r="B39" s="2385" t="s">
        <v>1632</v>
      </c>
      <c r="C39" s="1183">
        <v>120000</v>
      </c>
      <c r="D39" s="1181">
        <v>10000</v>
      </c>
      <c r="E39" s="1188">
        <f t="shared" si="2"/>
        <v>130000</v>
      </c>
      <c r="F39" s="1180"/>
      <c r="G39" s="714"/>
      <c r="H39" s="205"/>
      <c r="I39" s="730"/>
    </row>
    <row r="40" spans="1:10">
      <c r="B40" s="2385"/>
      <c r="C40" s="1182">
        <v>0</v>
      </c>
      <c r="D40" s="1186">
        <v>0</v>
      </c>
      <c r="E40" s="1176">
        <f t="shared" si="2"/>
        <v>0</v>
      </c>
      <c r="F40" s="1180"/>
      <c r="G40" s="714"/>
      <c r="H40" s="205"/>
      <c r="I40" s="730"/>
    </row>
    <row r="41" spans="1:10" ht="15">
      <c r="B41" s="2385"/>
      <c r="C41" s="2472">
        <v>0</v>
      </c>
      <c r="D41" s="2476">
        <v>0</v>
      </c>
      <c r="E41" s="2477">
        <f t="shared" si="2"/>
        <v>0</v>
      </c>
      <c r="F41" s="1180"/>
      <c r="G41" s="714"/>
      <c r="H41" s="205"/>
      <c r="I41" s="730"/>
    </row>
    <row r="42" spans="1:10">
      <c r="B42" s="1134" t="s">
        <v>117</v>
      </c>
      <c r="C42" s="1149">
        <f>SUM(C38:C40)</f>
        <v>1020000</v>
      </c>
      <c r="D42" s="1136">
        <f>SUM(D38:D40)</f>
        <v>494086</v>
      </c>
      <c r="E42" s="3151">
        <f t="shared" si="2"/>
        <v>1514086</v>
      </c>
      <c r="F42" s="1180"/>
      <c r="G42" s="714"/>
      <c r="H42" s="205"/>
      <c r="I42" s="730"/>
    </row>
    <row r="43" spans="1:10" ht="13.5" thickBot="1">
      <c r="B43" s="1128"/>
      <c r="C43" s="1183"/>
      <c r="D43" s="1181"/>
      <c r="E43" s="1188"/>
      <c r="F43" s="1180"/>
      <c r="G43" s="189"/>
      <c r="H43" s="205"/>
      <c r="I43" s="730"/>
    </row>
    <row r="44" spans="1:10" ht="13.5" thickBot="1">
      <c r="B44" s="1134" t="s">
        <v>118</v>
      </c>
      <c r="C44" s="1151">
        <f>C12+C15+C16+C24+C26+C31+C33+C35+C42</f>
        <v>1020000</v>
      </c>
      <c r="D44" s="1157">
        <f>D12+D15+D16+D24+D26+D31+D33+D35+D42</f>
        <v>494086</v>
      </c>
      <c r="E44" s="1158">
        <f>SUM(C44:D44)</f>
        <v>1514086</v>
      </c>
      <c r="F44" s="1180"/>
      <c r="G44" s="189"/>
      <c r="H44" s="205"/>
      <c r="I44" s="730"/>
    </row>
    <row r="45" spans="1:10">
      <c r="B45" s="1185"/>
      <c r="C45" s="1181"/>
      <c r="D45" s="1181"/>
      <c r="E45" s="1181"/>
      <c r="F45" s="1180"/>
      <c r="G45" s="189"/>
      <c r="H45" s="205"/>
      <c r="I45" s="730"/>
    </row>
    <row r="46" spans="1:10">
      <c r="B46" s="1142" t="s">
        <v>119</v>
      </c>
      <c r="C46" s="1159">
        <v>2016</v>
      </c>
      <c r="D46" s="1159">
        <v>2017</v>
      </c>
      <c r="E46" s="1159" t="s">
        <v>23</v>
      </c>
      <c r="F46" s="3124"/>
      <c r="G46" s="189"/>
      <c r="H46" s="205"/>
      <c r="I46" s="730"/>
    </row>
    <row r="47" spans="1:10">
      <c r="B47" s="1142" t="s">
        <v>542</v>
      </c>
      <c r="C47" s="2387">
        <v>0</v>
      </c>
      <c r="D47" s="2388">
        <v>16000000</v>
      </c>
      <c r="E47" s="2388">
        <f>C47+D47</f>
        <v>16000000</v>
      </c>
      <c r="F47" s="2389" t="s">
        <v>120</v>
      </c>
      <c r="G47" s="189"/>
      <c r="H47" s="205"/>
      <c r="I47" s="730"/>
    </row>
    <row r="48" spans="1:10">
      <c r="B48" s="1142" t="s">
        <v>543</v>
      </c>
      <c r="C48" s="2390"/>
      <c r="D48" s="2391"/>
      <c r="E48" s="2391">
        <f>SUM(C48:D48)</f>
        <v>0</v>
      </c>
      <c r="F48" s="2386" t="s">
        <v>120</v>
      </c>
      <c r="G48" s="189"/>
      <c r="H48" s="205"/>
      <c r="I48" s="730"/>
      <c r="J48" s="3126"/>
    </row>
    <row r="49" spans="2:10">
      <c r="C49" s="2392">
        <f>SUM(C47:C48)</f>
        <v>0</v>
      </c>
      <c r="D49" s="2393">
        <f>SUM(D47:D48)</f>
        <v>16000000</v>
      </c>
      <c r="E49" s="2393">
        <f>SUM(E47:E48)</f>
        <v>16000000</v>
      </c>
      <c r="F49" s="2394" t="s">
        <v>120</v>
      </c>
      <c r="G49" s="189"/>
      <c r="H49" s="190"/>
      <c r="I49" s="741"/>
      <c r="J49" s="717"/>
    </row>
    <row r="50" spans="2:10">
      <c r="B50" s="3126"/>
      <c r="C50" s="191"/>
      <c r="D50" s="191"/>
      <c r="E50" s="191"/>
      <c r="F50" s="740"/>
      <c r="G50" s="205"/>
      <c r="H50" s="743"/>
      <c r="I50" s="743"/>
      <c r="J50" s="717"/>
    </row>
    <row r="51" spans="2:10">
      <c r="B51" s="1142" t="s">
        <v>122</v>
      </c>
      <c r="C51" s="2376"/>
      <c r="D51" s="2376"/>
      <c r="E51" s="191"/>
      <c r="F51" s="740"/>
      <c r="G51" s="205"/>
      <c r="H51" s="743"/>
      <c r="I51" s="743"/>
      <c r="J51" s="717"/>
    </row>
    <row r="52" spans="2:10">
      <c r="B52" s="716"/>
      <c r="C52" s="3126"/>
      <c r="D52" s="3126"/>
      <c r="E52" s="3126"/>
      <c r="F52" s="3126"/>
      <c r="G52" s="205"/>
      <c r="H52" s="743"/>
      <c r="I52" s="743"/>
      <c r="J52" s="717"/>
    </row>
    <row r="53" spans="2:10" ht="20.25">
      <c r="B53" s="726"/>
      <c r="C53" s="190"/>
      <c r="D53" s="190"/>
      <c r="E53" s="190"/>
      <c r="F53" s="743"/>
      <c r="G53" s="205"/>
      <c r="H53" s="743"/>
      <c r="I53" s="743"/>
      <c r="J53" s="717"/>
    </row>
    <row r="54" spans="2:10">
      <c r="B54" s="3126"/>
      <c r="C54" s="743"/>
      <c r="D54" s="743"/>
      <c r="E54" s="743"/>
      <c r="F54" s="743"/>
      <c r="G54" s="190"/>
      <c r="H54" s="743"/>
      <c r="I54" s="743"/>
      <c r="J54" s="717"/>
    </row>
    <row r="55" spans="2:10">
      <c r="B55" s="3126"/>
      <c r="C55" s="743"/>
      <c r="D55" s="743"/>
      <c r="E55" s="743"/>
      <c r="F55" s="190"/>
      <c r="G55" s="743"/>
      <c r="H55" s="743"/>
      <c r="I55" s="743"/>
      <c r="J55" s="717"/>
    </row>
    <row r="56" spans="2:10" ht="15.75">
      <c r="B56" s="182"/>
      <c r="C56" s="204"/>
      <c r="D56" s="204"/>
      <c r="E56" s="204"/>
      <c r="F56" s="190"/>
      <c r="G56" s="743"/>
      <c r="H56" s="190"/>
      <c r="I56" s="743"/>
      <c r="J56" s="717"/>
    </row>
    <row r="57" spans="2:10">
      <c r="B57" s="717"/>
      <c r="C57" s="717"/>
      <c r="D57" s="717"/>
      <c r="E57" s="717"/>
      <c r="F57" s="190"/>
      <c r="G57" s="743"/>
      <c r="H57" s="190"/>
      <c r="I57" s="741"/>
      <c r="J57" s="717"/>
    </row>
    <row r="58" spans="2:10">
      <c r="B58" s="3126"/>
      <c r="C58" s="3126"/>
      <c r="D58" s="3126"/>
      <c r="E58" s="3126"/>
      <c r="F58" s="190"/>
      <c r="G58" s="743"/>
      <c r="H58" s="190"/>
      <c r="I58" s="741"/>
      <c r="J58" s="717"/>
    </row>
    <row r="59" spans="2:10">
      <c r="B59" s="3126"/>
      <c r="C59" s="3126"/>
      <c r="D59" s="3126"/>
      <c r="E59" s="3126"/>
      <c r="F59" s="190"/>
      <c r="G59" s="743"/>
      <c r="H59" s="190"/>
      <c r="I59" s="741"/>
      <c r="J59" s="717"/>
    </row>
    <row r="60" spans="2:10">
      <c r="F60" s="190"/>
      <c r="G60" s="743"/>
      <c r="H60" s="190"/>
      <c r="I60" s="741"/>
      <c r="J60" s="717"/>
    </row>
    <row r="61" spans="2:10">
      <c r="F61" s="3126"/>
      <c r="G61" s="190"/>
      <c r="H61" s="190"/>
      <c r="I61" s="741"/>
      <c r="J61" s="717"/>
    </row>
    <row r="62" spans="2:10">
      <c r="F62" s="3126"/>
      <c r="G62" s="190"/>
      <c r="H62" s="190"/>
      <c r="I62" s="741"/>
      <c r="J62" s="717"/>
    </row>
    <row r="63" spans="2:10">
      <c r="F63" s="3126"/>
      <c r="G63" s="190"/>
      <c r="H63" s="190"/>
      <c r="I63" s="741"/>
      <c r="J63" s="717"/>
    </row>
    <row r="64" spans="2:10">
      <c r="F64" s="3126"/>
      <c r="G64" s="190"/>
      <c r="H64" s="190"/>
      <c r="I64" s="741"/>
      <c r="J64" s="717"/>
    </row>
    <row r="65" spans="6:10">
      <c r="F65" s="3126"/>
      <c r="G65" s="190"/>
      <c r="H65" s="743"/>
      <c r="I65" s="743"/>
      <c r="J65" s="717"/>
    </row>
    <row r="66" spans="6:10">
      <c r="F66" s="3126"/>
      <c r="G66" s="190"/>
      <c r="H66" s="743"/>
      <c r="I66" s="743"/>
      <c r="J66" s="717"/>
    </row>
    <row r="67" spans="6:10">
      <c r="F67" s="743"/>
      <c r="G67" s="190"/>
      <c r="H67" s="743"/>
      <c r="I67" s="743"/>
      <c r="J67" s="717"/>
    </row>
    <row r="68" spans="6:10">
      <c r="F68" s="743"/>
      <c r="G68" s="190"/>
      <c r="H68" s="743"/>
      <c r="I68" s="743"/>
      <c r="J68" s="717"/>
    </row>
    <row r="69" spans="6:10">
      <c r="F69" s="743"/>
      <c r="G69" s="190"/>
      <c r="H69" s="743"/>
      <c r="I69" s="743"/>
      <c r="J69" s="717"/>
    </row>
    <row r="70" spans="6:10" ht="15.75">
      <c r="F70" s="204"/>
      <c r="G70" s="743"/>
      <c r="H70" s="743"/>
      <c r="I70" s="743"/>
      <c r="J70" s="717"/>
    </row>
    <row r="71" spans="6:10" ht="15.75">
      <c r="F71" s="717"/>
      <c r="G71" s="743"/>
      <c r="H71" s="204"/>
      <c r="I71" s="204"/>
      <c r="J71" s="717"/>
    </row>
    <row r="72" spans="6:10">
      <c r="F72" s="3126"/>
      <c r="G72" s="743"/>
      <c r="H72" s="717"/>
      <c r="I72" s="717"/>
      <c r="J72" s="717"/>
    </row>
    <row r="73" spans="6:10">
      <c r="F73" s="3126"/>
      <c r="G73" s="743"/>
      <c r="H73" s="3126"/>
      <c r="I73" s="3126"/>
      <c r="J73" s="3126"/>
    </row>
    <row r="74" spans="6:10">
      <c r="F74" s="3126"/>
      <c r="G74" s="743"/>
      <c r="H74" s="3126"/>
      <c r="I74" s="3126"/>
      <c r="J74" s="3126"/>
    </row>
    <row r="75" spans="6:10">
      <c r="G75" s="743"/>
      <c r="H75" s="3126"/>
      <c r="I75" s="3126"/>
      <c r="J75" s="3126"/>
    </row>
    <row r="76" spans="6:10" ht="15.75">
      <c r="G76" s="204"/>
      <c r="H76" s="3126"/>
      <c r="I76" s="3126"/>
      <c r="J76" s="3126"/>
    </row>
    <row r="77" spans="6:10">
      <c r="G77" s="717"/>
      <c r="H77" s="3126"/>
      <c r="I77" s="3126"/>
      <c r="J77" s="3126"/>
    </row>
    <row r="78" spans="6:10">
      <c r="H78" s="3126"/>
      <c r="I78" s="3126"/>
      <c r="J78" s="3126"/>
    </row>
  </sheetData>
  <customSheetViews>
    <customSheetView guid="{074EB09C-6289-46D7-9513-012B68BCA7BF}" showGridLines="0">
      <pane xSplit="1" ySplit="1" topLeftCell="B2" activePane="bottomRight" state="frozen"/>
      <selection pane="bottomRight" activeCell="I33" sqref="I33"/>
      <pageMargins left="0.7" right="0.7" top="0.75" bottom="0.75" header="0.3" footer="0.3"/>
    </customSheetView>
    <customSheetView guid="{D9EFFE19-D14B-4C6F-BDF4-FF696F73968D}" showGridLines="0">
      <pane xSplit="1" ySplit="1" topLeftCell="B2" activePane="bottomRight" state="frozen"/>
      <selection pane="bottomRight" activeCell="I33" sqref="I33"/>
      <pageMargins left="0.7" right="0.7" top="0.75" bottom="0.75" header="0.3" footer="0.3"/>
    </customSheetView>
  </customSheetView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140625"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22.5703125" style="2177" bestFit="1" customWidth="1"/>
    <col min="17" max="17" width="5.5703125" style="2177" customWidth="1"/>
    <col min="18" max="18" width="10.85546875" style="2177" bestFit="1" customWidth="1"/>
    <col min="19" max="16384" width="9.140625" style="2177"/>
  </cols>
  <sheetData>
    <row r="1" spans="1:19" ht="54" customHeight="1">
      <c r="D1" s="1831" t="s">
        <v>1639</v>
      </c>
      <c r="E1" s="1977" t="s">
        <v>25</v>
      </c>
      <c r="F1" s="1880" t="s">
        <v>1494</v>
      </c>
      <c r="G1" s="1977" t="s">
        <v>5</v>
      </c>
      <c r="M1" s="1831" t="s">
        <v>1639</v>
      </c>
      <c r="N1" s="1977" t="s">
        <v>25</v>
      </c>
      <c r="O1" s="1880" t="s">
        <v>1494</v>
      </c>
      <c r="P1" s="1977" t="s">
        <v>5</v>
      </c>
    </row>
    <row r="2" spans="1:19" ht="17.25" customHeight="1" thickBot="1">
      <c r="D2" s="1800"/>
      <c r="E2" s="1614"/>
      <c r="F2" s="1614"/>
      <c r="G2" s="1227"/>
      <c r="H2" s="1576" t="s">
        <v>674</v>
      </c>
      <c r="I2" s="1805"/>
      <c r="J2" s="1805"/>
      <c r="K2" s="1805"/>
      <c r="L2" s="1805"/>
      <c r="M2" s="1805"/>
      <c r="N2" s="1805"/>
      <c r="O2" s="1805"/>
      <c r="P2" s="1805"/>
      <c r="Q2" s="1805"/>
    </row>
    <row r="3" spans="1:19" ht="39" thickBot="1">
      <c r="A3" s="1831" t="s">
        <v>1639</v>
      </c>
      <c r="B3" s="3115"/>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25</v>
      </c>
      <c r="B4" s="3115"/>
      <c r="C4" s="1761"/>
      <c r="D4" s="1731"/>
      <c r="E4" s="1731"/>
      <c r="F4" s="1731"/>
      <c r="G4" s="1804" t="s">
        <v>668</v>
      </c>
      <c r="H4" s="2003"/>
      <c r="I4" s="2002"/>
      <c r="J4" s="2002"/>
      <c r="K4" s="2002"/>
      <c r="L4" s="2002"/>
      <c r="M4" s="2002"/>
      <c r="N4" s="2002"/>
      <c r="O4" s="2002"/>
      <c r="P4" s="2002"/>
      <c r="Q4" s="2002"/>
      <c r="R4" s="2002"/>
      <c r="S4" s="1998"/>
    </row>
    <row r="5" spans="1:19" ht="15.75">
      <c r="A5" s="1880" t="s">
        <v>1494</v>
      </c>
      <c r="B5" s="3115"/>
      <c r="C5" s="1761"/>
      <c r="D5" s="1761"/>
      <c r="E5" s="1761"/>
      <c r="F5" s="1761"/>
      <c r="G5" s="1228">
        <v>2016</v>
      </c>
      <c r="H5" s="1582">
        <f>D15</f>
        <v>66305.22</v>
      </c>
      <c r="I5" s="1549">
        <f>D21</f>
        <v>667</v>
      </c>
      <c r="J5" s="1549">
        <f>D27</f>
        <v>44670.470740000004</v>
      </c>
      <c r="K5" s="1549">
        <f>D34</f>
        <v>0</v>
      </c>
      <c r="L5" s="1549">
        <f>D40</f>
        <v>1500</v>
      </c>
      <c r="M5" s="1549">
        <f>D46</f>
        <v>21750</v>
      </c>
      <c r="N5" s="1549">
        <f>D52</f>
        <v>0</v>
      </c>
      <c r="O5" s="1549">
        <f>D58</f>
        <v>0</v>
      </c>
      <c r="P5" s="1549">
        <v>0</v>
      </c>
      <c r="Q5" s="1549"/>
      <c r="R5" s="1549">
        <f>SUM(H5:P5)</f>
        <v>134892.69073999999</v>
      </c>
      <c r="S5" s="1999"/>
    </row>
    <row r="6" spans="1:19" ht="16.5" thickBot="1">
      <c r="A6" s="1976" t="s">
        <v>5</v>
      </c>
      <c r="B6" s="1880"/>
      <c r="C6" s="1714"/>
      <c r="D6" s="1761"/>
      <c r="E6" s="1761"/>
      <c r="F6" s="1761"/>
      <c r="G6" s="1228">
        <v>2017</v>
      </c>
      <c r="H6" s="57">
        <f>E15</f>
        <v>44472.83</v>
      </c>
      <c r="I6" s="1990">
        <f>E21</f>
        <v>683.68</v>
      </c>
      <c r="J6" s="1989">
        <f>E27</f>
        <v>30706.426800000001</v>
      </c>
      <c r="K6" s="58">
        <f>E34</f>
        <v>0</v>
      </c>
      <c r="L6" s="58">
        <f>E40</f>
        <v>1500</v>
      </c>
      <c r="M6" s="58">
        <f>E46</f>
        <v>21750</v>
      </c>
      <c r="N6" s="58">
        <f>E52</f>
        <v>0</v>
      </c>
      <c r="O6" s="58">
        <f>E58</f>
        <v>0</v>
      </c>
      <c r="P6" s="58">
        <v>0</v>
      </c>
      <c r="Q6" s="58"/>
      <c r="R6" s="58">
        <f>SUM(H6:P6)</f>
        <v>99112.936799999996</v>
      </c>
      <c r="S6" s="1996"/>
    </row>
    <row r="7" spans="1:19" s="2194" customFormat="1" ht="16.5" thickBot="1">
      <c r="B7" s="1819"/>
      <c r="C7" s="2195"/>
      <c r="D7" s="2195"/>
      <c r="E7" s="2195"/>
      <c r="F7" s="2195"/>
      <c r="G7" s="1751" t="s">
        <v>23</v>
      </c>
      <c r="H7" s="1564">
        <f>SUM(H5:H6)</f>
        <v>110778.05</v>
      </c>
      <c r="I7" s="1991">
        <f t="shared" ref="I7:P7" si="0">SUM(I5:I6)</f>
        <v>1350.6799999999998</v>
      </c>
      <c r="J7" s="1992">
        <f t="shared" si="0"/>
        <v>75376.897540000005</v>
      </c>
      <c r="K7" s="1993">
        <f t="shared" si="0"/>
        <v>0</v>
      </c>
      <c r="L7" s="1991">
        <f t="shared" si="0"/>
        <v>3000</v>
      </c>
      <c r="M7" s="1992">
        <f t="shared" si="0"/>
        <v>43500</v>
      </c>
      <c r="N7" s="1991">
        <f t="shared" si="0"/>
        <v>0</v>
      </c>
      <c r="O7" s="1992">
        <f t="shared" si="0"/>
        <v>0</v>
      </c>
      <c r="P7" s="1993">
        <f t="shared" si="0"/>
        <v>0</v>
      </c>
      <c r="Q7" s="1993"/>
      <c r="R7" s="1991">
        <f>SUM(R5:R6)</f>
        <v>234005.62753999999</v>
      </c>
      <c r="S7" s="1994"/>
    </row>
    <row r="8" spans="1:19" s="2194" customFormat="1">
      <c r="B8" s="3115"/>
      <c r="C8" s="2195"/>
      <c r="D8" s="2195"/>
      <c r="E8" s="1731"/>
      <c r="F8" s="1715"/>
      <c r="G8" s="2177"/>
      <c r="H8" s="2177"/>
      <c r="I8" s="2177"/>
      <c r="J8" s="2177"/>
      <c r="K8" s="2177"/>
      <c r="L8" s="2177"/>
      <c r="M8" s="2177"/>
      <c r="O8" s="2177"/>
      <c r="P8" s="2178" t="s">
        <v>20</v>
      </c>
    </row>
    <row r="9" spans="1:19" s="2194" customFormat="1">
      <c r="A9" s="1819"/>
      <c r="B9" s="1819"/>
      <c r="C9" s="2195"/>
      <c r="D9" s="2195"/>
      <c r="E9" s="1731"/>
      <c r="F9" s="1715"/>
      <c r="G9" s="2177"/>
      <c r="H9" s="2177"/>
      <c r="I9" s="2177"/>
      <c r="J9" s="2177"/>
      <c r="K9" s="2177"/>
      <c r="L9" s="2177"/>
      <c r="M9" s="2177"/>
      <c r="O9" s="2177"/>
      <c r="P9" s="2178" t="s">
        <v>21</v>
      </c>
    </row>
    <row r="10" spans="1:19" s="2193" customFormat="1">
      <c r="A10" s="1822"/>
      <c r="B10" s="1822"/>
      <c r="C10" s="1915" t="s">
        <v>329</v>
      </c>
      <c r="D10" s="1915"/>
      <c r="E10" s="1915"/>
      <c r="F10" s="1915"/>
    </row>
    <row r="11" spans="1:19" ht="18" customHeight="1">
      <c r="A11" s="1822"/>
      <c r="B11" s="1822"/>
      <c r="D11" s="2177"/>
      <c r="E11" s="2193"/>
    </row>
    <row r="12" spans="1:19">
      <c r="A12" s="1822"/>
      <c r="B12" s="2178"/>
      <c r="C12" s="1887" t="s">
        <v>314</v>
      </c>
      <c r="D12" s="2157">
        <f>D15+D21+D27+D34+D40+D46+D52+D58</f>
        <v>134892.69073999999</v>
      </c>
      <c r="E12" s="1948">
        <f>E15+E21+E27+E34+E40+E46+E52+E58</f>
        <v>99112.936799999996</v>
      </c>
      <c r="F12" s="2157">
        <f>D12+E12</f>
        <v>234005.62753999999</v>
      </c>
    </row>
    <row r="13" spans="1:19" ht="13.5" customHeight="1">
      <c r="A13" s="2178"/>
      <c r="B13" s="1863"/>
      <c r="C13" s="1947"/>
      <c r="D13" s="2177"/>
      <c r="E13" s="1787"/>
      <c r="G13" s="1802"/>
      <c r="H13" s="1802"/>
    </row>
    <row r="14" spans="1:19" s="2194" customFormat="1" ht="13.5" customHeight="1">
      <c r="A14" s="1863"/>
      <c r="B14" s="1863"/>
      <c r="C14" s="1888" t="s">
        <v>45</v>
      </c>
      <c r="D14" s="1969">
        <v>2016</v>
      </c>
      <c r="E14" s="1970">
        <v>2017</v>
      </c>
      <c r="F14" s="1950" t="s">
        <v>23</v>
      </c>
      <c r="G14" s="1796"/>
      <c r="H14" s="1796"/>
    </row>
    <row r="15" spans="1:19" s="2194" customFormat="1" ht="13.5" customHeight="1">
      <c r="A15" s="1863"/>
      <c r="B15" s="1886" t="s">
        <v>312</v>
      </c>
      <c r="C15" s="2106" t="s">
        <v>46</v>
      </c>
      <c r="D15" s="2158">
        <f>SUM(D16:D19)</f>
        <v>66305.22</v>
      </c>
      <c r="E15" s="1926">
        <f>SUM(E16:E19)</f>
        <v>44472.83</v>
      </c>
      <c r="F15" s="2157">
        <f t="shared" ref="F15:F21" si="1">SUM(D15:E15)</f>
        <v>110778.05</v>
      </c>
      <c r="G15" s="1796"/>
      <c r="H15" s="1796"/>
    </row>
    <row r="16" spans="1:19" ht="13.5" customHeight="1">
      <c r="A16" s="2178"/>
      <c r="B16" s="2610">
        <v>0.87</v>
      </c>
      <c r="C16" s="2197" t="s">
        <v>801</v>
      </c>
      <c r="D16" s="2201">
        <v>66305.22</v>
      </c>
      <c r="E16" s="2200">
        <v>44472.83</v>
      </c>
      <c r="F16" s="1879">
        <f t="shared" si="1"/>
        <v>110778.05</v>
      </c>
    </row>
    <row r="17" spans="1:7">
      <c r="A17" s="2178"/>
      <c r="B17" s="2610"/>
      <c r="C17" s="2197"/>
      <c r="D17" s="2199"/>
      <c r="E17" s="2198"/>
      <c r="F17" s="2191">
        <f t="shared" si="1"/>
        <v>0</v>
      </c>
    </row>
    <row r="18" spans="1:7">
      <c r="A18" s="2178"/>
      <c r="B18" s="2610"/>
      <c r="C18" s="2197"/>
      <c r="D18" s="2199"/>
      <c r="E18" s="2198"/>
      <c r="F18" s="2191">
        <f t="shared" si="1"/>
        <v>0</v>
      </c>
    </row>
    <row r="19" spans="1:7">
      <c r="A19" s="2178"/>
      <c r="B19" s="2610"/>
      <c r="C19" s="2197"/>
      <c r="D19" s="2242"/>
      <c r="E19" s="2079"/>
      <c r="F19" s="2191">
        <f t="shared" si="1"/>
        <v>0</v>
      </c>
    </row>
    <row r="20" spans="1:7">
      <c r="A20" s="2178"/>
      <c r="B20" s="1908">
        <f>SUM(B16:B19)</f>
        <v>0.87</v>
      </c>
      <c r="C20" s="1952"/>
      <c r="D20" s="1954"/>
      <c r="E20" s="1955"/>
      <c r="F20" s="1957"/>
    </row>
    <row r="21" spans="1:7">
      <c r="A21" s="2178"/>
      <c r="B21" s="2178"/>
      <c r="C21" s="2106" t="s">
        <v>47</v>
      </c>
      <c r="D21" s="2183">
        <f>SUM(D22:D25)</f>
        <v>667</v>
      </c>
      <c r="E21" s="2184">
        <f>SUM(E22:E25)</f>
        <v>683.68</v>
      </c>
      <c r="F21" s="2157">
        <f t="shared" si="1"/>
        <v>1350.6799999999998</v>
      </c>
      <c r="G21" s="1797" t="s">
        <v>7</v>
      </c>
    </row>
    <row r="22" spans="1:7">
      <c r="A22" s="2178"/>
      <c r="B22" s="2178"/>
      <c r="C22" s="2197"/>
      <c r="D22" s="2201">
        <v>667</v>
      </c>
      <c r="E22" s="2200">
        <v>683.68</v>
      </c>
      <c r="F22" s="1879">
        <v>0</v>
      </c>
      <c r="G22" s="1798"/>
    </row>
    <row r="23" spans="1:7">
      <c r="A23" s="2178"/>
      <c r="B23" s="2178"/>
      <c r="C23" s="2197"/>
      <c r="D23" s="2053"/>
      <c r="E23" s="2054"/>
      <c r="F23" s="2191">
        <v>0</v>
      </c>
    </row>
    <row r="24" spans="1:7">
      <c r="A24" s="2178"/>
      <c r="B24" s="1863"/>
      <c r="C24" s="2197"/>
      <c r="D24" s="2055"/>
      <c r="E24" s="2056"/>
      <c r="F24" s="2191">
        <v>0</v>
      </c>
    </row>
    <row r="25" spans="1:7" s="2194" customFormat="1">
      <c r="A25" s="1863"/>
      <c r="B25" s="2178"/>
      <c r="C25" s="2197"/>
      <c r="D25" s="2057"/>
      <c r="E25" s="2054"/>
      <c r="F25" s="2191">
        <v>0</v>
      </c>
    </row>
    <row r="26" spans="1:7">
      <c r="A26" s="2178"/>
      <c r="B26" s="1863"/>
      <c r="C26" s="1877"/>
      <c r="D26" s="1892"/>
      <c r="E26" s="1884"/>
      <c r="F26" s="1892"/>
    </row>
    <row r="27" spans="1:7" s="2194" customFormat="1">
      <c r="A27" s="1863"/>
      <c r="B27" s="2178"/>
      <c r="C27" s="2106" t="s">
        <v>48</v>
      </c>
      <c r="D27" s="2158">
        <f>SUM(D29:D32)</f>
        <v>44670.470740000004</v>
      </c>
      <c r="E27" s="1926">
        <f>SUM(E29:E32)</f>
        <v>30706.426800000001</v>
      </c>
      <c r="F27" s="2157">
        <f>SUM(F29:F32)</f>
        <v>74467.106140000004</v>
      </c>
    </row>
    <row r="28" spans="1:7">
      <c r="A28" s="2178"/>
      <c r="B28" s="2178"/>
      <c r="C28" s="1909" t="s">
        <v>315</v>
      </c>
      <c r="D28" s="1912">
        <v>0.66700000000000004</v>
      </c>
      <c r="E28" s="1913">
        <v>0.68</v>
      </c>
      <c r="F28" s="1949"/>
    </row>
    <row r="29" spans="1:7">
      <c r="A29" s="2178"/>
      <c r="B29" s="2178"/>
      <c r="C29" s="2197" t="s">
        <v>778</v>
      </c>
      <c r="D29" s="2202">
        <f>D15*D28</f>
        <v>44225.581740000001</v>
      </c>
      <c r="E29" s="2163">
        <f>E15*E28</f>
        <v>30241.524400000002</v>
      </c>
      <c r="F29" s="2191">
        <f>SUM(D29:E29)</f>
        <v>74467.106140000004</v>
      </c>
    </row>
    <row r="30" spans="1:7">
      <c r="A30" s="2178"/>
      <c r="B30" s="2178"/>
      <c r="C30" s="2197" t="s">
        <v>779</v>
      </c>
      <c r="D30" s="1973">
        <f>D21*D28</f>
        <v>444.88900000000001</v>
      </c>
      <c r="E30" s="2163">
        <f>E21*E28</f>
        <v>464.9024</v>
      </c>
      <c r="F30" s="2191">
        <v>0</v>
      </c>
    </row>
    <row r="31" spans="1:7">
      <c r="A31" s="2178"/>
      <c r="B31" s="2178"/>
      <c r="C31" s="1901"/>
      <c r="D31" s="1898"/>
      <c r="E31" s="1897"/>
      <c r="F31" s="1889"/>
    </row>
    <row r="32" spans="1:7">
      <c r="A32" s="2178"/>
      <c r="B32" s="2178"/>
      <c r="C32" s="1901"/>
      <c r="D32" s="1896"/>
      <c r="E32" s="1899"/>
      <c r="F32" s="1890"/>
    </row>
    <row r="33" spans="1:7">
      <c r="A33" s="2178"/>
      <c r="B33" s="1801"/>
      <c r="C33" s="1952"/>
      <c r="D33" s="1958"/>
      <c r="E33" s="1955"/>
      <c r="F33" s="1958"/>
    </row>
    <row r="34" spans="1:7" ht="38.25">
      <c r="A34" s="1831" t="s">
        <v>1639</v>
      </c>
      <c r="B34" s="2178"/>
      <c r="C34" s="2106" t="s">
        <v>49</v>
      </c>
      <c r="D34" s="2158">
        <v>0</v>
      </c>
      <c r="E34" s="1926">
        <v>0</v>
      </c>
      <c r="F34" s="2157">
        <f>SUM(D34:E34)</f>
        <v>0</v>
      </c>
      <c r="G34" s="1799"/>
    </row>
    <row r="35" spans="1:7">
      <c r="A35" s="1976" t="s">
        <v>25</v>
      </c>
      <c r="B35" s="1863"/>
      <c r="C35" s="2197"/>
      <c r="D35" s="2202"/>
      <c r="E35" s="2203"/>
      <c r="F35" s="2191">
        <v>0</v>
      </c>
    </row>
    <row r="36" spans="1:7" s="2194" customFormat="1">
      <c r="A36" s="1880" t="s">
        <v>1494</v>
      </c>
      <c r="B36" s="2178"/>
      <c r="C36" s="2197"/>
      <c r="D36" s="2202"/>
      <c r="E36" s="2203"/>
      <c r="F36" s="2191">
        <v>0</v>
      </c>
    </row>
    <row r="37" spans="1:7">
      <c r="A37" s="1976" t="s">
        <v>5</v>
      </c>
      <c r="B37" s="2178"/>
      <c r="C37" s="2197"/>
      <c r="D37" s="2202"/>
      <c r="E37" s="2203"/>
      <c r="F37" s="2191">
        <v>0</v>
      </c>
    </row>
    <row r="38" spans="1:7">
      <c r="A38" s="2178"/>
      <c r="B38" s="2178"/>
      <c r="C38" s="2197"/>
      <c r="D38" s="2202"/>
      <c r="E38" s="2203"/>
      <c r="F38" s="2191">
        <v>0</v>
      </c>
    </row>
    <row r="39" spans="1:7">
      <c r="A39" s="2178"/>
      <c r="B39" s="2178"/>
      <c r="C39" s="1952"/>
      <c r="D39" s="1958"/>
      <c r="E39" s="1955"/>
      <c r="F39" s="1958"/>
    </row>
    <row r="40" spans="1:7">
      <c r="A40" s="2178"/>
      <c r="B40" s="2178"/>
      <c r="C40" s="2106" t="s">
        <v>506</v>
      </c>
      <c r="D40" s="2158">
        <f>SUM(D41:D44)</f>
        <v>1500</v>
      </c>
      <c r="E40" s="1926">
        <f>SUM(E41:E44)</f>
        <v>1500</v>
      </c>
      <c r="F40" s="2157">
        <f>SUM(D40:E40)</f>
        <v>3000</v>
      </c>
    </row>
    <row r="41" spans="1:7">
      <c r="A41" s="2178"/>
      <c r="B41" s="2178"/>
      <c r="C41" s="2197"/>
      <c r="D41" s="2202">
        <v>1500</v>
      </c>
      <c r="E41" s="2203">
        <v>1500</v>
      </c>
      <c r="F41" s="2191">
        <f>SUM(D41:E41)</f>
        <v>3000</v>
      </c>
    </row>
    <row r="42" spans="1:7">
      <c r="A42" s="2178"/>
      <c r="B42" s="2178"/>
      <c r="C42" s="2197"/>
      <c r="D42" s="2202"/>
      <c r="E42" s="2203"/>
      <c r="F42" s="2191">
        <v>0</v>
      </c>
    </row>
    <row r="43" spans="1:7">
      <c r="A43" s="2178"/>
      <c r="B43" s="2178"/>
      <c r="C43" s="2197"/>
      <c r="D43" s="2202"/>
      <c r="E43" s="2203"/>
      <c r="F43" s="2191">
        <v>0</v>
      </c>
    </row>
    <row r="44" spans="1:7">
      <c r="A44" s="2178"/>
      <c r="B44" s="2178"/>
      <c r="C44" s="2197"/>
      <c r="D44" s="2202"/>
      <c r="E44" s="2203"/>
      <c r="F44" s="2191">
        <v>0</v>
      </c>
    </row>
    <row r="45" spans="1:7">
      <c r="A45" s="2178"/>
      <c r="B45" s="2178"/>
      <c r="C45" s="1952"/>
      <c r="D45" s="1958"/>
      <c r="E45" s="1955"/>
      <c r="F45" s="1958"/>
    </row>
    <row r="46" spans="1:7">
      <c r="A46" s="2178"/>
      <c r="B46" s="2178"/>
      <c r="C46" s="2106" t="s">
        <v>50</v>
      </c>
      <c r="D46" s="2158">
        <f>SUM(D47:D50)</f>
        <v>21750</v>
      </c>
      <c r="E46" s="1926">
        <f>SUM(E47:E50)</f>
        <v>21750</v>
      </c>
      <c r="F46" s="2157">
        <f>SUM(D46:E46)</f>
        <v>43500</v>
      </c>
    </row>
    <row r="47" spans="1:7">
      <c r="A47" s="2178"/>
      <c r="B47" s="2178"/>
      <c r="C47" s="2197" t="s">
        <v>1609</v>
      </c>
      <c r="D47" s="2202">
        <v>21750</v>
      </c>
      <c r="E47" s="2203">
        <v>21750</v>
      </c>
      <c r="F47" s="2191">
        <f>SUM(D47:E47)</f>
        <v>43500</v>
      </c>
    </row>
    <row r="48" spans="1:7">
      <c r="A48" s="2178"/>
      <c r="B48" s="2178"/>
      <c r="C48" s="2197"/>
      <c r="D48" s="2202"/>
      <c r="E48" s="2203"/>
      <c r="F48" s="2191">
        <f>SUM(D48:E48)</f>
        <v>0</v>
      </c>
    </row>
    <row r="49" spans="1:6">
      <c r="A49" s="2178"/>
      <c r="B49" s="2178"/>
      <c r="C49" s="2197"/>
      <c r="D49" s="2202"/>
      <c r="E49" s="2203"/>
      <c r="F49" s="2191">
        <v>0</v>
      </c>
    </row>
    <row r="50" spans="1:6">
      <c r="A50" s="2178"/>
      <c r="B50" s="2178"/>
      <c r="C50" s="2197"/>
      <c r="D50" s="2202"/>
      <c r="E50" s="2203"/>
      <c r="F50" s="2191">
        <v>0</v>
      </c>
    </row>
    <row r="51" spans="1:6">
      <c r="A51" s="2178"/>
      <c r="B51" s="2178"/>
      <c r="C51" s="1952"/>
      <c r="D51" s="1958"/>
      <c r="E51" s="1955"/>
      <c r="F51" s="1958"/>
    </row>
    <row r="52" spans="1:6">
      <c r="A52" s="2178"/>
      <c r="B52" s="2178"/>
      <c r="C52" s="2106" t="s">
        <v>51</v>
      </c>
      <c r="D52" s="2158">
        <f>SUM(D53:D56)</f>
        <v>0</v>
      </c>
      <c r="E52" s="1926">
        <f>SUM(E53:E56)</f>
        <v>0</v>
      </c>
      <c r="F52" s="2157">
        <f>SUM(D52:E52)</f>
        <v>0</v>
      </c>
    </row>
    <row r="53" spans="1:6">
      <c r="A53" s="2178"/>
      <c r="B53" s="2178"/>
      <c r="C53" s="2197"/>
      <c r="D53" s="2202"/>
      <c r="E53" s="2163"/>
      <c r="F53" s="2191">
        <f>SUM(D53:E53)</f>
        <v>0</v>
      </c>
    </row>
    <row r="54" spans="1:6">
      <c r="A54" s="2178"/>
      <c r="B54" s="2178"/>
      <c r="C54" s="2197"/>
      <c r="D54" s="2202"/>
      <c r="E54" s="2163"/>
      <c r="F54" s="2191">
        <f>SUM(D54:E54)</f>
        <v>0</v>
      </c>
    </row>
    <row r="55" spans="1:6">
      <c r="A55" s="2178"/>
      <c r="B55" s="2178"/>
      <c r="C55" s="2197"/>
      <c r="D55" s="2202"/>
      <c r="E55" s="2163"/>
      <c r="F55" s="2191">
        <v>0</v>
      </c>
    </row>
    <row r="56" spans="1:6">
      <c r="A56" s="2178"/>
      <c r="B56" s="2178"/>
      <c r="C56" s="2197"/>
      <c r="D56" s="2202"/>
      <c r="E56" s="2163"/>
      <c r="F56" s="2191">
        <v>0</v>
      </c>
    </row>
    <row r="57" spans="1:6">
      <c r="A57" s="2178"/>
      <c r="B57" s="2178"/>
      <c r="C57" s="1952"/>
      <c r="D57" s="1958"/>
      <c r="E57" s="1955"/>
      <c r="F57" s="1958"/>
    </row>
    <row r="58" spans="1:6">
      <c r="A58" s="2178"/>
      <c r="B58" s="2178"/>
      <c r="C58" s="2106" t="s">
        <v>52</v>
      </c>
      <c r="D58" s="2158">
        <f>SUM(D59:D62)</f>
        <v>0</v>
      </c>
      <c r="E58" s="1926">
        <f>SUM(E59:E62)</f>
        <v>0</v>
      </c>
      <c r="F58" s="2157">
        <f>SUM(D58:E58)</f>
        <v>0</v>
      </c>
    </row>
    <row r="59" spans="1:6">
      <c r="A59" s="2178"/>
      <c r="B59" s="2178"/>
      <c r="C59" s="2197"/>
      <c r="D59" s="2202"/>
      <c r="E59" s="2203"/>
      <c r="F59" s="2191">
        <f>SUM(D59:E59)</f>
        <v>0</v>
      </c>
    </row>
    <row r="60" spans="1:6">
      <c r="A60" s="2178"/>
      <c r="B60" s="2178"/>
      <c r="C60" s="2197"/>
      <c r="D60" s="2202"/>
      <c r="E60" s="2203"/>
      <c r="F60" s="2191">
        <v>0</v>
      </c>
    </row>
    <row r="61" spans="1:6">
      <c r="A61" s="2178"/>
      <c r="C61" s="2197"/>
      <c r="D61" s="2202"/>
      <c r="E61" s="2203"/>
      <c r="F61" s="1890">
        <v>0</v>
      </c>
    </row>
    <row r="62" spans="1:6">
      <c r="C62" s="2197"/>
      <c r="D62" s="2202"/>
      <c r="E62" s="2203"/>
      <c r="F62" s="219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8DB4E3"/>
  </sheetPr>
  <dimension ref="A1:S75"/>
  <sheetViews>
    <sheetView showGridLines="0" zoomScaleNormal="100" workbookViewId="0">
      <pane xSplit="1" ySplit="1" topLeftCell="E26" activePane="bottomRight" state="frozen"/>
      <selection pane="topRight" activeCell="B1" sqref="B1"/>
      <selection pane="bottomLeft" activeCell="A2" sqref="A2"/>
      <selection pane="bottomRight" activeCell="G57" sqref="G57"/>
    </sheetView>
  </sheetViews>
  <sheetFormatPr defaultColWidth="98" defaultRowHeight="12.75"/>
  <cols>
    <col min="1" max="1" width="15.28515625" style="1164" customWidth="1"/>
    <col min="2" max="2" width="62.140625" customWidth="1"/>
    <col min="3" max="3" width="19.42578125" customWidth="1"/>
    <col min="4" max="4" width="18.85546875" customWidth="1"/>
    <col min="5" max="5" width="22" customWidth="1"/>
    <col min="6" max="6" width="19" customWidth="1"/>
    <col min="7" max="7" width="20.5703125" customWidth="1"/>
    <col min="8" max="8" width="21.85546875" customWidth="1"/>
    <col min="9" max="9" width="23.140625" customWidth="1"/>
    <col min="10" max="10" width="24.140625" customWidth="1"/>
    <col min="11" max="11" width="23.5703125" customWidth="1"/>
    <col min="12" max="12" width="21.5703125" customWidth="1"/>
    <col min="13" max="13" width="19.5703125" customWidth="1"/>
    <col min="14" max="14" width="24.7109375" customWidth="1"/>
    <col min="15" max="15" width="19.7109375" customWidth="1"/>
    <col min="16" max="16" width="19.42578125" customWidth="1"/>
    <col min="17" max="17" width="18.7109375" customWidth="1"/>
    <col min="18" max="18" width="15.7109375" customWidth="1"/>
    <col min="19" max="19" width="16.140625" customWidth="1"/>
    <col min="20" max="23" width="11" customWidth="1"/>
  </cols>
  <sheetData>
    <row r="1" spans="1:19" ht="45" customHeight="1">
      <c r="B1" s="1835" t="s">
        <v>279</v>
      </c>
      <c r="C1" s="1812" t="s">
        <v>280</v>
      </c>
      <c r="D1" s="2655" t="s">
        <v>568</v>
      </c>
      <c r="E1" s="1831" t="s">
        <v>585</v>
      </c>
      <c r="F1" s="2656">
        <v>18230721</v>
      </c>
      <c r="G1" s="2657"/>
      <c r="H1" s="2196"/>
      <c r="J1" s="207"/>
      <c r="K1" s="1835" t="s">
        <v>279</v>
      </c>
      <c r="L1" s="1812" t="s">
        <v>280</v>
      </c>
      <c r="M1" s="1831" t="s">
        <v>585</v>
      </c>
      <c r="N1" s="2656">
        <v>18230721</v>
      </c>
      <c r="O1" s="2656"/>
      <c r="P1" s="2657"/>
      <c r="Q1" s="2196"/>
    </row>
    <row r="2" spans="1:19" ht="20.25">
      <c r="B2" s="212"/>
      <c r="C2" s="224"/>
      <c r="D2" s="224"/>
      <c r="E2" s="224"/>
      <c r="F2" s="224"/>
      <c r="G2" s="231"/>
      <c r="H2" s="225"/>
      <c r="I2" s="225"/>
      <c r="J2" s="207"/>
      <c r="K2" s="207"/>
      <c r="L2" s="207"/>
      <c r="M2" s="207"/>
      <c r="N2" s="207"/>
    </row>
    <row r="3" spans="1:19" ht="51">
      <c r="A3" s="1840" t="s">
        <v>279</v>
      </c>
      <c r="C3" s="1607"/>
      <c r="D3" s="1607"/>
      <c r="E3" s="1607"/>
      <c r="F3" s="1607"/>
      <c r="G3" s="2868"/>
      <c r="H3" s="211" t="s">
        <v>8</v>
      </c>
      <c r="I3" s="211" t="s">
        <v>9</v>
      </c>
      <c r="J3" s="211" t="s">
        <v>87</v>
      </c>
      <c r="K3" s="211" t="s">
        <v>11</v>
      </c>
      <c r="L3" s="509" t="s">
        <v>504</v>
      </c>
      <c r="M3" s="211" t="s">
        <v>12</v>
      </c>
      <c r="N3" s="211" t="s">
        <v>13</v>
      </c>
      <c r="O3" s="211" t="s">
        <v>14</v>
      </c>
      <c r="P3" s="211" t="s">
        <v>88</v>
      </c>
      <c r="Q3" s="509" t="s">
        <v>39</v>
      </c>
      <c r="R3" s="211" t="s">
        <v>16</v>
      </c>
      <c r="S3" s="2416" t="s">
        <v>40</v>
      </c>
    </row>
    <row r="4" spans="1:19" ht="15.75">
      <c r="A4" s="1808" t="s">
        <v>280</v>
      </c>
      <c r="G4" s="1704" t="s">
        <v>668</v>
      </c>
      <c r="H4" s="1673">
        <v>306300</v>
      </c>
      <c r="I4" s="1674">
        <v>0</v>
      </c>
      <c r="J4" s="1674">
        <v>213200</v>
      </c>
      <c r="K4" s="1674">
        <v>0</v>
      </c>
      <c r="L4" s="1674">
        <v>0</v>
      </c>
      <c r="M4" s="1674">
        <v>0</v>
      </c>
      <c r="N4" s="1675">
        <v>0</v>
      </c>
      <c r="O4" s="1675">
        <v>0</v>
      </c>
      <c r="P4" s="2837">
        <v>1148223</v>
      </c>
      <c r="Q4" s="2843"/>
      <c r="R4" s="1676">
        <v>1667723</v>
      </c>
      <c r="S4" s="2417">
        <v>1700000</v>
      </c>
    </row>
    <row r="5" spans="1:19">
      <c r="A5" s="2458" t="s">
        <v>568</v>
      </c>
      <c r="G5" s="209">
        <v>2016</v>
      </c>
      <c r="H5" s="233">
        <f>C15</f>
        <v>262230.10980282474</v>
      </c>
      <c r="I5" s="234">
        <f>C18</f>
        <v>0</v>
      </c>
      <c r="J5" s="234">
        <f>C37</f>
        <v>176611.97895220248</v>
      </c>
      <c r="K5" s="234">
        <f>C35</f>
        <v>0</v>
      </c>
      <c r="L5" s="234">
        <f>C26</f>
        <v>0</v>
      </c>
      <c r="M5" s="234">
        <v>0</v>
      </c>
      <c r="N5" s="234">
        <f>C33</f>
        <v>0</v>
      </c>
      <c r="O5" s="234">
        <f>C28</f>
        <v>0</v>
      </c>
      <c r="P5" s="2838">
        <f>C13</f>
        <v>3187682.8</v>
      </c>
      <c r="Q5" s="2847"/>
      <c r="R5" s="235">
        <f>SUM(H5:P5)</f>
        <v>3626524.8887550272</v>
      </c>
      <c r="S5" s="2418">
        <f>C45</f>
        <v>9597674</v>
      </c>
    </row>
    <row r="6" spans="1:19" ht="13.5" thickBot="1">
      <c r="A6" s="1844" t="s">
        <v>585</v>
      </c>
      <c r="G6" s="239">
        <v>2017</v>
      </c>
      <c r="H6" s="233">
        <f>D15</f>
        <v>262230.10980282474</v>
      </c>
      <c r="I6" s="234">
        <f>D18</f>
        <v>0</v>
      </c>
      <c r="J6" s="234">
        <f>D37</f>
        <v>176611.97895220248</v>
      </c>
      <c r="K6" s="234">
        <f>D35</f>
        <v>0</v>
      </c>
      <c r="L6" s="234">
        <f>D26</f>
        <v>0</v>
      </c>
      <c r="M6" s="234">
        <v>0</v>
      </c>
      <c r="N6" s="240">
        <f>D33</f>
        <v>0</v>
      </c>
      <c r="O6" s="240">
        <f>D28</f>
        <v>0</v>
      </c>
      <c r="P6" s="2839">
        <f>D13</f>
        <v>6813990.7999999998</v>
      </c>
      <c r="Q6" s="2848"/>
      <c r="R6" s="235">
        <f>SUM(H6:P6)</f>
        <v>7252832.8887550272</v>
      </c>
      <c r="S6" s="2418">
        <f>D45</f>
        <v>22970706</v>
      </c>
    </row>
    <row r="7" spans="1:19" s="1569" customFormat="1" ht="13.5" thickBot="1">
      <c r="A7" s="2653">
        <v>18230721</v>
      </c>
      <c r="G7" s="1672" t="s">
        <v>55</v>
      </c>
      <c r="H7" s="1596">
        <f t="shared" ref="H7:P7" si="0">SUM(H5:H6)</f>
        <v>524460.21960564947</v>
      </c>
      <c r="I7" s="1595">
        <f t="shared" si="0"/>
        <v>0</v>
      </c>
      <c r="J7" s="1595">
        <f t="shared" si="0"/>
        <v>353223.95790440496</v>
      </c>
      <c r="K7" s="1595">
        <f t="shared" si="0"/>
        <v>0</v>
      </c>
      <c r="L7" s="1595">
        <f t="shared" si="0"/>
        <v>0</v>
      </c>
      <c r="M7" s="1595">
        <f t="shared" si="0"/>
        <v>0</v>
      </c>
      <c r="N7" s="1595">
        <f t="shared" si="0"/>
        <v>0</v>
      </c>
      <c r="O7" s="1595">
        <f t="shared" si="0"/>
        <v>0</v>
      </c>
      <c r="P7" s="2450">
        <f t="shared" si="0"/>
        <v>10001673.6</v>
      </c>
      <c r="Q7" s="2846"/>
      <c r="R7" s="1570">
        <f>SUM(R5:R6)</f>
        <v>10879357.777510054</v>
      </c>
      <c r="S7" s="1553">
        <f>SUM(S5:S6)</f>
        <v>32568380</v>
      </c>
    </row>
    <row r="8" spans="1:19" ht="20.25">
      <c r="A8" s="2654"/>
      <c r="B8" s="212"/>
      <c r="C8" s="224"/>
      <c r="D8" s="224"/>
      <c r="E8" s="224"/>
      <c r="F8" s="224"/>
      <c r="G8" s="231"/>
      <c r="H8" s="225"/>
      <c r="I8" s="225"/>
      <c r="J8" s="207"/>
      <c r="K8" s="207"/>
      <c r="L8" s="207"/>
      <c r="M8" s="207"/>
      <c r="N8" s="215"/>
    </row>
    <row r="9" spans="1:19" ht="18">
      <c r="A9" s="1842"/>
      <c r="C9" s="231"/>
      <c r="D9" s="231"/>
      <c r="E9" s="231"/>
      <c r="F9" s="223"/>
      <c r="G9" s="223"/>
      <c r="H9" s="223"/>
      <c r="I9" s="223"/>
      <c r="J9" s="207"/>
      <c r="K9" s="207"/>
      <c r="L9" s="207"/>
      <c r="M9" s="207"/>
      <c r="N9" s="207"/>
    </row>
    <row r="10" spans="1:19" ht="18">
      <c r="B10" s="213"/>
      <c r="C10" s="236">
        <v>2016</v>
      </c>
      <c r="D10" s="237">
        <v>2017</v>
      </c>
      <c r="E10" s="238" t="s">
        <v>23</v>
      </c>
      <c r="F10" s="218"/>
      <c r="G10" s="218"/>
      <c r="H10" s="1465"/>
      <c r="I10" s="1473"/>
      <c r="J10" s="1462"/>
      <c r="K10" s="1462"/>
      <c r="L10" s="215"/>
      <c r="M10" s="241"/>
      <c r="N10" s="207"/>
    </row>
    <row r="11" spans="1:19">
      <c r="A11" s="2177" t="s">
        <v>5</v>
      </c>
      <c r="B11" s="1126" t="s">
        <v>90</v>
      </c>
      <c r="C11" s="2396">
        <v>2602560</v>
      </c>
      <c r="D11" s="2397">
        <v>6228868</v>
      </c>
      <c r="E11" s="2398">
        <f>C11+D11</f>
        <v>8831428</v>
      </c>
      <c r="F11" s="926"/>
      <c r="G11" s="218"/>
      <c r="H11" s="1465"/>
      <c r="I11" s="1465"/>
      <c r="J11" s="1467"/>
      <c r="K11" s="1462"/>
      <c r="L11" s="207"/>
      <c r="M11" s="207"/>
      <c r="N11" s="207"/>
    </row>
    <row r="12" spans="1:19" s="2177" customFormat="1" ht="15">
      <c r="B12" s="2395" t="s">
        <v>544</v>
      </c>
      <c r="C12" s="2466">
        <f>I43/2</f>
        <v>585122.80000000005</v>
      </c>
      <c r="D12" s="2467">
        <f>I43/2</f>
        <v>585122.80000000005</v>
      </c>
      <c r="E12" s="2468">
        <f>SUM(C12:D12)</f>
        <v>1170245.6000000001</v>
      </c>
      <c r="F12" s="1131"/>
      <c r="G12" s="1131"/>
      <c r="H12" s="1465"/>
      <c r="I12" s="1465"/>
      <c r="J12" s="1467"/>
      <c r="K12" s="1462"/>
      <c r="L12" s="2340"/>
      <c r="M12" s="2340"/>
      <c r="N12" s="2340"/>
    </row>
    <row r="13" spans="1:19" s="2177" customFormat="1">
      <c r="B13" s="2395"/>
      <c r="C13" s="1052">
        <f>SUM(C11:C12)</f>
        <v>3187682.8</v>
      </c>
      <c r="D13" s="927">
        <f>SUM(D11:D12)</f>
        <v>6813990.7999999998</v>
      </c>
      <c r="E13" s="946">
        <f>SUM(C13:D13)</f>
        <v>10001673.6</v>
      </c>
      <c r="F13" s="1131"/>
      <c r="G13" s="1131"/>
      <c r="H13" s="1465"/>
      <c r="I13" s="1465"/>
      <c r="J13" s="1467"/>
      <c r="K13" s="1462"/>
      <c r="L13" s="2340"/>
      <c r="M13" s="2340"/>
      <c r="N13" s="2340"/>
    </row>
    <row r="14" spans="1:19" ht="18">
      <c r="B14" s="922"/>
      <c r="C14" s="939"/>
      <c r="D14" s="926"/>
      <c r="E14" s="945"/>
      <c r="F14" s="926"/>
      <c r="G14" s="218"/>
      <c r="H14" s="1465"/>
      <c r="I14" s="3162">
        <v>2016</v>
      </c>
      <c r="J14" s="3163">
        <v>2017</v>
      </c>
      <c r="K14" s="1463"/>
      <c r="L14" s="207"/>
      <c r="M14" s="207"/>
      <c r="N14" s="207"/>
    </row>
    <row r="15" spans="1:19">
      <c r="B15" s="920" t="s">
        <v>93</v>
      </c>
      <c r="C15" s="1260">
        <f>SUM(C16:C18)</f>
        <v>262230.10980282474</v>
      </c>
      <c r="D15" s="1259">
        <f>SUM(D16:D18)</f>
        <v>262230.10980282474</v>
      </c>
      <c r="E15" s="1261">
        <f>SUM(C15:D15)</f>
        <v>524460.21960564947</v>
      </c>
      <c r="F15" s="924"/>
      <c r="G15" s="216"/>
      <c r="H15" s="1463"/>
      <c r="I15" s="1137">
        <v>2.7</v>
      </c>
      <c r="J15" s="2177">
        <v>2.6</v>
      </c>
      <c r="K15" s="738" t="s">
        <v>96</v>
      </c>
      <c r="L15" s="207"/>
      <c r="M15" s="207"/>
      <c r="N15" s="207"/>
    </row>
    <row r="16" spans="1:19">
      <c r="B16" s="925" t="s">
        <v>95</v>
      </c>
      <c r="C16" s="961"/>
      <c r="D16" s="959"/>
      <c r="E16" s="962">
        <f>SUM(C16:D16)</f>
        <v>0</v>
      </c>
      <c r="F16" s="933"/>
      <c r="G16" s="219"/>
      <c r="H16" s="1464"/>
      <c r="I16" s="2177">
        <v>0</v>
      </c>
      <c r="J16" s="2177">
        <v>0</v>
      </c>
      <c r="K16" s="738" t="s">
        <v>96</v>
      </c>
      <c r="L16" s="207"/>
      <c r="M16" s="207"/>
      <c r="N16" s="207"/>
    </row>
    <row r="17" spans="2:14" customFormat="1">
      <c r="B17" s="2402" t="s">
        <v>545</v>
      </c>
      <c r="C17" s="3351">
        <f>I34/2</f>
        <v>262230.10980282474</v>
      </c>
      <c r="D17" s="2009">
        <f>I34/2</f>
        <v>262230.10980282474</v>
      </c>
      <c r="E17" s="2403">
        <f>SUM(C17:D17)</f>
        <v>524460.21960564947</v>
      </c>
      <c r="F17" s="1137"/>
      <c r="G17" s="514"/>
      <c r="H17" s="1464"/>
      <c r="I17" s="1465"/>
      <c r="J17" s="1461"/>
      <c r="K17" s="1458"/>
      <c r="L17" s="207"/>
      <c r="M17" s="207"/>
      <c r="N17" s="207"/>
    </row>
    <row r="18" spans="2:14" customFormat="1">
      <c r="B18" s="925" t="s">
        <v>99</v>
      </c>
      <c r="C18" s="961">
        <v>0</v>
      </c>
      <c r="D18" s="959">
        <v>0</v>
      </c>
      <c r="E18" s="962">
        <f>SUM(C18:D18)</f>
        <v>0</v>
      </c>
      <c r="F18" s="933"/>
      <c r="G18" s="217"/>
      <c r="H18" s="1464"/>
      <c r="I18" s="1465"/>
      <c r="J18" s="1461"/>
      <c r="K18" s="1458"/>
      <c r="L18" s="207"/>
      <c r="M18" s="242"/>
    </row>
    <row r="19" spans="2:14" s="2177" customFormat="1">
      <c r="B19" s="1130"/>
      <c r="C19" s="1120"/>
      <c r="D19" s="959"/>
      <c r="E19" s="962"/>
      <c r="F19" s="1137"/>
      <c r="G19" s="1102"/>
      <c r="H19" s="1464"/>
      <c r="I19" s="1465"/>
      <c r="J19" s="1461"/>
      <c r="K19" s="1458"/>
      <c r="L19" s="2340"/>
      <c r="M19" s="522"/>
    </row>
    <row r="20" spans="2:14" customFormat="1">
      <c r="B20" s="1126" t="s">
        <v>506</v>
      </c>
      <c r="C20" s="940"/>
      <c r="D20" s="929"/>
      <c r="E20" s="947"/>
      <c r="F20" s="924"/>
      <c r="G20" s="207"/>
      <c r="H20" s="1464"/>
      <c r="I20" s="1465"/>
      <c r="J20" s="1481"/>
      <c r="K20" s="1458"/>
      <c r="L20" s="207"/>
      <c r="M20" s="207"/>
    </row>
    <row r="21" spans="2:14" customFormat="1">
      <c r="B21" s="916" t="s">
        <v>100</v>
      </c>
      <c r="C21" s="949">
        <v>0</v>
      </c>
      <c r="D21" s="959">
        <v>0</v>
      </c>
      <c r="E21" s="950">
        <v>0</v>
      </c>
      <c r="F21" s="934"/>
      <c r="G21" s="207"/>
      <c r="H21" s="1463"/>
      <c r="I21" s="1465"/>
      <c r="J21" s="1461"/>
      <c r="K21" s="1458"/>
      <c r="L21" s="207"/>
      <c r="M21" s="207"/>
    </row>
    <row r="22" spans="2:14" customFormat="1">
      <c r="B22" s="925" t="s">
        <v>101</v>
      </c>
      <c r="C22" s="949">
        <v>0</v>
      </c>
      <c r="D22" s="959">
        <v>0</v>
      </c>
      <c r="E22" s="950">
        <v>0</v>
      </c>
      <c r="F22" s="916"/>
      <c r="G22" s="219"/>
      <c r="H22" s="1463"/>
      <c r="I22" s="1458"/>
      <c r="J22" s="1460"/>
      <c r="K22" s="1458"/>
      <c r="L22" s="207"/>
      <c r="M22" s="207"/>
    </row>
    <row r="23" spans="2:14" customFormat="1">
      <c r="B23" s="925" t="s">
        <v>104</v>
      </c>
      <c r="C23" s="949">
        <v>0</v>
      </c>
      <c r="D23" s="959">
        <v>0</v>
      </c>
      <c r="E23" s="950">
        <v>0</v>
      </c>
      <c r="F23" s="924"/>
      <c r="G23" s="216"/>
      <c r="H23" s="1475"/>
      <c r="I23" s="1465"/>
      <c r="J23" s="1479"/>
      <c r="K23" s="1458"/>
      <c r="L23" s="207"/>
      <c r="M23" s="207"/>
    </row>
    <row r="24" spans="2:14" s="2177" customFormat="1">
      <c r="B24" s="1130" t="s">
        <v>540</v>
      </c>
      <c r="C24" s="1183"/>
      <c r="D24" s="959"/>
      <c r="E24" s="1188"/>
      <c r="F24" s="1129"/>
      <c r="G24" s="513"/>
      <c r="H24" s="1475"/>
      <c r="I24" s="1465"/>
      <c r="J24" s="1479"/>
      <c r="K24" s="1458"/>
      <c r="L24" s="2340"/>
      <c r="M24" s="2340"/>
    </row>
    <row r="25" spans="2:14" customFormat="1">
      <c r="B25" s="925" t="s">
        <v>107</v>
      </c>
      <c r="C25" s="941">
        <v>0</v>
      </c>
      <c r="D25" s="959">
        <v>0</v>
      </c>
      <c r="E25" s="960">
        <v>0</v>
      </c>
      <c r="F25" s="924"/>
      <c r="G25" s="226"/>
      <c r="H25" s="1463"/>
      <c r="I25" s="1471" t="s">
        <v>102</v>
      </c>
      <c r="J25" s="1477"/>
      <c r="K25" s="1469" t="s">
        <v>103</v>
      </c>
      <c r="L25" s="207"/>
      <c r="M25" s="207"/>
    </row>
    <row r="26" spans="2:14" customFormat="1">
      <c r="B26" s="916"/>
      <c r="C26" s="942">
        <v>0</v>
      </c>
      <c r="D26" s="948">
        <v>0</v>
      </c>
      <c r="E26" s="954">
        <v>0</v>
      </c>
      <c r="F26" s="924"/>
      <c r="G26" s="216"/>
      <c r="H26" s="1476"/>
      <c r="I26" s="1471" t="s">
        <v>105</v>
      </c>
      <c r="J26" s="1474"/>
      <c r="K26" s="1472" t="s">
        <v>106</v>
      </c>
      <c r="L26" s="207"/>
      <c r="M26" s="207"/>
    </row>
    <row r="27" spans="2:14" customFormat="1">
      <c r="B27" s="917"/>
      <c r="C27" s="952"/>
      <c r="D27" s="921"/>
      <c r="E27" s="953"/>
      <c r="F27" s="924"/>
      <c r="G27" s="216"/>
      <c r="H27" s="1476"/>
      <c r="I27" s="1471" t="s">
        <v>108</v>
      </c>
      <c r="J27" s="1474"/>
      <c r="K27" s="1472" t="s">
        <v>106</v>
      </c>
      <c r="L27" s="207"/>
      <c r="M27" s="207"/>
    </row>
    <row r="28" spans="2:14" customFormat="1">
      <c r="B28" s="920" t="s">
        <v>94</v>
      </c>
      <c r="C28" s="942">
        <v>0</v>
      </c>
      <c r="D28" s="948">
        <v>0</v>
      </c>
      <c r="E28" s="951">
        <v>0</v>
      </c>
      <c r="F28" s="924"/>
      <c r="G28" s="216"/>
      <c r="H28" s="1476"/>
      <c r="I28" s="1470" t="s">
        <v>109</v>
      </c>
      <c r="J28" s="1478"/>
      <c r="K28" s="1458"/>
      <c r="L28" s="207"/>
      <c r="M28" s="207"/>
    </row>
    <row r="29" spans="2:14" customFormat="1">
      <c r="B29" s="917"/>
      <c r="C29" s="952"/>
      <c r="D29" s="921"/>
      <c r="E29" s="953"/>
      <c r="F29" s="924"/>
      <c r="G29" s="216"/>
      <c r="H29" s="1476"/>
      <c r="I29" s="1458"/>
      <c r="J29" s="1458"/>
      <c r="K29" s="1458"/>
      <c r="L29" s="207"/>
      <c r="M29" s="207"/>
    </row>
    <row r="30" spans="2:14" customFormat="1">
      <c r="B30" s="919" t="s">
        <v>97</v>
      </c>
      <c r="C30" s="952"/>
      <c r="D30" s="921"/>
      <c r="E30" s="953"/>
      <c r="F30" s="935"/>
      <c r="G30" s="216"/>
      <c r="H30" s="1476"/>
      <c r="I30" s="1458"/>
      <c r="J30" s="1458"/>
      <c r="K30" s="1458"/>
      <c r="L30" s="207"/>
      <c r="M30" s="207"/>
    </row>
    <row r="31" spans="2:14" customFormat="1">
      <c r="B31" s="916" t="s">
        <v>110</v>
      </c>
      <c r="C31" s="952">
        <v>0</v>
      </c>
      <c r="D31" s="959">
        <v>0</v>
      </c>
      <c r="E31" s="953">
        <v>0</v>
      </c>
      <c r="F31" s="935"/>
      <c r="G31" s="216"/>
      <c r="H31" s="1476"/>
      <c r="I31" s="1458"/>
      <c r="J31" s="1458"/>
      <c r="K31" s="1458"/>
      <c r="L31" s="207"/>
      <c r="M31" s="207"/>
    </row>
    <row r="32" spans="2:14" customFormat="1">
      <c r="B32" s="917" t="s">
        <v>112</v>
      </c>
      <c r="C32" s="952">
        <v>0</v>
      </c>
      <c r="D32" s="959">
        <v>0</v>
      </c>
      <c r="E32" s="953">
        <v>0</v>
      </c>
      <c r="F32" s="935"/>
      <c r="G32" s="1466" t="s">
        <v>546</v>
      </c>
      <c r="H32" s="1459"/>
      <c r="I32" s="1459"/>
      <c r="K32" s="1459"/>
      <c r="L32" s="207"/>
      <c r="M32" s="207"/>
    </row>
    <row r="33" spans="1:13">
      <c r="B33" s="919" t="s">
        <v>113</v>
      </c>
      <c r="C33" s="943">
        <v>0</v>
      </c>
      <c r="D33" s="959">
        <v>0</v>
      </c>
      <c r="E33" s="958">
        <v>0</v>
      </c>
      <c r="F33" s="935"/>
      <c r="G33" s="1482"/>
      <c r="H33" s="2035" t="s">
        <v>547</v>
      </c>
      <c r="I33" s="3346">
        <f>5851227.85006703*0.075*2</f>
        <v>877684.17751005443</v>
      </c>
      <c r="K33" s="1459"/>
      <c r="L33" s="207"/>
      <c r="M33" s="207"/>
    </row>
    <row r="34" spans="1:13">
      <c r="B34" s="917"/>
      <c r="C34" s="952"/>
      <c r="D34" s="921"/>
      <c r="E34" s="953"/>
      <c r="F34" s="935"/>
      <c r="G34" s="1480"/>
      <c r="H34" s="2034" t="s">
        <v>548</v>
      </c>
      <c r="I34" s="3347">
        <f>I33/(1+AVERAGE(F37:F38))</f>
        <v>524460.21960564947</v>
      </c>
      <c r="K34" s="1459"/>
      <c r="L34" s="207"/>
      <c r="M34" s="207"/>
    </row>
    <row r="35" spans="1:13">
      <c r="B35" s="919" t="s">
        <v>98</v>
      </c>
      <c r="C35" s="944">
        <v>0</v>
      </c>
      <c r="D35" s="948">
        <v>0</v>
      </c>
      <c r="E35" s="954">
        <v>0</v>
      </c>
      <c r="F35" s="935"/>
      <c r="G35" s="1486"/>
      <c r="H35" s="2401" t="s">
        <v>248</v>
      </c>
      <c r="I35" s="3350">
        <f>I33-I34</f>
        <v>353223.95790440496</v>
      </c>
      <c r="K35" s="1459"/>
    </row>
    <row r="36" spans="1:13">
      <c r="B36" s="917"/>
      <c r="C36" s="952"/>
      <c r="D36" s="921"/>
      <c r="E36" s="953"/>
      <c r="F36" s="1860"/>
      <c r="G36" s="1459"/>
      <c r="H36" s="2400"/>
      <c r="I36" s="2399"/>
      <c r="J36" s="1607"/>
      <c r="K36" s="1459"/>
    </row>
    <row r="37" spans="1:13" ht="15" customHeight="1">
      <c r="B37" s="1263" t="s">
        <v>337</v>
      </c>
      <c r="C37" s="1265">
        <f>E37/2</f>
        <v>176611.97895220248</v>
      </c>
      <c r="D37" s="1264">
        <f>E37/2</f>
        <v>176611.97895220248</v>
      </c>
      <c r="E37" s="1266">
        <f>I35</f>
        <v>353223.95790440496</v>
      </c>
      <c r="F37" s="2805">
        <v>0.66700000000000004</v>
      </c>
      <c r="G37" s="2827" t="s">
        <v>725</v>
      </c>
      <c r="H37" s="1476"/>
      <c r="J37" s="1458"/>
      <c r="K37" s="1458"/>
    </row>
    <row r="38" spans="1:13" ht="13.5" customHeight="1">
      <c r="B38" s="917"/>
      <c r="C38" s="952"/>
      <c r="D38" s="921"/>
      <c r="E38" s="953"/>
      <c r="F38" s="2805">
        <v>0.68</v>
      </c>
      <c r="G38" s="2803" t="s">
        <v>726</v>
      </c>
      <c r="K38" s="1458"/>
    </row>
    <row r="39" spans="1:13" ht="13.5" thickBot="1">
      <c r="B39" s="923"/>
      <c r="C39" s="949"/>
      <c r="D39" s="936"/>
      <c r="E39" s="1188"/>
      <c r="F39" s="935"/>
      <c r="G39" s="208"/>
      <c r="H39" s="227"/>
      <c r="I39" s="214"/>
    </row>
    <row r="40" spans="1:13" ht="13.5" thickBot="1">
      <c r="B40" s="930" t="s">
        <v>118</v>
      </c>
      <c r="C40" s="1151">
        <f>C13+C15+C37</f>
        <v>3626524.8887550272</v>
      </c>
      <c r="D40" s="2405">
        <f>D13+D15+D37</f>
        <v>7252832.8887550272</v>
      </c>
      <c r="E40" s="2404">
        <f>E13+E15+E37</f>
        <v>10879357.777510054</v>
      </c>
      <c r="F40" s="935"/>
      <c r="G40" s="208"/>
      <c r="H40" s="227"/>
      <c r="I40" s="214"/>
    </row>
    <row r="41" spans="1:13">
      <c r="B41" s="918"/>
      <c r="C41" s="936"/>
      <c r="D41" s="936"/>
      <c r="E41" s="936"/>
      <c r="F41" s="935"/>
      <c r="G41" s="1466" t="s">
        <v>338</v>
      </c>
      <c r="H41" s="1459"/>
      <c r="I41" s="1459"/>
    </row>
    <row r="42" spans="1:13">
      <c r="B42" s="916"/>
      <c r="G42" s="1482"/>
      <c r="H42" s="2035" t="s">
        <v>339</v>
      </c>
      <c r="I42" s="1483">
        <v>11702456</v>
      </c>
    </row>
    <row r="43" spans="1:13">
      <c r="B43" s="1320"/>
      <c r="G43" s="1486"/>
      <c r="H43" s="1487" t="s">
        <v>254</v>
      </c>
      <c r="I43" s="3348">
        <f>I42*0.1</f>
        <v>1170245.6000000001</v>
      </c>
      <c r="J43" s="2177" t="s">
        <v>620</v>
      </c>
    </row>
    <row r="44" spans="1:13">
      <c r="B44" s="919"/>
      <c r="C44" s="956">
        <v>2016</v>
      </c>
      <c r="D44" s="956">
        <v>2017</v>
      </c>
      <c r="E44" s="956" t="s">
        <v>23</v>
      </c>
      <c r="F44" s="916"/>
      <c r="G44" s="228"/>
    </row>
    <row r="45" spans="1:13">
      <c r="A45" s="3618" t="s">
        <v>279</v>
      </c>
      <c r="B45" s="24" t="s">
        <v>119</v>
      </c>
      <c r="C45" s="811">
        <v>9597674</v>
      </c>
      <c r="D45" s="814">
        <v>22970706</v>
      </c>
      <c r="E45" s="814">
        <f>SUM(C45:D45)</f>
        <v>32568380</v>
      </c>
      <c r="F45" s="813" t="s">
        <v>120</v>
      </c>
      <c r="G45" s="228"/>
    </row>
    <row r="46" spans="1:13">
      <c r="A46" s="3618"/>
      <c r="B46" s="207"/>
      <c r="C46" s="932"/>
      <c r="D46" s="932"/>
      <c r="E46" s="932"/>
      <c r="F46" s="931"/>
      <c r="G46" s="228"/>
    </row>
    <row r="47" spans="1:13">
      <c r="A47" s="3618"/>
      <c r="B47" s="938" t="s">
        <v>122</v>
      </c>
      <c r="C47" s="957"/>
      <c r="D47" s="957"/>
      <c r="E47" s="937"/>
      <c r="F47" s="928"/>
      <c r="G47" s="228"/>
      <c r="H47" s="221"/>
      <c r="I47" s="221"/>
      <c r="J47" s="210"/>
    </row>
    <row r="48" spans="1:13">
      <c r="A48" s="1812" t="s">
        <v>280</v>
      </c>
      <c r="B48" s="207"/>
      <c r="C48" s="232"/>
      <c r="D48" s="232"/>
      <c r="E48" s="232"/>
      <c r="F48" s="221"/>
      <c r="G48" s="228"/>
      <c r="H48" s="221"/>
      <c r="I48" s="221"/>
      <c r="J48" s="210"/>
    </row>
    <row r="49" spans="1:10" ht="20.25">
      <c r="A49" s="2458" t="s">
        <v>568</v>
      </c>
      <c r="B49" s="212"/>
      <c r="C49" s="232"/>
      <c r="D49" s="232"/>
      <c r="E49" s="232"/>
      <c r="F49" s="221"/>
      <c r="G49" s="228"/>
      <c r="H49" s="221"/>
      <c r="I49" s="221"/>
      <c r="J49" s="210"/>
    </row>
    <row r="50" spans="1:10">
      <c r="A50" s="1844" t="s">
        <v>585</v>
      </c>
      <c r="B50" s="207"/>
      <c r="C50" s="232"/>
      <c r="D50" s="232"/>
      <c r="E50" s="232"/>
      <c r="F50" s="229"/>
      <c r="G50" s="227"/>
      <c r="H50" s="221"/>
      <c r="I50" s="221"/>
      <c r="J50" s="210"/>
    </row>
    <row r="51" spans="1:10">
      <c r="A51" s="2653">
        <v>18230721</v>
      </c>
      <c r="B51" s="230"/>
      <c r="C51" s="232"/>
      <c r="D51" s="232"/>
      <c r="E51" s="232"/>
      <c r="F51" s="229"/>
      <c r="G51" s="227"/>
      <c r="H51" s="221"/>
      <c r="I51" s="221"/>
      <c r="J51" s="210"/>
    </row>
    <row r="52" spans="1:10">
      <c r="A52" s="2654"/>
      <c r="B52" s="243"/>
      <c r="C52" s="232"/>
      <c r="D52" s="232"/>
      <c r="E52" s="232"/>
      <c r="F52" s="229"/>
      <c r="G52" s="229"/>
      <c r="H52" s="221"/>
      <c r="I52" s="221"/>
      <c r="J52" s="210"/>
    </row>
    <row r="53" spans="1:10">
      <c r="A53" s="2193"/>
      <c r="B53" s="232"/>
      <c r="C53" s="207"/>
      <c r="D53" s="207"/>
      <c r="E53" s="207"/>
      <c r="F53" s="229"/>
      <c r="G53" s="221"/>
      <c r="H53" s="229"/>
      <c r="I53" s="221"/>
      <c r="J53" s="210"/>
    </row>
    <row r="54" spans="1:10">
      <c r="A54" s="2193"/>
      <c r="B54" s="207"/>
      <c r="C54" s="207"/>
      <c r="D54" s="207"/>
      <c r="E54" s="207"/>
      <c r="F54" s="229"/>
      <c r="G54" s="221"/>
      <c r="H54" s="229"/>
      <c r="I54" s="220"/>
      <c r="J54" s="210"/>
    </row>
    <row r="55" spans="1:10">
      <c r="A55" s="2193" t="s">
        <v>5</v>
      </c>
      <c r="B55" s="207"/>
      <c r="C55" s="207"/>
      <c r="D55" s="207"/>
      <c r="E55" s="207"/>
      <c r="F55" s="229"/>
      <c r="G55" s="221"/>
      <c r="H55" s="229"/>
      <c r="I55" s="220"/>
      <c r="J55" s="210"/>
    </row>
    <row r="56" spans="1:10">
      <c r="B56" s="207"/>
      <c r="C56" s="207"/>
      <c r="D56" s="207"/>
      <c r="E56" s="207"/>
      <c r="F56" s="207"/>
      <c r="G56" s="221"/>
      <c r="H56" s="229"/>
      <c r="I56" s="220"/>
      <c r="J56" s="210"/>
    </row>
    <row r="57" spans="1:10">
      <c r="B57" s="207"/>
      <c r="C57" s="207"/>
      <c r="D57" s="207"/>
      <c r="E57" s="207"/>
      <c r="F57" s="207"/>
      <c r="G57" s="221"/>
      <c r="H57" s="229"/>
      <c r="I57" s="220"/>
      <c r="J57" s="210"/>
    </row>
    <row r="58" spans="1:10">
      <c r="F58" s="207"/>
      <c r="G58" s="221"/>
      <c r="H58" s="229"/>
      <c r="I58" s="220"/>
      <c r="J58" s="210"/>
    </row>
    <row r="59" spans="1:10">
      <c r="F59" s="207"/>
      <c r="G59" s="229"/>
      <c r="H59" s="229"/>
      <c r="I59" s="220"/>
      <c r="J59" s="210"/>
    </row>
    <row r="60" spans="1:10">
      <c r="F60" s="207"/>
      <c r="G60" s="229"/>
      <c r="H60" s="229"/>
      <c r="I60" s="220"/>
      <c r="J60" s="210"/>
    </row>
    <row r="61" spans="1:10">
      <c r="F61" s="207"/>
      <c r="G61" s="229"/>
      <c r="H61" s="229"/>
      <c r="I61" s="220"/>
      <c r="J61" s="210"/>
    </row>
    <row r="62" spans="1:10">
      <c r="F62" s="221"/>
      <c r="G62" s="229"/>
      <c r="H62" s="221"/>
      <c r="I62" s="221"/>
      <c r="J62" s="210"/>
    </row>
    <row r="63" spans="1:10">
      <c r="F63" s="221"/>
      <c r="G63" s="229"/>
      <c r="H63" s="221"/>
      <c r="I63" s="221"/>
      <c r="J63" s="210"/>
    </row>
    <row r="64" spans="1:10">
      <c r="F64" s="221"/>
      <c r="G64" s="229"/>
      <c r="H64" s="221"/>
      <c r="I64" s="221"/>
      <c r="J64" s="210"/>
    </row>
    <row r="65" spans="6:10" customFormat="1" ht="15.75">
      <c r="F65" s="222"/>
      <c r="G65" s="229"/>
      <c r="H65" s="221"/>
      <c r="I65" s="221"/>
      <c r="J65" s="210"/>
    </row>
    <row r="66" spans="6:10" customFormat="1">
      <c r="F66" s="210"/>
      <c r="G66" s="229"/>
      <c r="H66" s="221"/>
      <c r="I66" s="221"/>
      <c r="J66" s="210"/>
    </row>
    <row r="67" spans="6:10" customFormat="1">
      <c r="F67" s="207"/>
      <c r="G67" s="229"/>
      <c r="H67" s="221"/>
      <c r="I67" s="221"/>
      <c r="J67" s="210"/>
    </row>
    <row r="68" spans="6:10" customFormat="1" ht="15.75">
      <c r="F68" s="207"/>
      <c r="G68" s="221"/>
      <c r="H68" s="222"/>
      <c r="I68" s="222"/>
      <c r="J68" s="210"/>
    </row>
    <row r="69" spans="6:10" customFormat="1">
      <c r="F69" s="207"/>
      <c r="G69" s="221"/>
      <c r="H69" s="210"/>
      <c r="I69" s="210"/>
      <c r="J69" s="210"/>
    </row>
    <row r="70" spans="6:10" customFormat="1">
      <c r="F70" s="207"/>
      <c r="G70" s="221"/>
      <c r="H70" s="207"/>
      <c r="I70" s="207"/>
      <c r="J70" s="207"/>
    </row>
    <row r="71" spans="6:10" customFormat="1">
      <c r="F71" s="207"/>
      <c r="G71" s="221"/>
      <c r="H71" s="207"/>
      <c r="I71" s="207"/>
      <c r="J71" s="207"/>
    </row>
    <row r="72" spans="6:10" customFormat="1">
      <c r="F72" s="207"/>
      <c r="G72" s="221"/>
      <c r="H72" s="207"/>
      <c r="I72" s="207"/>
      <c r="J72" s="207"/>
    </row>
    <row r="73" spans="6:10" customFormat="1">
      <c r="F73" s="207"/>
      <c r="G73" s="221"/>
      <c r="H73" s="207"/>
      <c r="I73" s="207"/>
      <c r="J73" s="207"/>
    </row>
    <row r="74" spans="6:10" customFormat="1" ht="15.75">
      <c r="G74" s="222"/>
      <c r="H74" s="207"/>
      <c r="I74" s="207"/>
      <c r="J74" s="207"/>
    </row>
    <row r="75" spans="6:10" customFormat="1">
      <c r="G75" s="210"/>
      <c r="H75" s="207"/>
      <c r="I75" s="207"/>
      <c r="J75" s="207"/>
    </row>
  </sheetData>
  <customSheetViews>
    <customSheetView guid="{074EB09C-6289-46D7-9513-012B68BCA7BF}" showGridLines="0">
      <pane xSplit="1" ySplit="1" topLeftCell="E2" activePane="bottomRight" state="frozen"/>
      <selection pane="bottomRight" activeCell="I14" sqref="I14:K16"/>
      <pageMargins left="0.27" right="0.3" top="0.48" bottom="0.75" header="0.3" footer="0.3"/>
      <pageSetup paperSize="17" scale="65" orientation="landscape" r:id="rId1"/>
    </customSheetView>
    <customSheetView guid="{D9EFFE19-D14B-4C6F-BDF4-FF696F73968D}" showGridLines="0">
      <pane xSplit="1" ySplit="1" topLeftCell="B2" activePane="bottomRight" state="frozen"/>
      <selection pane="bottomRight"/>
      <pageMargins left="0.27" right="0.3" top="0.48" bottom="0.75" header="0.3" footer="0.3"/>
      <pageSetup paperSize="17" scale="65" orientation="landscape" r:id="rId2"/>
    </customSheetView>
  </customSheetViews>
  <mergeCells count="1">
    <mergeCell ref="A45:A47"/>
  </mergeCells>
  <pageMargins left="0.27" right="0.3" top="0.48" bottom="0.75" header="0.3" footer="0.3"/>
  <pageSetup paperSize="17" scale="65" orientation="landscape" r:id="rId3"/>
  <ignoredErrors>
    <ignoredError sqref="C13:D13" formulaRange="1"/>
  </ignoredErrors>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S75"/>
  <sheetViews>
    <sheetView showGridLines="0" zoomScaleNormal="100" workbookViewId="0">
      <pane xSplit="1" ySplit="1" topLeftCell="E23" activePane="bottomRight" state="frozen"/>
      <selection pane="topRight" activeCell="B1" sqref="B1"/>
      <selection pane="bottomLeft" activeCell="A2" sqref="A2"/>
      <selection pane="bottomRight" activeCell="F31" sqref="F31"/>
    </sheetView>
  </sheetViews>
  <sheetFormatPr defaultColWidth="98" defaultRowHeight="12.75"/>
  <cols>
    <col min="1" max="1" width="15.28515625" style="2177" customWidth="1"/>
    <col min="2" max="2" width="55.28515625" style="2177" customWidth="1"/>
    <col min="3" max="3" width="19.42578125" style="2177" customWidth="1"/>
    <col min="4" max="4" width="18.85546875" style="2177" customWidth="1"/>
    <col min="5" max="5" width="22" style="2177" customWidth="1"/>
    <col min="6" max="6" width="19" style="2177" customWidth="1"/>
    <col min="7" max="7" width="20.5703125" style="2177" customWidth="1"/>
    <col min="8" max="8" width="21.85546875" style="2177" customWidth="1"/>
    <col min="9" max="9" width="23.140625" style="2177" customWidth="1"/>
    <col min="10" max="10" width="24.140625" style="2177" customWidth="1"/>
    <col min="11" max="11" width="23.5703125" style="2177" customWidth="1"/>
    <col min="12" max="12" width="21.5703125" style="2177" customWidth="1"/>
    <col min="13" max="13" width="19.5703125" style="2177" customWidth="1"/>
    <col min="14" max="14" width="24.7109375" style="2177" customWidth="1"/>
    <col min="15" max="15" width="19.7109375" style="2177" customWidth="1"/>
    <col min="16" max="16" width="19.42578125" style="2177" customWidth="1"/>
    <col min="17" max="17" width="18.7109375" style="2177" customWidth="1"/>
    <col min="18" max="18" width="20.7109375" style="2177" customWidth="1"/>
    <col min="19" max="19" width="13.42578125" style="2177" customWidth="1"/>
    <col min="20" max="23" width="11" style="2177" customWidth="1"/>
    <col min="24" max="16384" width="98" style="2177"/>
  </cols>
  <sheetData>
    <row r="1" spans="1:19" ht="45" customHeight="1">
      <c r="B1" s="1835" t="s">
        <v>279</v>
      </c>
      <c r="C1" s="1812" t="s">
        <v>280</v>
      </c>
      <c r="D1" s="2655" t="s">
        <v>568</v>
      </c>
      <c r="E1" s="2657" t="s">
        <v>586</v>
      </c>
      <c r="F1" s="2196">
        <v>18230720</v>
      </c>
      <c r="J1" s="3122"/>
      <c r="K1" s="1835" t="s">
        <v>279</v>
      </c>
      <c r="L1" s="1812" t="s">
        <v>280</v>
      </c>
      <c r="M1" s="2657" t="s">
        <v>586</v>
      </c>
      <c r="N1" s="2196">
        <v>18230720</v>
      </c>
      <c r="O1" s="2656"/>
      <c r="P1" s="2657"/>
      <c r="Q1" s="2196"/>
    </row>
    <row r="2" spans="1:19" ht="20.25">
      <c r="B2" s="511"/>
      <c r="C2" s="491"/>
      <c r="D2" s="491"/>
      <c r="E2" s="491"/>
      <c r="F2" s="491"/>
      <c r="G2" s="499"/>
      <c r="H2" s="492"/>
      <c r="I2" s="492"/>
      <c r="J2" s="3122"/>
      <c r="K2" s="3122"/>
      <c r="L2" s="3122"/>
      <c r="M2" s="3122"/>
      <c r="N2" s="3122"/>
    </row>
    <row r="3" spans="1:19" ht="51">
      <c r="A3" s="3121" t="s">
        <v>279</v>
      </c>
      <c r="C3" s="1607"/>
      <c r="D3" s="1607"/>
      <c r="E3" s="1607"/>
      <c r="F3" s="1607"/>
      <c r="G3" s="2868"/>
      <c r="H3" s="509" t="s">
        <v>8</v>
      </c>
      <c r="I3" s="509" t="s">
        <v>9</v>
      </c>
      <c r="J3" s="509" t="s">
        <v>87</v>
      </c>
      <c r="K3" s="509" t="s">
        <v>11</v>
      </c>
      <c r="L3" s="509" t="s">
        <v>504</v>
      </c>
      <c r="M3" s="509" t="s">
        <v>12</v>
      </c>
      <c r="N3" s="509" t="s">
        <v>13</v>
      </c>
      <c r="O3" s="509" t="s">
        <v>14</v>
      </c>
      <c r="P3" s="509" t="s">
        <v>88</v>
      </c>
      <c r="Q3" s="509" t="s">
        <v>39</v>
      </c>
      <c r="R3" s="509" t="s">
        <v>16</v>
      </c>
      <c r="S3" s="2416" t="s">
        <v>40</v>
      </c>
    </row>
    <row r="4" spans="1:19" ht="15.75">
      <c r="A4" s="3123" t="s">
        <v>280</v>
      </c>
      <c r="G4" s="1804" t="s">
        <v>668</v>
      </c>
      <c r="H4" s="1673">
        <v>306300</v>
      </c>
      <c r="I4" s="1674">
        <v>0</v>
      </c>
      <c r="J4" s="1674">
        <v>213200</v>
      </c>
      <c r="K4" s="1674">
        <v>0</v>
      </c>
      <c r="L4" s="1674">
        <v>0</v>
      </c>
      <c r="M4" s="1674">
        <v>0</v>
      </c>
      <c r="N4" s="1702">
        <v>0</v>
      </c>
      <c r="O4" s="1702">
        <v>0</v>
      </c>
      <c r="P4" s="2837">
        <v>1148223</v>
      </c>
      <c r="Q4" s="2843"/>
      <c r="R4" s="1676">
        <v>1667723</v>
      </c>
      <c r="S4" s="2417">
        <v>1700000</v>
      </c>
    </row>
    <row r="5" spans="1:19">
      <c r="A5" s="2458" t="s">
        <v>568</v>
      </c>
      <c r="G5" s="1123">
        <v>2016</v>
      </c>
      <c r="H5" s="500">
        <f>C15</f>
        <v>97183.947518559013</v>
      </c>
      <c r="I5" s="501">
        <f>C18</f>
        <v>0</v>
      </c>
      <c r="J5" s="501">
        <f>C37</f>
        <v>65453.388653749498</v>
      </c>
      <c r="K5" s="501">
        <f>C35</f>
        <v>0</v>
      </c>
      <c r="L5" s="501">
        <f>C26</f>
        <v>0</v>
      </c>
      <c r="M5" s="501">
        <v>0</v>
      </c>
      <c r="N5" s="501">
        <f>C33</f>
        <v>0</v>
      </c>
      <c r="O5" s="501">
        <f>C28</f>
        <v>0</v>
      </c>
      <c r="P5" s="2838">
        <f>C13</f>
        <v>1178979.7815630781</v>
      </c>
      <c r="Q5" s="2847"/>
      <c r="R5" s="297">
        <f>SUM(H5:P5)</f>
        <v>1341617.1177353866</v>
      </c>
      <c r="S5" s="2418">
        <f>C45</f>
        <v>3548127</v>
      </c>
    </row>
    <row r="6" spans="1:19" ht="13.5" thickBot="1">
      <c r="A6" s="2654" t="s">
        <v>586</v>
      </c>
      <c r="G6" s="506">
        <v>2017</v>
      </c>
      <c r="H6" s="500">
        <f>D15</f>
        <v>97183.947518559013</v>
      </c>
      <c r="I6" s="501">
        <f>D18</f>
        <v>0</v>
      </c>
      <c r="J6" s="501">
        <f>D37</f>
        <v>65453.388653749498</v>
      </c>
      <c r="K6" s="501">
        <f>D35</f>
        <v>0</v>
      </c>
      <c r="L6" s="501">
        <f>D26</f>
        <v>0</v>
      </c>
      <c r="M6" s="501">
        <v>0</v>
      </c>
      <c r="N6" s="507">
        <f>D33</f>
        <v>0</v>
      </c>
      <c r="O6" s="507">
        <f>D28</f>
        <v>0</v>
      </c>
      <c r="P6" s="2839">
        <f>D13</f>
        <v>2519575.7815630781</v>
      </c>
      <c r="Q6" s="2848"/>
      <c r="R6" s="297">
        <f>SUM(H6:P6)</f>
        <v>2682213.1177353864</v>
      </c>
      <c r="S6" s="2418">
        <f>D45</f>
        <v>8491952</v>
      </c>
    </row>
    <row r="7" spans="1:19" s="1569" customFormat="1" ht="13.5" thickBot="1">
      <c r="A7" s="2193">
        <v>18230720</v>
      </c>
      <c r="G7" s="1699" t="s">
        <v>55</v>
      </c>
      <c r="H7" s="1596">
        <f t="shared" ref="H7:P7" si="0">SUM(H5:H6)</f>
        <v>194367.89503711803</v>
      </c>
      <c r="I7" s="1595">
        <f t="shared" si="0"/>
        <v>0</v>
      </c>
      <c r="J7" s="1595">
        <f t="shared" si="0"/>
        <v>130906.777307499</v>
      </c>
      <c r="K7" s="1595">
        <f t="shared" si="0"/>
        <v>0</v>
      </c>
      <c r="L7" s="1595">
        <f t="shared" si="0"/>
        <v>0</v>
      </c>
      <c r="M7" s="1595">
        <f t="shared" si="0"/>
        <v>0</v>
      </c>
      <c r="N7" s="1595">
        <f t="shared" si="0"/>
        <v>0</v>
      </c>
      <c r="O7" s="1595">
        <f t="shared" si="0"/>
        <v>0</v>
      </c>
      <c r="P7" s="2450">
        <f t="shared" si="0"/>
        <v>3698555.5631261561</v>
      </c>
      <c r="Q7" s="2846"/>
      <c r="R7" s="1570">
        <f>SUM(R5:R6)</f>
        <v>4023830.2354707727</v>
      </c>
      <c r="S7" s="1553">
        <f>SUM(S5:S6)</f>
        <v>12040079</v>
      </c>
    </row>
    <row r="8" spans="1:19" ht="20.25">
      <c r="A8" s="2177" t="s">
        <v>5</v>
      </c>
      <c r="B8" s="511"/>
      <c r="C8" s="491"/>
      <c r="D8" s="491"/>
      <c r="E8" s="491"/>
      <c r="F8" s="491"/>
      <c r="G8" s="499"/>
      <c r="H8" s="492"/>
      <c r="I8" s="492"/>
      <c r="J8" s="3122"/>
      <c r="K8" s="3122"/>
      <c r="L8" s="3122"/>
      <c r="M8" s="3122"/>
      <c r="N8" s="1698"/>
    </row>
    <row r="9" spans="1:19" ht="18">
      <c r="C9" s="499"/>
      <c r="D9" s="499"/>
      <c r="E9" s="499"/>
      <c r="F9" s="490"/>
      <c r="G9" s="490"/>
      <c r="H9" s="490"/>
      <c r="I9" s="490"/>
      <c r="J9" s="3122"/>
      <c r="K9" s="3122"/>
      <c r="L9" s="3122"/>
      <c r="M9" s="3122"/>
      <c r="N9" s="3122"/>
    </row>
    <row r="10" spans="1:19" ht="18">
      <c r="B10" s="1127"/>
      <c r="C10" s="845">
        <v>2016</v>
      </c>
      <c r="D10" s="846">
        <v>2017</v>
      </c>
      <c r="E10" s="504" t="s">
        <v>23</v>
      </c>
      <c r="F10" s="2433"/>
      <c r="G10" s="2433"/>
      <c r="H10" s="1465"/>
      <c r="I10" s="1473"/>
      <c r="J10" s="1462"/>
      <c r="K10" s="1462"/>
      <c r="L10" s="1698"/>
      <c r="M10" s="521"/>
      <c r="N10" s="3122"/>
    </row>
    <row r="11" spans="1:19">
      <c r="B11" s="1126" t="s">
        <v>90</v>
      </c>
      <c r="C11" s="2396">
        <v>962130</v>
      </c>
      <c r="D11" s="2397">
        <v>2302726</v>
      </c>
      <c r="E11" s="2398">
        <f>C11+D11</f>
        <v>3264856</v>
      </c>
      <c r="F11" s="2433"/>
      <c r="G11" s="2433"/>
      <c r="H11" s="1465"/>
      <c r="I11" s="1465"/>
      <c r="J11" s="1467"/>
      <c r="K11" s="1462"/>
      <c r="L11" s="3122"/>
      <c r="M11" s="3122"/>
      <c r="N11" s="3122"/>
    </row>
    <row r="12" spans="1:19" ht="15">
      <c r="B12" s="2395" t="s">
        <v>544</v>
      </c>
      <c r="C12" s="2466">
        <f>I43/2</f>
        <v>216849.78156307802</v>
      </c>
      <c r="D12" s="2467">
        <f>I43/2</f>
        <v>216849.78156307802</v>
      </c>
      <c r="E12" s="2468">
        <f>SUM(C12:D12)</f>
        <v>433699.56312615605</v>
      </c>
      <c r="F12" s="2433"/>
      <c r="G12" s="2433"/>
      <c r="H12" s="1465"/>
      <c r="I12" s="1465"/>
      <c r="J12" s="1467"/>
      <c r="K12" s="1462"/>
      <c r="L12" s="3122"/>
      <c r="M12" s="3122"/>
      <c r="N12" s="3122"/>
    </row>
    <row r="13" spans="1:19">
      <c r="B13" s="2395"/>
      <c r="C13" s="1052">
        <f>SUM(C11:C12)</f>
        <v>1178979.7815630781</v>
      </c>
      <c r="D13" s="927">
        <f>SUM(D11:D12)</f>
        <v>2519575.7815630781</v>
      </c>
      <c r="E13" s="946">
        <f>SUM(C13:D13)</f>
        <v>3698555.5631261561</v>
      </c>
      <c r="F13" s="2433"/>
      <c r="G13" s="2433"/>
      <c r="H13" s="1465"/>
      <c r="I13" s="1465"/>
      <c r="J13" s="1467"/>
      <c r="K13" s="1462"/>
      <c r="L13" s="3122"/>
      <c r="M13" s="3122"/>
      <c r="N13" s="3122"/>
    </row>
    <row r="14" spans="1:19" ht="18">
      <c r="B14" s="1127"/>
      <c r="C14" s="1144"/>
      <c r="D14" s="2433"/>
      <c r="E14" s="945"/>
      <c r="I14" s="3162">
        <v>2016</v>
      </c>
      <c r="J14" s="3163">
        <v>2017</v>
      </c>
      <c r="K14" s="1463"/>
      <c r="L14" s="3122"/>
      <c r="M14" s="3122"/>
      <c r="N14" s="3122"/>
    </row>
    <row r="15" spans="1:19">
      <c r="B15" s="1126" t="s">
        <v>93</v>
      </c>
      <c r="C15" s="1265">
        <f>SUM(C16:C18)</f>
        <v>97183.947518559013</v>
      </c>
      <c r="D15" s="1264">
        <f>SUM(D16:D18)</f>
        <v>97183.947518559013</v>
      </c>
      <c r="E15" s="1266">
        <f>SUM(C15:D15)</f>
        <v>194367.89503711803</v>
      </c>
      <c r="I15" s="1137">
        <v>1.5</v>
      </c>
      <c r="J15" s="2177">
        <v>1.5</v>
      </c>
      <c r="K15" s="738" t="s">
        <v>96</v>
      </c>
      <c r="L15" s="3122"/>
      <c r="M15" s="3122"/>
      <c r="N15" s="3122"/>
    </row>
    <row r="16" spans="1:19">
      <c r="B16" s="1130" t="s">
        <v>95</v>
      </c>
      <c r="C16" s="1120"/>
      <c r="D16" s="959"/>
      <c r="E16" s="962">
        <f>SUM(C16:D16)</f>
        <v>0</v>
      </c>
      <c r="I16" s="2177">
        <v>0</v>
      </c>
      <c r="J16" s="2177">
        <v>0</v>
      </c>
      <c r="K16" s="738" t="s">
        <v>96</v>
      </c>
      <c r="L16" s="3122"/>
      <c r="M16" s="3122"/>
      <c r="N16" s="3122"/>
    </row>
    <row r="17" spans="2:14">
      <c r="B17" s="2402" t="s">
        <v>545</v>
      </c>
      <c r="C17" s="3351">
        <f>I34/2</f>
        <v>97183.947518559013</v>
      </c>
      <c r="D17" s="2142">
        <f>I34/2</f>
        <v>97183.947518559013</v>
      </c>
      <c r="E17" s="2403">
        <f>SUM(C17:D17)</f>
        <v>194367.89503711803</v>
      </c>
      <c r="F17" s="1137"/>
      <c r="G17" s="514"/>
      <c r="H17" s="1464"/>
      <c r="I17" s="1465"/>
      <c r="J17" s="1461"/>
      <c r="K17" s="1458"/>
      <c r="L17" s="3122"/>
      <c r="M17" s="3122"/>
      <c r="N17" s="3122"/>
    </row>
    <row r="18" spans="2:14">
      <c r="B18" s="1130" t="s">
        <v>99</v>
      </c>
      <c r="C18" s="1120">
        <v>0</v>
      </c>
      <c r="D18" s="959">
        <v>0</v>
      </c>
      <c r="E18" s="962">
        <f>SUM(C18:D18)</f>
        <v>0</v>
      </c>
      <c r="F18" s="1137"/>
      <c r="G18" s="1102"/>
      <c r="H18" s="1464"/>
      <c r="I18" s="1465"/>
      <c r="J18" s="1461"/>
      <c r="K18" s="1458"/>
      <c r="L18" s="3122"/>
      <c r="M18" s="522"/>
    </row>
    <row r="19" spans="2:14">
      <c r="B19" s="1130"/>
      <c r="C19" s="1120"/>
      <c r="D19" s="959"/>
      <c r="E19" s="962"/>
      <c r="F19" s="1137"/>
      <c r="G19" s="1102"/>
      <c r="H19" s="1464"/>
      <c r="I19" s="1465"/>
      <c r="J19" s="1461"/>
      <c r="K19" s="1458"/>
      <c r="L19" s="3122"/>
      <c r="M19" s="522"/>
    </row>
    <row r="20" spans="2:14">
      <c r="B20" s="1126" t="s">
        <v>506</v>
      </c>
      <c r="C20" s="1146"/>
      <c r="D20" s="929"/>
      <c r="E20" s="947"/>
      <c r="F20" s="1129"/>
      <c r="G20" s="3122"/>
      <c r="H20" s="1464"/>
      <c r="I20" s="1465"/>
      <c r="J20" s="1481"/>
      <c r="K20" s="1458"/>
      <c r="L20" s="3122"/>
      <c r="M20" s="3122"/>
    </row>
    <row r="21" spans="2:14">
      <c r="B21" s="3122" t="s">
        <v>100</v>
      </c>
      <c r="C21" s="1183">
        <v>0</v>
      </c>
      <c r="D21" s="959">
        <v>0</v>
      </c>
      <c r="E21" s="1188">
        <v>0</v>
      </c>
      <c r="F21" s="1138"/>
      <c r="G21" s="3122"/>
      <c r="H21" s="1463"/>
      <c r="I21" s="1465"/>
      <c r="J21" s="1461"/>
      <c r="K21" s="1458"/>
      <c r="L21" s="3122"/>
      <c r="M21" s="3122"/>
    </row>
    <row r="22" spans="2:14">
      <c r="B22" s="1130" t="s">
        <v>101</v>
      </c>
      <c r="C22" s="1183">
        <v>0</v>
      </c>
      <c r="D22" s="959">
        <v>0</v>
      </c>
      <c r="E22" s="1188">
        <v>0</v>
      </c>
      <c r="F22" s="3122"/>
      <c r="G22" s="514"/>
      <c r="H22" s="1463"/>
      <c r="I22" s="1458"/>
      <c r="J22" s="1460"/>
      <c r="K22" s="1458"/>
      <c r="L22" s="3122"/>
      <c r="M22" s="3122"/>
    </row>
    <row r="23" spans="2:14">
      <c r="B23" s="1130" t="s">
        <v>104</v>
      </c>
      <c r="C23" s="1183">
        <v>0</v>
      </c>
      <c r="D23" s="959">
        <v>0</v>
      </c>
      <c r="E23" s="1188">
        <v>0</v>
      </c>
      <c r="F23" s="1129"/>
      <c r="G23" s="513"/>
      <c r="H23" s="1475"/>
      <c r="I23" s="1465"/>
      <c r="J23" s="1479"/>
      <c r="K23" s="1458"/>
      <c r="L23" s="3122"/>
      <c r="M23" s="3122"/>
    </row>
    <row r="24" spans="2:14">
      <c r="B24" s="1130" t="s">
        <v>540</v>
      </c>
      <c r="C24" s="1183"/>
      <c r="D24" s="959"/>
      <c r="E24" s="1188"/>
      <c r="F24" s="1129"/>
      <c r="G24" s="513"/>
      <c r="H24" s="1475"/>
      <c r="I24" s="1465"/>
      <c r="J24" s="1479"/>
      <c r="K24" s="1458"/>
      <c r="L24" s="3122"/>
      <c r="M24" s="3122"/>
    </row>
    <row r="25" spans="2:14">
      <c r="B25" s="1130" t="s">
        <v>107</v>
      </c>
      <c r="C25" s="1182">
        <v>0</v>
      </c>
      <c r="D25" s="959">
        <v>0</v>
      </c>
      <c r="E25" s="1176">
        <v>0</v>
      </c>
      <c r="F25" s="1129"/>
      <c r="G25" s="493"/>
      <c r="H25" s="1463"/>
      <c r="I25" s="1471" t="s">
        <v>102</v>
      </c>
      <c r="J25" s="1477"/>
      <c r="K25" s="1469" t="s">
        <v>103</v>
      </c>
      <c r="L25" s="3122"/>
      <c r="M25" s="3122"/>
    </row>
    <row r="26" spans="2:14">
      <c r="B26" s="3122"/>
      <c r="C26" s="1149">
        <v>0</v>
      </c>
      <c r="D26" s="948">
        <v>0</v>
      </c>
      <c r="E26" s="954">
        <v>0</v>
      </c>
      <c r="F26" s="1129"/>
      <c r="G26" s="513"/>
      <c r="H26" s="1476"/>
      <c r="I26" s="1471" t="s">
        <v>105</v>
      </c>
      <c r="J26" s="1474"/>
      <c r="K26" s="1472" t="s">
        <v>106</v>
      </c>
      <c r="L26" s="3122"/>
      <c r="M26" s="3122"/>
    </row>
    <row r="27" spans="2:14">
      <c r="B27" s="1122"/>
      <c r="C27" s="1860"/>
      <c r="D27" s="921"/>
      <c r="E27" s="1156"/>
      <c r="F27" s="1129"/>
      <c r="G27" s="513"/>
      <c r="H27" s="1476"/>
      <c r="I27" s="1471" t="s">
        <v>108</v>
      </c>
      <c r="J27" s="1474"/>
      <c r="K27" s="1472" t="s">
        <v>106</v>
      </c>
      <c r="L27" s="3122"/>
      <c r="M27" s="3122"/>
    </row>
    <row r="28" spans="2:14">
      <c r="B28" s="1126" t="s">
        <v>94</v>
      </c>
      <c r="C28" s="1149">
        <v>0</v>
      </c>
      <c r="D28" s="948">
        <v>0</v>
      </c>
      <c r="E28" s="1154">
        <v>0</v>
      </c>
      <c r="F28" s="1129"/>
      <c r="G28" s="513"/>
      <c r="H28" s="1476"/>
      <c r="I28" s="1470" t="s">
        <v>109</v>
      </c>
      <c r="J28" s="1478"/>
      <c r="K28" s="1458"/>
      <c r="L28" s="3122"/>
      <c r="M28" s="3122"/>
    </row>
    <row r="29" spans="2:14">
      <c r="B29" s="1122"/>
      <c r="C29" s="1860"/>
      <c r="D29" s="921"/>
      <c r="E29" s="1156"/>
      <c r="F29" s="1129"/>
      <c r="G29" s="513"/>
      <c r="H29" s="1476"/>
      <c r="I29" s="1458"/>
      <c r="J29" s="1458"/>
      <c r="K29" s="1458"/>
      <c r="L29" s="3122"/>
      <c r="M29" s="3122"/>
    </row>
    <row r="30" spans="2:14">
      <c r="B30" s="1125" t="s">
        <v>97</v>
      </c>
      <c r="C30" s="1860"/>
      <c r="D30" s="921"/>
      <c r="E30" s="1156"/>
      <c r="F30" s="1180"/>
      <c r="G30" s="513"/>
      <c r="H30" s="1476"/>
      <c r="I30" s="1458"/>
      <c r="J30" s="1458"/>
      <c r="K30" s="1458"/>
      <c r="L30" s="3122"/>
      <c r="M30" s="3122"/>
    </row>
    <row r="31" spans="2:14">
      <c r="B31" s="3122" t="s">
        <v>110</v>
      </c>
      <c r="C31" s="1860">
        <v>0</v>
      </c>
      <c r="D31" s="959">
        <v>0</v>
      </c>
      <c r="E31" s="1156">
        <v>0</v>
      </c>
      <c r="F31" s="1180"/>
      <c r="G31" s="513"/>
      <c r="H31" s="1476"/>
      <c r="I31" s="1458"/>
      <c r="J31" s="1458"/>
      <c r="K31" s="1458"/>
      <c r="L31" s="3122"/>
      <c r="M31" s="3122"/>
    </row>
    <row r="32" spans="2:14">
      <c r="B32" s="1122" t="s">
        <v>112</v>
      </c>
      <c r="C32" s="1860">
        <v>0</v>
      </c>
      <c r="D32" s="959">
        <v>0</v>
      </c>
      <c r="E32" s="1156">
        <v>0</v>
      </c>
      <c r="F32" s="1180"/>
      <c r="G32" s="1466" t="s">
        <v>546</v>
      </c>
      <c r="H32" s="1459"/>
      <c r="I32" s="1459"/>
      <c r="K32" s="1459"/>
      <c r="L32" s="3122"/>
      <c r="M32" s="3122"/>
    </row>
    <row r="33" spans="1:13">
      <c r="B33" s="1125" t="s">
        <v>113</v>
      </c>
      <c r="C33" s="943">
        <v>0</v>
      </c>
      <c r="D33" s="959">
        <v>0</v>
      </c>
      <c r="E33" s="958">
        <v>0</v>
      </c>
      <c r="F33" s="1180"/>
      <c r="G33" s="1482"/>
      <c r="H33" s="2035" t="s">
        <v>547</v>
      </c>
      <c r="I33" s="3346">
        <f>2168497.81563078*0.075*2</f>
        <v>325274.67234461702</v>
      </c>
      <c r="K33" s="1459"/>
      <c r="L33" s="3122"/>
      <c r="M33" s="3122"/>
    </row>
    <row r="34" spans="1:13">
      <c r="B34" s="1122"/>
      <c r="C34" s="1860"/>
      <c r="D34" s="921"/>
      <c r="E34" s="1156"/>
      <c r="F34" s="1180"/>
      <c r="G34" s="1480"/>
      <c r="H34" s="2034" t="s">
        <v>548</v>
      </c>
      <c r="I34" s="3347">
        <f>I33/(1+AVERAGE(F37:F38))</f>
        <v>194367.89503711803</v>
      </c>
      <c r="K34" s="1459"/>
      <c r="L34" s="3122"/>
      <c r="M34" s="3122"/>
    </row>
    <row r="35" spans="1:13">
      <c r="B35" s="1125" t="s">
        <v>98</v>
      </c>
      <c r="C35" s="1150">
        <v>0</v>
      </c>
      <c r="D35" s="948">
        <v>0</v>
      </c>
      <c r="E35" s="954">
        <v>0</v>
      </c>
      <c r="F35" s="1180"/>
      <c r="G35" s="1486"/>
      <c r="H35" s="2401" t="s">
        <v>248</v>
      </c>
      <c r="I35" s="3350">
        <f>I33-I34</f>
        <v>130906.777307499</v>
      </c>
      <c r="K35" s="1459"/>
    </row>
    <row r="36" spans="1:13">
      <c r="B36" s="1122"/>
      <c r="C36" s="1860"/>
      <c r="D36" s="921"/>
      <c r="E36" s="1156"/>
      <c r="F36" s="1860"/>
      <c r="G36" s="1459"/>
      <c r="H36" s="2400"/>
      <c r="I36" s="2399"/>
      <c r="J36" s="1607"/>
      <c r="K36" s="1459"/>
    </row>
    <row r="37" spans="1:13" ht="15" customHeight="1">
      <c r="B37" s="1263" t="s">
        <v>337</v>
      </c>
      <c r="C37" s="1265">
        <f>E37/2</f>
        <v>65453.388653749498</v>
      </c>
      <c r="D37" s="1264">
        <f>E37/2</f>
        <v>65453.388653749498</v>
      </c>
      <c r="E37" s="1266">
        <f>I35</f>
        <v>130906.777307499</v>
      </c>
      <c r="F37" s="2805">
        <v>0.66700000000000004</v>
      </c>
      <c r="G37" s="2827" t="s">
        <v>725</v>
      </c>
      <c r="H37" s="1476"/>
      <c r="J37" s="1458"/>
      <c r="K37" s="1458"/>
    </row>
    <row r="38" spans="1:13" ht="13.5" customHeight="1">
      <c r="B38" s="1122"/>
      <c r="C38" s="1860"/>
      <c r="D38" s="921"/>
      <c r="E38" s="1156"/>
      <c r="F38" s="2805">
        <v>0.68</v>
      </c>
      <c r="G38" s="2803" t="s">
        <v>726</v>
      </c>
      <c r="K38" s="1458"/>
    </row>
    <row r="39" spans="1:13" ht="13.5" thickBot="1">
      <c r="B39" s="1128"/>
      <c r="C39" s="1183"/>
      <c r="D39" s="1181"/>
      <c r="E39" s="1188"/>
      <c r="F39" s="1180"/>
      <c r="G39" s="1179"/>
      <c r="H39" s="516"/>
      <c r="I39" s="512"/>
    </row>
    <row r="40" spans="1:13" ht="13.5" thickBot="1">
      <c r="B40" s="1134" t="s">
        <v>118</v>
      </c>
      <c r="C40" s="1151">
        <f>C13+C15+C37</f>
        <v>1341617.1177353866</v>
      </c>
      <c r="D40" s="2405">
        <f>D13+D15+D37</f>
        <v>2682213.1177353868</v>
      </c>
      <c r="E40" s="2404">
        <f>E13+E15+E37</f>
        <v>4023830.2354707732</v>
      </c>
      <c r="F40" s="1180"/>
      <c r="G40" s="1179"/>
      <c r="H40" s="516"/>
      <c r="I40" s="512"/>
    </row>
    <row r="41" spans="1:13">
      <c r="B41" s="1185"/>
      <c r="C41" s="1181"/>
      <c r="D41" s="1181"/>
      <c r="E41" s="1181"/>
      <c r="F41" s="1180"/>
      <c r="G41" s="1466" t="s">
        <v>338</v>
      </c>
      <c r="H41" s="1459"/>
      <c r="I41" s="1459"/>
    </row>
    <row r="42" spans="1:13">
      <c r="B42" s="3122"/>
      <c r="G42" s="1482"/>
      <c r="H42" s="2035" t="s">
        <v>339</v>
      </c>
      <c r="I42" s="3346">
        <f>2168497.81563078*2</f>
        <v>4336995.6312615601</v>
      </c>
    </row>
    <row r="43" spans="1:13">
      <c r="B43" s="1320"/>
      <c r="G43" s="1486"/>
      <c r="H43" s="1487" t="s">
        <v>254</v>
      </c>
      <c r="I43" s="3348">
        <f>0.1*I42</f>
        <v>433699.56312615605</v>
      </c>
      <c r="J43" s="2177" t="s">
        <v>620</v>
      </c>
    </row>
    <row r="44" spans="1:13">
      <c r="B44" s="1125"/>
      <c r="C44" s="1159">
        <v>2016</v>
      </c>
      <c r="D44" s="1159">
        <v>2017</v>
      </c>
      <c r="E44" s="1159" t="s">
        <v>23</v>
      </c>
      <c r="F44" s="3122"/>
      <c r="G44" s="517"/>
    </row>
    <row r="45" spans="1:13" ht="51">
      <c r="A45" s="3121" t="s">
        <v>279</v>
      </c>
      <c r="B45" s="24" t="s">
        <v>119</v>
      </c>
      <c r="C45" s="811">
        <v>3548127</v>
      </c>
      <c r="D45" s="814">
        <v>8491952</v>
      </c>
      <c r="E45" s="814">
        <f>SUM(C45:D45)</f>
        <v>12040079</v>
      </c>
      <c r="F45" s="813" t="s">
        <v>120</v>
      </c>
      <c r="G45" s="517"/>
    </row>
    <row r="46" spans="1:13">
      <c r="A46"/>
      <c r="B46" s="3122"/>
      <c r="C46" s="932"/>
      <c r="D46" s="932"/>
      <c r="E46" s="932"/>
      <c r="F46" s="1136"/>
      <c r="G46" s="517"/>
    </row>
    <row r="47" spans="1:13">
      <c r="A47"/>
      <c r="B47" s="1142" t="s">
        <v>122</v>
      </c>
      <c r="C47" s="2376"/>
      <c r="D47" s="2376"/>
      <c r="E47" s="1187"/>
      <c r="F47" s="1186"/>
      <c r="G47" s="517"/>
      <c r="H47" s="482"/>
      <c r="I47" s="482"/>
      <c r="J47" s="1185"/>
    </row>
    <row r="48" spans="1:13">
      <c r="A48" s="1812" t="s">
        <v>280</v>
      </c>
      <c r="B48" s="3122"/>
      <c r="C48" s="232"/>
      <c r="D48" s="232"/>
      <c r="E48" s="232"/>
      <c r="F48" s="482"/>
      <c r="G48" s="517"/>
      <c r="H48" s="482"/>
      <c r="I48" s="482"/>
      <c r="J48" s="1185"/>
    </row>
    <row r="49" spans="1:10" ht="20.25">
      <c r="A49" s="2458" t="s">
        <v>568</v>
      </c>
      <c r="B49" s="511"/>
      <c r="C49" s="232"/>
      <c r="D49" s="232"/>
      <c r="E49" s="232"/>
      <c r="F49" s="482"/>
      <c r="G49" s="517"/>
      <c r="H49" s="482"/>
      <c r="I49" s="482"/>
      <c r="J49" s="1185"/>
    </row>
    <row r="50" spans="1:10">
      <c r="A50" s="2654" t="s">
        <v>586</v>
      </c>
      <c r="B50" s="3122"/>
      <c r="C50" s="232"/>
      <c r="D50" s="232"/>
      <c r="E50" s="232"/>
      <c r="F50" s="518"/>
      <c r="G50" s="516"/>
      <c r="H50" s="482"/>
      <c r="I50" s="482"/>
      <c r="J50" s="1185"/>
    </row>
    <row r="51" spans="1:10">
      <c r="A51" s="2193">
        <v>18230720</v>
      </c>
      <c r="B51" s="230"/>
      <c r="C51" s="232"/>
      <c r="D51" s="232"/>
      <c r="E51" s="232"/>
      <c r="F51" s="518"/>
      <c r="G51" s="516"/>
      <c r="H51" s="482"/>
      <c r="I51" s="482"/>
      <c r="J51" s="1185"/>
    </row>
    <row r="52" spans="1:10">
      <c r="A52" s="2193"/>
      <c r="B52" s="243"/>
      <c r="C52" s="232"/>
      <c r="D52" s="232"/>
      <c r="E52" s="232"/>
      <c r="F52" s="518"/>
      <c r="G52" s="518"/>
      <c r="H52" s="482"/>
      <c r="I52" s="482"/>
      <c r="J52" s="1185"/>
    </row>
    <row r="53" spans="1:10">
      <c r="A53" s="2193" t="s">
        <v>5</v>
      </c>
      <c r="B53" s="232"/>
      <c r="C53" s="3122"/>
      <c r="D53" s="3122"/>
      <c r="E53" s="3122"/>
      <c r="F53" s="518"/>
      <c r="G53" s="482"/>
      <c r="H53" s="518"/>
      <c r="I53" s="482"/>
      <c r="J53" s="1185"/>
    </row>
    <row r="54" spans="1:10">
      <c r="B54" s="3122"/>
      <c r="C54" s="3122"/>
      <c r="D54" s="3122"/>
      <c r="E54" s="3122"/>
      <c r="F54" s="518"/>
      <c r="G54" s="482"/>
      <c r="H54" s="518"/>
      <c r="I54" s="515"/>
      <c r="J54" s="1185"/>
    </row>
    <row r="55" spans="1:10">
      <c r="B55" s="3122"/>
      <c r="C55" s="3122"/>
      <c r="D55" s="3122"/>
      <c r="E55" s="3122"/>
      <c r="F55" s="518"/>
      <c r="G55" s="482"/>
      <c r="H55" s="518"/>
      <c r="I55" s="515"/>
      <c r="J55" s="1185"/>
    </row>
    <row r="56" spans="1:10">
      <c r="B56" s="3122"/>
      <c r="C56" s="3122"/>
      <c r="D56" s="3122"/>
      <c r="E56" s="3122"/>
      <c r="F56" s="3122"/>
      <c r="G56" s="482"/>
      <c r="H56" s="518"/>
      <c r="I56" s="515"/>
      <c r="J56" s="1185"/>
    </row>
    <row r="57" spans="1:10">
      <c r="B57" s="3122"/>
      <c r="C57" s="3122"/>
      <c r="D57" s="3122"/>
      <c r="E57" s="3122"/>
      <c r="F57" s="3122"/>
      <c r="G57" s="482"/>
      <c r="H57" s="518"/>
      <c r="I57" s="515"/>
      <c r="J57" s="1185"/>
    </row>
    <row r="58" spans="1:10">
      <c r="F58" s="3122"/>
      <c r="G58" s="482"/>
      <c r="H58" s="518"/>
      <c r="I58" s="515"/>
      <c r="J58" s="1185"/>
    </row>
    <row r="59" spans="1:10">
      <c r="F59" s="3122"/>
      <c r="G59" s="518"/>
      <c r="H59" s="518"/>
      <c r="I59" s="515"/>
      <c r="J59" s="1185"/>
    </row>
    <row r="60" spans="1:10">
      <c r="F60" s="3122"/>
      <c r="G60" s="518"/>
      <c r="H60" s="518"/>
      <c r="I60" s="515"/>
      <c r="J60" s="1185"/>
    </row>
    <row r="61" spans="1:10">
      <c r="F61" s="3122"/>
      <c r="G61" s="518"/>
      <c r="H61" s="518"/>
      <c r="I61" s="515"/>
      <c r="J61" s="1185"/>
    </row>
    <row r="62" spans="1:10">
      <c r="F62" s="482"/>
      <c r="G62" s="518"/>
      <c r="H62" s="482"/>
      <c r="I62" s="482"/>
      <c r="J62" s="1185"/>
    </row>
    <row r="63" spans="1:10">
      <c r="F63" s="482"/>
      <c r="G63" s="518"/>
      <c r="H63" s="482"/>
      <c r="I63" s="482"/>
      <c r="J63" s="1185"/>
    </row>
    <row r="64" spans="1:10">
      <c r="F64" s="482"/>
      <c r="G64" s="518"/>
      <c r="H64" s="482"/>
      <c r="I64" s="482"/>
      <c r="J64" s="1185"/>
    </row>
    <row r="65" spans="6:10" ht="15.75">
      <c r="F65" s="484"/>
      <c r="G65" s="518"/>
      <c r="H65" s="482"/>
      <c r="I65" s="482"/>
      <c r="J65" s="1185"/>
    </row>
    <row r="66" spans="6:10">
      <c r="F66" s="1185"/>
      <c r="G66" s="518"/>
      <c r="H66" s="482"/>
      <c r="I66" s="482"/>
      <c r="J66" s="1185"/>
    </row>
    <row r="67" spans="6:10">
      <c r="F67" s="3122"/>
      <c r="G67" s="518"/>
      <c r="H67" s="482"/>
      <c r="I67" s="482"/>
      <c r="J67" s="1185"/>
    </row>
    <row r="68" spans="6:10" ht="15.75">
      <c r="F68" s="3122"/>
      <c r="G68" s="482"/>
      <c r="H68" s="484"/>
      <c r="I68" s="484"/>
      <c r="J68" s="1185"/>
    </row>
    <row r="69" spans="6:10">
      <c r="F69" s="3122"/>
      <c r="G69" s="482"/>
      <c r="H69" s="1185"/>
      <c r="I69" s="1185"/>
      <c r="J69" s="1185"/>
    </row>
    <row r="70" spans="6:10">
      <c r="F70" s="3122"/>
      <c r="G70" s="482"/>
      <c r="H70" s="3122"/>
      <c r="I70" s="3122"/>
      <c r="J70" s="3122"/>
    </row>
    <row r="71" spans="6:10">
      <c r="F71" s="3122"/>
      <c r="G71" s="482"/>
      <c r="H71" s="3122"/>
      <c r="I71" s="3122"/>
      <c r="J71" s="3122"/>
    </row>
    <row r="72" spans="6:10">
      <c r="F72" s="3122"/>
      <c r="G72" s="482"/>
      <c r="H72" s="3122"/>
      <c r="I72" s="3122"/>
      <c r="J72" s="3122"/>
    </row>
    <row r="73" spans="6:10">
      <c r="F73" s="3122"/>
      <c r="G73" s="482"/>
      <c r="H73" s="3122"/>
      <c r="I73" s="3122"/>
      <c r="J73" s="3122"/>
    </row>
    <row r="74" spans="6:10" ht="15.75">
      <c r="G74" s="484"/>
      <c r="H74" s="3122"/>
      <c r="I74" s="3122"/>
      <c r="J74" s="3122"/>
    </row>
    <row r="75" spans="6:10">
      <c r="G75" s="1185"/>
      <c r="H75" s="3122"/>
      <c r="I75" s="3122"/>
      <c r="J75" s="3122"/>
    </row>
  </sheetData>
  <customSheetViews>
    <customSheetView guid="{074EB09C-6289-46D7-9513-012B68BCA7BF}" showGridLines="0">
      <pane xSplit="1" ySplit="1" topLeftCell="B2" activePane="bottomRight" state="frozen"/>
      <selection pane="bottomRight" activeCell="F14" sqref="F14:H16"/>
      <pageMargins left="0.7" right="0.7" top="0.75" bottom="0.75" header="0.3" footer="0.3"/>
    </customSheetView>
    <customSheetView guid="{D9EFFE19-D14B-4C6F-BDF4-FF696F73968D}" showGridLines="0">
      <pane xSplit="1" ySplit="1" topLeftCell="B2" activePane="bottomRight" state="frozen"/>
      <selection pane="bottomRight" activeCell="F14" sqref="F14:H16"/>
      <pageMargins left="0.7" right="0.7" top="0.75" bottom="0.75" header="0.3" footer="0.3"/>
    </customSheetView>
  </customSheetView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8DB4E3"/>
    <pageSetUpPr fitToPage="1"/>
  </sheetPr>
  <dimension ref="A1:S77"/>
  <sheetViews>
    <sheetView showGridLines="0" workbookViewId="0">
      <pane xSplit="1" ySplit="1" topLeftCell="B5" activePane="bottomRight" state="frozen"/>
      <selection pane="topRight" activeCell="B1" sqref="B1"/>
      <selection pane="bottomLeft" activeCell="A2" sqref="A2"/>
      <selection pane="bottomRight" activeCell="B2" sqref="B2"/>
    </sheetView>
  </sheetViews>
  <sheetFormatPr defaultRowHeight="12.75"/>
  <cols>
    <col min="1" max="1" width="19.28515625" style="1164"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5703125" customWidth="1"/>
    <col min="13" max="13" width="14.5703125" customWidth="1"/>
    <col min="14" max="14" width="22.85546875" customWidth="1"/>
    <col min="16" max="16" width="19.42578125" customWidth="1"/>
    <col min="17" max="17" width="18.7109375" customWidth="1"/>
    <col min="18" max="18" width="12.85546875" customWidth="1"/>
    <col min="19" max="19" width="13.42578125" customWidth="1"/>
  </cols>
  <sheetData>
    <row r="1" spans="1:19" ht="56.25" customHeight="1">
      <c r="B1" s="1835" t="s">
        <v>271</v>
      </c>
      <c r="C1" s="1812" t="s">
        <v>272</v>
      </c>
      <c r="D1" s="1835" t="s">
        <v>132</v>
      </c>
      <c r="E1" s="1810" t="s">
        <v>5</v>
      </c>
      <c r="H1" s="1812"/>
      <c r="I1" s="279"/>
      <c r="J1" s="247"/>
      <c r="K1" s="1835" t="s">
        <v>271</v>
      </c>
      <c r="L1" s="1812" t="s">
        <v>272</v>
      </c>
      <c r="M1" s="1835" t="s">
        <v>132</v>
      </c>
      <c r="N1" s="1810" t="s">
        <v>5</v>
      </c>
    </row>
    <row r="2" spans="1:19" ht="20.25">
      <c r="B2" s="255"/>
      <c r="C2" s="278"/>
      <c r="D2" s="278"/>
      <c r="E2" s="278"/>
      <c r="F2" s="278"/>
      <c r="G2" s="286"/>
      <c r="H2" s="279"/>
      <c r="I2" s="279"/>
      <c r="J2" s="247"/>
      <c r="K2" s="247"/>
      <c r="L2" s="247"/>
      <c r="M2" s="247"/>
      <c r="N2" s="247"/>
    </row>
    <row r="3" spans="1:19" ht="38.25">
      <c r="A3" s="1840" t="s">
        <v>271</v>
      </c>
      <c r="C3" s="1607"/>
      <c r="D3" s="1607"/>
      <c r="E3" s="1607"/>
      <c r="F3" s="1607"/>
      <c r="G3" s="2868"/>
      <c r="H3" s="253" t="s">
        <v>8</v>
      </c>
      <c r="I3" s="253" t="s">
        <v>9</v>
      </c>
      <c r="J3" s="253" t="s">
        <v>87</v>
      </c>
      <c r="K3" s="253" t="s">
        <v>11</v>
      </c>
      <c r="L3" s="509" t="s">
        <v>504</v>
      </c>
      <c r="M3" s="253" t="s">
        <v>12</v>
      </c>
      <c r="N3" s="253" t="s">
        <v>13</v>
      </c>
      <c r="O3" s="253" t="s">
        <v>14</v>
      </c>
      <c r="P3" s="253" t="s">
        <v>88</v>
      </c>
      <c r="Q3" s="509" t="s">
        <v>39</v>
      </c>
      <c r="R3" s="253" t="s">
        <v>16</v>
      </c>
      <c r="S3" s="2415" t="s">
        <v>40</v>
      </c>
    </row>
    <row r="4" spans="1:19" ht="15.75">
      <c r="A4" s="1808" t="s">
        <v>272</v>
      </c>
      <c r="G4" s="1704" t="s">
        <v>668</v>
      </c>
      <c r="H4" s="1678">
        <v>9200</v>
      </c>
      <c r="I4" s="1679">
        <v>0</v>
      </c>
      <c r="J4" s="1679">
        <v>6500</v>
      </c>
      <c r="K4" s="1679">
        <v>0</v>
      </c>
      <c r="L4" s="1679">
        <v>11100</v>
      </c>
      <c r="M4" s="1682">
        <v>100000</v>
      </c>
      <c r="N4" s="1680">
        <v>8910</v>
      </c>
      <c r="O4" s="1680">
        <v>0</v>
      </c>
      <c r="P4" s="2837">
        <v>75000</v>
      </c>
      <c r="Q4" s="2843"/>
      <c r="R4" s="1681">
        <v>21710</v>
      </c>
      <c r="S4" s="2463">
        <v>500000</v>
      </c>
    </row>
    <row r="5" spans="1:19" ht="25.5">
      <c r="A5" s="1840" t="s">
        <v>132</v>
      </c>
      <c r="G5" s="250">
        <v>2016</v>
      </c>
      <c r="H5" s="295">
        <f>C14</f>
        <v>0</v>
      </c>
      <c r="I5" s="296">
        <f>C15</f>
        <v>0</v>
      </c>
      <c r="J5" s="296">
        <f>C34</f>
        <v>0</v>
      </c>
      <c r="K5" s="296">
        <f>C32</f>
        <v>0</v>
      </c>
      <c r="L5" s="296">
        <f>C23</f>
        <v>0</v>
      </c>
      <c r="M5" s="296">
        <f>C39</f>
        <v>0</v>
      </c>
      <c r="N5" s="296">
        <f>C30</f>
        <v>0</v>
      </c>
      <c r="O5" s="296">
        <f>C25</f>
        <v>0</v>
      </c>
      <c r="P5" s="2838">
        <f>C11</f>
        <v>0</v>
      </c>
      <c r="Q5" s="2847"/>
      <c r="R5" s="297">
        <f>SUM(H5:P5)</f>
        <v>0</v>
      </c>
      <c r="S5" s="2464">
        <f>C46</f>
        <v>0</v>
      </c>
    </row>
    <row r="6" spans="1:19" ht="13.5" thickBot="1">
      <c r="A6" s="1842" t="s">
        <v>5</v>
      </c>
      <c r="G6" s="310">
        <v>2017</v>
      </c>
      <c r="H6" s="295">
        <f>D14</f>
        <v>0</v>
      </c>
      <c r="I6" s="296">
        <f>D15</f>
        <v>0</v>
      </c>
      <c r="J6" s="296">
        <f>D34</f>
        <v>0</v>
      </c>
      <c r="K6" s="296">
        <f>D32</f>
        <v>0</v>
      </c>
      <c r="L6" s="296">
        <f>D23</f>
        <v>0</v>
      </c>
      <c r="M6" s="308">
        <f>D39</f>
        <v>0</v>
      </c>
      <c r="N6" s="311">
        <f>D30</f>
        <v>0</v>
      </c>
      <c r="O6" s="311">
        <f>D25</f>
        <v>0</v>
      </c>
      <c r="P6" s="2839">
        <f>D11</f>
        <v>0</v>
      </c>
      <c r="Q6" s="2848"/>
      <c r="R6" s="297">
        <f>SUM(H6:P6)</f>
        <v>0</v>
      </c>
      <c r="S6" s="2464">
        <f>D46</f>
        <v>0</v>
      </c>
    </row>
    <row r="7" spans="1:19" s="1569" customFormat="1" ht="13.5" thickBot="1">
      <c r="G7" s="1677" t="s">
        <v>55</v>
      </c>
      <c r="H7" s="1596">
        <f t="shared" ref="H7:P7" si="0">SUM(H5:H6)</f>
        <v>0</v>
      </c>
      <c r="I7" s="1595">
        <f t="shared" si="0"/>
        <v>0</v>
      </c>
      <c r="J7" s="1595">
        <f t="shared" si="0"/>
        <v>0</v>
      </c>
      <c r="K7" s="1595">
        <f t="shared" si="0"/>
        <v>0</v>
      </c>
      <c r="L7" s="1595">
        <f t="shared" si="0"/>
        <v>0</v>
      </c>
      <c r="M7" s="1595">
        <f t="shared" si="0"/>
        <v>0</v>
      </c>
      <c r="N7" s="1595">
        <f t="shared" si="0"/>
        <v>0</v>
      </c>
      <c r="O7" s="1595">
        <f t="shared" si="0"/>
        <v>0</v>
      </c>
      <c r="P7" s="2450">
        <f t="shared" si="0"/>
        <v>0</v>
      </c>
      <c r="Q7" s="2846"/>
      <c r="R7" s="1570">
        <f>SUM(R5:R6)</f>
        <v>0</v>
      </c>
      <c r="S7" s="2465">
        <f>SUM(S5:S6)</f>
        <v>0</v>
      </c>
    </row>
    <row r="8" spans="1:19" ht="20.25">
      <c r="A8" s="1808"/>
      <c r="B8" s="255"/>
      <c r="C8" s="278"/>
      <c r="D8" s="278"/>
      <c r="E8" s="278"/>
      <c r="F8" s="278"/>
      <c r="G8" s="286"/>
      <c r="H8" s="279"/>
      <c r="I8" s="279"/>
      <c r="J8" s="247"/>
      <c r="K8" s="247"/>
      <c r="L8" s="247"/>
      <c r="M8" s="247"/>
      <c r="N8" s="258"/>
    </row>
    <row r="9" spans="1:19" ht="18">
      <c r="C9" s="286"/>
      <c r="D9" s="286"/>
      <c r="E9" s="286"/>
      <c r="F9" s="277"/>
      <c r="G9" s="277"/>
      <c r="H9" s="277"/>
      <c r="I9" s="277"/>
      <c r="J9" s="247"/>
      <c r="K9" s="247"/>
      <c r="L9" s="247"/>
      <c r="M9" s="247"/>
      <c r="N9" s="247"/>
    </row>
    <row r="10" spans="1:19" ht="18">
      <c r="B10" s="256"/>
      <c r="C10" s="305">
        <v>2016</v>
      </c>
      <c r="D10" s="306">
        <v>2017</v>
      </c>
      <c r="E10" s="307" t="s">
        <v>23</v>
      </c>
      <c r="F10" s="262"/>
      <c r="G10" s="262"/>
      <c r="H10" s="262"/>
      <c r="I10" s="973"/>
      <c r="J10" s="966"/>
      <c r="K10" s="258"/>
      <c r="L10" s="258"/>
      <c r="M10" s="258"/>
      <c r="N10" s="247"/>
    </row>
    <row r="11" spans="1:19">
      <c r="B11" s="254" t="s">
        <v>90</v>
      </c>
      <c r="C11" s="288"/>
      <c r="D11" s="2406"/>
      <c r="E11" s="316">
        <f>SUM(C11:D11)</f>
        <v>0</v>
      </c>
      <c r="F11" s="262"/>
      <c r="G11" s="262"/>
      <c r="H11" s="262"/>
      <c r="I11" s="967"/>
      <c r="J11" s="968"/>
      <c r="K11" s="258"/>
      <c r="L11" s="247"/>
      <c r="M11" s="247"/>
      <c r="N11" s="247"/>
    </row>
    <row r="12" spans="1:19" ht="18">
      <c r="B12" s="256"/>
      <c r="C12" s="289"/>
      <c r="D12" s="249"/>
      <c r="E12" s="290"/>
      <c r="F12" s="262"/>
      <c r="G12" s="262"/>
      <c r="H12" s="262"/>
      <c r="I12" s="967"/>
      <c r="J12" s="969"/>
      <c r="K12" s="258"/>
      <c r="L12" s="247"/>
      <c r="M12" s="247"/>
      <c r="N12" s="247"/>
    </row>
    <row r="13" spans="1:19">
      <c r="B13" s="254" t="s">
        <v>93</v>
      </c>
      <c r="C13" s="291"/>
      <c r="D13" s="249"/>
      <c r="E13" s="290"/>
      <c r="F13" s="259"/>
      <c r="G13" s="259"/>
      <c r="H13" s="259"/>
      <c r="I13" s="967"/>
      <c r="J13" s="969"/>
      <c r="K13" s="247"/>
      <c r="L13" s="247"/>
      <c r="M13" s="247"/>
      <c r="N13" s="247"/>
    </row>
    <row r="14" spans="1:19">
      <c r="B14" s="261" t="s">
        <v>95</v>
      </c>
      <c r="C14" s="2407"/>
      <c r="D14" s="313"/>
      <c r="E14" s="309">
        <f>SUM(C14:D14)</f>
        <v>0</v>
      </c>
      <c r="F14" s="276"/>
      <c r="G14" s="263" t="s">
        <v>96</v>
      </c>
      <c r="H14" s="260"/>
      <c r="I14" s="967"/>
      <c r="J14" s="969"/>
      <c r="K14" s="247"/>
      <c r="L14" s="247"/>
      <c r="M14" s="247"/>
      <c r="N14" s="247"/>
    </row>
    <row r="15" spans="1:19">
      <c r="B15" s="261" t="s">
        <v>99</v>
      </c>
      <c r="C15" s="2407"/>
      <c r="D15" s="313"/>
      <c r="E15" s="955">
        <f>SUM(C15:D15)</f>
        <v>0</v>
      </c>
      <c r="F15" s="276"/>
      <c r="G15" s="263" t="s">
        <v>96</v>
      </c>
      <c r="H15" s="260"/>
      <c r="I15" s="1131"/>
      <c r="J15" s="965"/>
      <c r="K15" s="247"/>
      <c r="L15" s="247"/>
      <c r="M15" s="247"/>
      <c r="N15" s="247"/>
    </row>
    <row r="16" spans="1:19">
      <c r="B16" s="261"/>
      <c r="C16" s="292"/>
      <c r="D16" s="249"/>
      <c r="E16" s="290"/>
      <c r="F16" s="260"/>
      <c r="G16" s="260"/>
      <c r="H16" s="260"/>
      <c r="I16" s="967"/>
      <c r="J16" s="965"/>
      <c r="K16" s="247"/>
      <c r="L16" s="247"/>
      <c r="M16" s="275"/>
    </row>
    <row r="17" spans="1:13">
      <c r="B17" s="1126" t="s">
        <v>506</v>
      </c>
      <c r="C17" s="291"/>
      <c r="D17" s="249"/>
      <c r="E17" s="290"/>
      <c r="F17" s="259"/>
      <c r="G17" s="259"/>
      <c r="H17" s="260"/>
      <c r="I17" s="967"/>
      <c r="J17" s="965"/>
      <c r="K17" s="247"/>
      <c r="L17" s="247"/>
      <c r="M17" s="247"/>
    </row>
    <row r="18" spans="1:13">
      <c r="B18" s="247" t="s">
        <v>100</v>
      </c>
      <c r="C18" s="298"/>
      <c r="D18" s="313"/>
      <c r="E18" s="955">
        <f t="shared" ref="E18:E23" si="1">SUM(C18:D18)</f>
        <v>0</v>
      </c>
      <c r="F18" s="280"/>
      <c r="G18" s="280"/>
      <c r="H18" s="259"/>
      <c r="I18" s="967"/>
      <c r="J18" s="965"/>
      <c r="K18" s="247"/>
      <c r="L18" s="247"/>
      <c r="M18" s="247"/>
    </row>
    <row r="19" spans="1:13">
      <c r="B19" s="261" t="s">
        <v>101</v>
      </c>
      <c r="C19" s="298"/>
      <c r="D19" s="313"/>
      <c r="E19" s="955">
        <f t="shared" si="1"/>
        <v>0</v>
      </c>
      <c r="F19" s="247"/>
      <c r="G19" s="259"/>
      <c r="H19" s="280"/>
      <c r="I19" s="967"/>
      <c r="J19" s="965"/>
      <c r="K19" s="247"/>
      <c r="L19" s="247"/>
      <c r="M19" s="247"/>
    </row>
    <row r="20" spans="1:13">
      <c r="B20" s="261" t="s">
        <v>104</v>
      </c>
      <c r="C20" s="298"/>
      <c r="D20" s="313"/>
      <c r="E20" s="955">
        <f t="shared" si="1"/>
        <v>0</v>
      </c>
      <c r="F20" s="259"/>
      <c r="G20" s="259"/>
      <c r="H20" s="259"/>
      <c r="I20" s="967"/>
      <c r="J20" s="972"/>
      <c r="K20" s="247"/>
      <c r="L20" s="247"/>
      <c r="M20" s="247"/>
    </row>
    <row r="21" spans="1:13" s="2177" customFormat="1">
      <c r="B21" s="1130" t="s">
        <v>540</v>
      </c>
      <c r="C21" s="298"/>
      <c r="D21" s="1174"/>
      <c r="E21" s="1189">
        <f t="shared" si="1"/>
        <v>0</v>
      </c>
      <c r="F21" s="513"/>
      <c r="G21" s="513"/>
      <c r="H21" s="513"/>
      <c r="I21" s="1131"/>
      <c r="J21" s="1024"/>
      <c r="K21" s="2340"/>
      <c r="L21" s="2340"/>
      <c r="M21" s="2340"/>
    </row>
    <row r="22" spans="1:13" ht="15">
      <c r="B22" s="261" t="s">
        <v>107</v>
      </c>
      <c r="C22" s="2459"/>
      <c r="D22" s="2460"/>
      <c r="E22" s="2461">
        <f t="shared" si="1"/>
        <v>0</v>
      </c>
      <c r="F22" s="259"/>
      <c r="G22" s="259"/>
      <c r="H22" s="281"/>
      <c r="I22" s="963"/>
      <c r="J22" s="964"/>
      <c r="K22" s="247"/>
      <c r="L22" s="247"/>
      <c r="M22" s="247"/>
    </row>
    <row r="23" spans="1:13">
      <c r="B23" s="247"/>
      <c r="C23" s="293">
        <f>SUM(C18:C22)</f>
        <v>0</v>
      </c>
      <c r="D23" s="272">
        <f>SUM(D18:D22)</f>
        <v>0</v>
      </c>
      <c r="E23" s="2408">
        <f t="shared" si="1"/>
        <v>0</v>
      </c>
      <c r="F23" s="259"/>
      <c r="G23" s="259"/>
      <c r="H23" s="281"/>
      <c r="I23" s="967"/>
      <c r="J23" s="977"/>
      <c r="K23" s="247"/>
      <c r="L23" s="247"/>
      <c r="M23" s="247"/>
    </row>
    <row r="24" spans="1:13">
      <c r="B24" s="249"/>
      <c r="C24" s="300"/>
      <c r="D24" s="249"/>
      <c r="E24" s="290"/>
      <c r="F24" s="259"/>
      <c r="G24" s="259"/>
      <c r="H24" s="281"/>
      <c r="I24" s="971" t="s">
        <v>102</v>
      </c>
      <c r="J24" s="975"/>
      <c r="K24" s="273" t="s">
        <v>103</v>
      </c>
      <c r="L24" s="247"/>
      <c r="M24" s="247"/>
    </row>
    <row r="25" spans="1:13">
      <c r="B25" s="254" t="s">
        <v>94</v>
      </c>
      <c r="C25" s="293">
        <v>0</v>
      </c>
      <c r="D25" s="287">
        <v>0</v>
      </c>
      <c r="E25" s="317">
        <f>SUM(C25:D25)</f>
        <v>0</v>
      </c>
      <c r="F25" s="259"/>
      <c r="G25" s="259"/>
      <c r="H25" s="281"/>
      <c r="I25" s="971" t="s">
        <v>105</v>
      </c>
      <c r="J25" s="2411"/>
      <c r="K25" s="274"/>
      <c r="L25" s="247"/>
      <c r="M25" s="247"/>
    </row>
    <row r="26" spans="1:13">
      <c r="B26" s="249"/>
      <c r="C26" s="300"/>
      <c r="D26" s="249"/>
      <c r="E26" s="290"/>
      <c r="F26" s="259"/>
      <c r="G26" s="259"/>
      <c r="H26" s="281"/>
      <c r="I26" s="971" t="s">
        <v>108</v>
      </c>
      <c r="J26" s="974"/>
      <c r="K26" s="274"/>
      <c r="L26" s="247"/>
      <c r="M26" s="247"/>
    </row>
    <row r="27" spans="1:13">
      <c r="B27" s="252" t="s">
        <v>97</v>
      </c>
      <c r="C27" s="300"/>
      <c r="D27" s="249"/>
      <c r="E27" s="290"/>
      <c r="F27" s="281"/>
      <c r="G27" s="281"/>
      <c r="H27" s="281"/>
      <c r="I27" s="970" t="s">
        <v>109</v>
      </c>
      <c r="J27" s="976"/>
      <c r="K27" s="247"/>
      <c r="L27" s="247"/>
      <c r="M27" s="247"/>
    </row>
    <row r="28" spans="1:13">
      <c r="B28" s="247" t="s">
        <v>110</v>
      </c>
      <c r="C28" s="300"/>
      <c r="D28" s="313"/>
      <c r="E28" s="309">
        <f>SUM(C28:D28)</f>
        <v>0</v>
      </c>
      <c r="F28" s="281"/>
      <c r="G28" s="281"/>
      <c r="H28" s="281"/>
      <c r="I28" s="262"/>
      <c r="J28" s="247"/>
      <c r="K28" s="247"/>
      <c r="L28" s="247"/>
      <c r="M28" s="247"/>
    </row>
    <row r="29" spans="1:13" ht="15">
      <c r="B29" s="249" t="s">
        <v>112</v>
      </c>
      <c r="C29" s="2462"/>
      <c r="D29" s="2442"/>
      <c r="E29" s="2443">
        <f>SUM(C29:D29)</f>
        <v>0</v>
      </c>
      <c r="F29" s="281"/>
      <c r="G29" s="281"/>
      <c r="H29" s="281"/>
      <c r="I29" s="262"/>
      <c r="J29" s="247"/>
      <c r="K29" s="247"/>
      <c r="L29" s="247"/>
      <c r="M29" s="247"/>
    </row>
    <row r="30" spans="1:13">
      <c r="B30" s="252" t="s">
        <v>113</v>
      </c>
      <c r="C30" s="294">
        <f>SUM(C28:C29)</f>
        <v>0</v>
      </c>
      <c r="D30" s="264">
        <f>SUM(D28:D29)</f>
        <v>0</v>
      </c>
      <c r="E30" s="317">
        <f>SUM(E28:E29)</f>
        <v>0</v>
      </c>
      <c r="F30" s="281"/>
      <c r="G30" s="281"/>
      <c r="H30" s="281"/>
      <c r="I30" s="262"/>
      <c r="J30" s="247"/>
      <c r="K30" s="247"/>
      <c r="L30" s="247"/>
      <c r="M30" s="247"/>
    </row>
    <row r="31" spans="1:13">
      <c r="B31" s="249"/>
      <c r="C31" s="300"/>
      <c r="D31" s="249"/>
      <c r="E31" s="290"/>
      <c r="F31" s="281"/>
      <c r="G31" s="281"/>
      <c r="H31" s="281"/>
      <c r="I31" s="262"/>
      <c r="J31" s="247"/>
      <c r="K31" s="247"/>
      <c r="L31" s="247"/>
      <c r="M31" s="247"/>
    </row>
    <row r="32" spans="1:13" ht="38.25">
      <c r="A32" s="1840" t="s">
        <v>271</v>
      </c>
      <c r="B32" s="252" t="s">
        <v>98</v>
      </c>
      <c r="C32" s="294">
        <v>0</v>
      </c>
      <c r="D32" s="314">
        <v>0</v>
      </c>
      <c r="E32" s="317">
        <f>SUM(C32:D32)</f>
        <v>0</v>
      </c>
      <c r="F32" s="281"/>
      <c r="G32" s="281"/>
      <c r="H32" s="281"/>
      <c r="I32" s="262"/>
    </row>
    <row r="33" spans="1:9">
      <c r="A33" s="1808" t="s">
        <v>272</v>
      </c>
      <c r="B33" s="249"/>
      <c r="C33" s="300"/>
      <c r="D33" s="249"/>
      <c r="E33" s="290"/>
      <c r="F33" s="281"/>
      <c r="G33" s="282"/>
      <c r="H33" s="281"/>
      <c r="I33" s="262"/>
    </row>
    <row r="34" spans="1:9" ht="25.5">
      <c r="A34" s="1840" t="s">
        <v>132</v>
      </c>
      <c r="B34" s="252" t="s">
        <v>10</v>
      </c>
      <c r="C34" s="294">
        <f>ROUND(C14*F34,-2)</f>
        <v>0</v>
      </c>
      <c r="D34" s="264">
        <f>ROUND(D14*F35,-2)</f>
        <v>0</v>
      </c>
      <c r="E34" s="317">
        <f>SUM(C34:D34)</f>
        <v>0</v>
      </c>
      <c r="F34" s="2805">
        <v>0.66700000000000004</v>
      </c>
      <c r="G34" s="2827" t="s">
        <v>725</v>
      </c>
      <c r="H34" s="281"/>
      <c r="I34" s="262"/>
    </row>
    <row r="35" spans="1:9">
      <c r="A35" s="1867" t="s">
        <v>5</v>
      </c>
      <c r="B35" s="249"/>
      <c r="C35" s="300"/>
      <c r="D35" s="282"/>
      <c r="E35" s="301"/>
      <c r="F35" s="2805">
        <v>0.68</v>
      </c>
      <c r="G35" s="2803" t="s">
        <v>726</v>
      </c>
      <c r="H35" s="281"/>
      <c r="I35" s="262"/>
    </row>
    <row r="36" spans="1:9">
      <c r="B36" s="250" t="s">
        <v>12</v>
      </c>
      <c r="C36" s="300"/>
      <c r="D36" s="282"/>
      <c r="E36" s="301"/>
      <c r="F36" s="281"/>
      <c r="G36" s="248"/>
      <c r="H36" s="281"/>
      <c r="I36" s="257"/>
    </row>
    <row r="37" spans="1:9">
      <c r="B37" s="1135" t="s">
        <v>549</v>
      </c>
      <c r="C37" s="298"/>
      <c r="D37" s="283"/>
      <c r="E37" s="299">
        <f>SUM(C37:D37)</f>
        <v>0</v>
      </c>
      <c r="F37" s="281"/>
      <c r="G37" s="248"/>
      <c r="H37" s="281"/>
      <c r="I37" s="257"/>
    </row>
    <row r="38" spans="1:9" s="2177" customFormat="1">
      <c r="B38" s="1135" t="s">
        <v>550</v>
      </c>
      <c r="C38" s="298"/>
      <c r="D38" s="518"/>
      <c r="E38" s="520"/>
      <c r="F38" s="516"/>
      <c r="G38" s="1179"/>
      <c r="H38" s="516"/>
      <c r="I38" s="512"/>
    </row>
    <row r="39" spans="1:9">
      <c r="B39" s="267" t="s">
        <v>117</v>
      </c>
      <c r="C39" s="293">
        <f>SUM(C37:C38)</f>
        <v>0</v>
      </c>
      <c r="D39" s="272">
        <f>SUM(D37:D38)</f>
        <v>0</v>
      </c>
      <c r="E39" s="2409">
        <f>SUM(C39:D39)</f>
        <v>0</v>
      </c>
      <c r="F39" s="281"/>
      <c r="G39" s="248"/>
      <c r="H39" s="281"/>
      <c r="I39" s="257"/>
    </row>
    <row r="40" spans="1:9">
      <c r="B40" s="271"/>
      <c r="C40" s="298"/>
      <c r="D40" s="283"/>
      <c r="E40" s="299"/>
      <c r="F40" s="281"/>
      <c r="G40" s="248"/>
      <c r="H40" s="281"/>
      <c r="I40" s="257"/>
    </row>
    <row r="41" spans="1:9" ht="13.5" thickBot="1">
      <c r="B41" s="271"/>
      <c r="C41" s="298"/>
      <c r="D41" s="283"/>
      <c r="E41" s="299"/>
      <c r="F41" s="281"/>
      <c r="G41" s="248"/>
      <c r="H41" s="281"/>
      <c r="I41" s="257"/>
    </row>
    <row r="42" spans="1:9" ht="13.5" thickBot="1">
      <c r="B42" s="267" t="s">
        <v>118</v>
      </c>
      <c r="C42" s="519">
        <f>C11+C14+C15+C23+C25+C30+C32+C34+C39</f>
        <v>0</v>
      </c>
      <c r="D42" s="1208">
        <f>D11+D14+D15+D23+D30+D25+D32+D34+D39</f>
        <v>0</v>
      </c>
      <c r="E42" s="2410">
        <f>SUM(C42:D42)</f>
        <v>0</v>
      </c>
      <c r="F42" s="281"/>
      <c r="G42" s="282"/>
      <c r="H42" s="281"/>
      <c r="I42" s="257"/>
    </row>
    <row r="43" spans="1:9">
      <c r="B43" s="251"/>
      <c r="C43" s="283"/>
      <c r="D43" s="283"/>
      <c r="E43" s="283"/>
      <c r="F43" s="281"/>
      <c r="G43" s="282"/>
      <c r="H43" s="281"/>
      <c r="I43" s="257"/>
    </row>
    <row r="44" spans="1:9">
      <c r="B44" s="247"/>
      <c r="G44" s="282"/>
      <c r="H44" s="281"/>
      <c r="I44" s="257"/>
    </row>
    <row r="45" spans="1:9">
      <c r="B45" s="442" t="s">
        <v>119</v>
      </c>
      <c r="C45" s="312">
        <v>2016</v>
      </c>
      <c r="D45" s="312">
        <v>2017</v>
      </c>
      <c r="E45" s="312" t="s">
        <v>23</v>
      </c>
      <c r="F45" s="247"/>
      <c r="G45" s="282"/>
      <c r="H45" s="281"/>
      <c r="I45" s="257"/>
    </row>
    <row r="46" spans="1:9">
      <c r="B46" s="1142" t="s">
        <v>551</v>
      </c>
      <c r="C46" s="302"/>
      <c r="D46" s="303"/>
      <c r="E46" s="304">
        <f>SUM(C46:D46)</f>
        <v>0</v>
      </c>
      <c r="F46" s="272" t="s">
        <v>120</v>
      </c>
      <c r="G46" s="282"/>
      <c r="H46" s="281"/>
      <c r="I46" s="257"/>
    </row>
    <row r="47" spans="1:9">
      <c r="B47" s="285"/>
      <c r="C47" s="315"/>
      <c r="D47" s="315"/>
      <c r="E47" s="247"/>
      <c r="F47" s="247"/>
      <c r="G47" s="282"/>
      <c r="H47" s="281"/>
      <c r="I47" s="257"/>
    </row>
    <row r="48" spans="1:9">
      <c r="B48" s="247"/>
      <c r="C48" s="247"/>
      <c r="D48" s="247"/>
      <c r="E48" s="247"/>
      <c r="F48" s="247"/>
      <c r="G48" s="282"/>
      <c r="H48" s="281"/>
      <c r="I48" s="257"/>
    </row>
    <row r="49" spans="2:10">
      <c r="B49" s="247"/>
      <c r="C49" s="284"/>
      <c r="D49" s="284"/>
      <c r="E49" s="284"/>
      <c r="F49" s="265"/>
      <c r="G49" s="281"/>
      <c r="H49" s="281"/>
      <c r="I49" s="257"/>
      <c r="J49" s="247"/>
    </row>
    <row r="50" spans="2:10">
      <c r="B50" s="247"/>
      <c r="C50" s="284"/>
      <c r="D50" s="284"/>
      <c r="E50" s="284"/>
      <c r="F50" s="265"/>
      <c r="G50" s="281"/>
      <c r="H50" s="283"/>
      <c r="I50" s="266"/>
      <c r="J50" s="251"/>
    </row>
    <row r="51" spans="2:10">
      <c r="B51" s="247"/>
      <c r="C51" s="284"/>
      <c r="D51" s="284"/>
      <c r="E51" s="284"/>
      <c r="F51" s="265"/>
      <c r="G51" s="281"/>
      <c r="H51" s="268"/>
      <c r="I51" s="268"/>
      <c r="J51" s="251"/>
    </row>
    <row r="52" spans="2:10">
      <c r="B52" s="247"/>
      <c r="C52" s="284"/>
      <c r="D52" s="284"/>
      <c r="E52" s="284"/>
      <c r="F52" s="265"/>
      <c r="G52" s="281"/>
      <c r="H52" s="268"/>
      <c r="I52" s="268"/>
      <c r="J52" s="251"/>
    </row>
    <row r="53" spans="2:10" ht="20.25">
      <c r="B53" s="255" t="s">
        <v>123</v>
      </c>
      <c r="C53" s="284"/>
      <c r="D53" s="284"/>
      <c r="E53" s="284"/>
      <c r="F53" s="265"/>
      <c r="G53" s="283"/>
      <c r="H53" s="268"/>
      <c r="I53" s="268"/>
      <c r="J53" s="251"/>
    </row>
    <row r="54" spans="2:10">
      <c r="B54" s="250"/>
      <c r="C54" s="247"/>
      <c r="D54" s="247"/>
      <c r="E54" s="247"/>
      <c r="F54" s="247"/>
      <c r="G54" s="268"/>
      <c r="H54" s="268"/>
      <c r="I54" s="268"/>
      <c r="J54" s="251"/>
    </row>
    <row r="55" spans="2:10">
      <c r="B55" s="247"/>
      <c r="C55" s="283"/>
      <c r="D55" s="283"/>
      <c r="E55" s="283"/>
      <c r="F55" s="268"/>
      <c r="G55" s="268"/>
      <c r="H55" s="268"/>
      <c r="I55" s="268"/>
      <c r="J55" s="251"/>
    </row>
    <row r="56" spans="2:10">
      <c r="B56" s="247"/>
      <c r="C56" s="268"/>
      <c r="D56" s="268"/>
      <c r="E56" s="268"/>
      <c r="F56" s="268"/>
      <c r="G56" s="268"/>
      <c r="H56" s="268"/>
      <c r="I56" s="268"/>
      <c r="J56" s="251"/>
    </row>
    <row r="57" spans="2:10">
      <c r="B57" s="247"/>
      <c r="C57" s="268"/>
      <c r="D57" s="268"/>
      <c r="E57" s="268"/>
      <c r="F57" s="283"/>
      <c r="G57" s="268"/>
      <c r="H57" s="283"/>
      <c r="I57" s="268"/>
      <c r="J57" s="251"/>
    </row>
    <row r="58" spans="2:10" ht="15.75">
      <c r="B58" s="269"/>
      <c r="C58" s="270"/>
      <c r="D58" s="270"/>
      <c r="E58" s="270"/>
      <c r="F58" s="283"/>
      <c r="G58" s="268"/>
      <c r="H58" s="283"/>
      <c r="I58" s="266"/>
      <c r="J58" s="251"/>
    </row>
    <row r="59" spans="2:10">
      <c r="B59" s="251"/>
      <c r="C59" s="251"/>
      <c r="D59" s="251"/>
      <c r="E59" s="251"/>
      <c r="F59" s="283"/>
      <c r="G59" s="268"/>
      <c r="H59" s="283"/>
      <c r="I59" s="266"/>
      <c r="J59" s="251"/>
    </row>
    <row r="60" spans="2:10">
      <c r="B60" s="247"/>
      <c r="C60" s="247"/>
      <c r="D60" s="247"/>
      <c r="E60" s="247"/>
      <c r="F60" s="283"/>
      <c r="G60" s="283"/>
      <c r="H60" s="283"/>
      <c r="I60" s="266"/>
      <c r="J60" s="251"/>
    </row>
    <row r="61" spans="2:10">
      <c r="B61" s="247"/>
      <c r="C61" s="247"/>
      <c r="D61" s="247"/>
      <c r="E61" s="247"/>
      <c r="F61" s="283"/>
      <c r="G61" s="283"/>
      <c r="H61" s="283"/>
      <c r="I61" s="266"/>
      <c r="J61" s="251"/>
    </row>
    <row r="62" spans="2:10">
      <c r="B62" s="247"/>
      <c r="C62" s="247"/>
      <c r="D62" s="247"/>
      <c r="E62" s="247"/>
      <c r="F62" s="283"/>
      <c r="G62" s="283"/>
      <c r="H62" s="283"/>
      <c r="I62" s="266"/>
      <c r="J62" s="251"/>
    </row>
    <row r="63" spans="2:10">
      <c r="B63" s="247"/>
      <c r="C63" s="247"/>
      <c r="D63" s="247"/>
      <c r="E63" s="247"/>
      <c r="F63" s="247"/>
      <c r="G63" s="283"/>
      <c r="H63" s="283"/>
      <c r="I63" s="266"/>
      <c r="J63" s="251"/>
    </row>
    <row r="64" spans="2:10">
      <c r="F64" s="247"/>
      <c r="G64" s="283"/>
      <c r="H64" s="283"/>
      <c r="I64" s="266"/>
      <c r="J64" s="251"/>
    </row>
    <row r="65" spans="6:10">
      <c r="F65" s="247"/>
      <c r="G65" s="283"/>
      <c r="H65" s="283"/>
      <c r="I65" s="266"/>
      <c r="J65" s="251"/>
    </row>
    <row r="66" spans="6:10">
      <c r="F66" s="247"/>
      <c r="G66" s="283"/>
      <c r="H66" s="268"/>
      <c r="I66" s="268"/>
      <c r="J66" s="251"/>
    </row>
    <row r="67" spans="6:10">
      <c r="F67" s="247"/>
      <c r="G67" s="283"/>
      <c r="H67" s="268"/>
      <c r="I67" s="268"/>
      <c r="J67" s="251"/>
    </row>
    <row r="68" spans="6:10">
      <c r="F68" s="247"/>
      <c r="G68" s="283"/>
      <c r="H68" s="268"/>
      <c r="I68" s="268"/>
      <c r="J68" s="251"/>
    </row>
    <row r="69" spans="6:10">
      <c r="F69" s="268"/>
      <c r="G69" s="268"/>
      <c r="H69" s="268"/>
      <c r="I69" s="268"/>
      <c r="J69" s="251"/>
    </row>
    <row r="70" spans="6:10">
      <c r="F70" s="268"/>
      <c r="G70" s="268"/>
      <c r="H70" s="268"/>
      <c r="I70" s="268"/>
      <c r="J70" s="251"/>
    </row>
    <row r="71" spans="6:10">
      <c r="F71" s="268"/>
      <c r="G71" s="268"/>
      <c r="H71" s="268"/>
      <c r="I71" s="268"/>
      <c r="J71" s="251"/>
    </row>
    <row r="72" spans="6:10" ht="15.75">
      <c r="F72" s="270"/>
      <c r="G72" s="268"/>
      <c r="H72" s="270"/>
      <c r="I72" s="270"/>
      <c r="J72" s="251"/>
    </row>
    <row r="73" spans="6:10">
      <c r="F73" s="251"/>
      <c r="G73" s="268"/>
      <c r="H73" s="251"/>
      <c r="I73" s="251"/>
      <c r="J73" s="251"/>
    </row>
    <row r="74" spans="6:10">
      <c r="F74" s="247"/>
      <c r="G74" s="268"/>
      <c r="H74" s="247"/>
      <c r="I74" s="247"/>
      <c r="J74" s="247"/>
    </row>
    <row r="75" spans="6:10" ht="15.75">
      <c r="F75" s="247"/>
      <c r="G75" s="270"/>
      <c r="H75" s="247"/>
      <c r="I75" s="247"/>
      <c r="J75" s="247"/>
    </row>
    <row r="76" spans="6:10">
      <c r="F76" s="247"/>
      <c r="G76" s="251"/>
      <c r="H76" s="247"/>
      <c r="I76" s="247"/>
      <c r="J76" s="247"/>
    </row>
    <row r="77" spans="6:10">
      <c r="H77" s="247"/>
      <c r="I77" s="247"/>
      <c r="J77" s="247"/>
    </row>
  </sheetData>
  <customSheetViews>
    <customSheetView guid="{074EB09C-6289-46D7-9513-012B68BCA7BF}" showGridLines="0" fitToPage="1">
      <pane xSplit="1" ySplit="1" topLeftCell="B2" activePane="bottomRight" state="frozen"/>
      <selection pane="bottomRight" activeCell="S5" sqref="S5"/>
      <pageMargins left="0.31" right="0.25" top="0.38" bottom="0.75" header="0.3" footer="0.3"/>
      <pageSetup paperSize="17" scale="74" orientation="landscape" r:id="rId1"/>
    </customSheetView>
    <customSheetView guid="{D9EFFE19-D14B-4C6F-BDF4-FF696F73968D}" showGridLines="0" fitToPage="1">
      <pane xSplit="1" ySplit="1" topLeftCell="B17" activePane="bottomRight" state="frozen"/>
      <selection pane="bottomRight"/>
      <pageMargins left="0.31" right="0.25" top="0.38" bottom="0.75" header="0.3" footer="0.3"/>
      <pageSetup paperSize="17" scale="74" orientation="landscape" r:id="rId2"/>
    </customSheetView>
  </customSheetViews>
  <pageMargins left="0.31" right="0.25" top="0.38" bottom="0.75" header="0.3" footer="0.3"/>
  <pageSetup paperSize="17" scale="74" orientation="landscape" r:id="rId3"/>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4" activePane="bottomRight" state="frozen"/>
      <selection pane="topRight" activeCell="B1" sqref="B1"/>
      <selection pane="bottomLeft" activeCell="A2" sqref="A2"/>
      <selection pane="bottomRight" activeCell="C5" sqref="C5"/>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24.140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44.25" customHeight="1" thickBot="1">
      <c r="C1" s="1812" t="s">
        <v>700</v>
      </c>
      <c r="D1" s="1812" t="s">
        <v>278</v>
      </c>
      <c r="E1" s="1812" t="s">
        <v>6</v>
      </c>
      <c r="F1" s="1812">
        <v>18230714</v>
      </c>
      <c r="G1" s="1812" t="s">
        <v>5</v>
      </c>
      <c r="J1" s="1592"/>
      <c r="M1" s="1812" t="s">
        <v>700</v>
      </c>
      <c r="N1" s="1812" t="s">
        <v>278</v>
      </c>
      <c r="O1" s="1812" t="s">
        <v>6</v>
      </c>
      <c r="P1" s="1812">
        <v>18230714</v>
      </c>
      <c r="Q1" s="1812" t="s">
        <v>5</v>
      </c>
      <c r="V1" s="1812" t="s">
        <v>700</v>
      </c>
      <c r="W1" s="1812" t="s">
        <v>278</v>
      </c>
      <c r="X1" s="1812" t="s">
        <v>6</v>
      </c>
      <c r="Y1" s="1812">
        <v>18230714</v>
      </c>
      <c r="Z1" s="1812" t="s">
        <v>5</v>
      </c>
    </row>
    <row r="2" spans="1:27" ht="16.5" thickBot="1">
      <c r="C2" s="1592"/>
      <c r="D2" s="1575"/>
      <c r="H2" s="1576" t="s">
        <v>674</v>
      </c>
      <c r="R2" s="3596"/>
      <c r="S2" s="3596"/>
      <c r="T2" s="3597" t="s">
        <v>36</v>
      </c>
      <c r="U2" s="3598"/>
      <c r="V2" s="3599"/>
      <c r="W2" s="3594" t="s">
        <v>37</v>
      </c>
    </row>
    <row r="3" spans="1:27" ht="26.25" thickBot="1">
      <c r="A3" s="2802" t="s">
        <v>701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27" thickBot="1">
      <c r="A4" s="2802" t="s">
        <v>702</v>
      </c>
      <c r="B4" s="2802"/>
      <c r="C4" s="1575"/>
      <c r="G4" s="1804" t="s">
        <v>668</v>
      </c>
      <c r="H4" s="2003">
        <v>102000</v>
      </c>
      <c r="I4" s="2002">
        <v>20000</v>
      </c>
      <c r="J4" s="2002">
        <v>86254</v>
      </c>
      <c r="K4" s="2002">
        <v>32627</v>
      </c>
      <c r="L4" s="2002">
        <v>5000</v>
      </c>
      <c r="M4" s="2002">
        <v>90000</v>
      </c>
      <c r="N4" s="2002">
        <v>2800</v>
      </c>
      <c r="O4" s="2002">
        <v>5000</v>
      </c>
      <c r="P4" s="2002">
        <v>517535</v>
      </c>
      <c r="Q4" s="2002">
        <v>0</v>
      </c>
      <c r="R4" s="2000">
        <v>861216</v>
      </c>
      <c r="S4" s="1998">
        <v>6166728</v>
      </c>
      <c r="T4" s="1541">
        <f>P4/R4</f>
        <v>0.60093518931371459</v>
      </c>
      <c r="U4" s="1541">
        <f>(K4+(I4*1.63))/R4</f>
        <v>7.5738258462453092E-2</v>
      </c>
      <c r="V4" s="1541">
        <f>M4/R4</f>
        <v>0.10450339984394159</v>
      </c>
      <c r="W4" s="1539">
        <f>R4/S4</f>
        <v>0.13965525964498515</v>
      </c>
    </row>
    <row r="5" spans="1:27" ht="16.5" thickBot="1">
      <c r="A5" s="2802" t="s">
        <v>703</v>
      </c>
      <c r="B5" s="2802"/>
      <c r="C5" s="1592"/>
      <c r="G5" s="1592">
        <v>2016</v>
      </c>
      <c r="H5" s="1582">
        <f>D15</f>
        <v>120455.4</v>
      </c>
      <c r="I5" s="1549">
        <f>D21</f>
        <v>20000</v>
      </c>
      <c r="J5" s="1549">
        <f>D27</f>
        <v>93683.751799999998</v>
      </c>
      <c r="K5" s="1549">
        <f>D34</f>
        <v>50000</v>
      </c>
      <c r="L5" s="1549">
        <f>D40</f>
        <v>2750</v>
      </c>
      <c r="M5" s="1549">
        <f>D46</f>
        <v>180000</v>
      </c>
      <c r="N5" s="1549">
        <f>D52</f>
        <v>2800</v>
      </c>
      <c r="O5" s="1549">
        <f>D58</f>
        <v>500</v>
      </c>
      <c r="P5" s="1549">
        <f>D64</f>
        <v>745533</v>
      </c>
      <c r="Q5" s="1549">
        <f>D65</f>
        <v>0</v>
      </c>
      <c r="R5" s="2001">
        <f>SUM(H5:Q5)</f>
        <v>1215722.1518000001</v>
      </c>
      <c r="S5" s="1999">
        <f>T15</f>
        <v>9083978</v>
      </c>
      <c r="T5" s="1542">
        <f>P5/R5</f>
        <v>0.61324291812579268</v>
      </c>
      <c r="U5" s="1542">
        <f>(K5+(I5*1.63))/R5</f>
        <v>6.7943156154309028E-2</v>
      </c>
      <c r="V5" s="1542">
        <f>M5/R5</f>
        <v>0.14806014658324002</v>
      </c>
      <c r="W5" s="1540">
        <f>R5/S5</f>
        <v>0.13383147248925528</v>
      </c>
    </row>
    <row r="6" spans="1:27" ht="16.5" thickBot="1">
      <c r="A6" s="2802" t="s">
        <v>278</v>
      </c>
      <c r="B6" s="2802"/>
      <c r="D6" s="1592"/>
      <c r="G6" s="1592">
        <v>2017</v>
      </c>
      <c r="H6" s="57">
        <f>E15</f>
        <v>123466.78499999999</v>
      </c>
      <c r="I6" s="1990">
        <f>E21</f>
        <v>20500</v>
      </c>
      <c r="J6" s="1989">
        <f>E27</f>
        <v>97897.413799999995</v>
      </c>
      <c r="K6" s="58">
        <f>E34</f>
        <v>50000</v>
      </c>
      <c r="L6" s="58">
        <f>E40</f>
        <v>2750</v>
      </c>
      <c r="M6" s="58">
        <f>E46</f>
        <v>200000</v>
      </c>
      <c r="N6" s="58">
        <f>E52</f>
        <v>2800</v>
      </c>
      <c r="O6" s="58">
        <f>E58</f>
        <v>500</v>
      </c>
      <c r="P6" s="58">
        <f>E64</f>
        <v>894650</v>
      </c>
      <c r="Q6" s="58">
        <f>E65</f>
        <v>0</v>
      </c>
      <c r="R6" s="1997">
        <f>SUM(H6:Q6)</f>
        <v>1392564.1987999999</v>
      </c>
      <c r="S6" s="1996">
        <f>U15</f>
        <v>10900868</v>
      </c>
      <c r="T6" s="1542">
        <f>P6/R6</f>
        <v>0.64244793939908662</v>
      </c>
      <c r="U6" s="1542">
        <f>(K6+(I6*1.63))/R6</f>
        <v>5.9900290465517037E-2</v>
      </c>
      <c r="V6" s="1542">
        <f>M6/R6</f>
        <v>0.14361994956666554</v>
      </c>
      <c r="W6" s="1540">
        <f>R6/S6</f>
        <v>0.12774801041531739</v>
      </c>
    </row>
    <row r="7" spans="1:27" ht="16.5" thickBot="1">
      <c r="A7" s="2802" t="s">
        <v>6</v>
      </c>
      <c r="B7" s="2802"/>
      <c r="D7" s="1592"/>
      <c r="G7" s="1608" t="s">
        <v>23</v>
      </c>
      <c r="H7" s="1564">
        <f>SUM(H5:H6)</f>
        <v>243922.185</v>
      </c>
      <c r="I7" s="1991">
        <f t="shared" ref="I7:Q7" si="0">SUM(I5:I6)</f>
        <v>40500</v>
      </c>
      <c r="J7" s="1992">
        <f t="shared" si="0"/>
        <v>191581.16560000001</v>
      </c>
      <c r="K7" s="1993">
        <f t="shared" si="0"/>
        <v>100000</v>
      </c>
      <c r="L7" s="1991">
        <f t="shared" si="0"/>
        <v>5500</v>
      </c>
      <c r="M7" s="1992">
        <f t="shared" si="0"/>
        <v>380000</v>
      </c>
      <c r="N7" s="1991">
        <f t="shared" si="0"/>
        <v>5600</v>
      </c>
      <c r="O7" s="1992">
        <f t="shared" si="0"/>
        <v>1000</v>
      </c>
      <c r="P7" s="1993">
        <f t="shared" si="0"/>
        <v>1640183</v>
      </c>
      <c r="Q7" s="1991">
        <f t="shared" si="0"/>
        <v>0</v>
      </c>
      <c r="R7" s="1993">
        <f>SUM(H7:Q7)</f>
        <v>2608286.3506</v>
      </c>
      <c r="S7" s="1994">
        <f>SUM(S5:S6)</f>
        <v>19984846</v>
      </c>
      <c r="T7" s="1542">
        <f>P7/R7</f>
        <v>0.62883548028486158</v>
      </c>
      <c r="U7" s="1542">
        <f>(K7+(I7*1.63))/R7</f>
        <v>6.3649069804705513E-2</v>
      </c>
      <c r="V7" s="1542">
        <f>M7/R7</f>
        <v>0.14568952519825373</v>
      </c>
      <c r="W7" s="1540">
        <f>R7/S7</f>
        <v>0.13051320738723732</v>
      </c>
    </row>
    <row r="8" spans="1:27" ht="15.75">
      <c r="A8" s="2193">
        <v>18230714</v>
      </c>
      <c r="B8" s="2802"/>
      <c r="D8" s="1592"/>
    </row>
    <row r="9" spans="1:27" ht="20.25" customHeight="1">
      <c r="A9" s="2802" t="s">
        <v>5</v>
      </c>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1215722.1518000001</v>
      </c>
      <c r="E12" s="1948">
        <f>E15+E21+E27+E34+E40+E46+E52+E58+E64</f>
        <v>1392564.1987999999</v>
      </c>
      <c r="F12" s="2157">
        <f>D12+E12</f>
        <v>2608286.3506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17"/>
    </row>
    <row r="15" spans="1:27">
      <c r="B15" s="1886" t="s">
        <v>312</v>
      </c>
      <c r="C15" s="2106" t="s">
        <v>46</v>
      </c>
      <c r="D15" s="2158">
        <f>SUM(D16:D19)</f>
        <v>120455.4</v>
      </c>
      <c r="E15" s="1926">
        <f>SUM(E16:E19)</f>
        <v>123466.78499999999</v>
      </c>
      <c r="F15" s="2157">
        <f>D15+E15</f>
        <v>243922.185</v>
      </c>
      <c r="H15" s="1938" t="s">
        <v>327</v>
      </c>
      <c r="I15" s="1939"/>
      <c r="J15" s="1939"/>
      <c r="K15" s="1940"/>
      <c r="L15" s="1941">
        <f>SUMPRODUCT(L16:L179,S16:S179)</f>
        <v>1640183</v>
      </c>
      <c r="M15" s="1941">
        <f>SUM(M16:M179)</f>
        <v>65</v>
      </c>
      <c r="N15" s="1942" t="s">
        <v>241</v>
      </c>
      <c r="O15" s="1940">
        <v>5</v>
      </c>
      <c r="P15" s="1940"/>
      <c r="Q15" s="1940"/>
      <c r="R15" s="1940"/>
      <c r="S15" s="1940"/>
      <c r="T15" s="1943">
        <f>SUM(T16:T65)</f>
        <v>9083978</v>
      </c>
      <c r="U15" s="1943">
        <f>SUM(U16:U65)</f>
        <v>10900868</v>
      </c>
      <c r="V15" s="1943">
        <f>SUM(V16:V65)</f>
        <v>19984846</v>
      </c>
      <c r="W15" s="1941">
        <f>SUM(W16:W23)</f>
        <v>745533</v>
      </c>
      <c r="X15" s="1941">
        <f>SUM(X16:X23)</f>
        <v>894650</v>
      </c>
      <c r="Y15" s="1941">
        <f>SUM(Y16:Y23)</f>
        <v>1640183</v>
      </c>
      <c r="Z15" s="1945">
        <v>0</v>
      </c>
      <c r="AA15" s="1917"/>
    </row>
    <row r="16" spans="1:27">
      <c r="B16" s="2610">
        <v>1</v>
      </c>
      <c r="C16" s="2197" t="s">
        <v>792</v>
      </c>
      <c r="D16" s="2201">
        <v>92658</v>
      </c>
      <c r="E16" s="2200">
        <v>94974.45</v>
      </c>
      <c r="F16" s="1879">
        <f>SUM(D16:E16)</f>
        <v>187632.45</v>
      </c>
      <c r="H16" s="1922" t="s">
        <v>1290</v>
      </c>
      <c r="I16" s="1928">
        <v>110</v>
      </c>
      <c r="J16" s="1932" t="s">
        <v>120</v>
      </c>
      <c r="K16" s="1922" t="s">
        <v>909</v>
      </c>
      <c r="L16" s="1929">
        <v>15</v>
      </c>
      <c r="M16" s="1929">
        <v>15</v>
      </c>
      <c r="N16" s="1923">
        <v>5.6004714486956451E-2</v>
      </c>
      <c r="O16" s="1922">
        <v>5</v>
      </c>
      <c r="P16" s="1925" t="s">
        <v>1071</v>
      </c>
      <c r="Q16" s="1928">
        <v>4625</v>
      </c>
      <c r="R16" s="1928">
        <v>5550</v>
      </c>
      <c r="S16" s="1931">
        <f t="shared" ref="S16:S23" si="1">Q16+R16</f>
        <v>10175</v>
      </c>
      <c r="T16" s="1931">
        <f t="shared" ref="T16:T23" si="2">I16*Q16</f>
        <v>508750</v>
      </c>
      <c r="U16" s="1931">
        <f t="shared" ref="U16:U23" si="3">I16*R16</f>
        <v>610500</v>
      </c>
      <c r="V16" s="1931">
        <f t="shared" ref="V16:V23" si="4">T16+U16</f>
        <v>1119250</v>
      </c>
      <c r="W16" s="1921">
        <f t="shared" ref="W16:W23" si="5">M16*Q16</f>
        <v>69375</v>
      </c>
      <c r="X16" s="1921">
        <f t="shared" ref="X16:X23" si="6">M16*R16</f>
        <v>83250</v>
      </c>
      <c r="Y16" s="1921">
        <f t="shared" ref="Y16:Y23" si="7">W16+X16</f>
        <v>152625</v>
      </c>
      <c r="Z16" s="1946"/>
      <c r="AA16" s="1917"/>
    </row>
    <row r="17" spans="2:27">
      <c r="B17" s="2610">
        <v>0.15</v>
      </c>
      <c r="C17" s="2197" t="s">
        <v>791</v>
      </c>
      <c r="D17" s="2199">
        <v>13898.699999999999</v>
      </c>
      <c r="E17" s="2198">
        <v>14246.1675</v>
      </c>
      <c r="F17" s="2191">
        <f t="shared" ref="F17:F30" si="8">SUM(D17:E17)</f>
        <v>28144.8675</v>
      </c>
      <c r="H17" s="1922" t="s">
        <v>1291</v>
      </c>
      <c r="I17" s="1928">
        <v>57</v>
      </c>
      <c r="J17" s="1932" t="s">
        <v>120</v>
      </c>
      <c r="K17" s="1922" t="s">
        <v>909</v>
      </c>
      <c r="L17" s="1929">
        <v>4</v>
      </c>
      <c r="M17" s="1929">
        <v>4</v>
      </c>
      <c r="N17" s="1923">
        <v>3.9149084274756836E-2</v>
      </c>
      <c r="O17" s="1922">
        <v>3</v>
      </c>
      <c r="P17" s="1925" t="s">
        <v>1071</v>
      </c>
      <c r="Q17" s="1928">
        <v>6239</v>
      </c>
      <c r="R17" s="1928">
        <v>7487</v>
      </c>
      <c r="S17" s="1931">
        <f t="shared" si="1"/>
        <v>13726</v>
      </c>
      <c r="T17" s="1931">
        <f t="shared" si="2"/>
        <v>355623</v>
      </c>
      <c r="U17" s="1931">
        <f t="shared" si="3"/>
        <v>426759</v>
      </c>
      <c r="V17" s="1931">
        <f t="shared" si="4"/>
        <v>782382</v>
      </c>
      <c r="W17" s="1921">
        <f t="shared" si="5"/>
        <v>24956</v>
      </c>
      <c r="X17" s="1921">
        <f t="shared" si="6"/>
        <v>29948</v>
      </c>
      <c r="Y17" s="1921">
        <f t="shared" si="7"/>
        <v>54904</v>
      </c>
      <c r="Z17" s="1946"/>
      <c r="AA17" s="1917"/>
    </row>
    <row r="18" spans="2:27">
      <c r="B18" s="2610">
        <v>0.15</v>
      </c>
      <c r="C18" s="2197" t="s">
        <v>794</v>
      </c>
      <c r="D18" s="2199">
        <v>13898.699999999999</v>
      </c>
      <c r="E18" s="2198">
        <v>14246.1675</v>
      </c>
      <c r="F18" s="2191">
        <f t="shared" si="8"/>
        <v>28144.8675</v>
      </c>
      <c r="H18" s="1922" t="s">
        <v>1292</v>
      </c>
      <c r="I18" s="1928">
        <v>80</v>
      </c>
      <c r="J18" s="1932" t="s">
        <v>120</v>
      </c>
      <c r="K18" s="1922" t="s">
        <v>909</v>
      </c>
      <c r="L18" s="1929">
        <v>4</v>
      </c>
      <c r="M18" s="1929">
        <v>4</v>
      </c>
      <c r="N18" s="1923">
        <v>0.41286987421552118</v>
      </c>
      <c r="O18" s="1922">
        <v>5</v>
      </c>
      <c r="P18" s="1925" t="s">
        <v>1071</v>
      </c>
      <c r="Q18" s="1928">
        <v>46882</v>
      </c>
      <c r="R18" s="1928">
        <v>56258</v>
      </c>
      <c r="S18" s="1931">
        <f t="shared" si="1"/>
        <v>103140</v>
      </c>
      <c r="T18" s="1931">
        <f t="shared" si="2"/>
        <v>3750560</v>
      </c>
      <c r="U18" s="1931">
        <f t="shared" si="3"/>
        <v>4500640</v>
      </c>
      <c r="V18" s="1931">
        <f t="shared" si="4"/>
        <v>8251200</v>
      </c>
      <c r="W18" s="1921">
        <f t="shared" si="5"/>
        <v>187528</v>
      </c>
      <c r="X18" s="1921">
        <f t="shared" si="6"/>
        <v>225032</v>
      </c>
      <c r="Y18" s="1921">
        <f t="shared" si="7"/>
        <v>412560</v>
      </c>
      <c r="Z18" s="1946"/>
      <c r="AA18" s="1917"/>
    </row>
    <row r="19" spans="2:27">
      <c r="B19" s="2610"/>
      <c r="C19" s="2197"/>
      <c r="D19" s="1903"/>
      <c r="E19" s="1902"/>
      <c r="F19" s="2191">
        <f t="shared" si="8"/>
        <v>0</v>
      </c>
      <c r="H19" s="1922" t="s">
        <v>1293</v>
      </c>
      <c r="I19" s="1928">
        <v>99</v>
      </c>
      <c r="J19" s="1932" t="s">
        <v>120</v>
      </c>
      <c r="K19" s="1922" t="s">
        <v>909</v>
      </c>
      <c r="L19" s="1929">
        <v>8</v>
      </c>
      <c r="M19" s="1929">
        <v>8</v>
      </c>
      <c r="N19" s="1923">
        <v>6.5725316552773597E-2</v>
      </c>
      <c r="O19" s="1922">
        <v>5</v>
      </c>
      <c r="P19" s="1925" t="s">
        <v>1071</v>
      </c>
      <c r="Q19" s="1928">
        <v>6031</v>
      </c>
      <c r="R19" s="1928">
        <v>7237</v>
      </c>
      <c r="S19" s="1931">
        <f t="shared" si="1"/>
        <v>13268</v>
      </c>
      <c r="T19" s="1931">
        <f t="shared" si="2"/>
        <v>597069</v>
      </c>
      <c r="U19" s="1931">
        <f t="shared" si="3"/>
        <v>716463</v>
      </c>
      <c r="V19" s="1931">
        <f t="shared" si="4"/>
        <v>1313532</v>
      </c>
      <c r="W19" s="1921">
        <f t="shared" si="5"/>
        <v>48248</v>
      </c>
      <c r="X19" s="1921">
        <f t="shared" si="6"/>
        <v>57896</v>
      </c>
      <c r="Y19" s="1921">
        <f t="shared" si="7"/>
        <v>106144</v>
      </c>
      <c r="Z19" s="1946"/>
      <c r="AA19" s="1917"/>
    </row>
    <row r="20" spans="2:27">
      <c r="B20" s="1908">
        <f>SUM(B16:B19)</f>
        <v>1.2999999999999998</v>
      </c>
      <c r="C20" s="1952"/>
      <c r="D20" s="1954"/>
      <c r="E20" s="1955"/>
      <c r="F20" s="1957"/>
      <c r="H20" s="1922" t="s">
        <v>1294</v>
      </c>
      <c r="I20" s="1928">
        <v>100</v>
      </c>
      <c r="J20" s="1932" t="s">
        <v>120</v>
      </c>
      <c r="K20" s="1922" t="s">
        <v>909</v>
      </c>
      <c r="L20" s="1929">
        <v>10</v>
      </c>
      <c r="M20" s="1929">
        <v>10</v>
      </c>
      <c r="N20" s="1923">
        <v>0.28470209895212012</v>
      </c>
      <c r="O20" s="1922">
        <v>5</v>
      </c>
      <c r="P20" s="1925" t="s">
        <v>1071</v>
      </c>
      <c r="Q20" s="1928">
        <v>25862</v>
      </c>
      <c r="R20" s="1928">
        <v>31035</v>
      </c>
      <c r="S20" s="1931">
        <f t="shared" si="1"/>
        <v>56897</v>
      </c>
      <c r="T20" s="1931">
        <f t="shared" si="2"/>
        <v>2586200</v>
      </c>
      <c r="U20" s="1931">
        <f t="shared" si="3"/>
        <v>3103500</v>
      </c>
      <c r="V20" s="1931">
        <f t="shared" si="4"/>
        <v>5689700</v>
      </c>
      <c r="W20" s="1921">
        <f t="shared" si="5"/>
        <v>258620</v>
      </c>
      <c r="X20" s="1921">
        <f t="shared" si="6"/>
        <v>310350</v>
      </c>
      <c r="Y20" s="1921">
        <f t="shared" si="7"/>
        <v>568970</v>
      </c>
      <c r="Z20" s="1946"/>
      <c r="AA20" s="1917"/>
    </row>
    <row r="21" spans="2:27">
      <c r="C21" s="2106" t="s">
        <v>47</v>
      </c>
      <c r="D21" s="2158">
        <f>SUM(D22:D25)</f>
        <v>20000</v>
      </c>
      <c r="E21" s="1926">
        <f>SUM(E22:E25)</f>
        <v>20500</v>
      </c>
      <c r="F21" s="2157">
        <f>D21+E21</f>
        <v>40500</v>
      </c>
      <c r="H21" s="1922" t="s">
        <v>1295</v>
      </c>
      <c r="I21" s="1928">
        <v>129</v>
      </c>
      <c r="J21" s="1932" t="s">
        <v>120</v>
      </c>
      <c r="K21" s="1922" t="s">
        <v>909</v>
      </c>
      <c r="L21" s="1929">
        <v>10</v>
      </c>
      <c r="M21" s="1929">
        <v>10</v>
      </c>
      <c r="N21" s="1923">
        <v>5.0956859582191066E-2</v>
      </c>
      <c r="O21" s="1922">
        <v>5</v>
      </c>
      <c r="P21" s="1925" t="s">
        <v>1071</v>
      </c>
      <c r="Q21" s="1928">
        <v>3588</v>
      </c>
      <c r="R21" s="1928">
        <v>4306</v>
      </c>
      <c r="S21" s="1931">
        <f t="shared" si="1"/>
        <v>7894</v>
      </c>
      <c r="T21" s="1931">
        <f t="shared" si="2"/>
        <v>462852</v>
      </c>
      <c r="U21" s="1931">
        <f t="shared" si="3"/>
        <v>555474</v>
      </c>
      <c r="V21" s="1931">
        <f t="shared" si="4"/>
        <v>1018326</v>
      </c>
      <c r="W21" s="1921">
        <f t="shared" si="5"/>
        <v>35880</v>
      </c>
      <c r="X21" s="1921">
        <f t="shared" si="6"/>
        <v>43060</v>
      </c>
      <c r="Y21" s="1921">
        <f t="shared" si="7"/>
        <v>78940</v>
      </c>
      <c r="Z21" s="1946"/>
      <c r="AA21" s="1917"/>
    </row>
    <row r="22" spans="2:27">
      <c r="C22" s="2197" t="s">
        <v>1286</v>
      </c>
      <c r="D22" s="2201">
        <v>20000</v>
      </c>
      <c r="E22" s="2200">
        <v>20500</v>
      </c>
      <c r="F22" s="1879">
        <f t="shared" si="8"/>
        <v>40500</v>
      </c>
      <c r="H22" s="1922" t="s">
        <v>1296</v>
      </c>
      <c r="I22" s="1928">
        <v>94</v>
      </c>
      <c r="J22" s="1932" t="s">
        <v>120</v>
      </c>
      <c r="K22" s="1922" t="s">
        <v>909</v>
      </c>
      <c r="L22" s="1929">
        <v>8</v>
      </c>
      <c r="M22" s="1929">
        <v>8</v>
      </c>
      <c r="N22" s="1923">
        <v>6.0732961815517808E-2</v>
      </c>
      <c r="O22" s="1922">
        <v>5</v>
      </c>
      <c r="P22" s="1925" t="s">
        <v>1071</v>
      </c>
      <c r="Q22" s="1928">
        <v>5869</v>
      </c>
      <c r="R22" s="1928">
        <v>7043</v>
      </c>
      <c r="S22" s="1931">
        <f t="shared" si="1"/>
        <v>12912</v>
      </c>
      <c r="T22" s="1931">
        <f t="shared" si="2"/>
        <v>551686</v>
      </c>
      <c r="U22" s="1931">
        <f t="shared" si="3"/>
        <v>662042</v>
      </c>
      <c r="V22" s="1931">
        <f t="shared" si="4"/>
        <v>1213728</v>
      </c>
      <c r="W22" s="1921">
        <f t="shared" si="5"/>
        <v>46952</v>
      </c>
      <c r="X22" s="1921">
        <f t="shared" si="6"/>
        <v>56344</v>
      </c>
      <c r="Y22" s="1921">
        <f t="shared" si="7"/>
        <v>103296</v>
      </c>
      <c r="Z22" s="1946"/>
      <c r="AA22" s="1917"/>
    </row>
    <row r="23" spans="2:27">
      <c r="C23" s="2197"/>
      <c r="D23" s="1900"/>
      <c r="E23" s="1899"/>
      <c r="F23" s="2191">
        <f t="shared" si="8"/>
        <v>0</v>
      </c>
      <c r="H23" s="1922" t="s">
        <v>1297</v>
      </c>
      <c r="I23" s="1928">
        <v>22</v>
      </c>
      <c r="J23" s="1932" t="s">
        <v>120</v>
      </c>
      <c r="K23" s="1922" t="s">
        <v>909</v>
      </c>
      <c r="L23" s="1929">
        <v>6</v>
      </c>
      <c r="M23" s="1929">
        <v>6</v>
      </c>
      <c r="N23" s="1923">
        <v>2.9859090120162909E-2</v>
      </c>
      <c r="O23" s="1922">
        <v>12</v>
      </c>
      <c r="P23" s="1925" t="s">
        <v>1071</v>
      </c>
      <c r="Q23" s="1928">
        <v>12329</v>
      </c>
      <c r="R23" s="1928">
        <v>14795</v>
      </c>
      <c r="S23" s="1931">
        <f t="shared" si="1"/>
        <v>27124</v>
      </c>
      <c r="T23" s="1931">
        <f t="shared" si="2"/>
        <v>271238</v>
      </c>
      <c r="U23" s="1931">
        <f t="shared" si="3"/>
        <v>325490</v>
      </c>
      <c r="V23" s="1931">
        <f t="shared" si="4"/>
        <v>596728</v>
      </c>
      <c r="W23" s="1921">
        <f t="shared" si="5"/>
        <v>73974</v>
      </c>
      <c r="X23" s="1921">
        <f t="shared" si="6"/>
        <v>88770</v>
      </c>
      <c r="Y23" s="1921">
        <f t="shared" si="7"/>
        <v>162744</v>
      </c>
      <c r="Z23" s="1946"/>
      <c r="AA23" s="1917"/>
    </row>
    <row r="24" spans="2:27">
      <c r="C24" s="2197"/>
      <c r="D24" s="1898"/>
      <c r="E24" s="1897"/>
      <c r="F24" s="2191">
        <f t="shared" si="8"/>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17"/>
    </row>
    <row r="25" spans="2:27">
      <c r="C25" s="2197"/>
      <c r="D25" s="1896"/>
      <c r="E25" s="1899"/>
      <c r="F25" s="2191">
        <f t="shared" si="8"/>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17"/>
    </row>
    <row r="26" spans="2:27">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17"/>
    </row>
    <row r="27" spans="2:27">
      <c r="C27" s="2106" t="s">
        <v>48</v>
      </c>
      <c r="D27" s="2158">
        <f>SUM(D29:D32)</f>
        <v>93683.751799999998</v>
      </c>
      <c r="E27" s="1926">
        <f>SUM(E29:E32)</f>
        <v>97897.413799999995</v>
      </c>
      <c r="F27" s="2157">
        <f>D27+E27</f>
        <v>191581.16560000001</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17"/>
    </row>
    <row r="28" spans="2:27">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17"/>
    </row>
    <row r="29" spans="2:27">
      <c r="C29" s="2197" t="s">
        <v>778</v>
      </c>
      <c r="D29" s="2202">
        <f>D15*D28</f>
        <v>80343.751799999998</v>
      </c>
      <c r="E29" s="2163">
        <f>E15*E28</f>
        <v>83957.413799999995</v>
      </c>
      <c r="F29" s="2191">
        <f t="shared" si="8"/>
        <v>164301.16560000001</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17"/>
    </row>
    <row r="30" spans="2:27">
      <c r="C30" s="2197" t="s">
        <v>779</v>
      </c>
      <c r="D30" s="1973">
        <f>D21*D28</f>
        <v>13340</v>
      </c>
      <c r="E30" s="2163">
        <f>E21*E28</f>
        <v>13940.000000000002</v>
      </c>
      <c r="F30" s="2191">
        <f t="shared" si="8"/>
        <v>27280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17"/>
    </row>
    <row r="31" spans="2:27">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17"/>
    </row>
    <row r="32" spans="2:27">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17"/>
    </row>
    <row r="33" spans="1:27">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17"/>
    </row>
    <row r="34" spans="1:27">
      <c r="A34" s="2802" t="s">
        <v>701</v>
      </c>
      <c r="C34" s="2106" t="s">
        <v>49</v>
      </c>
      <c r="D34" s="2158">
        <f>SUM(D35:D38)</f>
        <v>50000</v>
      </c>
      <c r="E34" s="1926">
        <f>SUM(E35:E38)</f>
        <v>50000</v>
      </c>
      <c r="F34" s="2157">
        <f>D34+E34</f>
        <v>100000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17"/>
    </row>
    <row r="35" spans="1:27" ht="25.5">
      <c r="A35" s="2802" t="s">
        <v>702</v>
      </c>
      <c r="C35" s="2197" t="s">
        <v>1076</v>
      </c>
      <c r="D35" s="2202">
        <v>50000</v>
      </c>
      <c r="E35" s="2203">
        <v>50000</v>
      </c>
      <c r="F35" s="2191">
        <f t="shared" ref="F35:F44" si="9">SUM(D35:E35)</f>
        <v>100000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17"/>
    </row>
    <row r="36" spans="1:27">
      <c r="A36" s="2802" t="s">
        <v>703</v>
      </c>
      <c r="C36" s="2197"/>
      <c r="D36" s="2202"/>
      <c r="E36" s="2203"/>
      <c r="F36" s="2191">
        <f t="shared" si="9"/>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17"/>
    </row>
    <row r="37" spans="1:27">
      <c r="A37" s="2802" t="s">
        <v>278</v>
      </c>
      <c r="C37" s="2197"/>
      <c r="D37" s="2202"/>
      <c r="E37" s="2203"/>
      <c r="F37" s="2191">
        <f t="shared" si="9"/>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17"/>
    </row>
    <row r="38" spans="1:27">
      <c r="A38" s="2802" t="s">
        <v>6</v>
      </c>
      <c r="C38" s="2197"/>
      <c r="D38" s="2202"/>
      <c r="E38" s="2203"/>
      <c r="F38" s="2191">
        <f t="shared" si="9"/>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17"/>
    </row>
    <row r="39" spans="1:27">
      <c r="A39" s="2193">
        <v>18230714</v>
      </c>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17"/>
    </row>
    <row r="40" spans="1:27">
      <c r="A40" s="2193" t="s">
        <v>5</v>
      </c>
      <c r="C40" s="2106" t="s">
        <v>506</v>
      </c>
      <c r="D40" s="2158">
        <f>SUM(D41:D44)</f>
        <v>2750</v>
      </c>
      <c r="E40" s="1926">
        <f>SUM(E41:E44)</f>
        <v>2750</v>
      </c>
      <c r="F40" s="2157">
        <f>D40+E40</f>
        <v>5500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17"/>
    </row>
    <row r="41" spans="1:27">
      <c r="C41" s="2197" t="s">
        <v>1287</v>
      </c>
      <c r="D41" s="2202">
        <v>2500</v>
      </c>
      <c r="E41" s="2203">
        <v>2500</v>
      </c>
      <c r="F41" s="2191">
        <f t="shared" si="9"/>
        <v>5000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17"/>
    </row>
    <row r="42" spans="1:27">
      <c r="C42" s="2197" t="s">
        <v>1146</v>
      </c>
      <c r="D42" s="2202">
        <v>250</v>
      </c>
      <c r="E42" s="2203">
        <v>250</v>
      </c>
      <c r="F42" s="2191">
        <f t="shared" si="9"/>
        <v>500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17"/>
    </row>
    <row r="43" spans="1:27">
      <c r="C43" s="2197"/>
      <c r="D43" s="2202"/>
      <c r="E43" s="2203"/>
      <c r="F43" s="2191">
        <f t="shared" si="9"/>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17"/>
    </row>
    <row r="44" spans="1:27">
      <c r="C44" s="2197"/>
      <c r="D44" s="2202"/>
      <c r="E44" s="2203"/>
      <c r="F44" s="2191">
        <f t="shared" si="9"/>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17"/>
    </row>
    <row r="45" spans="1:27">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17"/>
    </row>
    <row r="46" spans="1:27">
      <c r="C46" s="2106" t="s">
        <v>50</v>
      </c>
      <c r="D46" s="2158">
        <f>SUM(D47:D50)</f>
        <v>180000</v>
      </c>
      <c r="E46" s="1926">
        <f>SUM(E47:E50)</f>
        <v>200000</v>
      </c>
      <c r="F46" s="2157">
        <f>D46+E46</f>
        <v>380000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17"/>
    </row>
    <row r="47" spans="1:27">
      <c r="C47" s="2197" t="s">
        <v>1288</v>
      </c>
      <c r="D47" s="2202">
        <v>125000</v>
      </c>
      <c r="E47" s="2203">
        <v>125000</v>
      </c>
      <c r="F47" s="2191">
        <f t="shared" ref="F47:F62" si="10">SUM(D47:E47)</f>
        <v>250000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17"/>
    </row>
    <row r="48" spans="1:27">
      <c r="C48" s="2197" t="s">
        <v>890</v>
      </c>
      <c r="D48" s="2202">
        <v>50000</v>
      </c>
      <c r="E48" s="2203">
        <v>50000</v>
      </c>
      <c r="F48" s="2191">
        <f t="shared" si="10"/>
        <v>100000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17"/>
    </row>
    <row r="49" spans="1:27">
      <c r="C49" s="2197" t="s">
        <v>1289</v>
      </c>
      <c r="D49" s="2202">
        <v>5000</v>
      </c>
      <c r="E49" s="2203">
        <v>25000</v>
      </c>
      <c r="F49" s="2191">
        <f t="shared" si="10"/>
        <v>30000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17"/>
    </row>
    <row r="50" spans="1:27">
      <c r="C50" s="2197"/>
      <c r="D50" s="2202"/>
      <c r="E50" s="2203"/>
      <c r="F50" s="2191">
        <f t="shared" si="10"/>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17"/>
    </row>
    <row r="51" spans="1:27">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17"/>
    </row>
    <row r="52" spans="1:27">
      <c r="C52" s="2106" t="s">
        <v>51</v>
      </c>
      <c r="D52" s="2158">
        <f>SUM(D53:D56)</f>
        <v>2800</v>
      </c>
      <c r="E52" s="1926">
        <f>SUM(E53:E56)</f>
        <v>2800</v>
      </c>
      <c r="F52" s="2157">
        <f>D52+E52</f>
        <v>5600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17"/>
    </row>
    <row r="53" spans="1:27">
      <c r="C53" s="2197"/>
      <c r="D53" s="2202">
        <v>2800</v>
      </c>
      <c r="E53" s="2163">
        <v>2800</v>
      </c>
      <c r="F53" s="2191">
        <f t="shared" si="10"/>
        <v>5600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17"/>
    </row>
    <row r="54" spans="1:27">
      <c r="C54" s="2197"/>
      <c r="D54" s="2202"/>
      <c r="E54" s="2163"/>
      <c r="F54" s="2191">
        <f t="shared" si="10"/>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0"/>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0"/>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500</v>
      </c>
      <c r="E58" s="1926">
        <f>SUM(E59:E62)</f>
        <v>500</v>
      </c>
      <c r="F58" s="2157">
        <f>D58+E58</f>
        <v>1000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v>500</v>
      </c>
      <c r="E59" s="2203">
        <v>500</v>
      </c>
      <c r="F59" s="2191">
        <f t="shared" si="10"/>
        <v>1000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0"/>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0"/>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0"/>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c r="A64" s="2802" t="s">
        <v>701</v>
      </c>
      <c r="C64" s="2106" t="s">
        <v>53</v>
      </c>
      <c r="D64" s="2158">
        <f>W15</f>
        <v>745533</v>
      </c>
      <c r="E64" s="1926">
        <f>X15</f>
        <v>894650</v>
      </c>
      <c r="F64" s="2157">
        <f>D64+E64</f>
        <v>1640183</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ht="25.5">
      <c r="A65" s="2802" t="s">
        <v>702</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703</v>
      </c>
      <c r="C66" s="1968"/>
      <c r="D66" s="1963"/>
      <c r="E66" s="1964"/>
      <c r="F66" s="1965"/>
    </row>
    <row r="67" spans="1:27">
      <c r="A67" s="2802" t="s">
        <v>278</v>
      </c>
      <c r="C67" s="1959" t="s">
        <v>54</v>
      </c>
      <c r="D67" s="2202">
        <v>0</v>
      </c>
      <c r="E67" s="2202">
        <v>0</v>
      </c>
      <c r="F67" s="1956">
        <v>0</v>
      </c>
    </row>
    <row r="68" spans="1:27">
      <c r="A68" s="2802" t="s">
        <v>6</v>
      </c>
    </row>
    <row r="69" spans="1:27">
      <c r="A69" s="2193">
        <v>18230714</v>
      </c>
    </row>
    <row r="70" spans="1:27">
      <c r="A70" s="2193" t="s">
        <v>5</v>
      </c>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4" activePane="bottomRight" state="frozen"/>
      <selection pane="bottomRight" activeCell="C5" sqref="C5"/>
      <pageMargins left="0.7" right="0.7" top="0.75" bottom="0.75" header="0.3" footer="0.3"/>
    </customSheetView>
    <customSheetView guid="{D9EFFE19-D14B-4C6F-BDF4-FF696F73968D}" showGridLines="0">
      <pane xSplit="1" ySplit="1" topLeftCell="B2" activePane="bottomRight" state="frozen"/>
      <selection pane="bottomRight" activeCell="O16" sqref="O16"/>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5703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3.710937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6.25" customHeight="1" thickBot="1">
      <c r="C1" s="1812" t="s">
        <v>665</v>
      </c>
      <c r="D1" s="1812" t="s">
        <v>278</v>
      </c>
      <c r="E1" s="1812" t="s">
        <v>6</v>
      </c>
      <c r="F1" s="1812">
        <v>18230716</v>
      </c>
      <c r="G1" s="1812" t="s">
        <v>5</v>
      </c>
      <c r="J1" s="1592"/>
      <c r="M1" s="1812" t="s">
        <v>665</v>
      </c>
      <c r="N1" s="1812" t="s">
        <v>278</v>
      </c>
      <c r="O1" s="1812" t="s">
        <v>6</v>
      </c>
      <c r="P1" s="1812">
        <v>18230716</v>
      </c>
      <c r="Q1" s="1812" t="s">
        <v>5</v>
      </c>
      <c r="V1" s="1812" t="s">
        <v>665</v>
      </c>
      <c r="W1" s="1812" t="s">
        <v>278</v>
      </c>
      <c r="X1" s="1812" t="s">
        <v>6</v>
      </c>
      <c r="Y1" s="1812">
        <v>18230716</v>
      </c>
      <c r="Z1" s="1812" t="s">
        <v>5</v>
      </c>
    </row>
    <row r="2" spans="1:27" ht="16.5" thickBot="1">
      <c r="C2" s="1592"/>
      <c r="D2" s="1575"/>
      <c r="H2" s="1576" t="s">
        <v>674</v>
      </c>
      <c r="R2" s="3596"/>
      <c r="S2" s="3596"/>
      <c r="T2" s="3597" t="s">
        <v>36</v>
      </c>
      <c r="U2" s="3598"/>
      <c r="V2" s="3599"/>
      <c r="W2" s="3594" t="s">
        <v>37</v>
      </c>
    </row>
    <row r="3" spans="1:27" ht="26.25" thickBot="1">
      <c r="A3" s="2802" t="s">
        <v>665</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39667</v>
      </c>
      <c r="I4" s="2002">
        <v>8049</v>
      </c>
      <c r="J4" s="2002">
        <v>33735</v>
      </c>
      <c r="K4" s="2002">
        <v>10000</v>
      </c>
      <c r="L4" s="2002">
        <v>12000</v>
      </c>
      <c r="M4" s="2002">
        <v>550</v>
      </c>
      <c r="N4" s="2002">
        <v>110</v>
      </c>
      <c r="O4" s="2002">
        <v>200</v>
      </c>
      <c r="P4" s="2002">
        <v>70170</v>
      </c>
      <c r="Q4" s="2002">
        <v>0</v>
      </c>
      <c r="R4" s="2000">
        <v>163681</v>
      </c>
      <c r="S4" s="1998">
        <v>598313</v>
      </c>
      <c r="T4" s="1541">
        <f>P4/R4</f>
        <v>0.42869972690782682</v>
      </c>
      <c r="U4" s="1541">
        <f>(K4+(I4*1.63))/R4</f>
        <v>0.14124956470207292</v>
      </c>
      <c r="V4" s="1541">
        <f>M4/R4</f>
        <v>3.3601945247157582E-3</v>
      </c>
      <c r="W4" s="1539">
        <f>R4/S4</f>
        <v>0.27357085672549319</v>
      </c>
    </row>
    <row r="5" spans="1:27" ht="16.5" thickBot="1">
      <c r="A5" s="2802" t="s">
        <v>6</v>
      </c>
      <c r="B5" s="2802"/>
      <c r="C5" s="1592"/>
      <c r="G5" s="1592">
        <v>2016</v>
      </c>
      <c r="H5" s="1582">
        <f>D15</f>
        <v>34440.54</v>
      </c>
      <c r="I5" s="1549">
        <f>D21</f>
        <v>6400</v>
      </c>
      <c r="J5" s="1549">
        <f>D27</f>
        <v>27240.640180000002</v>
      </c>
      <c r="K5" s="1549">
        <f>D34</f>
        <v>15000</v>
      </c>
      <c r="L5" s="1549">
        <f>D40</f>
        <v>5225</v>
      </c>
      <c r="M5" s="1549">
        <f>D46</f>
        <v>1200</v>
      </c>
      <c r="N5" s="1549">
        <f>D52</f>
        <v>240</v>
      </c>
      <c r="O5" s="1549">
        <f>D58</f>
        <v>0</v>
      </c>
      <c r="P5" s="1549">
        <f>D64</f>
        <v>137700</v>
      </c>
      <c r="Q5" s="1549">
        <f>D65</f>
        <v>0</v>
      </c>
      <c r="R5" s="2001">
        <f>SUM(H5:Q5)</f>
        <v>227446.18018</v>
      </c>
      <c r="S5" s="1999">
        <f>T15</f>
        <v>1011436</v>
      </c>
      <c r="T5" s="1542">
        <f>P5/R5</f>
        <v>0.60541794938488203</v>
      </c>
      <c r="U5" s="1542">
        <f>(K5+(I5*1.63))/R5</f>
        <v>0.11181546324441773</v>
      </c>
      <c r="V5" s="1542">
        <f>M5/R5</f>
        <v>5.2759734151187976E-3</v>
      </c>
      <c r="W5" s="1540">
        <f>R5/S5</f>
        <v>0.22487451522389948</v>
      </c>
    </row>
    <row r="6" spans="1:27" ht="16.5" thickBot="1">
      <c r="A6" s="2802">
        <v>18230716</v>
      </c>
      <c r="B6" s="2802"/>
      <c r="D6" s="1592"/>
      <c r="G6" s="1592">
        <v>2017</v>
      </c>
      <c r="H6" s="57">
        <f>E15</f>
        <v>35301.620000000003</v>
      </c>
      <c r="I6" s="1990">
        <f>E21</f>
        <v>6560</v>
      </c>
      <c r="J6" s="1989">
        <f>E27</f>
        <v>28465.901600000001</v>
      </c>
      <c r="K6" s="58">
        <f>E34</f>
        <v>15000</v>
      </c>
      <c r="L6" s="58">
        <f>E40</f>
        <v>5225</v>
      </c>
      <c r="M6" s="58">
        <f>E46</f>
        <v>1200</v>
      </c>
      <c r="N6" s="58">
        <f>E52</f>
        <v>240</v>
      </c>
      <c r="O6" s="58">
        <f>E58</f>
        <v>0</v>
      </c>
      <c r="P6" s="58">
        <f>E64</f>
        <v>147470</v>
      </c>
      <c r="Q6" s="58">
        <f>E65</f>
        <v>0</v>
      </c>
      <c r="R6" s="1997">
        <f>SUM(H6:Q6)</f>
        <v>239462.52160000001</v>
      </c>
      <c r="S6" s="1996">
        <f>U15</f>
        <v>1112579.5999999999</v>
      </c>
      <c r="T6" s="1542">
        <f>P6/R6</f>
        <v>0.61583749730296</v>
      </c>
      <c r="U6" s="1542">
        <f>(K6+(I6*1.63))/R6</f>
        <v>0.10729361667258079</v>
      </c>
      <c r="V6" s="1542">
        <f>M6/R6</f>
        <v>5.0112225996036619E-3</v>
      </c>
      <c r="W6" s="1540">
        <f>R6/S6</f>
        <v>0.21523181047001044</v>
      </c>
    </row>
    <row r="7" spans="1:27" ht="16.5" thickBot="1">
      <c r="A7" s="2802" t="s">
        <v>5</v>
      </c>
      <c r="B7" s="2802"/>
      <c r="D7" s="1592"/>
      <c r="G7" s="1608" t="s">
        <v>23</v>
      </c>
      <c r="H7" s="1564">
        <f>SUM(H5:H6)</f>
        <v>69742.16</v>
      </c>
      <c r="I7" s="1991">
        <f t="shared" ref="I7:Q7" si="0">SUM(I5:I6)</f>
        <v>12960</v>
      </c>
      <c r="J7" s="1992">
        <f t="shared" si="0"/>
        <v>55706.54178</v>
      </c>
      <c r="K7" s="1993">
        <f t="shared" si="0"/>
        <v>30000</v>
      </c>
      <c r="L7" s="1991">
        <f t="shared" si="0"/>
        <v>10450</v>
      </c>
      <c r="M7" s="1992">
        <f t="shared" si="0"/>
        <v>2400</v>
      </c>
      <c r="N7" s="1991">
        <f t="shared" si="0"/>
        <v>480</v>
      </c>
      <c r="O7" s="1992">
        <f t="shared" si="0"/>
        <v>0</v>
      </c>
      <c r="P7" s="1993">
        <f t="shared" si="0"/>
        <v>285170</v>
      </c>
      <c r="Q7" s="1991">
        <f t="shared" si="0"/>
        <v>0</v>
      </c>
      <c r="R7" s="1993">
        <f>SUM(H7:Q7)</f>
        <v>466908.70178</v>
      </c>
      <c r="S7" s="1994">
        <f>SUM(S5:S6)</f>
        <v>2124015.5999999996</v>
      </c>
      <c r="T7" s="1542">
        <f>P7/R7</f>
        <v>0.61076180185300466</v>
      </c>
      <c r="U7" s="1542">
        <f>(K7+(I7*1.63))/R7</f>
        <v>0.10949635293815792</v>
      </c>
      <c r="V7" s="1542">
        <f>M7/R7</f>
        <v>5.1401911998008596E-3</v>
      </c>
      <c r="W7" s="1540">
        <f>R7/S7</f>
        <v>0.21982357463852906</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227446.18018</v>
      </c>
      <c r="E12" s="1948">
        <f>E15+E21+E27+E34+E40+E46+E52+E58+E64</f>
        <v>239462.52160000001</v>
      </c>
      <c r="F12" s="2157">
        <f>D12+E12</f>
        <v>466908.70178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30" t="s">
        <v>319</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1118</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70" t="s">
        <v>1131</v>
      </c>
      <c r="AA14" s="1917"/>
    </row>
    <row r="15" spans="1:27">
      <c r="B15" s="1886" t="s">
        <v>312</v>
      </c>
      <c r="C15" s="2106" t="s">
        <v>46</v>
      </c>
      <c r="D15" s="2158">
        <f>SUM(D16:D19)</f>
        <v>34440.54</v>
      </c>
      <c r="E15" s="1926">
        <f>SUM(E16:E19)</f>
        <v>35301.620000000003</v>
      </c>
      <c r="F15" s="2157">
        <f>D15+E15</f>
        <v>69742.16</v>
      </c>
      <c r="H15" s="1938" t="s">
        <v>327</v>
      </c>
      <c r="I15" s="1939"/>
      <c r="J15" s="1939"/>
      <c r="K15" s="1940"/>
      <c r="L15" s="1941">
        <f>SUMPRODUCT(L16:L179,S16:S179)</f>
        <v>356827.80000000005</v>
      </c>
      <c r="M15" s="1941">
        <f>SUM(M16:M179)</f>
        <v>97530</v>
      </c>
      <c r="N15" s="1942" t="s">
        <v>241</v>
      </c>
      <c r="O15" s="1940">
        <v>11</v>
      </c>
      <c r="P15" s="1940"/>
      <c r="Q15" s="1940"/>
      <c r="R15" s="1940"/>
      <c r="S15" s="1940"/>
      <c r="T15" s="1943">
        <f>SUM(T16:T65)</f>
        <v>1011436</v>
      </c>
      <c r="U15" s="1943">
        <f t="shared" ref="U15:Y15" si="1">SUM(U16:U65)</f>
        <v>1112579.5999999999</v>
      </c>
      <c r="V15" s="1943">
        <f t="shared" si="1"/>
        <v>2124015.6</v>
      </c>
      <c r="W15" s="1943">
        <f>SUM(W16:W65)</f>
        <v>137700</v>
      </c>
      <c r="X15" s="1943">
        <f t="shared" si="1"/>
        <v>147470</v>
      </c>
      <c r="Y15" s="1943">
        <f t="shared" si="1"/>
        <v>285170</v>
      </c>
      <c r="Z15" s="1945">
        <v>0</v>
      </c>
      <c r="AA15" s="1917"/>
    </row>
    <row r="16" spans="1:27">
      <c r="B16" s="2610">
        <v>0.33</v>
      </c>
      <c r="C16" s="2197" t="s">
        <v>792</v>
      </c>
      <c r="D16" s="2201">
        <v>29908.890000000003</v>
      </c>
      <c r="E16" s="2200">
        <v>30656.670000000002</v>
      </c>
      <c r="F16" s="1879">
        <f>SUM(D16:E16)</f>
        <v>60565.560000000005</v>
      </c>
      <c r="H16" s="3236" t="s">
        <v>1311</v>
      </c>
      <c r="I16" s="3232">
        <v>2449</v>
      </c>
      <c r="J16" s="1932" t="s">
        <v>120</v>
      </c>
      <c r="K16" s="1922" t="s">
        <v>909</v>
      </c>
      <c r="L16" s="3243">
        <v>769</v>
      </c>
      <c r="M16" s="3243">
        <v>250</v>
      </c>
      <c r="N16" s="3282">
        <v>1.2106549499918929E-2</v>
      </c>
      <c r="O16" s="1922">
        <v>8</v>
      </c>
      <c r="P16" s="1925" t="s">
        <v>1344</v>
      </c>
      <c r="Q16" s="3238">
        <v>5</v>
      </c>
      <c r="R16" s="3238">
        <v>5.5</v>
      </c>
      <c r="S16" s="1931">
        <f t="shared" ref="S16:S53" si="2">Q16+R16</f>
        <v>10.5</v>
      </c>
      <c r="T16" s="1931">
        <f t="shared" ref="T16:T52" si="3">I16*Q16</f>
        <v>12245</v>
      </c>
      <c r="U16" s="1931">
        <f t="shared" ref="U16:U52" si="4">I16*R16</f>
        <v>13469.5</v>
      </c>
      <c r="V16" s="1931">
        <f t="shared" ref="V16:V52" si="5">T16+U16</f>
        <v>25714.5</v>
      </c>
      <c r="W16" s="1921">
        <f t="shared" ref="W16:W52" si="6">M16*Q16</f>
        <v>1250</v>
      </c>
      <c r="X16" s="1921">
        <f t="shared" ref="X16:X52" si="7">M16*R16</f>
        <v>1375</v>
      </c>
      <c r="Y16" s="1921">
        <f t="shared" ref="Y16:Y52" si="8">W16+X16</f>
        <v>2625</v>
      </c>
      <c r="Z16" s="1946">
        <v>0</v>
      </c>
      <c r="AA16" s="1917"/>
    </row>
    <row r="17" spans="2:27">
      <c r="B17" s="2610">
        <v>0.05</v>
      </c>
      <c r="C17" s="2197" t="s">
        <v>791</v>
      </c>
      <c r="D17" s="2199">
        <v>4531.6500000000005</v>
      </c>
      <c r="E17" s="2198">
        <v>4644.95</v>
      </c>
      <c r="F17" s="2191">
        <f t="shared" ref="F17:F30" si="9">SUM(D17:E17)</f>
        <v>9176.6</v>
      </c>
      <c r="H17" s="3236" t="s">
        <v>1312</v>
      </c>
      <c r="I17" s="3232">
        <v>20866</v>
      </c>
      <c r="J17" s="1932" t="s">
        <v>120</v>
      </c>
      <c r="K17" s="1922" t="s">
        <v>909</v>
      </c>
      <c r="L17" s="3243">
        <v>304</v>
      </c>
      <c r="M17" s="3243">
        <v>250</v>
      </c>
      <c r="N17" s="3282">
        <v>4.1260148936759229E-2</v>
      </c>
      <c r="O17" s="1922">
        <v>9</v>
      </c>
      <c r="P17" s="1925" t="s">
        <v>1344</v>
      </c>
      <c r="Q17" s="3238">
        <v>2</v>
      </c>
      <c r="R17" s="3238">
        <v>2.2000000000000002</v>
      </c>
      <c r="S17" s="1931">
        <f t="shared" si="2"/>
        <v>4.2</v>
      </c>
      <c r="T17" s="1931">
        <f t="shared" si="3"/>
        <v>41732</v>
      </c>
      <c r="U17" s="1931">
        <f t="shared" si="4"/>
        <v>45905.200000000004</v>
      </c>
      <c r="V17" s="1931">
        <f t="shared" si="5"/>
        <v>87637.200000000012</v>
      </c>
      <c r="W17" s="1921">
        <f t="shared" si="6"/>
        <v>500</v>
      </c>
      <c r="X17" s="1921">
        <f t="shared" si="7"/>
        <v>550</v>
      </c>
      <c r="Y17" s="1921">
        <f t="shared" si="8"/>
        <v>1050</v>
      </c>
      <c r="Z17" s="1946">
        <v>0</v>
      </c>
      <c r="AA17" s="1917"/>
    </row>
    <row r="18" spans="2:27">
      <c r="B18" s="2610"/>
      <c r="C18" s="2197"/>
      <c r="D18" s="2199"/>
      <c r="E18" s="2198"/>
      <c r="F18" s="2191">
        <f t="shared" si="9"/>
        <v>0</v>
      </c>
      <c r="H18" s="3236" t="s">
        <v>1313</v>
      </c>
      <c r="I18" s="3232">
        <v>27960</v>
      </c>
      <c r="J18" s="1932" t="s">
        <v>120</v>
      </c>
      <c r="K18" s="1922" t="s">
        <v>909</v>
      </c>
      <c r="L18" s="3243">
        <v>406</v>
      </c>
      <c r="M18" s="3243">
        <v>250</v>
      </c>
      <c r="N18" s="3282">
        <v>2.7643864762575198E-2</v>
      </c>
      <c r="O18" s="1922">
        <v>9</v>
      </c>
      <c r="P18" s="1925" t="s">
        <v>1344</v>
      </c>
      <c r="Q18" s="3238">
        <v>1</v>
      </c>
      <c r="R18" s="3238">
        <v>1.1000000000000001</v>
      </c>
      <c r="S18" s="1931">
        <f t="shared" si="2"/>
        <v>2.1</v>
      </c>
      <c r="T18" s="1931">
        <f t="shared" si="3"/>
        <v>27960</v>
      </c>
      <c r="U18" s="1931">
        <f t="shared" si="4"/>
        <v>30756.000000000004</v>
      </c>
      <c r="V18" s="1931">
        <f t="shared" si="5"/>
        <v>58716</v>
      </c>
      <c r="W18" s="1921">
        <f t="shared" si="6"/>
        <v>250</v>
      </c>
      <c r="X18" s="1921">
        <f t="shared" si="7"/>
        <v>275</v>
      </c>
      <c r="Y18" s="1921">
        <f t="shared" si="8"/>
        <v>525</v>
      </c>
      <c r="Z18" s="1946">
        <v>0</v>
      </c>
      <c r="AA18" s="1917"/>
    </row>
    <row r="19" spans="2:27">
      <c r="B19" s="2610"/>
      <c r="C19" s="2197"/>
      <c r="D19" s="1903"/>
      <c r="E19" s="1902"/>
      <c r="F19" s="2191">
        <f t="shared" si="9"/>
        <v>0</v>
      </c>
      <c r="H19" s="3236" t="s">
        <v>1314</v>
      </c>
      <c r="I19" s="3232">
        <v>35055</v>
      </c>
      <c r="J19" s="1932" t="s">
        <v>120</v>
      </c>
      <c r="K19" s="1922" t="s">
        <v>909</v>
      </c>
      <c r="L19" s="3243">
        <v>508</v>
      </c>
      <c r="M19" s="3243">
        <v>250</v>
      </c>
      <c r="N19" s="3282">
        <v>3.4658643750074158E-2</v>
      </c>
      <c r="O19" s="1922">
        <v>9</v>
      </c>
      <c r="P19" s="1925" t="s">
        <v>1344</v>
      </c>
      <c r="Q19" s="3238">
        <v>1</v>
      </c>
      <c r="R19" s="3238">
        <v>1.1000000000000001</v>
      </c>
      <c r="S19" s="1931">
        <f t="shared" si="2"/>
        <v>2.1</v>
      </c>
      <c r="T19" s="1931">
        <f t="shared" si="3"/>
        <v>35055</v>
      </c>
      <c r="U19" s="1931">
        <f t="shared" si="4"/>
        <v>38560.5</v>
      </c>
      <c r="V19" s="1931">
        <f t="shared" si="5"/>
        <v>73615.5</v>
      </c>
      <c r="W19" s="1921">
        <f t="shared" si="6"/>
        <v>250</v>
      </c>
      <c r="X19" s="1921">
        <f t="shared" si="7"/>
        <v>275</v>
      </c>
      <c r="Y19" s="1921">
        <f t="shared" si="8"/>
        <v>525</v>
      </c>
      <c r="Z19" s="1946">
        <v>0</v>
      </c>
      <c r="AA19" s="1917"/>
    </row>
    <row r="20" spans="2:27">
      <c r="B20" s="1908">
        <f>SUM(B16:B19)</f>
        <v>0.38</v>
      </c>
      <c r="C20" s="1952"/>
      <c r="D20" s="1954"/>
      <c r="E20" s="1955"/>
      <c r="F20" s="1957"/>
      <c r="H20" s="3236" t="s">
        <v>1315</v>
      </c>
      <c r="I20" s="3232">
        <v>42150</v>
      </c>
      <c r="J20" s="1932" t="s">
        <v>241</v>
      </c>
      <c r="K20" s="1922" t="s">
        <v>909</v>
      </c>
      <c r="L20" s="3243">
        <v>608</v>
      </c>
      <c r="M20" s="3243">
        <v>500</v>
      </c>
      <c r="N20" s="3282">
        <v>0.20836711368786559</v>
      </c>
      <c r="O20" s="1922">
        <v>9</v>
      </c>
      <c r="P20" s="1925" t="s">
        <v>1344</v>
      </c>
      <c r="Q20" s="3238">
        <v>5</v>
      </c>
      <c r="R20" s="3238">
        <v>5.5</v>
      </c>
      <c r="S20" s="1931">
        <f t="shared" si="2"/>
        <v>10.5</v>
      </c>
      <c r="T20" s="1931">
        <f t="shared" si="3"/>
        <v>210750</v>
      </c>
      <c r="U20" s="1931">
        <f t="shared" si="4"/>
        <v>231825</v>
      </c>
      <c r="V20" s="1931">
        <f t="shared" si="5"/>
        <v>442575</v>
      </c>
      <c r="W20" s="1921">
        <f t="shared" si="6"/>
        <v>2500</v>
      </c>
      <c r="X20" s="1921">
        <f t="shared" si="7"/>
        <v>2750</v>
      </c>
      <c r="Y20" s="1921">
        <f t="shared" si="8"/>
        <v>5250</v>
      </c>
      <c r="Z20" s="1946">
        <v>0</v>
      </c>
      <c r="AA20" s="1917"/>
    </row>
    <row r="21" spans="2:27">
      <c r="C21" s="2106" t="s">
        <v>47</v>
      </c>
      <c r="D21" s="2158">
        <f>SUM(D22:D25)</f>
        <v>6400</v>
      </c>
      <c r="E21" s="1926">
        <f>SUM(E22:E25)</f>
        <v>6560</v>
      </c>
      <c r="F21" s="2157">
        <f>D21+E21</f>
        <v>12960</v>
      </c>
      <c r="H21" s="3236" t="s">
        <v>1316</v>
      </c>
      <c r="I21" s="3232">
        <v>70529</v>
      </c>
      <c r="J21" s="1932" t="s">
        <v>241</v>
      </c>
      <c r="K21" s="1922" t="s">
        <v>909</v>
      </c>
      <c r="L21" s="3243">
        <v>1014</v>
      </c>
      <c r="M21" s="3243">
        <v>500</v>
      </c>
      <c r="N21" s="3282">
        <v>0.13946309998853118</v>
      </c>
      <c r="O21" s="1922">
        <v>9</v>
      </c>
      <c r="P21" s="1925" t="s">
        <v>1344</v>
      </c>
      <c r="Q21" s="3238">
        <v>2</v>
      </c>
      <c r="R21" s="3238">
        <v>2.2000000000000002</v>
      </c>
      <c r="S21" s="1931">
        <f t="shared" si="2"/>
        <v>4.2</v>
      </c>
      <c r="T21" s="1931">
        <f t="shared" si="3"/>
        <v>141058</v>
      </c>
      <c r="U21" s="1931">
        <f t="shared" si="4"/>
        <v>155163.80000000002</v>
      </c>
      <c r="V21" s="1931">
        <f t="shared" si="5"/>
        <v>296221.80000000005</v>
      </c>
      <c r="W21" s="1921">
        <f t="shared" si="6"/>
        <v>1000</v>
      </c>
      <c r="X21" s="1921">
        <f t="shared" si="7"/>
        <v>1100</v>
      </c>
      <c r="Y21" s="1921">
        <f t="shared" si="8"/>
        <v>2100</v>
      </c>
      <c r="Z21" s="1946">
        <v>0</v>
      </c>
      <c r="AA21" s="1917"/>
    </row>
    <row r="22" spans="2:27">
      <c r="C22" s="2197" t="s">
        <v>1306</v>
      </c>
      <c r="D22" s="2201">
        <v>4000</v>
      </c>
      <c r="E22" s="2200">
        <v>4100</v>
      </c>
      <c r="F22" s="1879">
        <f t="shared" si="9"/>
        <v>8100</v>
      </c>
      <c r="H22" s="3236" t="s">
        <v>1317</v>
      </c>
      <c r="I22" s="3232">
        <v>805</v>
      </c>
      <c r="J22" s="1932" t="s">
        <v>241</v>
      </c>
      <c r="K22" s="1922" t="s">
        <v>909</v>
      </c>
      <c r="L22" s="3243">
        <v>286</v>
      </c>
      <c r="M22" s="3243">
        <v>100</v>
      </c>
      <c r="N22" s="3282">
        <v>7.9589810922292663E-3</v>
      </c>
      <c r="O22" s="1922">
        <v>10</v>
      </c>
      <c r="P22" s="1925" t="s">
        <v>1345</v>
      </c>
      <c r="Q22" s="3238">
        <v>10</v>
      </c>
      <c r="R22" s="3238">
        <v>11</v>
      </c>
      <c r="S22" s="1931">
        <f t="shared" si="2"/>
        <v>21</v>
      </c>
      <c r="T22" s="1931">
        <f t="shared" si="3"/>
        <v>8050</v>
      </c>
      <c r="U22" s="1931">
        <f t="shared" si="4"/>
        <v>8855</v>
      </c>
      <c r="V22" s="1931">
        <f t="shared" si="5"/>
        <v>16905</v>
      </c>
      <c r="W22" s="1921">
        <f t="shared" si="6"/>
        <v>1000</v>
      </c>
      <c r="X22" s="1921">
        <f t="shared" si="7"/>
        <v>1100</v>
      </c>
      <c r="Y22" s="1921">
        <f t="shared" si="8"/>
        <v>2100</v>
      </c>
      <c r="Z22" s="1946">
        <v>0</v>
      </c>
      <c r="AA22" s="1917"/>
    </row>
    <row r="23" spans="2:27">
      <c r="C23" s="2197" t="s">
        <v>1298</v>
      </c>
      <c r="D23" s="2201">
        <v>2400</v>
      </c>
      <c r="E23" s="2200">
        <v>2460</v>
      </c>
      <c r="F23" s="2191">
        <f t="shared" si="9"/>
        <v>4860</v>
      </c>
      <c r="H23" s="3236" t="s">
        <v>1318</v>
      </c>
      <c r="I23" s="3232">
        <v>1117</v>
      </c>
      <c r="J23" s="1932" t="s">
        <v>241</v>
      </c>
      <c r="K23" s="1922" t="s">
        <v>909</v>
      </c>
      <c r="L23" s="3243">
        <v>266</v>
      </c>
      <c r="M23" s="3243">
        <v>100</v>
      </c>
      <c r="N23" s="3282">
        <v>1.1043704198782723E-2</v>
      </c>
      <c r="O23" s="1922">
        <v>10</v>
      </c>
      <c r="P23" s="1925" t="s">
        <v>1345</v>
      </c>
      <c r="Q23" s="3238">
        <v>10</v>
      </c>
      <c r="R23" s="3238">
        <v>11</v>
      </c>
      <c r="S23" s="1931">
        <f t="shared" si="2"/>
        <v>21</v>
      </c>
      <c r="T23" s="1931">
        <f t="shared" si="3"/>
        <v>11170</v>
      </c>
      <c r="U23" s="1931">
        <f t="shared" si="4"/>
        <v>12287</v>
      </c>
      <c r="V23" s="1931">
        <f t="shared" si="5"/>
        <v>23457</v>
      </c>
      <c r="W23" s="1921">
        <f t="shared" si="6"/>
        <v>1000</v>
      </c>
      <c r="X23" s="1921">
        <f t="shared" si="7"/>
        <v>1100</v>
      </c>
      <c r="Y23" s="1921">
        <f t="shared" si="8"/>
        <v>2100</v>
      </c>
      <c r="Z23" s="1946">
        <v>0</v>
      </c>
      <c r="AA23" s="1917"/>
    </row>
    <row r="24" spans="2:27">
      <c r="C24" s="2197"/>
      <c r="D24" s="1898"/>
      <c r="E24" s="1897"/>
      <c r="F24" s="2191">
        <f t="shared" si="9"/>
        <v>0</v>
      </c>
      <c r="H24" s="3236" t="s">
        <v>1319</v>
      </c>
      <c r="I24" s="3232">
        <v>1807</v>
      </c>
      <c r="J24" s="1932" t="s">
        <v>241</v>
      </c>
      <c r="K24" s="1922" t="s">
        <v>909</v>
      </c>
      <c r="L24" s="3243">
        <v>592</v>
      </c>
      <c r="M24" s="3243">
        <v>300</v>
      </c>
      <c r="N24" s="3282">
        <v>3.5731375984244189E-2</v>
      </c>
      <c r="O24" s="1922">
        <v>10</v>
      </c>
      <c r="P24" s="1925" t="s">
        <v>1345</v>
      </c>
      <c r="Q24" s="3238">
        <v>20</v>
      </c>
      <c r="R24" s="3238">
        <v>22</v>
      </c>
      <c r="S24" s="1931">
        <f t="shared" si="2"/>
        <v>42</v>
      </c>
      <c r="T24" s="1931">
        <f t="shared" si="3"/>
        <v>36140</v>
      </c>
      <c r="U24" s="1931">
        <f t="shared" si="4"/>
        <v>39754</v>
      </c>
      <c r="V24" s="1931">
        <f t="shared" si="5"/>
        <v>75894</v>
      </c>
      <c r="W24" s="1921">
        <f t="shared" si="6"/>
        <v>6000</v>
      </c>
      <c r="X24" s="1921">
        <f t="shared" si="7"/>
        <v>6600</v>
      </c>
      <c r="Y24" s="1921">
        <f t="shared" si="8"/>
        <v>12600</v>
      </c>
      <c r="Z24" s="1946">
        <v>0</v>
      </c>
      <c r="AA24" s="1917"/>
    </row>
    <row r="25" spans="2:27">
      <c r="C25" s="2197"/>
      <c r="D25" s="1896"/>
      <c r="E25" s="1899"/>
      <c r="F25" s="2191">
        <f t="shared" si="9"/>
        <v>0</v>
      </c>
      <c r="H25" s="3236" t="s">
        <v>1320</v>
      </c>
      <c r="I25" s="3232">
        <v>2601</v>
      </c>
      <c r="J25" s="1932" t="s">
        <v>241</v>
      </c>
      <c r="K25" s="1922" t="s">
        <v>909</v>
      </c>
      <c r="L25" s="3243">
        <v>589</v>
      </c>
      <c r="M25" s="3243">
        <v>300</v>
      </c>
      <c r="N25" s="3282">
        <v>5.143182564195857E-2</v>
      </c>
      <c r="O25" s="1922">
        <v>10</v>
      </c>
      <c r="P25" s="1925" t="s">
        <v>1345</v>
      </c>
      <c r="Q25" s="3238">
        <v>20</v>
      </c>
      <c r="R25" s="3238">
        <v>22</v>
      </c>
      <c r="S25" s="1931">
        <f t="shared" si="2"/>
        <v>42</v>
      </c>
      <c r="T25" s="1931">
        <f t="shared" si="3"/>
        <v>52020</v>
      </c>
      <c r="U25" s="1931">
        <f t="shared" si="4"/>
        <v>57222</v>
      </c>
      <c r="V25" s="1931">
        <f t="shared" si="5"/>
        <v>109242</v>
      </c>
      <c r="W25" s="1921">
        <f t="shared" si="6"/>
        <v>6000</v>
      </c>
      <c r="X25" s="1921">
        <f t="shared" si="7"/>
        <v>6600</v>
      </c>
      <c r="Y25" s="1921">
        <f t="shared" si="8"/>
        <v>12600</v>
      </c>
      <c r="Z25" s="1946">
        <v>0</v>
      </c>
      <c r="AA25" s="1917"/>
    </row>
    <row r="26" spans="2:27">
      <c r="C26" s="1877"/>
      <c r="D26" s="1892"/>
      <c r="E26" s="1884"/>
      <c r="F26" s="1892"/>
      <c r="H26" s="3236" t="s">
        <v>1321</v>
      </c>
      <c r="I26" s="3232">
        <v>3641</v>
      </c>
      <c r="J26" s="1932" t="s">
        <v>241</v>
      </c>
      <c r="K26" s="1922" t="s">
        <v>909</v>
      </c>
      <c r="L26" s="3243">
        <v>939</v>
      </c>
      <c r="M26" s="3243">
        <v>300</v>
      </c>
      <c r="N26" s="3282">
        <v>3.5998323176157469E-2</v>
      </c>
      <c r="O26" s="1922">
        <v>10</v>
      </c>
      <c r="P26" s="1925" t="s">
        <v>1345</v>
      </c>
      <c r="Q26" s="3238">
        <v>10</v>
      </c>
      <c r="R26" s="3238">
        <v>11</v>
      </c>
      <c r="S26" s="1931">
        <f t="shared" si="2"/>
        <v>21</v>
      </c>
      <c r="T26" s="1931">
        <f t="shared" si="3"/>
        <v>36410</v>
      </c>
      <c r="U26" s="1931">
        <f t="shared" si="4"/>
        <v>40051</v>
      </c>
      <c r="V26" s="1931">
        <f t="shared" si="5"/>
        <v>76461</v>
      </c>
      <c r="W26" s="1921">
        <f t="shared" si="6"/>
        <v>3000</v>
      </c>
      <c r="X26" s="1921">
        <f t="shared" si="7"/>
        <v>3300</v>
      </c>
      <c r="Y26" s="1921">
        <f t="shared" si="8"/>
        <v>6300</v>
      </c>
      <c r="Z26" s="1946">
        <v>0</v>
      </c>
      <c r="AA26" s="1917"/>
    </row>
    <row r="27" spans="2:27">
      <c r="C27" s="2106" t="s">
        <v>48</v>
      </c>
      <c r="D27" s="2158">
        <f>SUM(D29:D32)</f>
        <v>27240.640180000002</v>
      </c>
      <c r="E27" s="1926">
        <f>SUM(E29:E32)</f>
        <v>28465.901600000001</v>
      </c>
      <c r="F27" s="2157">
        <f>D27+E27</f>
        <v>55706.54178</v>
      </c>
      <c r="H27" s="3236" t="s">
        <v>1322</v>
      </c>
      <c r="I27" s="3232">
        <v>2518</v>
      </c>
      <c r="J27" s="1932" t="s">
        <v>241</v>
      </c>
      <c r="K27" s="1922" t="s">
        <v>909</v>
      </c>
      <c r="L27" s="3243">
        <v>793</v>
      </c>
      <c r="M27" s="3243">
        <v>500</v>
      </c>
      <c r="N27" s="3282">
        <v>2.4895297379171795E-3</v>
      </c>
      <c r="O27" s="1922">
        <v>12</v>
      </c>
      <c r="P27" s="1925" t="s">
        <v>1344</v>
      </c>
      <c r="Q27" s="3238">
        <v>1</v>
      </c>
      <c r="R27" s="3238">
        <v>1.1000000000000001</v>
      </c>
      <c r="S27" s="1931">
        <f t="shared" si="2"/>
        <v>2.1</v>
      </c>
      <c r="T27" s="1931">
        <f t="shared" si="3"/>
        <v>2518</v>
      </c>
      <c r="U27" s="1931">
        <f t="shared" si="4"/>
        <v>2769.8</v>
      </c>
      <c r="V27" s="1931">
        <f t="shared" si="5"/>
        <v>5287.8</v>
      </c>
      <c r="W27" s="1921">
        <f t="shared" si="6"/>
        <v>500</v>
      </c>
      <c r="X27" s="1921">
        <f t="shared" si="7"/>
        <v>550</v>
      </c>
      <c r="Y27" s="1921">
        <f t="shared" si="8"/>
        <v>1050</v>
      </c>
      <c r="Z27" s="1946">
        <v>0</v>
      </c>
      <c r="AA27" s="1917"/>
    </row>
    <row r="28" spans="2:27">
      <c r="C28" s="1909" t="s">
        <v>315</v>
      </c>
      <c r="D28" s="1912">
        <v>0.66700000000000004</v>
      </c>
      <c r="E28" s="1913">
        <v>0.68</v>
      </c>
      <c r="F28" s="1949"/>
      <c r="H28" s="3236" t="s">
        <v>1323</v>
      </c>
      <c r="I28" s="3232">
        <v>2774</v>
      </c>
      <c r="J28" s="1932" t="s">
        <v>241</v>
      </c>
      <c r="K28" s="1922" t="s">
        <v>909</v>
      </c>
      <c r="L28" s="3243">
        <v>1007</v>
      </c>
      <c r="M28" s="3243">
        <v>1000</v>
      </c>
      <c r="N28" s="3282">
        <v>8.2279056707493123E-2</v>
      </c>
      <c r="O28" s="1922">
        <v>12</v>
      </c>
      <c r="P28" s="1925" t="s">
        <v>1344</v>
      </c>
      <c r="Q28" s="3238">
        <v>30</v>
      </c>
      <c r="R28" s="3238">
        <v>33</v>
      </c>
      <c r="S28" s="1931">
        <f t="shared" si="2"/>
        <v>63</v>
      </c>
      <c r="T28" s="1931">
        <f t="shared" si="3"/>
        <v>83220</v>
      </c>
      <c r="U28" s="1931">
        <f t="shared" si="4"/>
        <v>91542</v>
      </c>
      <c r="V28" s="1931">
        <f t="shared" si="5"/>
        <v>174762</v>
      </c>
      <c r="W28" s="1921">
        <f t="shared" si="6"/>
        <v>30000</v>
      </c>
      <c r="X28" s="1921">
        <f t="shared" si="7"/>
        <v>33000</v>
      </c>
      <c r="Y28" s="1921">
        <f t="shared" si="8"/>
        <v>63000</v>
      </c>
      <c r="Z28" s="1946">
        <v>0</v>
      </c>
      <c r="AA28" s="1917"/>
    </row>
    <row r="29" spans="2:27">
      <c r="C29" s="2197" t="s">
        <v>778</v>
      </c>
      <c r="D29" s="2202">
        <f>D15*D28</f>
        <v>22971.840180000003</v>
      </c>
      <c r="E29" s="2163">
        <f>E15*E28</f>
        <v>24005.101600000002</v>
      </c>
      <c r="F29" s="2191">
        <f t="shared" si="9"/>
        <v>46976.941780000008</v>
      </c>
      <c r="H29" s="3236" t="s">
        <v>1324</v>
      </c>
      <c r="I29" s="3232">
        <v>5548</v>
      </c>
      <c r="J29" s="1932" t="s">
        <v>241</v>
      </c>
      <c r="K29" s="1922" t="s">
        <v>909</v>
      </c>
      <c r="L29" s="3243">
        <v>2014</v>
      </c>
      <c r="M29" s="3243">
        <v>2000</v>
      </c>
      <c r="N29" s="3282">
        <v>5.485270447166208E-2</v>
      </c>
      <c r="O29" s="1922">
        <v>12</v>
      </c>
      <c r="P29" s="1925" t="s">
        <v>1344</v>
      </c>
      <c r="Q29" s="3238">
        <v>10</v>
      </c>
      <c r="R29" s="3238">
        <v>11</v>
      </c>
      <c r="S29" s="1931">
        <f t="shared" si="2"/>
        <v>21</v>
      </c>
      <c r="T29" s="1931">
        <f t="shared" si="3"/>
        <v>55480</v>
      </c>
      <c r="U29" s="1931">
        <f t="shared" si="4"/>
        <v>61028</v>
      </c>
      <c r="V29" s="1931">
        <f t="shared" si="5"/>
        <v>116508</v>
      </c>
      <c r="W29" s="1921">
        <f t="shared" si="6"/>
        <v>20000</v>
      </c>
      <c r="X29" s="1921">
        <f t="shared" si="7"/>
        <v>22000</v>
      </c>
      <c r="Y29" s="1921">
        <f t="shared" si="8"/>
        <v>42000</v>
      </c>
      <c r="Z29" s="1946">
        <v>0</v>
      </c>
      <c r="AA29" s="1917"/>
    </row>
    <row r="30" spans="2:27">
      <c r="C30" s="2197" t="s">
        <v>779</v>
      </c>
      <c r="D30" s="1973">
        <f>D21*D28</f>
        <v>4268.8</v>
      </c>
      <c r="E30" s="2163">
        <f>E21*E28</f>
        <v>4460.8</v>
      </c>
      <c r="F30" s="2191">
        <f t="shared" si="9"/>
        <v>8729.6</v>
      </c>
      <c r="H30" s="3236" t="s">
        <v>1325</v>
      </c>
      <c r="I30" s="3232">
        <v>11497</v>
      </c>
      <c r="J30" s="1932" t="s">
        <v>241</v>
      </c>
      <c r="K30" s="1922" t="s">
        <v>909</v>
      </c>
      <c r="L30" s="3243">
        <v>1568</v>
      </c>
      <c r="M30" s="3243">
        <v>1000</v>
      </c>
      <c r="N30" s="3282">
        <v>1.1367006908988807E-2</v>
      </c>
      <c r="O30" s="1922">
        <v>12</v>
      </c>
      <c r="P30" s="1925" t="s">
        <v>1344</v>
      </c>
      <c r="Q30" s="3238">
        <v>1</v>
      </c>
      <c r="R30" s="3238">
        <v>1.1000000000000001</v>
      </c>
      <c r="S30" s="1931">
        <f t="shared" si="2"/>
        <v>2.1</v>
      </c>
      <c r="T30" s="1931">
        <f t="shared" si="3"/>
        <v>11497</v>
      </c>
      <c r="U30" s="1931">
        <f t="shared" si="4"/>
        <v>12646.7</v>
      </c>
      <c r="V30" s="1931">
        <f t="shared" si="5"/>
        <v>24143.7</v>
      </c>
      <c r="W30" s="1921">
        <f t="shared" si="6"/>
        <v>1000</v>
      </c>
      <c r="X30" s="1921">
        <f t="shared" si="7"/>
        <v>1100</v>
      </c>
      <c r="Y30" s="1921">
        <f t="shared" si="8"/>
        <v>2100</v>
      </c>
      <c r="Z30" s="1946">
        <v>0</v>
      </c>
      <c r="AA30" s="1917"/>
    </row>
    <row r="31" spans="2:27">
      <c r="C31" s="1901"/>
      <c r="D31" s="1898"/>
      <c r="E31" s="1897"/>
      <c r="F31" s="1889"/>
      <c r="H31" s="3236" t="s">
        <v>1326</v>
      </c>
      <c r="I31" s="3232">
        <v>2505</v>
      </c>
      <c r="J31" s="1932" t="s">
        <v>241</v>
      </c>
      <c r="K31" s="1922" t="s">
        <v>909</v>
      </c>
      <c r="L31" s="3243">
        <v>232</v>
      </c>
      <c r="M31" s="3243">
        <v>150</v>
      </c>
      <c r="N31" s="3282">
        <v>4.9533534499464132E-3</v>
      </c>
      <c r="O31" s="1922">
        <v>10</v>
      </c>
      <c r="P31" s="1925" t="s">
        <v>1072</v>
      </c>
      <c r="Q31" s="3238">
        <v>2</v>
      </c>
      <c r="R31" s="3238">
        <v>2.2000000000000002</v>
      </c>
      <c r="S31" s="1931">
        <f t="shared" si="2"/>
        <v>4.2</v>
      </c>
      <c r="T31" s="1931">
        <f t="shared" si="3"/>
        <v>5010</v>
      </c>
      <c r="U31" s="1931">
        <f t="shared" si="4"/>
        <v>5511</v>
      </c>
      <c r="V31" s="1931">
        <f t="shared" si="5"/>
        <v>10521</v>
      </c>
      <c r="W31" s="1921">
        <f t="shared" si="6"/>
        <v>300</v>
      </c>
      <c r="X31" s="1921">
        <f t="shared" si="7"/>
        <v>330</v>
      </c>
      <c r="Y31" s="1921">
        <f t="shared" si="8"/>
        <v>630</v>
      </c>
      <c r="Z31" s="1946">
        <v>0</v>
      </c>
      <c r="AA31" s="1917"/>
    </row>
    <row r="32" spans="2:27">
      <c r="C32" s="1901"/>
      <c r="D32" s="1896"/>
      <c r="E32" s="1899"/>
      <c r="F32" s="1890"/>
      <c r="H32" s="3236" t="s">
        <v>1327</v>
      </c>
      <c r="I32" s="3232">
        <v>2566</v>
      </c>
      <c r="J32" s="1932" t="s">
        <v>241</v>
      </c>
      <c r="K32" s="1922" t="s">
        <v>909</v>
      </c>
      <c r="L32" s="3243">
        <v>232</v>
      </c>
      <c r="M32" s="3243">
        <v>150</v>
      </c>
      <c r="N32" s="3282">
        <v>3.8054805247193103E-2</v>
      </c>
      <c r="O32" s="1922">
        <v>10</v>
      </c>
      <c r="P32" s="1925" t="s">
        <v>1072</v>
      </c>
      <c r="Q32" s="3238">
        <v>15</v>
      </c>
      <c r="R32" s="3238">
        <v>16.5</v>
      </c>
      <c r="S32" s="1931">
        <f t="shared" si="2"/>
        <v>31.5</v>
      </c>
      <c r="T32" s="1931">
        <f t="shared" si="3"/>
        <v>38490</v>
      </c>
      <c r="U32" s="1931">
        <f t="shared" si="4"/>
        <v>42339</v>
      </c>
      <c r="V32" s="1931">
        <f t="shared" si="5"/>
        <v>80829</v>
      </c>
      <c r="W32" s="1921">
        <f t="shared" si="6"/>
        <v>2250</v>
      </c>
      <c r="X32" s="1921">
        <f t="shared" si="7"/>
        <v>2475</v>
      </c>
      <c r="Y32" s="1921">
        <f t="shared" si="8"/>
        <v>4725</v>
      </c>
      <c r="Z32" s="1946">
        <v>0</v>
      </c>
      <c r="AA32" s="1917"/>
    </row>
    <row r="33" spans="1:27">
      <c r="C33" s="1952"/>
      <c r="D33" s="1958"/>
      <c r="E33" s="1955"/>
      <c r="F33" s="1958"/>
      <c r="H33" s="3236" t="s">
        <v>1328</v>
      </c>
      <c r="I33" s="3232">
        <v>1499</v>
      </c>
      <c r="J33" s="1932" t="s">
        <v>241</v>
      </c>
      <c r="K33" s="1922" t="s">
        <v>909</v>
      </c>
      <c r="L33" s="3243">
        <v>192</v>
      </c>
      <c r="M33" s="3243">
        <v>150</v>
      </c>
      <c r="N33" s="3282">
        <v>7.4102563088519697E-3</v>
      </c>
      <c r="O33" s="1922">
        <v>10</v>
      </c>
      <c r="P33" s="1925" t="s">
        <v>1072</v>
      </c>
      <c r="Q33" s="3238">
        <v>5</v>
      </c>
      <c r="R33" s="3238">
        <v>5.5</v>
      </c>
      <c r="S33" s="1931">
        <f t="shared" si="2"/>
        <v>10.5</v>
      </c>
      <c r="T33" s="1931">
        <f t="shared" si="3"/>
        <v>7495</v>
      </c>
      <c r="U33" s="1931">
        <f t="shared" si="4"/>
        <v>8244.5</v>
      </c>
      <c r="V33" s="1931">
        <f t="shared" si="5"/>
        <v>15739.5</v>
      </c>
      <c r="W33" s="1921">
        <f t="shared" si="6"/>
        <v>750</v>
      </c>
      <c r="X33" s="1921">
        <f t="shared" si="7"/>
        <v>825</v>
      </c>
      <c r="Y33" s="1921">
        <f t="shared" si="8"/>
        <v>1575</v>
      </c>
      <c r="Z33" s="1946">
        <v>0</v>
      </c>
      <c r="AA33" s="1917"/>
    </row>
    <row r="34" spans="1:27" ht="25.5">
      <c r="A34" s="2802" t="s">
        <v>665</v>
      </c>
      <c r="C34" s="2106" t="s">
        <v>49</v>
      </c>
      <c r="D34" s="2158">
        <f>SUM(D35:D38)</f>
        <v>15000</v>
      </c>
      <c r="E34" s="1926">
        <f>SUM(E35:E38)</f>
        <v>15000</v>
      </c>
      <c r="F34" s="2157">
        <f>D34+E34</f>
        <v>30000</v>
      </c>
      <c r="H34" s="3281" t="s">
        <v>1329</v>
      </c>
      <c r="I34" s="3232">
        <v>15931</v>
      </c>
      <c r="J34" s="1932" t="s">
        <v>241</v>
      </c>
      <c r="K34" s="1922" t="s">
        <v>909</v>
      </c>
      <c r="L34" s="3243">
        <v>2659</v>
      </c>
      <c r="M34" s="3243">
        <v>750</v>
      </c>
      <c r="N34" s="3282">
        <v>1.5750873016186891E-2</v>
      </c>
      <c r="O34" s="1922">
        <v>15</v>
      </c>
      <c r="P34" s="1925" t="s">
        <v>1072</v>
      </c>
      <c r="Q34" s="3238">
        <v>1</v>
      </c>
      <c r="R34" s="3238">
        <v>1.1000000000000001</v>
      </c>
      <c r="S34" s="1931">
        <f t="shared" si="2"/>
        <v>2.1</v>
      </c>
      <c r="T34" s="1931">
        <f t="shared" si="3"/>
        <v>15931</v>
      </c>
      <c r="U34" s="1931">
        <f t="shared" si="4"/>
        <v>17524.100000000002</v>
      </c>
      <c r="V34" s="1931">
        <f t="shared" si="5"/>
        <v>33455.100000000006</v>
      </c>
      <c r="W34" s="1921">
        <f t="shared" si="6"/>
        <v>750</v>
      </c>
      <c r="X34" s="1921">
        <f t="shared" si="7"/>
        <v>825.00000000000011</v>
      </c>
      <c r="Y34" s="1921">
        <f t="shared" si="8"/>
        <v>1575</v>
      </c>
      <c r="Z34" s="1946">
        <v>0</v>
      </c>
      <c r="AA34" s="1917"/>
    </row>
    <row r="35" spans="1:27">
      <c r="A35" s="2802" t="s">
        <v>278</v>
      </c>
      <c r="C35" s="2197"/>
      <c r="D35" s="2202">
        <v>15000</v>
      </c>
      <c r="E35" s="2203">
        <v>15000</v>
      </c>
      <c r="F35" s="2191">
        <f t="shared" ref="F35:F44" si="10">SUM(D35:E35)</f>
        <v>30000</v>
      </c>
      <c r="H35" s="3236" t="s">
        <v>1330</v>
      </c>
      <c r="I35" s="3232">
        <v>11334</v>
      </c>
      <c r="J35" s="1932" t="s">
        <v>241</v>
      </c>
      <c r="K35" s="1922" t="s">
        <v>909</v>
      </c>
      <c r="L35" s="3243">
        <v>2659</v>
      </c>
      <c r="M35" s="3243">
        <v>750</v>
      </c>
      <c r="N35" s="3282">
        <v>4.4823399602149823E-2</v>
      </c>
      <c r="O35" s="1922">
        <v>15</v>
      </c>
      <c r="P35" s="1925" t="s">
        <v>1072</v>
      </c>
      <c r="Q35" s="3238">
        <v>4</v>
      </c>
      <c r="R35" s="3238">
        <v>4.4000000000000004</v>
      </c>
      <c r="S35" s="1931">
        <f t="shared" si="2"/>
        <v>8.4</v>
      </c>
      <c r="T35" s="1931">
        <f t="shared" si="3"/>
        <v>45336</v>
      </c>
      <c r="U35" s="1931">
        <f t="shared" si="4"/>
        <v>49869.600000000006</v>
      </c>
      <c r="V35" s="1931">
        <f t="shared" si="5"/>
        <v>95205.6</v>
      </c>
      <c r="W35" s="1921">
        <f t="shared" si="6"/>
        <v>3000</v>
      </c>
      <c r="X35" s="1921">
        <f t="shared" si="7"/>
        <v>3300.0000000000005</v>
      </c>
      <c r="Y35" s="1921">
        <f t="shared" si="8"/>
        <v>6300</v>
      </c>
      <c r="Z35" s="1946">
        <v>0</v>
      </c>
      <c r="AA35" s="1917"/>
    </row>
    <row r="36" spans="1:27">
      <c r="A36" s="2802" t="s">
        <v>6</v>
      </c>
      <c r="C36" s="2197"/>
      <c r="D36" s="2202"/>
      <c r="E36" s="2203"/>
      <c r="F36" s="2191">
        <f t="shared" si="10"/>
        <v>0</v>
      </c>
      <c r="H36" s="3236" t="s">
        <v>1331</v>
      </c>
      <c r="I36" s="3232">
        <v>4407</v>
      </c>
      <c r="J36" s="1932" t="s">
        <v>241</v>
      </c>
      <c r="K36" s="1922" t="s">
        <v>909</v>
      </c>
      <c r="L36" s="3243">
        <v>1813</v>
      </c>
      <c r="M36" s="3243">
        <v>500</v>
      </c>
      <c r="N36" s="3282">
        <v>1.3071514164020264E-2</v>
      </c>
      <c r="O36" s="1922">
        <v>15</v>
      </c>
      <c r="P36" s="1925" t="s">
        <v>1072</v>
      </c>
      <c r="Q36" s="3238">
        <v>3</v>
      </c>
      <c r="R36" s="3238">
        <v>3.3</v>
      </c>
      <c r="S36" s="1931">
        <f t="shared" si="2"/>
        <v>6.3</v>
      </c>
      <c r="T36" s="1931">
        <f t="shared" si="3"/>
        <v>13221</v>
      </c>
      <c r="U36" s="1931">
        <f t="shared" si="4"/>
        <v>14543.099999999999</v>
      </c>
      <c r="V36" s="1931">
        <f t="shared" si="5"/>
        <v>27764.1</v>
      </c>
      <c r="W36" s="1921">
        <f t="shared" si="6"/>
        <v>1500</v>
      </c>
      <c r="X36" s="1921">
        <f t="shared" si="7"/>
        <v>1650</v>
      </c>
      <c r="Y36" s="1921">
        <f t="shared" si="8"/>
        <v>3150</v>
      </c>
      <c r="Z36" s="1946">
        <v>0</v>
      </c>
      <c r="AA36" s="1917"/>
    </row>
    <row r="37" spans="1:27">
      <c r="A37" s="2802">
        <v>18230716</v>
      </c>
      <c r="C37" s="2197"/>
      <c r="D37" s="2202"/>
      <c r="E37" s="2203"/>
      <c r="F37" s="2191">
        <f t="shared" si="10"/>
        <v>0</v>
      </c>
      <c r="H37" s="3236" t="s">
        <v>1332</v>
      </c>
      <c r="I37" s="3232">
        <v>13224</v>
      </c>
      <c r="J37" s="1932" t="s">
        <v>241</v>
      </c>
      <c r="K37" s="1922" t="s">
        <v>909</v>
      </c>
      <c r="L37" s="3243">
        <v>5882</v>
      </c>
      <c r="M37" s="3243">
        <v>1000</v>
      </c>
      <c r="N37" s="3282">
        <v>1.3074480243930415E-2</v>
      </c>
      <c r="O37" s="1922">
        <v>20</v>
      </c>
      <c r="P37" s="1925" t="s">
        <v>1072</v>
      </c>
      <c r="Q37" s="3238">
        <v>1</v>
      </c>
      <c r="R37" s="3238">
        <v>1.1000000000000001</v>
      </c>
      <c r="S37" s="1931">
        <f t="shared" si="2"/>
        <v>2.1</v>
      </c>
      <c r="T37" s="1931">
        <f t="shared" si="3"/>
        <v>13224</v>
      </c>
      <c r="U37" s="1931">
        <f t="shared" si="4"/>
        <v>14546.400000000001</v>
      </c>
      <c r="V37" s="1931">
        <f t="shared" si="5"/>
        <v>27770.400000000001</v>
      </c>
      <c r="W37" s="1921">
        <f t="shared" si="6"/>
        <v>1000</v>
      </c>
      <c r="X37" s="1921">
        <f t="shared" si="7"/>
        <v>1100</v>
      </c>
      <c r="Y37" s="1921">
        <f t="shared" si="8"/>
        <v>2100</v>
      </c>
      <c r="Z37" s="1946">
        <v>0</v>
      </c>
      <c r="AA37" s="1917"/>
    </row>
    <row r="38" spans="1:27">
      <c r="A38" s="2802" t="s">
        <v>5</v>
      </c>
      <c r="C38" s="2197"/>
      <c r="D38" s="2202"/>
      <c r="E38" s="2203"/>
      <c r="F38" s="2191">
        <f t="shared" si="10"/>
        <v>0</v>
      </c>
      <c r="H38" s="3236" t="s">
        <v>1333</v>
      </c>
      <c r="I38" s="3232">
        <v>360</v>
      </c>
      <c r="J38" s="1932" t="s">
        <v>241</v>
      </c>
      <c r="K38" s="1922" t="s">
        <v>909</v>
      </c>
      <c r="L38" s="3243">
        <v>497</v>
      </c>
      <c r="M38" s="3243">
        <v>0</v>
      </c>
      <c r="N38" s="3282">
        <v>3.5592958921770642E-4</v>
      </c>
      <c r="O38" s="1922">
        <v>20</v>
      </c>
      <c r="P38" s="1925" t="s">
        <v>1072</v>
      </c>
      <c r="Q38" s="3238">
        <v>1</v>
      </c>
      <c r="R38" s="3238">
        <v>1.1000000000000001</v>
      </c>
      <c r="S38" s="1931">
        <f t="shared" si="2"/>
        <v>2.1</v>
      </c>
      <c r="T38" s="1931">
        <f t="shared" si="3"/>
        <v>360</v>
      </c>
      <c r="U38" s="1931">
        <f t="shared" si="4"/>
        <v>396.00000000000006</v>
      </c>
      <c r="V38" s="1931">
        <f t="shared" si="5"/>
        <v>756</v>
      </c>
      <c r="W38" s="1921">
        <f t="shared" si="6"/>
        <v>0</v>
      </c>
      <c r="X38" s="1921">
        <f t="shared" si="7"/>
        <v>0</v>
      </c>
      <c r="Y38" s="1921">
        <f t="shared" si="8"/>
        <v>0</v>
      </c>
      <c r="Z38" s="1946">
        <v>0</v>
      </c>
      <c r="AA38" s="1917"/>
    </row>
    <row r="39" spans="1:27">
      <c r="A39" s="2193"/>
      <c r="C39" s="1952"/>
      <c r="D39" s="1958"/>
      <c r="E39" s="1955"/>
      <c r="F39" s="1958"/>
      <c r="H39" s="3236" t="s">
        <v>1334</v>
      </c>
      <c r="I39" s="3232">
        <v>8157</v>
      </c>
      <c r="J39" s="1932" t="s">
        <v>241</v>
      </c>
      <c r="K39" s="1922" t="s">
        <v>909</v>
      </c>
      <c r="L39" s="3243">
        <v>5882</v>
      </c>
      <c r="M39" s="3243">
        <v>1000</v>
      </c>
      <c r="N39" s="3282">
        <v>1.6129542551382395E-2</v>
      </c>
      <c r="O39" s="1922">
        <v>20</v>
      </c>
      <c r="P39" s="1925" t="s">
        <v>1072</v>
      </c>
      <c r="Q39" s="3238">
        <v>2</v>
      </c>
      <c r="R39" s="3238">
        <v>2.2000000000000002</v>
      </c>
      <c r="S39" s="1931">
        <f t="shared" si="2"/>
        <v>4.2</v>
      </c>
      <c r="T39" s="1931">
        <f t="shared" si="3"/>
        <v>16314</v>
      </c>
      <c r="U39" s="1931">
        <f t="shared" si="4"/>
        <v>17945.400000000001</v>
      </c>
      <c r="V39" s="1931">
        <f t="shared" si="5"/>
        <v>34259.4</v>
      </c>
      <c r="W39" s="1921">
        <f t="shared" si="6"/>
        <v>2000</v>
      </c>
      <c r="X39" s="1921">
        <f t="shared" si="7"/>
        <v>2200</v>
      </c>
      <c r="Y39" s="1921">
        <f t="shared" si="8"/>
        <v>4200</v>
      </c>
      <c r="Z39" s="1946">
        <v>0</v>
      </c>
      <c r="AA39" s="1917"/>
    </row>
    <row r="40" spans="1:27">
      <c r="A40" s="2193"/>
      <c r="C40" s="2106" t="s">
        <v>506</v>
      </c>
      <c r="D40" s="2158">
        <f>SUM(D41:D44)</f>
        <v>5225</v>
      </c>
      <c r="E40" s="1926">
        <f>SUM(E41:E44)</f>
        <v>5225</v>
      </c>
      <c r="F40" s="2157">
        <f>D40+E40</f>
        <v>10450</v>
      </c>
      <c r="H40" s="3236" t="s">
        <v>1335</v>
      </c>
      <c r="I40" s="3232">
        <v>3951</v>
      </c>
      <c r="J40" s="1932" t="s">
        <v>241</v>
      </c>
      <c r="K40" s="1922" t="s">
        <v>909</v>
      </c>
      <c r="L40" s="3243">
        <v>4446</v>
      </c>
      <c r="M40" s="3243">
        <v>750</v>
      </c>
      <c r="N40" s="3282">
        <v>7.8126544833286553E-3</v>
      </c>
      <c r="O40" s="1922">
        <v>20</v>
      </c>
      <c r="P40" s="1925" t="s">
        <v>1072</v>
      </c>
      <c r="Q40" s="3238">
        <v>2</v>
      </c>
      <c r="R40" s="3238">
        <v>2.2000000000000002</v>
      </c>
      <c r="S40" s="1931">
        <f t="shared" si="2"/>
        <v>4.2</v>
      </c>
      <c r="T40" s="1931">
        <f t="shared" si="3"/>
        <v>7902</v>
      </c>
      <c r="U40" s="1931">
        <f t="shared" si="4"/>
        <v>8692.2000000000007</v>
      </c>
      <c r="V40" s="1931">
        <f t="shared" si="5"/>
        <v>16594.2</v>
      </c>
      <c r="W40" s="1921">
        <f t="shared" si="6"/>
        <v>1500</v>
      </c>
      <c r="X40" s="1921">
        <f t="shared" si="7"/>
        <v>1650.0000000000002</v>
      </c>
      <c r="Y40" s="1921">
        <f t="shared" si="8"/>
        <v>3150</v>
      </c>
      <c r="Z40" s="1946">
        <v>0</v>
      </c>
      <c r="AA40" s="1917"/>
    </row>
    <row r="41" spans="1:27">
      <c r="C41" s="2197"/>
      <c r="D41" s="2202">
        <v>5000</v>
      </c>
      <c r="E41" s="2203">
        <v>5000</v>
      </c>
      <c r="F41" s="2191">
        <f t="shared" si="10"/>
        <v>10000</v>
      </c>
      <c r="H41" s="3236" t="s">
        <v>1336</v>
      </c>
      <c r="I41" s="3232">
        <v>18554</v>
      </c>
      <c r="J41" s="1932" t="s">
        <v>241</v>
      </c>
      <c r="K41" s="1922" t="s">
        <v>909</v>
      </c>
      <c r="L41" s="3243">
        <v>3394</v>
      </c>
      <c r="M41" s="3243">
        <v>1500</v>
      </c>
      <c r="N41" s="3282">
        <v>3.6688431101918467E-2</v>
      </c>
      <c r="O41" s="1922">
        <v>20</v>
      </c>
      <c r="P41" s="1925" t="s">
        <v>1072</v>
      </c>
      <c r="Q41" s="3238">
        <v>2</v>
      </c>
      <c r="R41" s="3238">
        <v>2.2000000000000002</v>
      </c>
      <c r="S41" s="1931">
        <f t="shared" si="2"/>
        <v>4.2</v>
      </c>
      <c r="T41" s="1931">
        <f t="shared" si="3"/>
        <v>37108</v>
      </c>
      <c r="U41" s="1931">
        <f t="shared" si="4"/>
        <v>40818.800000000003</v>
      </c>
      <c r="V41" s="1931">
        <f t="shared" si="5"/>
        <v>77926.8</v>
      </c>
      <c r="W41" s="1921">
        <f t="shared" si="6"/>
        <v>3000</v>
      </c>
      <c r="X41" s="1921">
        <f t="shared" si="7"/>
        <v>3300.0000000000005</v>
      </c>
      <c r="Y41" s="1921">
        <f t="shared" si="8"/>
        <v>6300</v>
      </c>
      <c r="Z41" s="1946">
        <v>1469</v>
      </c>
      <c r="AA41" s="1917"/>
    </row>
    <row r="42" spans="1:27">
      <c r="C42" s="2197" t="s">
        <v>1457</v>
      </c>
      <c r="D42" s="2202">
        <v>225</v>
      </c>
      <c r="E42" s="2203">
        <v>225</v>
      </c>
      <c r="F42" s="2191">
        <f t="shared" si="10"/>
        <v>450</v>
      </c>
      <c r="H42" s="3236" t="s">
        <v>1337</v>
      </c>
      <c r="I42" s="3232">
        <v>26298</v>
      </c>
      <c r="J42" s="1932" t="s">
        <v>241</v>
      </c>
      <c r="K42" s="1922" t="s">
        <v>909</v>
      </c>
      <c r="L42" s="3243">
        <v>3394</v>
      </c>
      <c r="M42" s="3243">
        <v>1500</v>
      </c>
      <c r="N42" s="3282">
        <v>2.600065649235345E-2</v>
      </c>
      <c r="O42" s="1922">
        <v>20</v>
      </c>
      <c r="P42" s="1925" t="s">
        <v>1072</v>
      </c>
      <c r="Q42" s="3238">
        <v>1</v>
      </c>
      <c r="R42" s="3238">
        <v>1.1000000000000001</v>
      </c>
      <c r="S42" s="1931">
        <f t="shared" si="2"/>
        <v>2.1</v>
      </c>
      <c r="T42" s="1931">
        <f t="shared" si="3"/>
        <v>26298</v>
      </c>
      <c r="U42" s="1931">
        <f t="shared" si="4"/>
        <v>28927.800000000003</v>
      </c>
      <c r="V42" s="1931">
        <f t="shared" si="5"/>
        <v>55225.8</v>
      </c>
      <c r="W42" s="1921">
        <f t="shared" si="6"/>
        <v>1500</v>
      </c>
      <c r="X42" s="1921">
        <f t="shared" si="7"/>
        <v>1650.0000000000002</v>
      </c>
      <c r="Y42" s="1921">
        <f t="shared" si="8"/>
        <v>3150</v>
      </c>
      <c r="Z42" s="1946">
        <v>0</v>
      </c>
      <c r="AA42" s="1917"/>
    </row>
    <row r="43" spans="1:27">
      <c r="C43" s="2197"/>
      <c r="D43" s="2202"/>
      <c r="E43" s="2203"/>
      <c r="F43" s="2191">
        <f t="shared" si="10"/>
        <v>0</v>
      </c>
      <c r="H43" s="3236" t="s">
        <v>1338</v>
      </c>
      <c r="I43" s="3232">
        <v>10342</v>
      </c>
      <c r="J43" s="1932" t="s">
        <v>241</v>
      </c>
      <c r="K43" s="1922" t="s">
        <v>909</v>
      </c>
      <c r="L43" s="3243">
        <v>2312</v>
      </c>
      <c r="M43" s="3243">
        <v>1000</v>
      </c>
      <c r="N43" s="3282">
        <v>1.0225066143581998E-2</v>
      </c>
      <c r="O43" s="1922">
        <v>20</v>
      </c>
      <c r="P43" s="1925" t="s">
        <v>1072</v>
      </c>
      <c r="Q43" s="3238">
        <v>1</v>
      </c>
      <c r="R43" s="3238">
        <v>1.1000000000000001</v>
      </c>
      <c r="S43" s="1931">
        <f t="shared" si="2"/>
        <v>2.1</v>
      </c>
      <c r="T43" s="1931">
        <f t="shared" si="3"/>
        <v>10342</v>
      </c>
      <c r="U43" s="1931">
        <f t="shared" si="4"/>
        <v>11376.2</v>
      </c>
      <c r="V43" s="1931">
        <f t="shared" si="5"/>
        <v>21718.2</v>
      </c>
      <c r="W43" s="1921">
        <f t="shared" si="6"/>
        <v>1000</v>
      </c>
      <c r="X43" s="1921">
        <f t="shared" si="7"/>
        <v>1100</v>
      </c>
      <c r="Y43" s="1921">
        <f t="shared" si="8"/>
        <v>2100</v>
      </c>
      <c r="Z43" s="1946">
        <v>0</v>
      </c>
      <c r="AA43" s="1917"/>
    </row>
    <row r="44" spans="1:27">
      <c r="C44" s="2197"/>
      <c r="D44" s="2202"/>
      <c r="E44" s="2203"/>
      <c r="F44" s="2191">
        <f t="shared" si="10"/>
        <v>0</v>
      </c>
      <c r="H44" s="3236" t="s">
        <v>1339</v>
      </c>
      <c r="I44" s="3232">
        <v>0</v>
      </c>
      <c r="J44" s="1932" t="s">
        <v>241</v>
      </c>
      <c r="K44" s="1922" t="s">
        <v>909</v>
      </c>
      <c r="L44" s="3243">
        <v>30</v>
      </c>
      <c r="M44" s="3243">
        <v>30</v>
      </c>
      <c r="N44" s="3282">
        <v>0</v>
      </c>
      <c r="O44" s="1922">
        <v>0</v>
      </c>
      <c r="P44" s="1925"/>
      <c r="Q44" s="3238">
        <v>2</v>
      </c>
      <c r="R44" s="3238">
        <v>2.2000000000000002</v>
      </c>
      <c r="S44" s="1931">
        <f t="shared" si="2"/>
        <v>4.2</v>
      </c>
      <c r="T44" s="1931">
        <f t="shared" si="3"/>
        <v>0</v>
      </c>
      <c r="U44" s="1931">
        <f t="shared" si="4"/>
        <v>0</v>
      </c>
      <c r="V44" s="1931">
        <f t="shared" si="5"/>
        <v>0</v>
      </c>
      <c r="W44" s="1921">
        <f t="shared" si="6"/>
        <v>60</v>
      </c>
      <c r="X44" s="1921">
        <f t="shared" si="7"/>
        <v>66</v>
      </c>
      <c r="Y44" s="1921">
        <f t="shared" si="8"/>
        <v>126</v>
      </c>
      <c r="Z44" s="1946">
        <v>0</v>
      </c>
      <c r="AA44" s="1917"/>
    </row>
    <row r="45" spans="1:27">
      <c r="C45" s="1952"/>
      <c r="D45" s="1958"/>
      <c r="E45" s="1955"/>
      <c r="F45" s="1958"/>
      <c r="H45" s="3236" t="s">
        <v>1340</v>
      </c>
      <c r="I45" s="3232">
        <v>0</v>
      </c>
      <c r="J45" s="1932" t="s">
        <v>241</v>
      </c>
      <c r="K45" s="1922" t="s">
        <v>909</v>
      </c>
      <c r="L45" s="3243">
        <v>30</v>
      </c>
      <c r="M45" s="3243">
        <v>30</v>
      </c>
      <c r="N45" s="3282">
        <v>0</v>
      </c>
      <c r="O45" s="1922">
        <v>0</v>
      </c>
      <c r="P45" s="1925"/>
      <c r="Q45" s="3238">
        <v>2</v>
      </c>
      <c r="R45" s="3238">
        <v>2.2000000000000002</v>
      </c>
      <c r="S45" s="1931">
        <f t="shared" si="2"/>
        <v>4.2</v>
      </c>
      <c r="T45" s="1931">
        <f t="shared" si="3"/>
        <v>0</v>
      </c>
      <c r="U45" s="1931">
        <f t="shared" si="4"/>
        <v>0</v>
      </c>
      <c r="V45" s="1931">
        <f t="shared" si="5"/>
        <v>0</v>
      </c>
      <c r="W45" s="1921">
        <f t="shared" si="6"/>
        <v>60</v>
      </c>
      <c r="X45" s="1921">
        <f t="shared" si="7"/>
        <v>66</v>
      </c>
      <c r="Y45" s="1921">
        <f t="shared" si="8"/>
        <v>126</v>
      </c>
      <c r="Z45" s="1946">
        <v>0</v>
      </c>
      <c r="AA45" s="1917"/>
    </row>
    <row r="46" spans="1:27">
      <c r="C46" s="2106" t="s">
        <v>50</v>
      </c>
      <c r="D46" s="2158">
        <f>SUM(D47:D50)</f>
        <v>1200</v>
      </c>
      <c r="E46" s="1926">
        <f>SUM(E47:E50)</f>
        <v>1200</v>
      </c>
      <c r="F46" s="2157">
        <f>D46+E46</f>
        <v>2400</v>
      </c>
      <c r="H46" s="3236" t="s">
        <v>1341</v>
      </c>
      <c r="I46" s="3232">
        <v>0</v>
      </c>
      <c r="J46" s="1932" t="s">
        <v>241</v>
      </c>
      <c r="K46" s="1922" t="s">
        <v>909</v>
      </c>
      <c r="L46" s="3243">
        <v>30</v>
      </c>
      <c r="M46" s="3243">
        <v>30</v>
      </c>
      <c r="N46" s="3282">
        <v>0</v>
      </c>
      <c r="O46" s="1922">
        <v>0</v>
      </c>
      <c r="P46" s="1925"/>
      <c r="Q46" s="3238">
        <v>10</v>
      </c>
      <c r="R46" s="3238">
        <v>11</v>
      </c>
      <c r="S46" s="1931">
        <f t="shared" si="2"/>
        <v>21</v>
      </c>
      <c r="T46" s="1931">
        <f t="shared" si="3"/>
        <v>0</v>
      </c>
      <c r="U46" s="1931">
        <f t="shared" si="4"/>
        <v>0</v>
      </c>
      <c r="V46" s="1931">
        <f t="shared" si="5"/>
        <v>0</v>
      </c>
      <c r="W46" s="1921">
        <f t="shared" si="6"/>
        <v>300</v>
      </c>
      <c r="X46" s="1921">
        <f t="shared" si="7"/>
        <v>330</v>
      </c>
      <c r="Y46" s="1921">
        <f t="shared" si="8"/>
        <v>630</v>
      </c>
      <c r="Z46" s="1946">
        <v>0</v>
      </c>
      <c r="AA46" s="1917"/>
    </row>
    <row r="47" spans="1:27">
      <c r="C47" s="2197"/>
      <c r="D47" s="2202">
        <v>1200</v>
      </c>
      <c r="E47" s="2203">
        <v>1200</v>
      </c>
      <c r="F47" s="2191">
        <f t="shared" ref="F47:F62" si="11">SUM(D47:E47)</f>
        <v>2400</v>
      </c>
      <c r="H47" s="3236" t="s">
        <v>1342</v>
      </c>
      <c r="I47" s="3232">
        <v>0</v>
      </c>
      <c r="J47" s="1932" t="s">
        <v>241</v>
      </c>
      <c r="K47" s="1922" t="s">
        <v>909</v>
      </c>
      <c r="L47" s="3243">
        <v>50</v>
      </c>
      <c r="M47" s="3243">
        <v>50</v>
      </c>
      <c r="N47" s="3282">
        <v>0</v>
      </c>
      <c r="O47" s="1922">
        <v>0</v>
      </c>
      <c r="P47" s="1925"/>
      <c r="Q47" s="3238">
        <v>20</v>
      </c>
      <c r="R47" s="3238">
        <v>22</v>
      </c>
      <c r="S47" s="1931">
        <f t="shared" si="2"/>
        <v>42</v>
      </c>
      <c r="T47" s="1931">
        <f t="shared" si="3"/>
        <v>0</v>
      </c>
      <c r="U47" s="1931">
        <f t="shared" si="4"/>
        <v>0</v>
      </c>
      <c r="V47" s="1931">
        <f t="shared" si="5"/>
        <v>0</v>
      </c>
      <c r="W47" s="1921">
        <f t="shared" si="6"/>
        <v>1000</v>
      </c>
      <c r="X47" s="1921">
        <f t="shared" si="7"/>
        <v>1100</v>
      </c>
      <c r="Y47" s="1921">
        <f t="shared" si="8"/>
        <v>2100</v>
      </c>
      <c r="Z47" s="1946">
        <v>0</v>
      </c>
      <c r="AA47" s="1917"/>
    </row>
    <row r="48" spans="1:27">
      <c r="C48" s="2197"/>
      <c r="D48" s="2202"/>
      <c r="E48" s="2203"/>
      <c r="F48" s="2191">
        <f t="shared" si="11"/>
        <v>0</v>
      </c>
      <c r="H48" s="3236" t="s">
        <v>1343</v>
      </c>
      <c r="I48" s="3232">
        <v>0</v>
      </c>
      <c r="J48" s="1932" t="s">
        <v>241</v>
      </c>
      <c r="K48" s="1922" t="s">
        <v>909</v>
      </c>
      <c r="L48" s="3243">
        <v>30</v>
      </c>
      <c r="M48" s="3243">
        <v>30</v>
      </c>
      <c r="N48" s="3282">
        <v>0</v>
      </c>
      <c r="O48" s="1922">
        <v>0</v>
      </c>
      <c r="P48" s="1925"/>
      <c r="Q48" s="3238">
        <v>6</v>
      </c>
      <c r="R48" s="3238">
        <v>6.6</v>
      </c>
      <c r="S48" s="1931">
        <f t="shared" si="2"/>
        <v>12.6</v>
      </c>
      <c r="T48" s="1931">
        <f t="shared" si="3"/>
        <v>0</v>
      </c>
      <c r="U48" s="1931">
        <f t="shared" si="4"/>
        <v>0</v>
      </c>
      <c r="V48" s="1931">
        <f t="shared" si="5"/>
        <v>0</v>
      </c>
      <c r="W48" s="1921">
        <f t="shared" si="6"/>
        <v>180</v>
      </c>
      <c r="X48" s="1921">
        <f t="shared" si="7"/>
        <v>198</v>
      </c>
      <c r="Y48" s="1921">
        <f t="shared" si="8"/>
        <v>378</v>
      </c>
      <c r="Z48" s="1946">
        <v>0</v>
      </c>
      <c r="AA48" s="1917"/>
    </row>
    <row r="49" spans="1:27">
      <c r="C49" s="2197"/>
      <c r="D49" s="2202"/>
      <c r="E49" s="2203"/>
      <c r="F49" s="2191">
        <f t="shared" si="11"/>
        <v>0</v>
      </c>
      <c r="H49" s="3236" t="s">
        <v>1307</v>
      </c>
      <c r="I49" s="3232">
        <v>0</v>
      </c>
      <c r="J49" s="1932" t="s">
        <v>241</v>
      </c>
      <c r="K49" s="1922" t="s">
        <v>909</v>
      </c>
      <c r="L49" s="3243">
        <v>50</v>
      </c>
      <c r="M49" s="3243">
        <v>50</v>
      </c>
      <c r="N49" s="3282">
        <v>0</v>
      </c>
      <c r="O49" s="1922">
        <v>0</v>
      </c>
      <c r="P49" s="1925"/>
      <c r="Q49" s="3238">
        <v>1</v>
      </c>
      <c r="R49" s="3238">
        <v>1.1000000000000001</v>
      </c>
      <c r="S49" s="1931">
        <f t="shared" si="2"/>
        <v>2.1</v>
      </c>
      <c r="T49" s="1931">
        <f t="shared" si="3"/>
        <v>0</v>
      </c>
      <c r="U49" s="1931">
        <f t="shared" si="4"/>
        <v>0</v>
      </c>
      <c r="V49" s="1931">
        <f t="shared" si="5"/>
        <v>0</v>
      </c>
      <c r="W49" s="1921">
        <f t="shared" si="6"/>
        <v>50</v>
      </c>
      <c r="X49" s="1921">
        <f t="shared" si="7"/>
        <v>55.000000000000007</v>
      </c>
      <c r="Y49" s="1921">
        <f t="shared" si="8"/>
        <v>105</v>
      </c>
      <c r="Z49" s="1946">
        <v>0</v>
      </c>
      <c r="AA49" s="1917"/>
    </row>
    <row r="50" spans="1:27">
      <c r="C50" s="2197"/>
      <c r="D50" s="2202"/>
      <c r="E50" s="2203"/>
      <c r="F50" s="2191">
        <f t="shared" si="11"/>
        <v>0</v>
      </c>
      <c r="H50" s="3236" t="s">
        <v>1308</v>
      </c>
      <c r="I50" s="3232">
        <v>750</v>
      </c>
      <c r="J50" s="1932" t="s">
        <v>241</v>
      </c>
      <c r="K50" s="1922" t="s">
        <v>909</v>
      </c>
      <c r="L50" s="3243">
        <v>210</v>
      </c>
      <c r="M50" s="3243">
        <v>200</v>
      </c>
      <c r="N50" s="3282">
        <v>3.7075998876844414E-3</v>
      </c>
      <c r="O50" s="1922">
        <v>7</v>
      </c>
      <c r="P50" s="1925" t="s">
        <v>1072</v>
      </c>
      <c r="Q50" s="3238">
        <v>5</v>
      </c>
      <c r="R50" s="3238">
        <v>5.5</v>
      </c>
      <c r="S50" s="1931">
        <f t="shared" si="2"/>
        <v>10.5</v>
      </c>
      <c r="T50" s="1931">
        <f t="shared" si="3"/>
        <v>3750</v>
      </c>
      <c r="U50" s="1931">
        <f t="shared" si="4"/>
        <v>4125</v>
      </c>
      <c r="V50" s="1931">
        <f t="shared" si="5"/>
        <v>7875</v>
      </c>
      <c r="W50" s="1921">
        <f t="shared" si="6"/>
        <v>1000</v>
      </c>
      <c r="X50" s="1921">
        <f t="shared" si="7"/>
        <v>1100</v>
      </c>
      <c r="Y50" s="1921">
        <f t="shared" si="8"/>
        <v>2100</v>
      </c>
      <c r="Z50" s="1946">
        <v>951.67</v>
      </c>
      <c r="AA50" s="1917"/>
    </row>
    <row r="51" spans="1:27">
      <c r="C51" s="1952"/>
      <c r="D51" s="1958"/>
      <c r="E51" s="1955"/>
      <c r="F51" s="1958"/>
      <c r="H51" s="3236" t="s">
        <v>1309</v>
      </c>
      <c r="I51" s="3232">
        <v>430</v>
      </c>
      <c r="J51" s="1932" t="s">
        <v>241</v>
      </c>
      <c r="K51" s="1922" t="s">
        <v>909</v>
      </c>
      <c r="L51" s="3243">
        <v>177</v>
      </c>
      <c r="M51" s="3243">
        <v>170</v>
      </c>
      <c r="N51" s="3282">
        <v>2.1256906022724129E-3</v>
      </c>
      <c r="O51" s="1922">
        <v>7</v>
      </c>
      <c r="P51" s="1925" t="s">
        <v>1072</v>
      </c>
      <c r="Q51" s="3238">
        <v>5</v>
      </c>
      <c r="R51" s="3238">
        <v>5.5</v>
      </c>
      <c r="S51" s="1931">
        <f t="shared" si="2"/>
        <v>10.5</v>
      </c>
      <c r="T51" s="1931">
        <f t="shared" si="3"/>
        <v>2150</v>
      </c>
      <c r="U51" s="1931">
        <f t="shared" si="4"/>
        <v>2365</v>
      </c>
      <c r="V51" s="1931">
        <f t="shared" si="5"/>
        <v>4515</v>
      </c>
      <c r="W51" s="1921">
        <f t="shared" si="6"/>
        <v>850</v>
      </c>
      <c r="X51" s="1921">
        <f t="shared" si="7"/>
        <v>935</v>
      </c>
      <c r="Y51" s="1921">
        <f t="shared" si="8"/>
        <v>1785</v>
      </c>
      <c r="Z51" s="1946">
        <v>804.16</v>
      </c>
      <c r="AA51" s="1917"/>
    </row>
    <row r="52" spans="1:27">
      <c r="C52" s="2106" t="s">
        <v>51</v>
      </c>
      <c r="D52" s="2158">
        <f>SUM(D53:D56)</f>
        <v>240</v>
      </c>
      <c r="E52" s="1926">
        <f>SUM(E53:E56)</f>
        <v>240</v>
      </c>
      <c r="F52" s="2157">
        <f>D52+E52</f>
        <v>480</v>
      </c>
      <c r="H52" s="3236" t="s">
        <v>1310</v>
      </c>
      <c r="I52" s="3232">
        <v>320</v>
      </c>
      <c r="J52" s="1932" t="s">
        <v>241</v>
      </c>
      <c r="K52" s="1922" t="s">
        <v>909</v>
      </c>
      <c r="L52" s="3243">
        <v>149</v>
      </c>
      <c r="M52" s="3243">
        <v>140</v>
      </c>
      <c r="N52" s="3282">
        <v>3.1638185708240565E-3</v>
      </c>
      <c r="O52" s="1922">
        <v>7</v>
      </c>
      <c r="P52" s="1925" t="s">
        <v>1072</v>
      </c>
      <c r="Q52" s="3238">
        <v>10</v>
      </c>
      <c r="R52" s="3238">
        <v>11</v>
      </c>
      <c r="S52" s="1931">
        <f t="shared" si="2"/>
        <v>21</v>
      </c>
      <c r="T52" s="1931">
        <f t="shared" si="3"/>
        <v>3200</v>
      </c>
      <c r="U52" s="1931">
        <f t="shared" si="4"/>
        <v>3520</v>
      </c>
      <c r="V52" s="1931">
        <f t="shared" si="5"/>
        <v>6720</v>
      </c>
      <c r="W52" s="1921">
        <f t="shared" si="6"/>
        <v>1400</v>
      </c>
      <c r="X52" s="1921">
        <f t="shared" si="7"/>
        <v>1540</v>
      </c>
      <c r="Y52" s="1921">
        <f t="shared" si="8"/>
        <v>2940</v>
      </c>
      <c r="Z52" s="1946">
        <v>673.78</v>
      </c>
      <c r="AA52" s="1917"/>
    </row>
    <row r="53" spans="1:27">
      <c r="C53" s="2197"/>
      <c r="D53" s="2202">
        <v>240</v>
      </c>
      <c r="E53" s="2163">
        <v>240</v>
      </c>
      <c r="F53" s="2191">
        <f t="shared" si="11"/>
        <v>480</v>
      </c>
      <c r="H53" s="3236" t="s">
        <v>1691</v>
      </c>
      <c r="I53" s="3232">
        <v>0</v>
      </c>
      <c r="J53" s="1932" t="s">
        <v>241</v>
      </c>
      <c r="K53" s="1922"/>
      <c r="L53" s="3243">
        <v>0</v>
      </c>
      <c r="M53" s="3243">
        <v>80000</v>
      </c>
      <c r="N53" s="3282">
        <v>3.1638185708240565E-3</v>
      </c>
      <c r="O53" s="1922">
        <v>15</v>
      </c>
      <c r="P53" s="1925" t="s">
        <v>1344</v>
      </c>
      <c r="Q53" s="3238">
        <v>0.5</v>
      </c>
      <c r="R53" s="3238">
        <v>0.5</v>
      </c>
      <c r="S53" s="1931">
        <f t="shared" si="2"/>
        <v>1</v>
      </c>
      <c r="T53" s="1931">
        <f t="shared" ref="T53" si="12">I53*Q53</f>
        <v>0</v>
      </c>
      <c r="U53" s="1931">
        <f t="shared" ref="U53" si="13">I53*R53</f>
        <v>0</v>
      </c>
      <c r="V53" s="1931">
        <f t="shared" ref="V53" si="14">T53+U53</f>
        <v>0</v>
      </c>
      <c r="W53" s="1921">
        <f t="shared" ref="W53" si="15">M53*Q53</f>
        <v>40000</v>
      </c>
      <c r="X53" s="1921">
        <f t="shared" ref="X53" si="16">M53*R53</f>
        <v>40000</v>
      </c>
      <c r="Y53" s="1921">
        <f t="shared" ref="Y53" si="17">W53+X53</f>
        <v>80000</v>
      </c>
      <c r="Z53" s="1946">
        <v>0</v>
      </c>
      <c r="AA53" s="1917"/>
    </row>
    <row r="54" spans="1:27">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c r="E59" s="2203"/>
      <c r="F59" s="2191">
        <f t="shared" si="11"/>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ht="25.5">
      <c r="A64" s="2802" t="s">
        <v>665</v>
      </c>
      <c r="C64" s="2106" t="s">
        <v>53</v>
      </c>
      <c r="D64" s="2158">
        <f>W15</f>
        <v>137700</v>
      </c>
      <c r="E64" s="1926">
        <f>X15</f>
        <v>147470</v>
      </c>
      <c r="F64" s="2157">
        <f>D64+E64</f>
        <v>285170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6</v>
      </c>
      <c r="C66" s="1968"/>
      <c r="D66" s="1963"/>
      <c r="E66" s="1964"/>
      <c r="F66" s="1965"/>
    </row>
    <row r="67" spans="1:27">
      <c r="A67" s="2802">
        <v>18230716</v>
      </c>
      <c r="C67" s="1959" t="s">
        <v>54</v>
      </c>
      <c r="D67" s="2202">
        <v>0</v>
      </c>
      <c r="E67" s="2202">
        <v>0</v>
      </c>
      <c r="F67" s="1956">
        <v>0</v>
      </c>
    </row>
    <row r="68" spans="1:27">
      <c r="A68" s="2802" t="s">
        <v>5</v>
      </c>
    </row>
    <row r="69" spans="1:27">
      <c r="A69" s="2193"/>
    </row>
    <row r="70" spans="1:27">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D2" activePane="bottomRight" state="frozen"/>
      <selection pane="bottomRight" activeCell="L15" sqref="L15:M15"/>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111"/>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704</v>
      </c>
      <c r="D1" s="1812" t="s">
        <v>278</v>
      </c>
      <c r="E1" s="1812" t="s">
        <v>6</v>
      </c>
      <c r="F1" s="1812">
        <v>18230717</v>
      </c>
      <c r="G1" s="1812" t="s">
        <v>5</v>
      </c>
      <c r="J1" s="1592"/>
      <c r="M1" s="1812" t="s">
        <v>704</v>
      </c>
      <c r="N1" s="1812" t="s">
        <v>278</v>
      </c>
      <c r="O1" s="1812" t="s">
        <v>6</v>
      </c>
      <c r="P1" s="1812">
        <v>18230717</v>
      </c>
      <c r="Q1" s="1812" t="s">
        <v>5</v>
      </c>
      <c r="V1" s="1812" t="s">
        <v>704</v>
      </c>
      <c r="W1" s="1812" t="s">
        <v>278</v>
      </c>
      <c r="X1" s="1812" t="s">
        <v>6</v>
      </c>
      <c r="Y1" s="1812">
        <v>18230717</v>
      </c>
      <c r="Z1" s="1812" t="s">
        <v>5</v>
      </c>
    </row>
    <row r="2" spans="1:33" ht="16.5" thickBot="1">
      <c r="C2" s="1592"/>
      <c r="D2" s="1575"/>
      <c r="H2" s="1576" t="s">
        <v>674</v>
      </c>
      <c r="R2" s="3596"/>
      <c r="S2" s="3596"/>
      <c r="T2" s="3597" t="s">
        <v>36</v>
      </c>
      <c r="U2" s="3598"/>
      <c r="V2" s="3599"/>
      <c r="W2" s="3594" t="s">
        <v>37</v>
      </c>
    </row>
    <row r="3" spans="1:33" ht="26.25" thickBot="1">
      <c r="A3" s="2802" t="s">
        <v>705</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10818</v>
      </c>
      <c r="I4" s="2002">
        <v>0</v>
      </c>
      <c r="J4" s="2002">
        <v>7649</v>
      </c>
      <c r="K4" s="2002">
        <v>2000</v>
      </c>
      <c r="L4" s="2002">
        <v>150</v>
      </c>
      <c r="M4" s="2002">
        <v>125</v>
      </c>
      <c r="N4" s="2002">
        <v>250</v>
      </c>
      <c r="O4" s="2002">
        <v>50</v>
      </c>
      <c r="P4" s="2002">
        <v>79840</v>
      </c>
      <c r="Q4" s="2002">
        <v>0</v>
      </c>
      <c r="R4" s="2000">
        <v>100882</v>
      </c>
      <c r="S4" s="1998">
        <v>702730</v>
      </c>
      <c r="T4" s="1541">
        <f>P4/R4</f>
        <v>0.79141967843619276</v>
      </c>
      <c r="U4" s="1541">
        <f>(K4+(I4*1.63))/R4</f>
        <v>1.9825142245395611E-2</v>
      </c>
      <c r="V4" s="1541">
        <f>M4/R4</f>
        <v>1.2390713903372257E-3</v>
      </c>
      <c r="W4" s="1539">
        <f>R4/S4</f>
        <v>0.14355726950606917</v>
      </c>
    </row>
    <row r="5" spans="1:33" ht="16.5" thickBot="1">
      <c r="A5" s="2802" t="s">
        <v>6</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v>18230717</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t="s">
        <v>5</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705</v>
      </c>
      <c r="C34" s="2106" t="s">
        <v>49</v>
      </c>
      <c r="D34" s="2158">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18230717</v>
      </c>
      <c r="C37" s="2197"/>
      <c r="D37" s="2202"/>
      <c r="E37" s="2203"/>
      <c r="F37" s="21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5</v>
      </c>
      <c r="C38" s="2197"/>
      <c r="D38" s="2202"/>
      <c r="E38" s="2203"/>
      <c r="F38" s="21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705</v>
      </c>
      <c r="C64" s="2106" t="s">
        <v>53</v>
      </c>
      <c r="D64" s="2158">
        <f>W15</f>
        <v>0</v>
      </c>
      <c r="E64" s="1926">
        <f>X15*1.15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18230717</v>
      </c>
      <c r="C67" s="1959" t="s">
        <v>54</v>
      </c>
      <c r="D67" s="2202">
        <v>0</v>
      </c>
      <c r="E67" s="2202">
        <v>0</v>
      </c>
      <c r="F67" s="1956">
        <v>0</v>
      </c>
    </row>
    <row r="68" spans="1:33">
      <c r="A68" s="2802" t="s">
        <v>5</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249977111117893"/>
    <pageSetUpPr fitToPage="1"/>
  </sheetPr>
  <dimension ref="A1:L106"/>
  <sheetViews>
    <sheetView showGridLines="0" tabSelected="1" zoomScaleNormal="100" workbookViewId="0"/>
  </sheetViews>
  <sheetFormatPr defaultRowHeight="12.75"/>
  <cols>
    <col min="1" max="1" width="4.85546875" customWidth="1"/>
    <col min="2" max="2" width="5.85546875" style="2177" customWidth="1"/>
    <col min="3" max="3" width="14.28515625" style="1604" customWidth="1"/>
    <col min="4" max="4" width="6.28515625" customWidth="1"/>
    <col min="5" max="5" width="6.140625" customWidth="1"/>
    <col min="6" max="6" width="34.140625" customWidth="1"/>
    <col min="7" max="7" width="20" customWidth="1"/>
    <col min="8" max="8" width="18.5703125" customWidth="1"/>
    <col min="9" max="9" width="19.140625" customWidth="1"/>
    <col min="10" max="10" width="16.85546875" customWidth="1"/>
    <col min="11" max="11" width="19.5703125" customWidth="1"/>
    <col min="12" max="12" width="9.140625" style="1331"/>
  </cols>
  <sheetData>
    <row r="1" spans="1:12" ht="46.5" customHeight="1">
      <c r="E1" s="610"/>
      <c r="F1" s="1800" t="s">
        <v>633</v>
      </c>
      <c r="G1" s="608"/>
      <c r="H1" s="608"/>
      <c r="I1" s="649"/>
      <c r="J1" s="639"/>
      <c r="K1" s="639"/>
    </row>
    <row r="2" spans="1:12" ht="29.25" customHeight="1" thickBot="1">
      <c r="B2" s="2282"/>
      <c r="D2" s="608"/>
      <c r="E2" s="611" t="s">
        <v>178</v>
      </c>
      <c r="F2" s="646">
        <f ca="1">NOW()</f>
        <v>42310.409787268516</v>
      </c>
      <c r="G2" s="3581"/>
      <c r="H2" s="3581"/>
      <c r="I2" s="3581"/>
      <c r="J2" s="3581"/>
      <c r="K2" s="647"/>
    </row>
    <row r="3" spans="1:12" ht="72" customHeight="1">
      <c r="A3" s="1787"/>
      <c r="B3" s="1607" t="s">
        <v>439</v>
      </c>
      <c r="C3" s="2264" t="s">
        <v>264</v>
      </c>
      <c r="D3" s="2244" t="s">
        <v>179</v>
      </c>
      <c r="E3" s="2245"/>
      <c r="F3" s="2245"/>
      <c r="G3" s="2820" t="s">
        <v>587</v>
      </c>
      <c r="H3" s="2820" t="s">
        <v>180</v>
      </c>
      <c r="I3" s="2820" t="s">
        <v>181</v>
      </c>
      <c r="J3" s="2820" t="s">
        <v>311</v>
      </c>
      <c r="K3" s="2256" t="s">
        <v>183</v>
      </c>
    </row>
    <row r="4" spans="1:12" s="2177" customFormat="1" ht="18" customHeight="1" thickBot="1">
      <c r="A4" s="1787"/>
      <c r="B4" s="2282"/>
      <c r="C4" s="2265"/>
      <c r="D4" s="2314" t="s">
        <v>618</v>
      </c>
      <c r="E4" s="2246"/>
      <c r="F4" s="2246"/>
      <c r="G4" s="2253"/>
      <c r="H4" s="2253"/>
      <c r="I4" s="2255"/>
      <c r="J4" s="2255"/>
      <c r="K4" s="2254"/>
      <c r="L4" s="2153"/>
    </row>
    <row r="5" spans="1:12" ht="15.75">
      <c r="A5" s="1787"/>
      <c r="B5" s="2895"/>
      <c r="C5" s="2896"/>
      <c r="D5" s="2897" t="s">
        <v>78</v>
      </c>
      <c r="E5" s="2897"/>
      <c r="F5" s="2897"/>
      <c r="G5" s="2898"/>
      <c r="H5" s="2899"/>
      <c r="I5" s="2898"/>
      <c r="J5" s="2898"/>
      <c r="K5" s="2900"/>
    </row>
    <row r="6" spans="1:12">
      <c r="A6" s="1787"/>
      <c r="B6" s="2295" t="s">
        <v>440</v>
      </c>
      <c r="C6" s="2267">
        <v>201</v>
      </c>
      <c r="D6" s="1229" t="s">
        <v>175</v>
      </c>
      <c r="E6" s="619"/>
      <c r="F6" s="624"/>
      <c r="G6" s="3372">
        <f>'Portfolio--2016 only'!G6+'Portfolio--2017 only'!G6</f>
        <v>3120.6921200000002</v>
      </c>
      <c r="H6" s="1654">
        <f>'Portfolio--2016 only'!H6+'Portfolio--2017 only'!H6</f>
        <v>6761963.3882229999</v>
      </c>
      <c r="I6" s="3372">
        <f>'Portfolio--2016 only'!I6+'Portfolio--2017 only'!I6</f>
        <v>37282.520000000004</v>
      </c>
      <c r="J6" s="1654">
        <f>'Portfolio--2016 only'!J6+'Portfolio--2017 only'!J6</f>
        <v>568090.19452999998</v>
      </c>
      <c r="K6" s="1657">
        <f t="array" ref="K6:K21">H6:H21+J6:J21</f>
        <v>7330053.5827529998</v>
      </c>
    </row>
    <row r="7" spans="1:12">
      <c r="A7" s="1787"/>
      <c r="B7" s="2284" t="s">
        <v>441</v>
      </c>
      <c r="C7" s="2266">
        <v>214</v>
      </c>
      <c r="D7" s="652" t="s">
        <v>434</v>
      </c>
      <c r="E7" s="2026"/>
      <c r="F7" s="2025"/>
      <c r="G7" s="3375">
        <f>ROUND(SUM(G8:G17),0)</f>
        <v>214486</v>
      </c>
      <c r="H7" s="1246">
        <f>SUM(H8:H17)</f>
        <v>61213665.172149986</v>
      </c>
      <c r="I7" s="3373">
        <f>SUM(I8:I17)</f>
        <v>3128873.52</v>
      </c>
      <c r="J7" s="1246">
        <f>SUM(J8:J17)</f>
        <v>11687101.077020001</v>
      </c>
      <c r="K7" s="1657">
        <v>72900766.24916999</v>
      </c>
    </row>
    <row r="8" spans="1:12" s="2689" customFormat="1">
      <c r="A8" s="2680"/>
      <c r="B8" s="2681" t="s">
        <v>442</v>
      </c>
      <c r="C8" s="2682"/>
      <c r="D8" s="2683"/>
      <c r="E8" s="2684" t="s">
        <v>184</v>
      </c>
      <c r="F8" s="2685"/>
      <c r="G8" s="3376">
        <f>'Portfolio--2016 only'!G8+'Portfolio--2017 only'!G8</f>
        <v>142069.43</v>
      </c>
      <c r="H8" s="2686">
        <f>'Portfolio--2016 only'!H8+'Portfolio--2017 only'!H8</f>
        <v>28634457.010700002</v>
      </c>
      <c r="I8" s="3374"/>
      <c r="J8" s="2686"/>
      <c r="K8" s="2687">
        <v>28634457.010700002</v>
      </c>
      <c r="L8" s="2688"/>
    </row>
    <row r="9" spans="1:12" s="2689" customFormat="1">
      <c r="A9" s="2680"/>
      <c r="B9" s="2681" t="s">
        <v>443</v>
      </c>
      <c r="C9" s="2682"/>
      <c r="D9" s="2683"/>
      <c r="E9" s="2684" t="s">
        <v>185</v>
      </c>
      <c r="F9" s="2685"/>
      <c r="G9" s="3376">
        <f>'Portfolio--2016 only'!G9+'Portfolio--2017 only'!G9</f>
        <v>14567.38</v>
      </c>
      <c r="H9" s="2686">
        <f>'Portfolio--2016 only'!H9+'Portfolio--2017 only'!H9</f>
        <v>8219101.0953599997</v>
      </c>
      <c r="I9" s="3374">
        <f>'Portfolio--2016 only'!I9+'Portfolio--2017 only'!I9</f>
        <v>1291410</v>
      </c>
      <c r="J9" s="2686">
        <f>'Portfolio--2016 only'!J9+'Portfolio--2017 only'!J9</f>
        <v>4844604.3778799996</v>
      </c>
      <c r="K9" s="2687">
        <v>13063705.473239999</v>
      </c>
      <c r="L9" s="2688"/>
    </row>
    <row r="10" spans="1:12" s="2689" customFormat="1">
      <c r="A10" s="2680"/>
      <c r="B10" s="2681" t="s">
        <v>444</v>
      </c>
      <c r="C10" s="2682"/>
      <c r="D10" s="2683"/>
      <c r="E10" s="2684" t="s">
        <v>186</v>
      </c>
      <c r="F10" s="2685"/>
      <c r="G10" s="3376">
        <f>'Portfolio--2016 only'!G10+'Portfolio--2017 only'!G10</f>
        <v>1142.5999999999999</v>
      </c>
      <c r="H10" s="2686">
        <f>'Portfolio--2016 only'!H10+'Portfolio--2017 only'!H10</f>
        <v>818045.85786000011</v>
      </c>
      <c r="I10" s="3374">
        <f>'Portfolio--2016 only'!I10+'Portfolio--2017 only'!I10</f>
        <v>0</v>
      </c>
      <c r="J10" s="2686">
        <f>'Portfolio--2016 only'!J10+'Portfolio--2017 only'!J10</f>
        <v>0</v>
      </c>
      <c r="K10" s="2687">
        <v>818045.85786000011</v>
      </c>
      <c r="L10" s="2688"/>
    </row>
    <row r="11" spans="1:12" s="2689" customFormat="1">
      <c r="A11" s="2680"/>
      <c r="B11" s="2681" t="s">
        <v>445</v>
      </c>
      <c r="C11" s="2682"/>
      <c r="D11" s="2683"/>
      <c r="E11" s="2684" t="s">
        <v>1655</v>
      </c>
      <c r="F11" s="2685"/>
      <c r="G11" s="3376">
        <f>'Portfolio--2016 only'!G11+'Portfolio--2017 only'!G11</f>
        <v>6846.4040000000005</v>
      </c>
      <c r="H11" s="2686">
        <f>'Portfolio--2016 only'!H11+'Portfolio--2017 only'!H11</f>
        <v>4388906.4787300006</v>
      </c>
      <c r="I11" s="3374">
        <f>'Portfolio--2016 only'!I11+'Portfolio--2017 only'!I11</f>
        <v>0</v>
      </c>
      <c r="J11" s="2686">
        <f>'Portfolio--2016 only'!J11+'Portfolio--2017 only'!J11</f>
        <v>0</v>
      </c>
      <c r="K11" s="2687">
        <v>4388906.4787300006</v>
      </c>
      <c r="L11" s="2688"/>
    </row>
    <row r="12" spans="1:12" s="2689" customFormat="1">
      <c r="A12" s="2680"/>
      <c r="B12" s="2681" t="s">
        <v>446</v>
      </c>
      <c r="C12" s="2682"/>
      <c r="D12" s="2683"/>
      <c r="E12" s="2684" t="s">
        <v>68</v>
      </c>
      <c r="F12" s="2685"/>
      <c r="G12" s="3376">
        <f>'Portfolio--2016 only'!G12+'Portfolio--2017 only'!G12</f>
        <v>20581</v>
      </c>
      <c r="H12" s="2686">
        <f>'Portfolio--2016 only'!H12+'Portfolio--2017 only'!H12</f>
        <v>11593528.00072</v>
      </c>
      <c r="I12" s="3374">
        <f>'Portfolio--2016 only'!I12+'Portfolio--2017 only'!I12</f>
        <v>93860</v>
      </c>
      <c r="J12" s="2686">
        <f>'Portfolio--2016 only'!J12+'Portfolio--2017 only'!J12</f>
        <v>33300</v>
      </c>
      <c r="K12" s="2687">
        <v>11626828.00072</v>
      </c>
      <c r="L12" s="2688"/>
    </row>
    <row r="13" spans="1:12" s="2689" customFormat="1">
      <c r="A13" s="2680"/>
      <c r="B13" s="2681" t="s">
        <v>447</v>
      </c>
      <c r="C13" s="2682"/>
      <c r="D13" s="2683"/>
      <c r="E13" s="2684" t="s">
        <v>292</v>
      </c>
      <c r="F13" s="2685"/>
      <c r="G13" s="3376">
        <f>'Portfolio--2016 only'!G13+'Portfolio--2017 only'!G13</f>
        <v>5837.5249999999996</v>
      </c>
      <c r="H13" s="2686">
        <f>'Portfolio--2016 only'!H13+'Portfolio--2017 only'!H13</f>
        <v>2847930.9895299999</v>
      </c>
      <c r="I13" s="3374">
        <f>'Portfolio--2016 only'!I13+'Portfolio--2017 only'!I13</f>
        <v>0</v>
      </c>
      <c r="J13" s="2686">
        <f>'Portfolio--2016 only'!J13+'Portfolio--2017 only'!J13</f>
        <v>0</v>
      </c>
      <c r="K13" s="2687">
        <v>2847930.9895299999</v>
      </c>
      <c r="L13" s="2688"/>
    </row>
    <row r="14" spans="1:12" s="2689" customFormat="1">
      <c r="A14" s="2680"/>
      <c r="B14" s="2681" t="s">
        <v>326</v>
      </c>
      <c r="C14" s="2682"/>
      <c r="D14" s="2683"/>
      <c r="E14" s="2684" t="s">
        <v>345</v>
      </c>
      <c r="F14" s="2685"/>
      <c r="G14" s="3376">
        <f>'Portfolio--2016 only'!G14+'Portfolio--2017 only'!G14</f>
        <v>1696</v>
      </c>
      <c r="H14" s="2686">
        <f>'Portfolio--2016 only'!H14+'Portfolio--2017 only'!H14</f>
        <v>612719.9963</v>
      </c>
      <c r="I14" s="3374">
        <f>'Portfolio--2016 only'!I14+'Portfolio--2017 only'!I14</f>
        <v>68000</v>
      </c>
      <c r="J14" s="2686">
        <f>'Portfolio--2016 only'!J14+'Portfolio--2017 only'!J14</f>
        <v>406381.99505999999</v>
      </c>
      <c r="K14" s="2687">
        <v>1019101.99136</v>
      </c>
      <c r="L14" s="2688"/>
    </row>
    <row r="15" spans="1:12" s="2689" customFormat="1">
      <c r="A15" s="2680"/>
      <c r="B15" s="2681" t="s">
        <v>448</v>
      </c>
      <c r="C15" s="2682"/>
      <c r="D15" s="2683"/>
      <c r="E15" s="2684" t="s">
        <v>187</v>
      </c>
      <c r="F15" s="2685"/>
      <c r="G15" s="3376">
        <f>'Portfolio--2016 only'!G15+'Portfolio--2017 only'!G15</f>
        <v>9580.4760000000006</v>
      </c>
      <c r="H15" s="2686">
        <f>'Portfolio--2016 only'!H15+'Portfolio--2017 only'!H15</f>
        <v>1308295.0021000002</v>
      </c>
      <c r="I15" s="3374">
        <f>'Portfolio--2016 only'!I15+'Portfolio--2017 only'!I15</f>
        <v>653261.52</v>
      </c>
      <c r="J15" s="2686">
        <f>'Portfolio--2016 only'!J15+'Portfolio--2017 only'!J15</f>
        <v>1059548.00296</v>
      </c>
      <c r="K15" s="2687">
        <v>2367843.0050600003</v>
      </c>
      <c r="L15" s="2688"/>
    </row>
    <row r="16" spans="1:12" s="2689" customFormat="1">
      <c r="A16" s="2680"/>
      <c r="B16" s="2681" t="s">
        <v>449</v>
      </c>
      <c r="C16" s="2682"/>
      <c r="D16" s="2683"/>
      <c r="E16" s="2684" t="s">
        <v>188</v>
      </c>
      <c r="F16" s="2685"/>
      <c r="G16" s="3376">
        <f>'Portfolio--2016 only'!G16+'Portfolio--2017 only'!G16</f>
        <v>6442.7727599999998</v>
      </c>
      <c r="H16" s="2686">
        <f>'Portfolio--2016 only'!H16+'Portfolio--2017 only'!H16</f>
        <v>2561459.9865999995</v>
      </c>
      <c r="I16" s="3374">
        <f>'Portfolio--2016 only'!I16+'Portfolio--2017 only'!I16</f>
        <v>782375</v>
      </c>
      <c r="J16" s="2686">
        <f>'Portfolio--2016 only'!J16+'Portfolio--2017 only'!J16</f>
        <v>5277089.09454</v>
      </c>
      <c r="K16" s="2687">
        <v>7838549.0811399994</v>
      </c>
      <c r="L16" s="2688"/>
    </row>
    <row r="17" spans="1:12" s="2689" customFormat="1">
      <c r="A17" s="2680"/>
      <c r="B17" s="2681" t="s">
        <v>450</v>
      </c>
      <c r="C17" s="2682"/>
      <c r="D17" s="2683"/>
      <c r="E17" s="2684" t="s">
        <v>192</v>
      </c>
      <c r="F17" s="2685"/>
      <c r="G17" s="3376">
        <f>'Portfolio--2016 only'!G17+'Portfolio--2017 only'!G17</f>
        <v>5722.29</v>
      </c>
      <c r="H17" s="2686">
        <f>'Portfolio--2016 only'!H17+'Portfolio--2017 only'!H17</f>
        <v>229220.75425</v>
      </c>
      <c r="I17" s="3374">
        <f>'Portfolio--2016 only'!I17+'Portfolio--2017 only'!I17</f>
        <v>239967</v>
      </c>
      <c r="J17" s="2686">
        <f>'Portfolio--2016 only'!J17+'Portfolio--2017 only'!J17</f>
        <v>66177.606579999992</v>
      </c>
      <c r="K17" s="2687">
        <v>295398.36083000002</v>
      </c>
      <c r="L17" s="2688"/>
    </row>
    <row r="18" spans="1:12">
      <c r="A18" s="1787"/>
      <c r="B18" s="2284" t="s">
        <v>451</v>
      </c>
      <c r="C18" s="2267" t="s">
        <v>592</v>
      </c>
      <c r="D18" s="1229" t="s">
        <v>593</v>
      </c>
      <c r="E18" s="619"/>
      <c r="F18" s="624"/>
      <c r="G18" s="3372">
        <f>'Portfolio--2016 only'!G18+'Portfolio--2017 only'!G18</f>
        <v>4000.0001576</v>
      </c>
      <c r="H18" s="1654">
        <f>'Portfolio--2016 only'!H18+'Portfolio--2017 only'!H18</f>
        <v>1587238.8544000001</v>
      </c>
      <c r="I18" s="3372">
        <f>'Portfolio--2016 only'!I18+'Portfolio--2017 only'!I18</f>
        <v>105260</v>
      </c>
      <c r="J18" s="1625">
        <f>'Portfolio--2016 only'!J18+'Portfolio--2017 only'!J18</f>
        <v>457457.87440000003</v>
      </c>
      <c r="K18" s="1657">
        <v>2044696.7288000002</v>
      </c>
    </row>
    <row r="19" spans="1:12">
      <c r="A19" s="1787"/>
      <c r="B19" s="2284" t="s">
        <v>452</v>
      </c>
      <c r="C19" s="2266">
        <v>216</v>
      </c>
      <c r="D19" s="613" t="s">
        <v>190</v>
      </c>
      <c r="E19" s="612"/>
      <c r="F19" s="626"/>
      <c r="G19" s="3373">
        <f>'Portfolio--2016 only'!G19+'Portfolio--2017 only'!G19</f>
        <v>3793.4</v>
      </c>
      <c r="H19" s="1625">
        <f>'Portfolio--2016 only'!H19+'Portfolio--2017 only'!H19</f>
        <v>1670186.65405</v>
      </c>
      <c r="I19" s="3373"/>
      <c r="J19" s="1625"/>
      <c r="K19" s="1657">
        <v>1670186.65405</v>
      </c>
    </row>
    <row r="20" spans="1:12">
      <c r="A20" s="1787"/>
      <c r="B20" s="2284" t="s">
        <v>453</v>
      </c>
      <c r="C20" s="2266">
        <v>217</v>
      </c>
      <c r="D20" s="613" t="s">
        <v>191</v>
      </c>
      <c r="E20" s="612"/>
      <c r="F20" s="626"/>
      <c r="G20" s="3373">
        <f>'Portfolio--2016 only'!G20+'Portfolio--2017 only'!G20</f>
        <v>36286.248</v>
      </c>
      <c r="H20" s="1625">
        <f>'Portfolio--2016 only'!H20+'Portfolio--2017 only'!H20</f>
        <v>19927098.318700001</v>
      </c>
      <c r="I20" s="3373">
        <f>'Portfolio--2016 only'!I20+'Portfolio--2017 only'!I20</f>
        <v>233891.6</v>
      </c>
      <c r="J20" s="1625">
        <f>'Portfolio--2016 only'!J20+'Portfolio--2017 only'!J20</f>
        <v>1958481.1463000001</v>
      </c>
      <c r="K20" s="1657">
        <v>21885579.465</v>
      </c>
    </row>
    <row r="21" spans="1:12">
      <c r="A21" s="1787"/>
      <c r="B21" s="2285" t="s">
        <v>454</v>
      </c>
      <c r="C21" s="2268"/>
      <c r="D21" s="615" t="s">
        <v>193</v>
      </c>
      <c r="E21" s="615"/>
      <c r="F21" s="615"/>
      <c r="G21" s="3377">
        <f>G6+G7+SUM(G18:G20)</f>
        <v>261686.34027759999</v>
      </c>
      <c r="H21" s="658">
        <f>H6+H7+SUM(H18:H20)</f>
        <v>91160152.387522981</v>
      </c>
      <c r="I21" s="3378">
        <f>I6+I7+SUM(I18:I20)</f>
        <v>3505307.64</v>
      </c>
      <c r="J21" s="658">
        <f>J6+J7+SUM(J18:J20)</f>
        <v>14671130.29225</v>
      </c>
      <c r="K21" s="1210">
        <v>105831282.67977297</v>
      </c>
    </row>
    <row r="22" spans="1:12">
      <c r="A22" s="1787"/>
      <c r="B22" s="2286"/>
      <c r="C22" s="1555"/>
      <c r="D22" s="617"/>
      <c r="E22" s="616"/>
      <c r="F22" s="616"/>
      <c r="G22" s="1627"/>
      <c r="H22" s="1628"/>
      <c r="I22" s="1629"/>
      <c r="J22" s="1628"/>
      <c r="K22" s="1658"/>
    </row>
    <row r="23" spans="1:12" ht="15.75">
      <c r="A23" s="1787"/>
      <c r="B23" s="2890"/>
      <c r="C23" s="2891"/>
      <c r="D23" s="2892" t="s">
        <v>157</v>
      </c>
      <c r="E23" s="2892"/>
      <c r="F23" s="2892"/>
      <c r="G23" s="2893"/>
      <c r="H23" s="2893"/>
      <c r="I23" s="2893"/>
      <c r="J23" s="2893"/>
      <c r="K23" s="2894"/>
    </row>
    <row r="24" spans="1:12">
      <c r="A24" s="1787"/>
      <c r="B24" s="2288" t="s">
        <v>610</v>
      </c>
      <c r="C24" s="2270">
        <v>250</v>
      </c>
      <c r="D24" s="1616" t="s">
        <v>195</v>
      </c>
      <c r="E24" s="619"/>
      <c r="F24" s="624"/>
      <c r="G24" s="3383">
        <f>'Portfolio--2016 only'!G24+'Portfolio--2017 only'!G24</f>
        <v>133600</v>
      </c>
      <c r="H24" s="868">
        <f>'Portfolio--2016 only'!H24+'Portfolio--2017 only'!H24</f>
        <v>37215565.730145328</v>
      </c>
      <c r="I24" s="3383">
        <f>'Portfolio--2016 only'!I24+'Portfolio--2017 only'!I24</f>
        <v>730000</v>
      </c>
      <c r="J24" s="1654">
        <f>'Portfolio--2016 only'!J24+'Portfolio--2017 only'!J24</f>
        <v>3658654.73</v>
      </c>
      <c r="K24" s="2152">
        <f t="array" ref="K24:K30">H24:H30+J24:J30</f>
        <v>40874220.460145324</v>
      </c>
    </row>
    <row r="25" spans="1:12">
      <c r="A25" s="1787"/>
      <c r="B25" s="2289" t="s">
        <v>588</v>
      </c>
      <c r="C25" s="2271">
        <v>251</v>
      </c>
      <c r="D25" s="1616" t="s">
        <v>147</v>
      </c>
      <c r="E25" s="612"/>
      <c r="F25" s="626"/>
      <c r="G25" s="3384">
        <f>'Portfolio--2016 only'!G25+'Portfolio--2017 only'!G25</f>
        <v>17089.465</v>
      </c>
      <c r="H25" s="663">
        <f>'Portfolio--2016 only'!H25+'Portfolio--2017 only'!H25</f>
        <v>4679984.8</v>
      </c>
      <c r="I25" s="3384">
        <f>'Portfolio--2016 only'!I25+'Portfolio--2017 only'!I25</f>
        <v>322875</v>
      </c>
      <c r="J25" s="1625">
        <f>'Portfolio--2016 only'!J25+'Portfolio--2017 only'!J25</f>
        <v>1294451.3500000001</v>
      </c>
      <c r="K25" s="1660">
        <v>5974436.1500000004</v>
      </c>
    </row>
    <row r="26" spans="1:12">
      <c r="A26" s="1787"/>
      <c r="B26" s="2288" t="s">
        <v>455</v>
      </c>
      <c r="C26" s="2271">
        <v>253</v>
      </c>
      <c r="D26" s="1616" t="s">
        <v>748</v>
      </c>
      <c r="E26" s="612"/>
      <c r="F26" s="626"/>
      <c r="G26" s="3384">
        <f>'Portfolio--2016 only'!G26+'Portfolio--2017 only'!G26</f>
        <v>44500</v>
      </c>
      <c r="H26" s="663">
        <f>'Portfolio--2016 only'!H26+'Portfolio--2017 only'!H26</f>
        <v>4521016.9275399996</v>
      </c>
      <c r="I26" s="3384">
        <f>'Portfolio--2016 only'!I26+'Portfolio--2017 only'!I26</f>
        <v>1050000</v>
      </c>
      <c r="J26" s="1625">
        <f>'Portfolio--2016 only'!J26+'Portfolio--2017 only'!J26</f>
        <v>1006950.62416</v>
      </c>
      <c r="K26" s="1660">
        <v>5527967.5516999997</v>
      </c>
    </row>
    <row r="27" spans="1:12">
      <c r="A27" s="1787"/>
      <c r="B27" s="2288" t="s">
        <v>759</v>
      </c>
      <c r="C27" s="2271" t="s">
        <v>143</v>
      </c>
      <c r="D27" s="1616" t="s">
        <v>196</v>
      </c>
      <c r="E27" s="612"/>
      <c r="F27" s="626"/>
      <c r="G27" s="3384">
        <f>'Portfolio--2016 only'!G27+'Portfolio--2017 only'!G27</f>
        <v>44608.459000000003</v>
      </c>
      <c r="H27" s="663">
        <f>'Portfolio--2016 only'!H27+'Portfolio--2017 only'!H27</f>
        <v>14903188.012980826</v>
      </c>
      <c r="I27" s="3384"/>
      <c r="J27" s="1625"/>
      <c r="K27" s="1660">
        <v>14903188.012980826</v>
      </c>
    </row>
    <row r="28" spans="1:12">
      <c r="A28" s="1787"/>
      <c r="B28" s="2289" t="s">
        <v>456</v>
      </c>
      <c r="C28" s="2024">
        <v>261</v>
      </c>
      <c r="D28" s="2019" t="s">
        <v>197</v>
      </c>
      <c r="E28" s="2020"/>
      <c r="F28" s="2021"/>
      <c r="G28" s="3380">
        <f>'Portfolio--2016 only'!G28+'Portfolio--2017 only'!G28</f>
        <v>0</v>
      </c>
      <c r="H28" s="663">
        <f>'Portfolio--2016 only'!H28+'Portfolio--2017 only'!H28</f>
        <v>0</v>
      </c>
      <c r="I28" s="3390">
        <f>'Portfolio--2016 only'!I28+'Portfolio--2017 only'!I28</f>
        <v>0</v>
      </c>
      <c r="J28" s="1625">
        <f>'Portfolio--2016 only'!J28+'Portfolio--2017 only'!J28</f>
        <v>0</v>
      </c>
      <c r="K28" s="1656">
        <v>0</v>
      </c>
    </row>
    <row r="29" spans="1:12">
      <c r="A29" s="1787"/>
      <c r="B29" s="2288" t="s">
        <v>457</v>
      </c>
      <c r="C29" s="2272">
        <v>262</v>
      </c>
      <c r="D29" s="2018" t="s">
        <v>198</v>
      </c>
      <c r="E29" s="614"/>
      <c r="F29" s="630"/>
      <c r="G29" s="3385">
        <f>'Portfolio--2016 only'!G29+'Portfolio--2017 only'!G29</f>
        <v>60305.477599999998</v>
      </c>
      <c r="H29" s="664">
        <f>'Portfolio--2016 only'!H29+'Portfolio--2017 only'!H29</f>
        <v>14312025.145850001</v>
      </c>
      <c r="I29" s="3391">
        <f>'Portfolio--2016 only'!I29+'Portfolio--2017 only'!I29</f>
        <v>1350103.4</v>
      </c>
      <c r="J29" s="1631">
        <f>'Portfolio--2016 only'!J29+'Portfolio--2017 only'!J29</f>
        <v>3576682.6910699997</v>
      </c>
      <c r="K29" s="1660">
        <v>17888707.836920001</v>
      </c>
    </row>
    <row r="30" spans="1:12">
      <c r="A30" s="1787"/>
      <c r="B30" s="2285" t="s">
        <v>458</v>
      </c>
      <c r="C30" s="2268"/>
      <c r="D30" s="615" t="s">
        <v>199</v>
      </c>
      <c r="E30" s="615"/>
      <c r="F30" s="615"/>
      <c r="G30" s="3377">
        <f>SUM(G24:G29)</f>
        <v>300103.40159999998</v>
      </c>
      <c r="H30" s="665">
        <f>SUM(H24:H29)</f>
        <v>75631780.616516143</v>
      </c>
      <c r="I30" s="3377">
        <f>SUM(I24:I29)</f>
        <v>3452978.4</v>
      </c>
      <c r="J30" s="665">
        <f>SUM(J24:J29)</f>
        <v>9536739.395229999</v>
      </c>
      <c r="K30" s="1216">
        <v>85168520.011746138</v>
      </c>
    </row>
    <row r="31" spans="1:12">
      <c r="A31" s="1787"/>
      <c r="B31" s="2286"/>
      <c r="C31" s="1555"/>
      <c r="D31" s="617"/>
      <c r="E31" s="616"/>
      <c r="F31" s="616"/>
      <c r="G31" s="1627"/>
      <c r="H31" s="1628"/>
      <c r="I31" s="1629"/>
      <c r="J31" s="1628"/>
      <c r="K31" s="1658"/>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'Portfolio--2016 only'!G33+'Portfolio--2017 only'!G33</f>
        <v>17346.93</v>
      </c>
      <c r="H33" s="1235">
        <f>'Portfolio--2016 only'!H33+'Portfolio--2017 only'!H33</f>
        <v>976898.99827999994</v>
      </c>
      <c r="I33" s="3382">
        <f>'Portfolio--2016 only'!I33+'Portfolio--2017 only'!I33</f>
        <v>430529</v>
      </c>
      <c r="J33" s="1645">
        <f>'Portfolio--2016 only'!J33+'Portfolio--2017 only'!J33</f>
        <v>181028.99917999998</v>
      </c>
      <c r="K33" s="1214">
        <f t="array" ref="K33:K35">H33:H35+J33:J35</f>
        <v>1157927.99746</v>
      </c>
      <c r="L33" s="2153"/>
    </row>
    <row r="34" spans="1:12" s="2177" customFormat="1">
      <c r="A34" s="1787"/>
      <c r="B34" s="2292" t="s">
        <v>460</v>
      </c>
      <c r="C34" s="2275">
        <v>249</v>
      </c>
      <c r="D34" s="1238" t="s">
        <v>603</v>
      </c>
      <c r="E34" s="621"/>
      <c r="F34" s="621"/>
      <c r="G34" s="3387">
        <f>'Portfolio--2016 only'!G34+'Portfolio--2017 only'!G34</f>
        <v>0</v>
      </c>
      <c r="H34" s="1234">
        <f>'Portfolio--2016 only'!H34+'Portfolio--2017 only'!H34</f>
        <v>0</v>
      </c>
      <c r="I34" s="3388">
        <f>'Portfolio--2016 only'!I34+'Portfolio--2017 only'!I34</f>
        <v>0</v>
      </c>
      <c r="J34" s="672">
        <f>'Portfolio--2016 only'!J34+'Portfolio--2017 only'!J34</f>
        <v>0</v>
      </c>
      <c r="K34" s="1237">
        <v>0</v>
      </c>
      <c r="L34" s="2153"/>
    </row>
    <row r="35" spans="1:12" s="2177" customFormat="1">
      <c r="A35" s="1787"/>
      <c r="B35" s="2285" t="s">
        <v>461</v>
      </c>
      <c r="C35" s="2268"/>
      <c r="D35" s="615" t="s">
        <v>613</v>
      </c>
      <c r="E35" s="615"/>
      <c r="F35" s="615"/>
      <c r="G35" s="3378">
        <f>SUM(G33:G34)</f>
        <v>17346.93</v>
      </c>
      <c r="H35" s="2881">
        <f>SUM(H33:H34)</f>
        <v>976898.99827999994</v>
      </c>
      <c r="I35" s="3378">
        <f>SUM(I33:I34)</f>
        <v>430529</v>
      </c>
      <c r="J35" s="2881">
        <f>SUM(J33:J34)</f>
        <v>181028.99917999998</v>
      </c>
      <c r="K35" s="1210">
        <v>1157927.99746</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1618" t="s">
        <v>330</v>
      </c>
      <c r="E38" s="618"/>
      <c r="F38" s="618"/>
      <c r="G38" s="3386">
        <f>'Portfolio--2016 only'!G38+'Portfolio--2017 only'!G38</f>
        <v>22776</v>
      </c>
      <c r="H38" s="1235">
        <f>'Portfolio--2016 only'!H38+'Portfolio--2017 only'!H38</f>
        <v>10400000</v>
      </c>
      <c r="I38" s="3382"/>
      <c r="J38" s="1240"/>
      <c r="K38" s="1214">
        <f t="array" ref="K38:K41">H38:H41+J38:J41</f>
        <v>10400000</v>
      </c>
    </row>
    <row r="39" spans="1:12" s="2177" customFormat="1">
      <c r="A39" s="1787"/>
      <c r="B39" s="2289" t="s">
        <v>463</v>
      </c>
      <c r="C39" s="2266"/>
      <c r="D39" s="1616" t="s">
        <v>634</v>
      </c>
      <c r="E39" s="612"/>
      <c r="F39" s="1607"/>
      <c r="G39" s="3389"/>
      <c r="H39" s="2773"/>
      <c r="I39" s="3380">
        <f>'Portfolio--2016 only'!I39+'Portfolio--2017 only'!I39</f>
        <v>37680</v>
      </c>
      <c r="J39" s="2831">
        <f>'Portfolio--2016 only'!J39+'Portfolio--2017 only'!J39</f>
        <v>2475756</v>
      </c>
      <c r="K39" s="1660">
        <v>2475756</v>
      </c>
      <c r="L39" s="2153"/>
    </row>
    <row r="40" spans="1:12" ht="15">
      <c r="A40" s="1787"/>
      <c r="B40" s="2292" t="s">
        <v>464</v>
      </c>
      <c r="C40" s="2275" t="s">
        <v>331</v>
      </c>
      <c r="D40" s="1238" t="s">
        <v>237</v>
      </c>
      <c r="E40" s="621"/>
      <c r="F40" s="630"/>
      <c r="G40" s="3387">
        <f>'Portfolio--2016 only'!G40+'Portfolio--2017 only'!G40</f>
        <v>3281.3249999999998</v>
      </c>
      <c r="H40" s="1234">
        <f>'Portfolio--2016 only'!H40+'Portfolio--2017 only'!H40</f>
        <v>0</v>
      </c>
      <c r="I40" s="3388"/>
      <c r="J40" s="1236"/>
      <c r="K40" s="1237">
        <v>0</v>
      </c>
    </row>
    <row r="41" spans="1:12">
      <c r="A41" s="1787"/>
      <c r="B41" s="2285" t="s">
        <v>465</v>
      </c>
      <c r="C41" s="2268"/>
      <c r="D41" s="615" t="s">
        <v>201</v>
      </c>
      <c r="E41" s="615"/>
      <c r="F41" s="615"/>
      <c r="G41" s="3378">
        <f>SUM(G38:G40)</f>
        <v>26057.325000000001</v>
      </c>
      <c r="H41" s="667">
        <f>SUM(H38:H40)</f>
        <v>10400000</v>
      </c>
      <c r="I41" s="3378">
        <f>SUM(I38:I40)</f>
        <v>37680</v>
      </c>
      <c r="J41" s="667">
        <f>SUM(J38:J40)</f>
        <v>2475756</v>
      </c>
      <c r="K41" s="1210">
        <v>12875756</v>
      </c>
    </row>
    <row r="42" spans="1:12">
      <c r="A42" s="1787"/>
      <c r="B42" s="2286"/>
      <c r="C42" s="1555"/>
      <c r="D42" s="616"/>
      <c r="E42" s="616"/>
      <c r="F42" s="616"/>
      <c r="G42" s="1627"/>
      <c r="H42" s="1632"/>
      <c r="I42" s="1633"/>
      <c r="J42" s="1632"/>
      <c r="K42" s="1661"/>
    </row>
    <row r="43" spans="1:12" ht="15.75">
      <c r="A43" s="1787"/>
      <c r="B43" s="2294"/>
      <c r="C43" s="2277"/>
      <c r="D43" s="642" t="s">
        <v>335</v>
      </c>
      <c r="E43" s="642"/>
      <c r="F43" s="642"/>
      <c r="G43" s="673"/>
      <c r="H43" s="673"/>
      <c r="I43" s="673"/>
      <c r="J43" s="673"/>
      <c r="K43" s="1220"/>
    </row>
    <row r="44" spans="1:12" s="1761" customFormat="1" ht="15.75">
      <c r="A44" s="2659"/>
      <c r="B44" s="2289" t="s">
        <v>466</v>
      </c>
      <c r="C44" s="2660"/>
      <c r="D44" s="2661" t="s">
        <v>202</v>
      </c>
      <c r="E44" s="2257"/>
      <c r="F44" s="2258"/>
      <c r="G44" s="2662"/>
      <c r="H44" s="1626">
        <f>H45+H46+H47+H48</f>
        <v>3812964.3784439997</v>
      </c>
      <c r="I44" s="1634"/>
      <c r="J44" s="1626">
        <f>J45+J46+J47+J48</f>
        <v>430255.54693799996</v>
      </c>
      <c r="K44" s="1657">
        <f t="array" ref="K44:K59">H44:H59+J44:J59</f>
        <v>4243219.9253819995</v>
      </c>
      <c r="L44" s="2153"/>
    </row>
    <row r="45" spans="1:12" s="2701" customFormat="1" ht="12">
      <c r="A45" s="2692"/>
      <c r="B45" s="2681" t="s">
        <v>467</v>
      </c>
      <c r="C45" s="2693"/>
      <c r="D45" s="2694"/>
      <c r="E45" s="2677" t="s">
        <v>203</v>
      </c>
      <c r="F45" s="2695"/>
      <c r="G45" s="2696"/>
      <c r="H45" s="2697">
        <f>'Portfolio--2016 only'!H46+'Portfolio--2017 only'!H46</f>
        <v>2290663.8119399995</v>
      </c>
      <c r="I45" s="2698"/>
      <c r="J45" s="2697">
        <f>'Portfolio--2016 only'!J46+'Portfolio--2017 only'!J46</f>
        <v>170356.8406</v>
      </c>
      <c r="K45" s="2699">
        <v>2461020.6525399992</v>
      </c>
      <c r="L45" s="2700"/>
    </row>
    <row r="46" spans="1:12" s="2701" customFormat="1" ht="12">
      <c r="A46" s="2692"/>
      <c r="B46" s="2681" t="s">
        <v>468</v>
      </c>
      <c r="C46" s="2693"/>
      <c r="D46" s="2694"/>
      <c r="E46" s="2702" t="s">
        <v>204</v>
      </c>
      <c r="F46" s="2677"/>
      <c r="G46" s="2696"/>
      <c r="H46" s="2697">
        <f>'Portfolio--2016 only'!H47+'Portfolio--2017 only'!H47</f>
        <v>1315966.011074</v>
      </c>
      <c r="I46" s="2698"/>
      <c r="J46" s="2697">
        <f>'Portfolio--2016 only'!J47+'Portfolio--2017 only'!J47</f>
        <v>227723.50753999996</v>
      </c>
      <c r="K46" s="2699">
        <v>1543689.5186139999</v>
      </c>
      <c r="L46" s="2700"/>
    </row>
    <row r="47" spans="1:12" s="2701" customFormat="1" ht="12">
      <c r="A47" s="2692"/>
      <c r="B47" s="2681" t="s">
        <v>469</v>
      </c>
      <c r="C47" s="2693"/>
      <c r="D47" s="2694"/>
      <c r="E47" s="2677" t="s">
        <v>357</v>
      </c>
      <c r="F47" s="2695"/>
      <c r="G47" s="2696"/>
      <c r="H47" s="2697">
        <f>'Portfolio--2016 only'!H48+'Portfolio--2017 only'!H48</f>
        <v>188734.55543000001</v>
      </c>
      <c r="I47" s="2698"/>
      <c r="J47" s="2697">
        <f>'Portfolio--2016 only'!J48+'Portfolio--2017 only'!J48</f>
        <v>30225.198797999998</v>
      </c>
      <c r="K47" s="2699">
        <v>218959.75422800001</v>
      </c>
      <c r="L47" s="2700"/>
    </row>
    <row r="48" spans="1:12" s="2701" customFormat="1" ht="12">
      <c r="A48" s="2692"/>
      <c r="B48" s="2681" t="s">
        <v>470</v>
      </c>
      <c r="C48" s="2693">
        <v>202</v>
      </c>
      <c r="D48" s="2694"/>
      <c r="E48" s="2677" t="s">
        <v>205</v>
      </c>
      <c r="F48" s="2695"/>
      <c r="G48" s="2696"/>
      <c r="H48" s="2697">
        <f>'Portfolio--2016 only'!H49+'Portfolio--2017 only'!H49</f>
        <v>17600</v>
      </c>
      <c r="I48" s="2703"/>
      <c r="J48" s="2697">
        <f>'Portfolio--2016 only'!J49+'Portfolio--2017 only'!J49</f>
        <v>1950</v>
      </c>
      <c r="K48" s="2699">
        <v>19550</v>
      </c>
      <c r="L48" s="2700"/>
    </row>
    <row r="49" spans="1:12" s="1761" customFormat="1">
      <c r="A49" s="2659"/>
      <c r="B49" s="2289" t="s">
        <v>471</v>
      </c>
      <c r="C49" s="2663"/>
      <c r="D49" s="2023" t="s">
        <v>756</v>
      </c>
      <c r="E49" s="2026"/>
      <c r="F49" s="2025"/>
      <c r="G49" s="2664"/>
      <c r="H49" s="2665">
        <f>H50+H51+H52</f>
        <v>2087302.28822</v>
      </c>
      <c r="I49" s="1634"/>
      <c r="J49" s="2665">
        <f>J50+J51+J52</f>
        <v>319930.99758000002</v>
      </c>
      <c r="K49" s="1657">
        <v>2407233.2858000002</v>
      </c>
      <c r="L49" s="2153"/>
    </row>
    <row r="50" spans="1:12" s="2675" customFormat="1">
      <c r="A50" s="2666"/>
      <c r="B50" s="2667" t="s">
        <v>472</v>
      </c>
      <c r="C50" s="2668"/>
      <c r="D50" s="2676"/>
      <c r="E50" s="2677" t="s">
        <v>786</v>
      </c>
      <c r="F50" s="2669"/>
      <c r="G50" s="2670"/>
      <c r="H50" s="2671">
        <f>'Portfolio--2016 only'!H51+'Portfolio--2017 only'!H51</f>
        <v>1177980</v>
      </c>
      <c r="I50" s="2672"/>
      <c r="J50" s="2671">
        <f>'Portfolio--2016 only'!J51+'Portfolio--2017 only'!J51</f>
        <v>176020</v>
      </c>
      <c r="K50" s="2673">
        <v>1354000</v>
      </c>
      <c r="L50" s="2674"/>
    </row>
    <row r="51" spans="1:12" s="2675" customFormat="1">
      <c r="A51" s="2666"/>
      <c r="B51" s="2667" t="s">
        <v>473</v>
      </c>
      <c r="C51" s="2668"/>
      <c r="D51" s="2676"/>
      <c r="E51" s="2677" t="s">
        <v>341</v>
      </c>
      <c r="F51" s="2669"/>
      <c r="G51" s="2670"/>
      <c r="H51" s="2671">
        <f>'Portfolio--2016 only'!H52+'Portfolio--2017 only'!H52</f>
        <v>656615.6</v>
      </c>
      <c r="I51" s="2672"/>
      <c r="J51" s="2671">
        <f>'Portfolio--2016 only'!J52+'Portfolio--2017 only'!J52</f>
        <v>104025.14000000001</v>
      </c>
      <c r="K51" s="2673">
        <v>760640.74</v>
      </c>
      <c r="L51" s="2674"/>
    </row>
    <row r="52" spans="1:12" s="2675" customFormat="1">
      <c r="A52" s="2666"/>
      <c r="B52" s="2667" t="s">
        <v>474</v>
      </c>
      <c r="C52" s="2668"/>
      <c r="D52" s="2676"/>
      <c r="E52" s="2677" t="s">
        <v>1636</v>
      </c>
      <c r="F52" s="2677"/>
      <c r="G52" s="2670"/>
      <c r="H52" s="2671">
        <f>'Portfolio--2016 only'!H53+'Portfolio--2017 only'!H53</f>
        <v>252706.68822000001</v>
      </c>
      <c r="I52" s="2672"/>
      <c r="J52" s="2671">
        <f>'Portfolio--2016 only'!J53+'Portfolio--2017 only'!J53</f>
        <v>39885.857580000004</v>
      </c>
      <c r="K52" s="2673">
        <v>292592.54580000002</v>
      </c>
      <c r="L52" s="2674"/>
    </row>
    <row r="53" spans="1:12" s="1761" customFormat="1">
      <c r="A53" s="2659"/>
      <c r="B53" s="2289" t="s">
        <v>475</v>
      </c>
      <c r="C53" s="2663"/>
      <c r="D53" s="2023" t="s">
        <v>1564</v>
      </c>
      <c r="E53" s="2026"/>
      <c r="F53" s="2774"/>
      <c r="G53" s="2664"/>
      <c r="H53" s="1626">
        <f>'Portfolio--2016 only'!H54+'Portfolio--2017 only'!H54</f>
        <v>1341092.581272</v>
      </c>
      <c r="I53" s="1634"/>
      <c r="J53" s="1626">
        <f>'Portfolio--2016 only'!J54+'Portfolio--2017 only'!J54</f>
        <v>200393.14432800002</v>
      </c>
      <c r="K53" s="1657">
        <v>1541485.7256</v>
      </c>
      <c r="L53" s="2153"/>
    </row>
    <row r="54" spans="1:12" s="1761" customFormat="1">
      <c r="A54" s="2659"/>
      <c r="B54" s="2289" t="s">
        <v>476</v>
      </c>
      <c r="C54" s="2663"/>
      <c r="D54" s="2023" t="s">
        <v>636</v>
      </c>
      <c r="E54" s="2026"/>
      <c r="F54" s="2774"/>
      <c r="G54" s="2664"/>
      <c r="H54" s="1626">
        <f>'Portfolio--2016 only'!H55+'Portfolio--2017 only'!H55</f>
        <v>621388.53245000006</v>
      </c>
      <c r="I54" s="1634"/>
      <c r="J54" s="1626">
        <f>'Portfolio--2016 only'!J55+'Portfolio--2017 only'!J55</f>
        <v>91844.954750000004</v>
      </c>
      <c r="K54" s="1657">
        <v>713233.48720000009</v>
      </c>
      <c r="L54" s="2153"/>
    </row>
    <row r="55" spans="1:12" s="2675" customFormat="1">
      <c r="A55" s="2666"/>
      <c r="B55" s="2667" t="s">
        <v>477</v>
      </c>
      <c r="C55" s="2871"/>
      <c r="D55" s="2026" t="s">
        <v>637</v>
      </c>
      <c r="F55" s="2677"/>
      <c r="G55" s="2670"/>
      <c r="H55" s="1626">
        <f>'Portfolio--2016 only'!H56+'Portfolio--2017 only'!H56</f>
        <v>2087044.3101999999</v>
      </c>
      <c r="I55" s="1634"/>
      <c r="J55" s="1626">
        <f>'Portfolio--2016 only'!J56+'Portfolio--2017 only'!J56</f>
        <v>309412.3872</v>
      </c>
      <c r="K55" s="1657">
        <v>2396456.6973999999</v>
      </c>
      <c r="L55" s="2674"/>
    </row>
    <row r="56" spans="1:12" s="1761" customFormat="1" ht="12" customHeight="1">
      <c r="A56" s="2659"/>
      <c r="B56" s="2289" t="s">
        <v>478</v>
      </c>
      <c r="C56" s="2663"/>
      <c r="D56" s="2022" t="s">
        <v>26</v>
      </c>
      <c r="E56" s="2022"/>
      <c r="F56" s="2022"/>
      <c r="G56" s="2664"/>
      <c r="H56" s="1626">
        <f>'Portfolio--2016 only'!H57+'Portfolio--2017 only'!H57</f>
        <v>1825784.1237599999</v>
      </c>
      <c r="I56" s="1634"/>
      <c r="J56" s="1626">
        <f>'Portfolio--2016 only'!J57+'Portfolio--2017 only'!J57</f>
        <v>266252.86168600002</v>
      </c>
      <c r="K56" s="1657">
        <v>2092036.985446</v>
      </c>
      <c r="L56" s="2153"/>
    </row>
    <row r="57" spans="1:12" s="1761" customFormat="1">
      <c r="A57" s="2659"/>
      <c r="B57" s="2289" t="s">
        <v>479</v>
      </c>
      <c r="C57" s="2778"/>
      <c r="D57" s="2022" t="s">
        <v>206</v>
      </c>
      <c r="E57" s="2022"/>
      <c r="F57" s="2022"/>
      <c r="G57" s="2664"/>
      <c r="H57" s="1626">
        <f>'Portfolio--2016 only'!H58+'Portfolio--2017 only'!H58</f>
        <v>235322</v>
      </c>
      <c r="I57" s="1634"/>
      <c r="J57" s="1626">
        <f>'Portfolio--2016 only'!J58+'Portfolio--2017 only'!J58</f>
        <v>42030</v>
      </c>
      <c r="K57" s="1657">
        <v>277352</v>
      </c>
      <c r="L57" s="2153"/>
    </row>
    <row r="58" spans="1:12" s="1761" customFormat="1">
      <c r="A58" s="2659"/>
      <c r="B58" s="2784" t="s">
        <v>480</v>
      </c>
      <c r="C58" s="2782"/>
      <c r="D58" s="2708" t="s">
        <v>639</v>
      </c>
      <c r="E58" s="2708"/>
      <c r="F58" s="2779"/>
      <c r="G58" s="2775"/>
      <c r="H58" s="2665">
        <f>'Portfolio--2016 only'!H59+'Portfolio--2017 only'!H59</f>
        <v>-27700.123040000035</v>
      </c>
      <c r="I58" s="2775"/>
      <c r="J58" s="2665">
        <f>'Portfolio--2016 only'!J59+'Portfolio--2017 only'!J59</f>
        <v>-27656.118729999987</v>
      </c>
      <c r="K58" s="2776">
        <v>-55356.241770000022</v>
      </c>
      <c r="L58" s="2153"/>
    </row>
    <row r="59" spans="1:12">
      <c r="A59" s="1787"/>
      <c r="B59" s="2785" t="s">
        <v>481</v>
      </c>
      <c r="C59" s="2783"/>
      <c r="D59" s="2781" t="s">
        <v>207</v>
      </c>
      <c r="E59" s="615"/>
      <c r="F59" s="2781"/>
      <c r="G59" s="2889"/>
      <c r="H59" s="2881">
        <f>H44+H49+SUM(H53:H58)</f>
        <v>11983198.091306001</v>
      </c>
      <c r="I59" s="668"/>
      <c r="J59" s="2881">
        <f>J44+J49+SUM(J53:J58)</f>
        <v>1632463.7737520002</v>
      </c>
      <c r="K59" s="1210">
        <v>13615661.865058001</v>
      </c>
    </row>
    <row r="60" spans="1:12">
      <c r="A60" s="1787"/>
      <c r="B60" s="2286"/>
      <c r="C60" s="1555"/>
      <c r="D60" s="616"/>
      <c r="E60" s="623"/>
      <c r="F60" s="616"/>
      <c r="G60" s="1633"/>
      <c r="H60" s="1632"/>
      <c r="I60" s="1633"/>
      <c r="J60" s="1632"/>
      <c r="K60" s="1661"/>
    </row>
    <row r="61" spans="1:12" ht="15.75">
      <c r="A61" s="1787"/>
      <c r="B61" s="2287"/>
      <c r="C61" s="2269"/>
      <c r="D61" s="640" t="s">
        <v>334</v>
      </c>
      <c r="E61" s="640"/>
      <c r="F61" s="640"/>
      <c r="G61" s="662"/>
      <c r="H61" s="662"/>
      <c r="I61" s="662"/>
      <c r="J61" s="662"/>
      <c r="K61" s="1212"/>
    </row>
    <row r="62" spans="1:12">
      <c r="A62" s="1787"/>
      <c r="B62" s="2295" t="s">
        <v>482</v>
      </c>
      <c r="C62" s="2267"/>
      <c r="D62" s="625" t="s">
        <v>27</v>
      </c>
      <c r="E62" s="625"/>
      <c r="F62" s="625"/>
      <c r="G62" s="1638"/>
      <c r="H62" s="1639">
        <f>'Portfolio--2016 only'!H63+'Portfolio--2017 only'!H63</f>
        <v>616840.13893000002</v>
      </c>
      <c r="I62" s="1640"/>
      <c r="J62" s="1639">
        <f>'Portfolio--2016 only'!J63+'Portfolio--2017 only'!J63</f>
        <v>92171.52846999999</v>
      </c>
      <c r="K62" s="1659">
        <f t="array" ref="K62:K68">H62:H68+J62:J68</f>
        <v>709011.66740000003</v>
      </c>
    </row>
    <row r="63" spans="1:12" ht="15">
      <c r="A63" s="1787"/>
      <c r="B63" s="2284" t="s">
        <v>483</v>
      </c>
      <c r="C63" s="2266"/>
      <c r="D63" s="1239" t="s">
        <v>239</v>
      </c>
      <c r="E63" s="1239"/>
      <c r="F63" s="1239"/>
      <c r="G63" s="1641"/>
      <c r="H63" s="1637">
        <f>'Portfolio--2016 only'!H64+'Portfolio--2017 only'!H64</f>
        <v>286483.07108000002</v>
      </c>
      <c r="I63" s="1636"/>
      <c r="J63" s="1639">
        <f>'Portfolio--2016 only'!J64+'Portfolio--2017 only'!J64</f>
        <v>42807.81712</v>
      </c>
      <c r="K63" s="1659">
        <v>329290.88820000004</v>
      </c>
    </row>
    <row r="64" spans="1:12" s="2177" customFormat="1" ht="15">
      <c r="A64" s="1787"/>
      <c r="B64" s="2284" t="s">
        <v>484</v>
      </c>
      <c r="C64" s="2266"/>
      <c r="D64" s="1239" t="s">
        <v>356</v>
      </c>
      <c r="E64" s="1239"/>
      <c r="F64" s="1239"/>
      <c r="G64" s="1641"/>
      <c r="H64" s="2243">
        <f>'Portfolio--2016 only'!H65+'Portfolio--2017 only'!H65</f>
        <v>572669.01329999999</v>
      </c>
      <c r="I64" s="1634"/>
      <c r="J64" s="1626">
        <f>'Portfolio--2016 only'!J65+'Portfolio--2017 only'!J65</f>
        <v>85571.236699999979</v>
      </c>
      <c r="K64" s="1657">
        <v>658240.25</v>
      </c>
      <c r="L64" s="2153"/>
    </row>
    <row r="65" spans="1:12">
      <c r="A65" s="1787"/>
      <c r="B65" s="2295" t="s">
        <v>485</v>
      </c>
      <c r="C65" s="2266"/>
      <c r="D65" s="620" t="s">
        <v>28</v>
      </c>
      <c r="E65" s="620"/>
      <c r="F65" s="620"/>
      <c r="G65" s="1635"/>
      <c r="H65" s="1642">
        <f>'Portfolio--2016 only'!H66+'Portfolio--2017 only'!H66</f>
        <v>3630110.15356</v>
      </c>
      <c r="I65" s="1636"/>
      <c r="J65" s="1643">
        <f>'Portfolio--2016 only'!J66+'Portfolio--2017 only'!J66</f>
        <v>542430.25277999998</v>
      </c>
      <c r="K65" s="1659">
        <v>4172540.4063400002</v>
      </c>
    </row>
    <row r="66" spans="1:12" s="2177" customFormat="1">
      <c r="A66" s="1787"/>
      <c r="B66" s="2284" t="s">
        <v>486</v>
      </c>
      <c r="C66" s="2278"/>
      <c r="D66" s="2129" t="s">
        <v>436</v>
      </c>
      <c r="E66" s="2146"/>
      <c r="F66" s="2145"/>
      <c r="G66" s="2148"/>
      <c r="H66" s="2132">
        <f>'Portfolio--2016 only'!H67+'Portfolio--2017 only'!H67</f>
        <v>170000</v>
      </c>
      <c r="I66" s="2149"/>
      <c r="J66" s="2147"/>
      <c r="K66" s="2152">
        <v>170000</v>
      </c>
      <c r="L66" s="2153"/>
    </row>
    <row r="67" spans="1:12" s="2140" customFormat="1">
      <c r="A67" s="1787"/>
      <c r="B67" s="2284" t="s">
        <v>487</v>
      </c>
      <c r="C67" s="2278"/>
      <c r="D67" s="2129" t="s">
        <v>267</v>
      </c>
      <c r="E67" s="2146"/>
      <c r="F67" s="2145"/>
      <c r="G67" s="2148"/>
      <c r="H67" s="2132">
        <f>'Portfolio--2016 only'!H68+'Portfolio--2017 only'!H68</f>
        <v>831322.29063599999</v>
      </c>
      <c r="I67" s="2149"/>
      <c r="J67" s="2147">
        <f>'Portfolio--2016 only'!J68+'Portfolio--2017 only'!J68</f>
        <v>221063.14432800002</v>
      </c>
      <c r="K67" s="2152">
        <v>1052385.434964</v>
      </c>
      <c r="L67" s="2153"/>
    </row>
    <row r="68" spans="1:12">
      <c r="A68" s="1787"/>
      <c r="B68" s="2285" t="s">
        <v>488</v>
      </c>
      <c r="C68" s="2268"/>
      <c r="D68" s="615" t="s">
        <v>208</v>
      </c>
      <c r="E68" s="615"/>
      <c r="F68" s="615"/>
      <c r="G68" s="657"/>
      <c r="H68" s="667">
        <f>SUM(H62:H67)</f>
        <v>6107424.667506</v>
      </c>
      <c r="I68" s="668"/>
      <c r="J68" s="667">
        <f>SUM(J62:J67)</f>
        <v>984043.97939799994</v>
      </c>
      <c r="K68" s="1210">
        <v>7091468.6469040001</v>
      </c>
    </row>
    <row r="69" spans="1:12">
      <c r="A69" s="1787"/>
      <c r="B69" s="2293"/>
      <c r="C69" s="2276"/>
      <c r="D69" s="621"/>
      <c r="E69" s="621"/>
      <c r="F69" s="621"/>
      <c r="G69" s="671"/>
      <c r="H69" s="672"/>
      <c r="I69" s="671"/>
      <c r="J69" s="672"/>
      <c r="K69" s="1590"/>
    </row>
    <row r="70" spans="1:12" ht="15">
      <c r="A70" s="1787"/>
      <c r="B70" s="2300" t="s">
        <v>752</v>
      </c>
      <c r="C70" s="2279" t="s">
        <v>353</v>
      </c>
      <c r="D70" s="628"/>
      <c r="E70" s="629"/>
      <c r="F70" s="629"/>
      <c r="G70" s="683">
        <f>G21+G30+G35+G41</f>
        <v>605193.99687759997</v>
      </c>
      <c r="H70" s="3365">
        <f>H21+H30+H35+H41+H59+H68</f>
        <v>196259454.76113111</v>
      </c>
      <c r="I70" s="2234">
        <f>I21+I30+I35+I41</f>
        <v>7426495.04</v>
      </c>
      <c r="J70" s="3365">
        <f>J21+J30+J35+J41+J59+J68</f>
        <v>29481162.43981</v>
      </c>
      <c r="K70" s="1221">
        <f>H70+J70</f>
        <v>225740617.20094112</v>
      </c>
    </row>
    <row r="71" spans="1:12">
      <c r="A71" s="1787"/>
      <c r="B71" s="2293"/>
      <c r="C71" s="2276"/>
      <c r="D71" s="621"/>
      <c r="E71" s="621"/>
      <c r="F71" s="621"/>
      <c r="G71" s="684"/>
      <c r="H71" s="672"/>
      <c r="I71" s="671"/>
      <c r="J71" s="672"/>
      <c r="K71" s="1590"/>
    </row>
    <row r="72" spans="1:12" ht="15.75">
      <c r="A72" s="1787"/>
      <c r="B72" s="2296"/>
      <c r="C72" s="2280"/>
      <c r="D72" s="2017" t="s">
        <v>168</v>
      </c>
      <c r="E72" s="643"/>
      <c r="F72" s="643"/>
      <c r="G72" s="685"/>
      <c r="H72" s="685"/>
      <c r="I72" s="685"/>
      <c r="J72" s="685"/>
      <c r="K72" s="1222"/>
    </row>
    <row r="73" spans="1:12">
      <c r="A73" s="1787"/>
      <c r="B73" s="2789" t="s">
        <v>489</v>
      </c>
      <c r="C73" s="2274" t="s">
        <v>209</v>
      </c>
      <c r="D73" s="1618" t="s">
        <v>3</v>
      </c>
      <c r="E73" s="1621"/>
      <c r="F73" s="1620"/>
      <c r="G73" s="1644"/>
      <c r="H73" s="1645">
        <f>'Portfolio--2016 only'!H74+'Portfolio--2017 only'!H74</f>
        <v>1871680.49049</v>
      </c>
      <c r="I73" s="1646"/>
      <c r="J73" s="1630"/>
      <c r="K73" s="1214">
        <f t="array" ref="K73:K75">H73:H75+J73:J75</f>
        <v>1871680.49049</v>
      </c>
    </row>
    <row r="74" spans="1:12" s="2177" customFormat="1">
      <c r="A74" s="1787"/>
      <c r="B74" s="2295" t="s">
        <v>490</v>
      </c>
      <c r="C74" s="2267" t="s">
        <v>640</v>
      </c>
      <c r="D74" s="625" t="s">
        <v>641</v>
      </c>
      <c r="E74" s="1229"/>
      <c r="F74" s="624"/>
      <c r="G74" s="1638"/>
      <c r="H74" s="2787">
        <f>'Portfolio--2016 only'!H75+'Portfolio--2017 only'!H75</f>
        <v>853681.88290000008</v>
      </c>
      <c r="I74" s="2788"/>
      <c r="J74" s="1654"/>
      <c r="K74" s="2152">
        <v>853681.88290000008</v>
      </c>
      <c r="L74" s="2153"/>
    </row>
    <row r="75" spans="1:12">
      <c r="A75" s="1787"/>
      <c r="B75" s="2285" t="s">
        <v>491</v>
      </c>
      <c r="C75" s="2268"/>
      <c r="D75" s="631" t="s">
        <v>211</v>
      </c>
      <c r="E75" s="632"/>
      <c r="F75" s="633"/>
      <c r="G75" s="668" t="s">
        <v>7</v>
      </c>
      <c r="H75" s="667">
        <f>SUM(H73:H74)</f>
        <v>2725362.3733900003</v>
      </c>
      <c r="I75" s="668"/>
      <c r="J75" s="667"/>
      <c r="K75" s="1210">
        <v>2725362.3733900003</v>
      </c>
    </row>
    <row r="76" spans="1:12" ht="13.5" thickBot="1">
      <c r="A76" s="1787"/>
      <c r="B76" s="2281"/>
      <c r="C76" s="2281"/>
      <c r="D76" s="634"/>
      <c r="E76" s="634"/>
      <c r="F76" s="634"/>
      <c r="G76" s="1600"/>
      <c r="H76" s="1601"/>
      <c r="I76" s="1600"/>
      <c r="J76" s="1601"/>
      <c r="K76" s="1662"/>
    </row>
    <row r="77" spans="1:12">
      <c r="B77" s="2283"/>
      <c r="C77" s="1555"/>
      <c r="D77" s="616"/>
      <c r="E77" s="616"/>
      <c r="F77" s="616"/>
      <c r="G77" s="1647" t="s">
        <v>7</v>
      </c>
      <c r="H77" s="1632"/>
      <c r="I77" s="1633"/>
      <c r="J77" s="1632"/>
      <c r="K77" s="1632"/>
    </row>
    <row r="78" spans="1:12" s="2177" customFormat="1">
      <c r="B78" s="2259" t="s">
        <v>492</v>
      </c>
      <c r="C78" s="1555"/>
      <c r="D78" s="3414" t="s">
        <v>332</v>
      </c>
      <c r="E78" s="3415"/>
      <c r="F78" s="3416"/>
      <c r="G78" s="3424">
        <f>G70</f>
        <v>605193.99687759997</v>
      </c>
      <c r="H78" s="3425">
        <f>H70+H75</f>
        <v>198984817.1345211</v>
      </c>
      <c r="I78" s="3426">
        <f>I70</f>
        <v>7426495.04</v>
      </c>
      <c r="J78" s="3425">
        <f>J70+J75</f>
        <v>29481162.43981</v>
      </c>
      <c r="K78" s="3427">
        <f>H78+J78</f>
        <v>228465979.5743311</v>
      </c>
      <c r="L78" s="2153"/>
    </row>
    <row r="79" spans="1:12" s="1761" customFormat="1">
      <c r="C79" s="1975"/>
      <c r="D79" s="3418"/>
      <c r="E79" s="3419"/>
      <c r="F79" s="3417"/>
      <c r="G79" s="3420">
        <f>G70/8760</f>
        <v>69.086072702922365</v>
      </c>
      <c r="H79" s="3421"/>
      <c r="I79" s="3422"/>
      <c r="J79" s="3421"/>
      <c r="K79" s="3423"/>
      <c r="L79" s="2153"/>
    </row>
    <row r="80" spans="1:12" s="2195" customFormat="1">
      <c r="B80" s="2872"/>
      <c r="C80" s="2729"/>
      <c r="D80" s="2730"/>
      <c r="E80" s="2730"/>
      <c r="F80" s="2730"/>
      <c r="G80" s="1241"/>
      <c r="H80" s="1242"/>
      <c r="I80" s="1243"/>
      <c r="J80" s="1242"/>
      <c r="K80" s="1242"/>
      <c r="L80" s="1330"/>
    </row>
    <row r="81" spans="2:12" s="2195" customFormat="1" ht="25.5" customHeight="1">
      <c r="B81" s="2872" t="s">
        <v>753</v>
      </c>
      <c r="C81" s="2729"/>
      <c r="D81" s="3586" t="s">
        <v>1794</v>
      </c>
      <c r="E81" s="3587"/>
      <c r="F81" s="3587"/>
      <c r="G81" s="2879">
        <f>G78-(G38+G35+G84)</f>
        <v>537078.35237760004</v>
      </c>
      <c r="H81" s="3431"/>
      <c r="I81" s="3442">
        <f>I78-(I35+I41)</f>
        <v>6958286.04</v>
      </c>
      <c r="J81" s="3431"/>
      <c r="K81" s="3432"/>
      <c r="L81" s="1330"/>
    </row>
    <row r="82" spans="2:12" s="2195" customFormat="1" ht="15" customHeight="1">
      <c r="B82" s="2872"/>
      <c r="C82" s="2729"/>
      <c r="D82" s="3443"/>
      <c r="E82" s="3435"/>
      <c r="F82" s="3435"/>
      <c r="G82" s="2880">
        <f>G81/8760</f>
        <v>61.310314198356167</v>
      </c>
      <c r="H82" s="3433"/>
      <c r="I82" s="3433"/>
      <c r="J82" s="3433"/>
      <c r="K82" s="3434"/>
      <c r="L82" s="1330"/>
    </row>
    <row r="83" spans="2:12" s="3441" customFormat="1" ht="20.25" customHeight="1">
      <c r="B83" s="3436"/>
      <c r="C83" s="3437"/>
      <c r="D83" s="3438"/>
      <c r="E83" s="3438"/>
      <c r="F83" s="3438"/>
      <c r="G83" s="3588" t="s">
        <v>1789</v>
      </c>
      <c r="H83" s="3588"/>
      <c r="I83" s="3588"/>
      <c r="J83" s="3588"/>
      <c r="K83" s="3439"/>
      <c r="L83" s="3440"/>
    </row>
    <row r="84" spans="2:12" s="2195" customFormat="1" ht="18.75" customHeight="1">
      <c r="B84" s="2872" t="s">
        <v>754</v>
      </c>
      <c r="C84" s="2729"/>
      <c r="D84" s="2873" t="s">
        <v>755</v>
      </c>
      <c r="E84" s="2874"/>
      <c r="F84" s="2874"/>
      <c r="G84" s="2875">
        <f>'Building the elec. target'!I14*0.05</f>
        <v>27992.714500000002</v>
      </c>
      <c r="H84" s="3428" t="s">
        <v>1788</v>
      </c>
      <c r="I84" s="2877"/>
      <c r="J84" s="2876"/>
      <c r="K84" s="2878"/>
      <c r="L84" s="1330"/>
    </row>
    <row r="85" spans="2:12" s="2195" customFormat="1">
      <c r="B85" s="2872"/>
      <c r="C85" s="2729"/>
      <c r="D85" s="2730"/>
      <c r="E85" s="2730"/>
      <c r="F85" s="2730"/>
      <c r="G85" s="1241"/>
      <c r="H85" s="1242"/>
      <c r="I85" s="1243"/>
      <c r="J85" s="1242"/>
      <c r="K85" s="1242"/>
      <c r="L85" s="1330"/>
    </row>
    <row r="86" spans="2:12" s="2195" customFormat="1" ht="10.5" customHeight="1">
      <c r="B86" s="2872"/>
      <c r="C86" s="2729"/>
      <c r="D86" s="2730"/>
      <c r="E86" s="2730"/>
      <c r="F86" s="2730"/>
      <c r="G86" s="1241"/>
      <c r="H86" s="1242"/>
      <c r="I86" s="1243"/>
      <c r="J86" s="1242"/>
      <c r="K86" s="1242"/>
      <c r="L86" s="1330"/>
    </row>
    <row r="87" spans="2:12">
      <c r="B87" s="2259" t="s">
        <v>493</v>
      </c>
      <c r="E87" s="3584" t="s">
        <v>212</v>
      </c>
      <c r="F87" s="3585"/>
      <c r="G87" s="3585"/>
      <c r="H87" s="2882">
        <f>(H35+H59)/H70</f>
        <v>6.6035529882419342E-2</v>
      </c>
      <c r="I87" s="699"/>
      <c r="J87" s="2883">
        <f>(J35+J59)/J70</f>
        <v>6.1513611501395324E-2</v>
      </c>
      <c r="K87" s="2014"/>
    </row>
    <row r="88" spans="2:12">
      <c r="B88" s="2259"/>
      <c r="F88" s="2007" t="s">
        <v>333</v>
      </c>
      <c r="G88" s="1652"/>
      <c r="H88" s="1653"/>
      <c r="I88" s="1652"/>
      <c r="J88" s="1653"/>
      <c r="K88" s="2014"/>
    </row>
    <row r="89" spans="2:12" s="1164" customFormat="1">
      <c r="B89" s="2259"/>
      <c r="C89" s="1604"/>
      <c r="F89" s="1164" t="s">
        <v>242</v>
      </c>
      <c r="G89" s="1652"/>
      <c r="H89" s="1653"/>
      <c r="I89" s="1652"/>
      <c r="J89" s="1653"/>
      <c r="K89" s="2014"/>
      <c r="L89" s="1331"/>
    </row>
    <row r="90" spans="2:12" s="1164" customFormat="1">
      <c r="B90" s="2259"/>
      <c r="C90" s="1604"/>
      <c r="E90" s="2235"/>
      <c r="F90" s="2235"/>
      <c r="G90" s="2236"/>
      <c r="H90" s="1653"/>
      <c r="I90" s="1652"/>
      <c r="J90" s="1653"/>
      <c r="K90" s="2014"/>
      <c r="L90" s="1331"/>
    </row>
    <row r="91" spans="2:12">
      <c r="B91" s="2259" t="s">
        <v>594</v>
      </c>
      <c r="E91" s="3582" t="s">
        <v>351</v>
      </c>
      <c r="F91" s="3583"/>
      <c r="G91" s="3583"/>
      <c r="H91" s="700">
        <f>SUM(H65:H67)/(H21+H30)</f>
        <v>2.7767724498305581E-2</v>
      </c>
      <c r="I91" s="699"/>
      <c r="J91" s="2691">
        <f>SUM(J65:J67)/(J21+J30)</f>
        <v>3.15390576273165E-2</v>
      </c>
      <c r="K91" s="2014"/>
    </row>
    <row r="92" spans="2:12">
      <c r="B92" s="2765"/>
      <c r="F92" s="1762" t="s">
        <v>352</v>
      </c>
    </row>
    <row r="106" spans="2:12">
      <c r="B106"/>
      <c r="C106"/>
      <c r="H106" s="1194"/>
      <c r="L106"/>
    </row>
  </sheetData>
  <customSheetViews>
    <customSheetView guid="{074EB09C-6289-46D7-9513-012B68BCA7BF}" showGridLines="0">
      <selection activeCell="I3" sqref="I3"/>
      <pageMargins left="0.21" right="0.3" top="0.38" bottom="0.22" header="0.3" footer="0.19"/>
      <pageSetup paperSize="17" scale="80" orientation="portrait" r:id="rId1"/>
      <headerFooter>
        <oddFooter>&amp;L&amp;D&amp;R&amp;G</oddFooter>
      </headerFooter>
    </customSheetView>
    <customSheetView guid="{D9EFFE19-D14B-4C6F-BDF4-FF696F73968D}" showGridLines="0" topLeftCell="A16">
      <selection activeCell="G3" sqref="G3"/>
      <pageMargins left="0.21" right="0.3" top="0.38" bottom="0.22" header="0.3" footer="0.19"/>
      <pageSetup paperSize="17" scale="80" orientation="portrait" r:id="rId2"/>
      <headerFooter>
        <oddFooter>&amp;L&amp;D&amp;R&amp;G</oddFooter>
      </headerFooter>
    </customSheetView>
  </customSheetViews>
  <mergeCells count="5">
    <mergeCell ref="G2:J2"/>
    <mergeCell ref="E91:G91"/>
    <mergeCell ref="E87:G87"/>
    <mergeCell ref="D81:F81"/>
    <mergeCell ref="G83:J83"/>
  </mergeCells>
  <hyperlinks>
    <hyperlink ref="G3" location="'2-yr Sector View Electric'!A1" display="MWH Savings"/>
    <hyperlink ref="H3" location="'2-yr Sector View Electric'!A1" display="Electric Rider Budget"/>
    <hyperlink ref="I3" location="'2-yr Sector View Gas'!A1" display="Therm Savings"/>
    <hyperlink ref="J3" location="'2-yr Sector View Gas'!A1" display="Gas Rider Budget"/>
  </hyperlinks>
  <pageMargins left="0.21" right="0.3" top="0.38" bottom="0.22" header="0.3" footer="0.19"/>
  <pageSetup paperSize="3" scale="80" orientation="portrait" r:id="rId3"/>
  <headerFooter>
    <oddFooter>&amp;L&amp;D&amp;R&amp;G</oddFooter>
  </headerFooter>
  <ignoredErrors>
    <ignoredError sqref="J68" emptyCellReference="1"/>
  </ignoredErrors>
  <drawing r:id="rId4"/>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11"/>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6.140625" style="2177"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7" customHeight="1" thickBot="1">
      <c r="C1" s="1812" t="s">
        <v>660</v>
      </c>
      <c r="D1" s="1812" t="s">
        <v>278</v>
      </c>
      <c r="E1" s="1812" t="s">
        <v>6</v>
      </c>
      <c r="F1" s="1812">
        <v>18230718</v>
      </c>
      <c r="G1" s="1812" t="s">
        <v>5</v>
      </c>
      <c r="J1" s="1592"/>
      <c r="M1" s="1812" t="s">
        <v>660</v>
      </c>
      <c r="N1" s="1812" t="s">
        <v>278</v>
      </c>
      <c r="O1" s="1812" t="s">
        <v>6</v>
      </c>
      <c r="P1" s="1812">
        <v>18230718</v>
      </c>
      <c r="Q1" s="1812" t="s">
        <v>5</v>
      </c>
      <c r="V1" s="1812" t="s">
        <v>660</v>
      </c>
      <c r="W1" s="1812" t="s">
        <v>278</v>
      </c>
      <c r="X1" s="1812" t="s">
        <v>6</v>
      </c>
      <c r="Y1" s="1812">
        <v>18230718</v>
      </c>
      <c r="Z1" s="1812" t="s">
        <v>5</v>
      </c>
    </row>
    <row r="2" spans="1:27" ht="16.5" thickBot="1">
      <c r="C2" s="1592"/>
      <c r="D2" s="1575"/>
      <c r="H2" s="1576" t="s">
        <v>674</v>
      </c>
      <c r="R2" s="3596"/>
      <c r="S2" s="3596"/>
      <c r="T2" s="3597" t="s">
        <v>36</v>
      </c>
      <c r="U2" s="3598"/>
      <c r="V2" s="3599"/>
      <c r="W2" s="3594" t="s">
        <v>37</v>
      </c>
    </row>
    <row r="3" spans="1:27" ht="26.25" thickBot="1">
      <c r="A3" s="2802" t="s">
        <v>660</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115396</v>
      </c>
      <c r="I4" s="2002">
        <v>8049</v>
      </c>
      <c r="J4" s="2002">
        <v>87275</v>
      </c>
      <c r="K4" s="2002">
        <v>18000</v>
      </c>
      <c r="L4" s="2002">
        <v>2000</v>
      </c>
      <c r="M4" s="2002">
        <v>60000</v>
      </c>
      <c r="N4" s="2002">
        <v>2250</v>
      </c>
      <c r="O4" s="2002">
        <v>1200</v>
      </c>
      <c r="P4" s="2002">
        <v>934800</v>
      </c>
      <c r="Q4" s="2002">
        <v>0</v>
      </c>
      <c r="R4" s="2000">
        <v>1228970</v>
      </c>
      <c r="S4" s="1998">
        <v>3332530</v>
      </c>
      <c r="T4" s="1541">
        <f>P4/R4</f>
        <v>0.76063695615027216</v>
      </c>
      <c r="U4" s="1541">
        <f>(K4+(I4*1.63))/R4</f>
        <v>2.5321911844878229E-2</v>
      </c>
      <c r="V4" s="1541">
        <f>M4/R4</f>
        <v>4.8821370741352517E-2</v>
      </c>
      <c r="W4" s="1539">
        <f>R4/S4</f>
        <v>0.36877987595010397</v>
      </c>
    </row>
    <row r="5" spans="1:27" ht="16.5" thickBot="1">
      <c r="A5" s="2802" t="s">
        <v>6</v>
      </c>
      <c r="B5" s="2802"/>
      <c r="C5" s="1592"/>
      <c r="G5" s="1592">
        <v>2016</v>
      </c>
      <c r="H5" s="1582">
        <f>D15</f>
        <v>58911.450000000004</v>
      </c>
      <c r="I5" s="1549">
        <f>D21</f>
        <v>4000</v>
      </c>
      <c r="J5" s="1549">
        <f>D27</f>
        <v>41961.937150000005</v>
      </c>
      <c r="K5" s="1549">
        <f>D34</f>
        <v>42500</v>
      </c>
      <c r="L5" s="1549">
        <f>D40</f>
        <v>5000</v>
      </c>
      <c r="M5" s="1549">
        <f>D46</f>
        <v>60919</v>
      </c>
      <c r="N5" s="1549">
        <f>D52</f>
        <v>5000</v>
      </c>
      <c r="O5" s="1549">
        <f>D58</f>
        <v>1000</v>
      </c>
      <c r="P5" s="1549">
        <f>D64</f>
        <v>509250</v>
      </c>
      <c r="Q5" s="1549">
        <f>D65</f>
        <v>0</v>
      </c>
      <c r="R5" s="2001">
        <f>SUM(H5:Q5)</f>
        <v>728542.38715000008</v>
      </c>
      <c r="S5" s="1999">
        <f>T15</f>
        <v>2975025</v>
      </c>
      <c r="T5" s="1542">
        <f>P5/R5</f>
        <v>0.69899845085492629</v>
      </c>
      <c r="U5" s="1542">
        <f>(K5+(I5*1.63))/R5</f>
        <v>6.7285034974783484E-2</v>
      </c>
      <c r="V5" s="1542">
        <f>M5/R5</f>
        <v>8.3617646789653916E-2</v>
      </c>
      <c r="W5" s="1540">
        <f>R5/S5</f>
        <v>0.24488613949462612</v>
      </c>
    </row>
    <row r="6" spans="1:27" ht="16.5" thickBot="1">
      <c r="A6" s="2802">
        <v>18230718</v>
      </c>
      <c r="B6" s="2802"/>
      <c r="D6" s="1592"/>
      <c r="G6" s="1592">
        <v>2017</v>
      </c>
      <c r="H6" s="57">
        <f>E15</f>
        <v>60384.35</v>
      </c>
      <c r="I6" s="1990">
        <f>E21</f>
        <v>4100</v>
      </c>
      <c r="J6" s="1989">
        <f>E27</f>
        <v>43849.358</v>
      </c>
      <c r="K6" s="58">
        <f>E34</f>
        <v>42500</v>
      </c>
      <c r="L6" s="58">
        <f>E40</f>
        <v>5000</v>
      </c>
      <c r="M6" s="58">
        <f>E46</f>
        <v>60919</v>
      </c>
      <c r="N6" s="58">
        <f>E52</f>
        <v>5000</v>
      </c>
      <c r="O6" s="58">
        <f>E58</f>
        <v>1000</v>
      </c>
      <c r="P6" s="58">
        <f>E64</f>
        <v>629250</v>
      </c>
      <c r="Q6" s="58">
        <f>E65</f>
        <v>0</v>
      </c>
      <c r="R6" s="1997">
        <f>SUM(H6:Q6)</f>
        <v>852002.70799999998</v>
      </c>
      <c r="S6" s="1996">
        <f>U15</f>
        <v>3690100</v>
      </c>
      <c r="T6" s="1542">
        <f>P6/R6</f>
        <v>0.7385539906053914</v>
      </c>
      <c r="U6" s="1542">
        <f>(K6+(I6*1.63))/R6</f>
        <v>5.7726342343972926E-2</v>
      </c>
      <c r="V6" s="1542">
        <f>M6/R6</f>
        <v>7.1500946450043443E-2</v>
      </c>
      <c r="W6" s="1540">
        <f>R6/S6</f>
        <v>0.23088878566976503</v>
      </c>
    </row>
    <row r="7" spans="1:27" ht="16.5" thickBot="1">
      <c r="A7" s="2802" t="s">
        <v>5</v>
      </c>
      <c r="B7" s="2802"/>
      <c r="D7" s="1592"/>
      <c r="G7" s="1608" t="s">
        <v>23</v>
      </c>
      <c r="H7" s="1564">
        <f>SUM(H5:H6)</f>
        <v>119295.8</v>
      </c>
      <c r="I7" s="1991">
        <f t="shared" ref="I7:Q7" si="0">SUM(I5:I6)</f>
        <v>8100</v>
      </c>
      <c r="J7" s="1992">
        <f t="shared" si="0"/>
        <v>85811.295150000005</v>
      </c>
      <c r="K7" s="1993">
        <f t="shared" si="0"/>
        <v>85000</v>
      </c>
      <c r="L7" s="1991">
        <f t="shared" si="0"/>
        <v>10000</v>
      </c>
      <c r="M7" s="1992">
        <f t="shared" si="0"/>
        <v>121838</v>
      </c>
      <c r="N7" s="1991">
        <f t="shared" si="0"/>
        <v>10000</v>
      </c>
      <c r="O7" s="1992">
        <f t="shared" si="0"/>
        <v>2000</v>
      </c>
      <c r="P7" s="1993">
        <f t="shared" si="0"/>
        <v>1138500</v>
      </c>
      <c r="Q7" s="1991">
        <f t="shared" si="0"/>
        <v>0</v>
      </c>
      <c r="R7" s="1993">
        <f>SUM(H7:Q7)</f>
        <v>1580545.09515</v>
      </c>
      <c r="S7" s="1994">
        <f>SUM(S5:S6)</f>
        <v>6665125</v>
      </c>
      <c r="T7" s="1542">
        <f>P7/R7</f>
        <v>0.72032111168074697</v>
      </c>
      <c r="U7" s="1542">
        <f>(K7+(I7*1.63))/R7</f>
        <v>6.2132361994189193E-2</v>
      </c>
      <c r="V7" s="1542">
        <f>M7/R7</f>
        <v>7.7086063772471541E-2</v>
      </c>
      <c r="W7" s="1540">
        <f>R7/S7</f>
        <v>0.23713660211173834</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728542.38715000008</v>
      </c>
      <c r="E12" s="1948">
        <f>E15+E21+E27+E34+E40+E46+E52+E58+E64</f>
        <v>852002.70799999998</v>
      </c>
      <c r="F12" s="2157">
        <f>D12+E12</f>
        <v>1580545.09515</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70" t="s">
        <v>1118</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1131</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17"/>
    </row>
    <row r="15" spans="1:27">
      <c r="B15" s="1886" t="s">
        <v>312</v>
      </c>
      <c r="C15" s="2106" t="s">
        <v>46</v>
      </c>
      <c r="D15" s="2158">
        <f>SUM(D16:D19)</f>
        <v>58911.450000000004</v>
      </c>
      <c r="E15" s="1926">
        <f>SUM(E16:E19)</f>
        <v>60384.35</v>
      </c>
      <c r="F15" s="2157">
        <f>D15+E15</f>
        <v>119295.8</v>
      </c>
      <c r="H15" s="1938" t="s">
        <v>327</v>
      </c>
      <c r="I15" s="1939"/>
      <c r="J15" s="1939"/>
      <c r="K15" s="1940"/>
      <c r="L15" s="1941">
        <f>SUMPRODUCT(L16:L179,S16:S179)</f>
        <v>2381318</v>
      </c>
      <c r="M15" s="1941">
        <f>SUM(M16:M179)</f>
        <v>257075</v>
      </c>
      <c r="N15" s="1942" t="s">
        <v>241</v>
      </c>
      <c r="O15" s="1940">
        <v>11</v>
      </c>
      <c r="P15" s="1940"/>
      <c r="Q15" s="1940"/>
      <c r="R15" s="1940"/>
      <c r="S15" s="1940"/>
      <c r="T15" s="1943">
        <f t="shared" ref="T15:Y15" si="1">SUM(T16:T65)</f>
        <v>2975025</v>
      </c>
      <c r="U15" s="1943">
        <f t="shared" si="1"/>
        <v>3690100</v>
      </c>
      <c r="V15" s="1943">
        <f t="shared" si="1"/>
        <v>6665125</v>
      </c>
      <c r="W15" s="3283">
        <f t="shared" si="1"/>
        <v>509250</v>
      </c>
      <c r="X15" s="3283">
        <f t="shared" si="1"/>
        <v>629250</v>
      </c>
      <c r="Y15" s="3283">
        <f t="shared" si="1"/>
        <v>1138500</v>
      </c>
      <c r="Z15" s="1945">
        <v>0</v>
      </c>
      <c r="AA15" s="1917"/>
    </row>
    <row r="16" spans="1:27">
      <c r="B16" s="2610">
        <v>0.5</v>
      </c>
      <c r="C16" s="2197" t="s">
        <v>792</v>
      </c>
      <c r="D16" s="2201">
        <v>45316.5</v>
      </c>
      <c r="E16" s="2200">
        <v>46449.5</v>
      </c>
      <c r="F16" s="1879">
        <f>SUM(D16:E16)</f>
        <v>91766</v>
      </c>
      <c r="H16" s="1922" t="s">
        <v>1299</v>
      </c>
      <c r="I16" s="1928">
        <v>1475</v>
      </c>
      <c r="J16" s="1932" t="s">
        <v>120</v>
      </c>
      <c r="K16" s="1922" t="s">
        <v>909</v>
      </c>
      <c r="L16" s="1929">
        <v>677</v>
      </c>
      <c r="M16" s="1929">
        <v>450</v>
      </c>
      <c r="N16" s="1923">
        <v>3.9971816481938156E-2</v>
      </c>
      <c r="O16" s="1922">
        <v>10</v>
      </c>
      <c r="P16" s="1925" t="s">
        <v>1249</v>
      </c>
      <c r="Q16" s="1928">
        <v>75</v>
      </c>
      <c r="R16" s="1928">
        <v>100</v>
      </c>
      <c r="S16" s="1931">
        <f t="shared" ref="S16:S22" si="2">Q16+R16</f>
        <v>175</v>
      </c>
      <c r="T16" s="1931">
        <f t="shared" ref="T16:T22" si="3">I16*Q16</f>
        <v>110625</v>
      </c>
      <c r="U16" s="1931">
        <f t="shared" ref="U16:U22" si="4">I16*R16</f>
        <v>147500</v>
      </c>
      <c r="V16" s="1931">
        <f t="shared" ref="V16:V22" si="5">T16+U16</f>
        <v>258125</v>
      </c>
      <c r="W16" s="1921">
        <f t="shared" ref="W16:W22" si="6">M16*Q16</f>
        <v>33750</v>
      </c>
      <c r="X16" s="1921">
        <f t="shared" ref="X16:X22" si="7">M16*R16</f>
        <v>45000</v>
      </c>
      <c r="Y16" s="1921">
        <f t="shared" ref="Y16:Y22" si="8">W16+X16</f>
        <v>78750</v>
      </c>
      <c r="Z16" s="1946"/>
      <c r="AA16" s="1917"/>
    </row>
    <row r="17" spans="2:27">
      <c r="B17" s="2610">
        <v>0.1</v>
      </c>
      <c r="C17" s="2197" t="s">
        <v>967</v>
      </c>
      <c r="D17" s="2199">
        <v>9063.3000000000011</v>
      </c>
      <c r="E17" s="2198">
        <v>9289.9</v>
      </c>
      <c r="F17" s="2191">
        <f t="shared" ref="F17:F30" si="9">SUM(D17:E17)</f>
        <v>18353.2</v>
      </c>
      <c r="H17" s="1922" t="s">
        <v>1300</v>
      </c>
      <c r="I17" s="1928">
        <v>1250000</v>
      </c>
      <c r="J17" s="1932" t="s">
        <v>120</v>
      </c>
      <c r="K17" s="1922" t="s">
        <v>1066</v>
      </c>
      <c r="L17" s="1929">
        <v>630046.5</v>
      </c>
      <c r="M17" s="1929">
        <v>175500</v>
      </c>
      <c r="N17" s="1923">
        <v>0.33874420747405221</v>
      </c>
      <c r="O17" s="1922">
        <v>15</v>
      </c>
      <c r="P17" s="1925" t="s">
        <v>1249</v>
      </c>
      <c r="Q17" s="1928">
        <v>1</v>
      </c>
      <c r="R17" s="1928">
        <v>1</v>
      </c>
      <c r="S17" s="1931">
        <f t="shared" si="2"/>
        <v>2</v>
      </c>
      <c r="T17" s="1931">
        <f t="shared" si="3"/>
        <v>1250000</v>
      </c>
      <c r="U17" s="1931">
        <f t="shared" si="4"/>
        <v>1250000</v>
      </c>
      <c r="V17" s="1931">
        <f t="shared" si="5"/>
        <v>2500000</v>
      </c>
      <c r="W17" s="1921">
        <f t="shared" si="6"/>
        <v>175500</v>
      </c>
      <c r="X17" s="1921">
        <f t="shared" si="7"/>
        <v>175500</v>
      </c>
      <c r="Y17" s="1921">
        <f t="shared" si="8"/>
        <v>351000</v>
      </c>
      <c r="Z17" s="1946"/>
      <c r="AA17" s="1917"/>
    </row>
    <row r="18" spans="2:27">
      <c r="B18" s="2610">
        <v>0.1</v>
      </c>
      <c r="C18" s="2197" t="s">
        <v>791</v>
      </c>
      <c r="D18" s="2199">
        <v>4531.6500000000005</v>
      </c>
      <c r="E18" s="2198">
        <v>4644.95</v>
      </c>
      <c r="F18" s="2191">
        <f t="shared" si="9"/>
        <v>9176.6</v>
      </c>
      <c r="H18" s="1922" t="s">
        <v>1301</v>
      </c>
      <c r="I18" s="1928">
        <v>250000</v>
      </c>
      <c r="J18" s="1932" t="s">
        <v>120</v>
      </c>
      <c r="K18" s="1922" t="s">
        <v>1066</v>
      </c>
      <c r="L18" s="1929">
        <v>80500</v>
      </c>
      <c r="M18" s="1929">
        <v>80500</v>
      </c>
      <c r="N18" s="1923">
        <v>6.7748841494810433E-2</v>
      </c>
      <c r="O18" s="1922">
        <v>5</v>
      </c>
      <c r="P18" s="1925" t="s">
        <v>1249</v>
      </c>
      <c r="Q18" s="1928">
        <v>1</v>
      </c>
      <c r="R18" s="1928">
        <v>1</v>
      </c>
      <c r="S18" s="1931">
        <f t="shared" si="2"/>
        <v>2</v>
      </c>
      <c r="T18" s="1931">
        <f t="shared" si="3"/>
        <v>250000</v>
      </c>
      <c r="U18" s="1931">
        <f t="shared" si="4"/>
        <v>250000</v>
      </c>
      <c r="V18" s="1931">
        <f t="shared" si="5"/>
        <v>500000</v>
      </c>
      <c r="W18" s="1921">
        <f t="shared" si="6"/>
        <v>80500</v>
      </c>
      <c r="X18" s="1921">
        <f t="shared" si="7"/>
        <v>80500</v>
      </c>
      <c r="Y18" s="1921">
        <f t="shared" si="8"/>
        <v>161000</v>
      </c>
      <c r="Z18" s="1946"/>
      <c r="AA18" s="1917"/>
    </row>
    <row r="19" spans="2:27">
      <c r="B19" s="2610">
        <v>0.1</v>
      </c>
      <c r="C19" s="2197"/>
      <c r="D19" s="1903"/>
      <c r="E19" s="1902"/>
      <c r="F19" s="2191">
        <f t="shared" si="9"/>
        <v>0</v>
      </c>
      <c r="H19" s="1922" t="s">
        <v>1302</v>
      </c>
      <c r="I19" s="1928">
        <v>1782</v>
      </c>
      <c r="J19" s="1932" t="s">
        <v>120</v>
      </c>
      <c r="K19" s="1922" t="s">
        <v>909</v>
      </c>
      <c r="L19" s="1929">
        <v>167.5</v>
      </c>
      <c r="M19" s="1929">
        <v>150</v>
      </c>
      <c r="N19" s="1923">
        <v>0.14487412265250263</v>
      </c>
      <c r="O19" s="1922">
        <v>5</v>
      </c>
      <c r="P19" s="1925" t="s">
        <v>1249</v>
      </c>
      <c r="Q19" s="1928">
        <v>200</v>
      </c>
      <c r="R19" s="1928">
        <v>300</v>
      </c>
      <c r="S19" s="1931">
        <f t="shared" si="2"/>
        <v>500</v>
      </c>
      <c r="T19" s="1931">
        <f t="shared" si="3"/>
        <v>356400</v>
      </c>
      <c r="U19" s="1931">
        <f t="shared" si="4"/>
        <v>534600</v>
      </c>
      <c r="V19" s="1931">
        <f t="shared" si="5"/>
        <v>891000</v>
      </c>
      <c r="W19" s="1921">
        <f t="shared" si="6"/>
        <v>30000</v>
      </c>
      <c r="X19" s="1921">
        <f t="shared" si="7"/>
        <v>45000</v>
      </c>
      <c r="Y19" s="1921">
        <f t="shared" si="8"/>
        <v>75000</v>
      </c>
      <c r="Z19" s="1946"/>
      <c r="AA19" s="1917"/>
    </row>
    <row r="20" spans="2:27">
      <c r="B20" s="1908">
        <f>SUM(B16:B19)</f>
        <v>0.79999999999999993</v>
      </c>
      <c r="C20" s="1952"/>
      <c r="D20" s="1954"/>
      <c r="E20" s="1955"/>
      <c r="F20" s="1957"/>
      <c r="H20" s="1922" t="s">
        <v>1303</v>
      </c>
      <c r="I20" s="1928">
        <v>400</v>
      </c>
      <c r="J20" s="1932" t="s">
        <v>120</v>
      </c>
      <c r="K20" s="1922" t="s">
        <v>909</v>
      </c>
      <c r="L20" s="1929">
        <v>200</v>
      </c>
      <c r="M20" s="1929">
        <v>100</v>
      </c>
      <c r="N20" s="1923">
        <v>2.1679629278339341E-3</v>
      </c>
      <c r="O20" s="1922">
        <v>10</v>
      </c>
      <c r="P20" s="1925" t="s">
        <v>1249</v>
      </c>
      <c r="Q20" s="1928">
        <v>20</v>
      </c>
      <c r="R20" s="1928">
        <v>20</v>
      </c>
      <c r="S20" s="1931">
        <f t="shared" si="2"/>
        <v>40</v>
      </c>
      <c r="T20" s="1931">
        <f t="shared" si="3"/>
        <v>8000</v>
      </c>
      <c r="U20" s="1931">
        <f t="shared" si="4"/>
        <v>8000</v>
      </c>
      <c r="V20" s="1931">
        <f t="shared" si="5"/>
        <v>16000</v>
      </c>
      <c r="W20" s="1921">
        <f t="shared" si="6"/>
        <v>2000</v>
      </c>
      <c r="X20" s="1921">
        <f t="shared" si="7"/>
        <v>2000</v>
      </c>
      <c r="Y20" s="1921">
        <f t="shared" si="8"/>
        <v>4000</v>
      </c>
      <c r="Z20" s="1946"/>
      <c r="AA20" s="1917"/>
    </row>
    <row r="21" spans="2:27">
      <c r="C21" s="2106" t="s">
        <v>47</v>
      </c>
      <c r="D21" s="2158">
        <f>SUM(D22:D25)</f>
        <v>4000</v>
      </c>
      <c r="E21" s="1926">
        <f>SUM(E22:E25)</f>
        <v>4100</v>
      </c>
      <c r="F21" s="2157">
        <f>D21+E21</f>
        <v>8100</v>
      </c>
      <c r="H21" s="1922" t="s">
        <v>1304</v>
      </c>
      <c r="I21" s="1928">
        <v>800</v>
      </c>
      <c r="J21" s="1932" t="s">
        <v>120</v>
      </c>
      <c r="K21" s="1922" t="s">
        <v>909</v>
      </c>
      <c r="L21" s="1929">
        <v>300</v>
      </c>
      <c r="M21" s="1929">
        <v>150</v>
      </c>
      <c r="N21" s="1923">
        <v>0.16259721958754506</v>
      </c>
      <c r="O21" s="1922">
        <v>10</v>
      </c>
      <c r="P21" s="1925" t="s">
        <v>1249</v>
      </c>
      <c r="Q21" s="1928">
        <v>500</v>
      </c>
      <c r="R21" s="1928">
        <v>750</v>
      </c>
      <c r="S21" s="1931">
        <f t="shared" si="2"/>
        <v>1250</v>
      </c>
      <c r="T21" s="1931">
        <f t="shared" si="3"/>
        <v>400000</v>
      </c>
      <c r="U21" s="1931">
        <f t="shared" si="4"/>
        <v>600000</v>
      </c>
      <c r="V21" s="1931">
        <f t="shared" si="5"/>
        <v>1000000</v>
      </c>
      <c r="W21" s="1921">
        <f t="shared" si="6"/>
        <v>75000</v>
      </c>
      <c r="X21" s="1921">
        <f t="shared" si="7"/>
        <v>112500</v>
      </c>
      <c r="Y21" s="1921">
        <f t="shared" si="8"/>
        <v>187500</v>
      </c>
      <c r="Z21" s="1946"/>
      <c r="AA21" s="1917"/>
    </row>
    <row r="22" spans="2:27">
      <c r="C22" s="2197"/>
      <c r="D22" s="2201">
        <v>4000</v>
      </c>
      <c r="E22" s="2200">
        <v>4100</v>
      </c>
      <c r="F22" s="1879">
        <f t="shared" si="9"/>
        <v>8100</v>
      </c>
      <c r="H22" s="1922" t="s">
        <v>1305</v>
      </c>
      <c r="I22" s="1928">
        <v>1200</v>
      </c>
      <c r="J22" s="1932" t="s">
        <v>120</v>
      </c>
      <c r="K22" s="1922" t="s">
        <v>909</v>
      </c>
      <c r="L22" s="1929">
        <v>300</v>
      </c>
      <c r="M22" s="1929">
        <v>225</v>
      </c>
      <c r="N22" s="1923">
        <v>0.24389582938131757</v>
      </c>
      <c r="O22" s="1922">
        <v>10</v>
      </c>
      <c r="P22" s="1925" t="s">
        <v>1249</v>
      </c>
      <c r="Q22" s="1928">
        <v>500</v>
      </c>
      <c r="R22" s="1928">
        <v>750</v>
      </c>
      <c r="S22" s="1931">
        <f t="shared" si="2"/>
        <v>1250</v>
      </c>
      <c r="T22" s="1931">
        <f t="shared" si="3"/>
        <v>600000</v>
      </c>
      <c r="U22" s="1931">
        <f t="shared" si="4"/>
        <v>900000</v>
      </c>
      <c r="V22" s="1931">
        <f t="shared" si="5"/>
        <v>1500000</v>
      </c>
      <c r="W22" s="1921">
        <f t="shared" si="6"/>
        <v>112500</v>
      </c>
      <c r="X22" s="1921">
        <f t="shared" si="7"/>
        <v>168750</v>
      </c>
      <c r="Y22" s="1921">
        <f t="shared" si="8"/>
        <v>281250</v>
      </c>
      <c r="Z22" s="1946"/>
      <c r="AA22" s="1917"/>
    </row>
    <row r="23" spans="2:27">
      <c r="C23" s="2197"/>
      <c r="D23" s="1900"/>
      <c r="E23" s="1899"/>
      <c r="F23" s="2191">
        <f t="shared" si="9"/>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17"/>
    </row>
    <row r="24" spans="2:27">
      <c r="C24" s="2197"/>
      <c r="D24" s="1898"/>
      <c r="E24" s="1897"/>
      <c r="F24" s="2191">
        <f t="shared" si="9"/>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17"/>
    </row>
    <row r="25" spans="2:27">
      <c r="C25" s="2197"/>
      <c r="D25" s="1896"/>
      <c r="E25" s="1899"/>
      <c r="F25" s="2191">
        <f t="shared" si="9"/>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17"/>
    </row>
    <row r="26" spans="2:27">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17"/>
    </row>
    <row r="27" spans="2:27">
      <c r="C27" s="2106" t="s">
        <v>48</v>
      </c>
      <c r="D27" s="2158">
        <f>SUM(D29:D32)</f>
        <v>41961.937150000005</v>
      </c>
      <c r="E27" s="1926">
        <f>SUM(E29:E32)</f>
        <v>43849.358</v>
      </c>
      <c r="F27" s="2157">
        <f>D27+E27</f>
        <v>85811.295150000005</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17"/>
    </row>
    <row r="28" spans="2:27">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17"/>
    </row>
    <row r="29" spans="2:27">
      <c r="C29" s="2197" t="s">
        <v>778</v>
      </c>
      <c r="D29" s="2202">
        <f>D15*D28</f>
        <v>39293.937150000005</v>
      </c>
      <c r="E29" s="2163">
        <f>E15*E28</f>
        <v>41061.358</v>
      </c>
      <c r="F29" s="2191">
        <f t="shared" si="9"/>
        <v>80355.295150000005</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17"/>
    </row>
    <row r="30" spans="2:27">
      <c r="C30" s="2197" t="s">
        <v>779</v>
      </c>
      <c r="D30" s="1973">
        <f>D21*D28</f>
        <v>2668</v>
      </c>
      <c r="E30" s="2163">
        <f>E21*E28</f>
        <v>2788</v>
      </c>
      <c r="F30" s="2191">
        <f t="shared" si="9"/>
        <v>5456</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17"/>
    </row>
    <row r="31" spans="2:27">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17"/>
    </row>
    <row r="32" spans="2:27">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17"/>
    </row>
    <row r="33" spans="1:27">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17"/>
    </row>
    <row r="34" spans="1:27">
      <c r="A34" s="2802" t="s">
        <v>660</v>
      </c>
      <c r="C34" s="2106" t="s">
        <v>49</v>
      </c>
      <c r="D34" s="2158">
        <f>SUM(D35:D38)</f>
        <v>42500</v>
      </c>
      <c r="E34" s="1926">
        <f>SUM(E35:E38)</f>
        <v>42500</v>
      </c>
      <c r="F34" s="2157">
        <f>D34+E34</f>
        <v>85000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17"/>
    </row>
    <row r="35" spans="1:27">
      <c r="A35" s="2802" t="s">
        <v>278</v>
      </c>
      <c r="C35" s="2197"/>
      <c r="D35" s="2202">
        <v>42500</v>
      </c>
      <c r="E35" s="2203">
        <v>42500</v>
      </c>
      <c r="F35" s="2191">
        <f t="shared" ref="F35:F44" si="10">SUM(D35:E35)</f>
        <v>85000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17"/>
    </row>
    <row r="36" spans="1:27">
      <c r="A36" s="2802" t="s">
        <v>6</v>
      </c>
      <c r="C36" s="2197"/>
      <c r="D36" s="2202"/>
      <c r="E36" s="2203"/>
      <c r="F36" s="2191">
        <f t="shared" si="10"/>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17"/>
    </row>
    <row r="37" spans="1:27">
      <c r="A37" s="2802">
        <v>18230718</v>
      </c>
      <c r="C37" s="2197"/>
      <c r="D37" s="2202"/>
      <c r="E37" s="2203"/>
      <c r="F37" s="2191">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17"/>
    </row>
    <row r="38" spans="1:27">
      <c r="A38" s="2802" t="s">
        <v>5</v>
      </c>
      <c r="C38" s="2197"/>
      <c r="D38" s="2202"/>
      <c r="E38" s="2203"/>
      <c r="F38" s="2191">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17"/>
    </row>
    <row r="39" spans="1:27">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17"/>
    </row>
    <row r="40" spans="1:27">
      <c r="A40" s="2193"/>
      <c r="C40" s="2106" t="s">
        <v>506</v>
      </c>
      <c r="D40" s="2158">
        <f>SUM(D41:D44)</f>
        <v>5000</v>
      </c>
      <c r="E40" s="1926">
        <f>SUM(E41:E44)</f>
        <v>5000</v>
      </c>
      <c r="F40" s="2157">
        <f>D40+E40</f>
        <v>10000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17"/>
    </row>
    <row r="41" spans="1:27">
      <c r="C41" s="2197"/>
      <c r="D41" s="2202">
        <v>5000</v>
      </c>
      <c r="E41" s="2203">
        <v>5000</v>
      </c>
      <c r="F41" s="2191">
        <f t="shared" si="10"/>
        <v>10000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17"/>
    </row>
    <row r="42" spans="1:27">
      <c r="C42" s="2197"/>
      <c r="D42" s="2202"/>
      <c r="E42" s="2203"/>
      <c r="F42" s="2191">
        <f t="shared" si="10"/>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17"/>
    </row>
    <row r="43" spans="1:27">
      <c r="C43" s="2197"/>
      <c r="D43" s="2202"/>
      <c r="E43" s="2203"/>
      <c r="F43" s="2191">
        <f t="shared" si="1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17"/>
    </row>
    <row r="44" spans="1:27">
      <c r="C44" s="2197"/>
      <c r="D44" s="2202"/>
      <c r="E44" s="2203"/>
      <c r="F44" s="2191">
        <f t="shared" si="1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17"/>
    </row>
    <row r="45" spans="1:27">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17"/>
    </row>
    <row r="46" spans="1:27">
      <c r="C46" s="2106" t="s">
        <v>50</v>
      </c>
      <c r="D46" s="2158">
        <f>SUM(D47:D50)</f>
        <v>60919</v>
      </c>
      <c r="E46" s="1926">
        <f>SUM(E47:E50)</f>
        <v>60919</v>
      </c>
      <c r="F46" s="2157">
        <f>D46+E46</f>
        <v>121838</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17"/>
    </row>
    <row r="47" spans="1:27">
      <c r="C47" s="2197" t="s">
        <v>1694</v>
      </c>
      <c r="D47" s="2202">
        <v>60919</v>
      </c>
      <c r="E47" s="2203">
        <v>60919</v>
      </c>
      <c r="F47" s="2191">
        <f t="shared" ref="F47:F62" si="11">SUM(D47:E47)</f>
        <v>121838</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17"/>
    </row>
    <row r="48" spans="1:27">
      <c r="C48" s="2197"/>
      <c r="D48" s="2202"/>
      <c r="E48" s="2203"/>
      <c r="F48" s="2191">
        <f t="shared" si="1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17"/>
    </row>
    <row r="49" spans="1:27">
      <c r="C49" s="2197"/>
      <c r="D49" s="2202"/>
      <c r="E49" s="2203"/>
      <c r="F49" s="2191">
        <f t="shared" si="1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17"/>
    </row>
    <row r="50" spans="1:27">
      <c r="C50" s="2197"/>
      <c r="D50" s="2202"/>
      <c r="E50" s="2203"/>
      <c r="F50" s="2191">
        <f t="shared" si="1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17"/>
    </row>
    <row r="51" spans="1:27">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17"/>
    </row>
    <row r="52" spans="1:27">
      <c r="C52" s="2106" t="s">
        <v>51</v>
      </c>
      <c r="D52" s="2158">
        <f>SUM(D53:D56)</f>
        <v>5000</v>
      </c>
      <c r="E52" s="1926">
        <f>SUM(E53:E56)</f>
        <v>5000</v>
      </c>
      <c r="F52" s="2157">
        <f>D52+E52</f>
        <v>10000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17"/>
    </row>
    <row r="53" spans="1:27">
      <c r="C53" s="2197"/>
      <c r="D53" s="2202">
        <v>5000</v>
      </c>
      <c r="E53" s="2163">
        <v>5000</v>
      </c>
      <c r="F53" s="2191">
        <f t="shared" si="11"/>
        <v>10000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17"/>
    </row>
    <row r="54" spans="1:27">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17"/>
    </row>
    <row r="55" spans="1:27">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17"/>
    </row>
    <row r="56" spans="1:27">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17"/>
    </row>
    <row r="57" spans="1:27">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17"/>
    </row>
    <row r="58" spans="1:27">
      <c r="C58" s="2106" t="s">
        <v>52</v>
      </c>
      <c r="D58" s="2158">
        <f>SUM(D59:D62)</f>
        <v>1000</v>
      </c>
      <c r="E58" s="1926">
        <f>SUM(E59:E62)</f>
        <v>1000</v>
      </c>
      <c r="F58" s="2157">
        <f>D58+E58</f>
        <v>2000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17"/>
    </row>
    <row r="59" spans="1:27">
      <c r="C59" s="2197"/>
      <c r="D59" s="2202">
        <v>1000</v>
      </c>
      <c r="E59" s="2203">
        <v>1000</v>
      </c>
      <c r="F59" s="2191">
        <f t="shared" si="11"/>
        <v>2000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17"/>
    </row>
    <row r="60" spans="1:27">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17"/>
    </row>
    <row r="61" spans="1:27">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17"/>
    </row>
    <row r="62" spans="1:27">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17"/>
    </row>
    <row r="63" spans="1:27">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17"/>
    </row>
    <row r="64" spans="1:27">
      <c r="A64" s="2802" t="s">
        <v>660</v>
      </c>
      <c r="C64" s="2106" t="s">
        <v>53</v>
      </c>
      <c r="D64" s="2158">
        <f>W15</f>
        <v>509250</v>
      </c>
      <c r="E64" s="1926">
        <f>X15</f>
        <v>629250</v>
      </c>
      <c r="F64" s="2157">
        <f>D64+E64</f>
        <v>1138500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17"/>
    </row>
    <row r="65" spans="1:27">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17"/>
    </row>
    <row r="66" spans="1:27">
      <c r="A66" s="2802" t="s">
        <v>6</v>
      </c>
      <c r="C66" s="1968"/>
      <c r="D66" s="1963"/>
      <c r="E66" s="1964"/>
      <c r="F66" s="1965"/>
    </row>
    <row r="67" spans="1:27">
      <c r="A67" s="2802">
        <v>18230718</v>
      </c>
      <c r="C67" s="1959" t="s">
        <v>54</v>
      </c>
      <c r="D67" s="2202">
        <v>0</v>
      </c>
      <c r="E67" s="2202">
        <v>0</v>
      </c>
      <c r="F67" s="1956">
        <v>0</v>
      </c>
    </row>
    <row r="68" spans="1:27">
      <c r="A68" s="2802" t="s">
        <v>5</v>
      </c>
    </row>
    <row r="69" spans="1:27">
      <c r="A69" s="2193"/>
    </row>
    <row r="70" spans="1:27">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S8" sqref="S8"/>
      <pageMargins left="0.7" right="0.7" top="0.75" bottom="0.75" header="0.3" footer="0.3"/>
    </customSheetView>
    <customSheetView guid="{D9EFFE19-D14B-4C6F-BDF4-FF696F73968D}" showGridLines="0">
      <pane xSplit="1" ySplit="1" topLeftCell="C2" activePane="bottomRight" state="frozen"/>
      <selection pane="bottomRight" activeCell="L15" sqref="L15:M15"/>
      <pageMargins left="0.7" right="0.7" top="0.75" bottom="0.75" header="0.3" footer="0.3"/>
    </customSheetView>
  </customSheetViews>
  <mergeCells count="8">
    <mergeCell ref="R2:S2"/>
    <mergeCell ref="T2:V2"/>
    <mergeCell ref="W2:W3"/>
    <mergeCell ref="H10:P10"/>
    <mergeCell ref="H12:P12"/>
    <mergeCell ref="Q12:S12"/>
    <mergeCell ref="T12:V12"/>
    <mergeCell ref="W12:Y12"/>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G111"/>
  <sheetViews>
    <sheetView showGridLines="0" workbookViewId="0">
      <pane xSplit="1" ySplit="1" topLeftCell="B2" activePane="bottomRight" state="frozen"/>
      <selection pane="topRight" activeCell="B1" sqref="B1"/>
      <selection pane="bottomLeft" activeCell="A2" sqref="A2"/>
      <selection pane="bottomRight" activeCell="S5" sqref="S5"/>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661</v>
      </c>
      <c r="D1" s="1812" t="s">
        <v>278</v>
      </c>
      <c r="E1" s="1812" t="s">
        <v>6</v>
      </c>
      <c r="F1" s="1812">
        <v>18230722</v>
      </c>
      <c r="G1" s="1812" t="s">
        <v>5</v>
      </c>
      <c r="J1" s="1592"/>
      <c r="M1" s="1812" t="s">
        <v>661</v>
      </c>
      <c r="N1" s="1812" t="s">
        <v>278</v>
      </c>
      <c r="O1" s="1812" t="s">
        <v>6</v>
      </c>
      <c r="P1" s="1812">
        <v>18230722</v>
      </c>
      <c r="Q1" s="1812" t="s">
        <v>5</v>
      </c>
      <c r="V1" s="1812" t="s">
        <v>661</v>
      </c>
      <c r="W1" s="1812" t="s">
        <v>278</v>
      </c>
      <c r="X1" s="1812" t="s">
        <v>6</v>
      </c>
      <c r="Y1" s="1812">
        <v>18230722</v>
      </c>
      <c r="Z1" s="1812" t="s">
        <v>5</v>
      </c>
    </row>
    <row r="2" spans="1:33" ht="16.5" thickBot="1">
      <c r="C2" s="1592"/>
      <c r="D2" s="1575"/>
      <c r="H2" s="1576" t="s">
        <v>674</v>
      </c>
      <c r="R2" s="3596"/>
      <c r="S2" s="3596"/>
      <c r="T2" s="3597" t="s">
        <v>36</v>
      </c>
      <c r="U2" s="3598"/>
      <c r="V2" s="3599"/>
      <c r="W2" s="3594" t="s">
        <v>37</v>
      </c>
    </row>
    <row r="3" spans="1:33" ht="26.25" thickBot="1">
      <c r="A3" s="2802" t="s">
        <v>661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140000</v>
      </c>
      <c r="I4" s="2002">
        <v>15000</v>
      </c>
      <c r="J4" s="2002">
        <v>109585</v>
      </c>
      <c r="K4" s="2002">
        <v>24028</v>
      </c>
      <c r="L4" s="2002">
        <v>5000</v>
      </c>
      <c r="M4" s="2002">
        <v>21200</v>
      </c>
      <c r="N4" s="2002">
        <v>3600</v>
      </c>
      <c r="O4" s="2002">
        <v>1200</v>
      </c>
      <c r="P4" s="2002">
        <v>892500</v>
      </c>
      <c r="Q4" s="2002">
        <v>0</v>
      </c>
      <c r="R4" s="2000">
        <v>1212113</v>
      </c>
      <c r="S4" s="1998">
        <v>5116000</v>
      </c>
      <c r="T4" s="1541">
        <f>P4/R4</f>
        <v>0.73631748855098489</v>
      </c>
      <c r="U4" s="1541">
        <f>(K4+(I4*1.63))/R4</f>
        <v>3.9994620963557027E-2</v>
      </c>
      <c r="V4" s="1541">
        <f>M4/R4</f>
        <v>1.7490118495552806E-2</v>
      </c>
      <c r="W4" s="1539">
        <f>R4/S4</f>
        <v>0.23692591868647381</v>
      </c>
    </row>
    <row r="5" spans="1:33" ht="16.5" thickBot="1">
      <c r="A5" s="2802" t="s">
        <v>6</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v>18230722</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t="s">
        <v>5</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661</v>
      </c>
      <c r="C34" s="2106" t="s">
        <v>49</v>
      </c>
      <c r="D34" s="2158">
        <f>SUM(D35:D38)</f>
        <v>0</v>
      </c>
      <c r="E34" s="1926">
        <f>SUM(E35:E38)</f>
        <v>0</v>
      </c>
      <c r="F34" s="2157">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18230722</v>
      </c>
      <c r="C37" s="2197"/>
      <c r="D37" s="2202"/>
      <c r="E37" s="2203"/>
      <c r="F37" s="21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5</v>
      </c>
      <c r="C38" s="2197"/>
      <c r="D38" s="2202"/>
      <c r="E38" s="2203"/>
      <c r="F38" s="21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661</v>
      </c>
      <c r="C64" s="2106" t="s">
        <v>53</v>
      </c>
      <c r="D64" s="2158">
        <f>W15</f>
        <v>0</v>
      </c>
      <c r="E64" s="1926">
        <f>X15*1.15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18230722</v>
      </c>
      <c r="C67" s="1959" t="s">
        <v>54</v>
      </c>
      <c r="D67" s="2202">
        <v>0</v>
      </c>
      <c r="E67" s="2202">
        <v>0</v>
      </c>
      <c r="F67" s="1956">
        <v>0</v>
      </c>
    </row>
    <row r="68" spans="1:33">
      <c r="A68" s="2802" t="s">
        <v>5</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S5" sqref="S5"/>
      <pageMargins left="0.7" right="0.7" top="0.75" bottom="0.75" header="0.3" footer="0.3"/>
    </customSheetView>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79"/>
  <sheetViews>
    <sheetView showGridLines="0" workbookViewId="0">
      <pane xSplit="1" ySplit="1" topLeftCell="B2" activePane="bottomRight" state="frozen"/>
      <selection pane="topRight" activeCell="B1" sqref="B1"/>
      <selection pane="bottomLeft" activeCell="A2" sqref="A2"/>
      <selection pane="bottomRight" activeCell="O7" sqref="O7"/>
    </sheetView>
  </sheetViews>
  <sheetFormatPr defaultRowHeight="12.75"/>
  <cols>
    <col min="1" max="1" width="17.42578125" customWidth="1"/>
    <col min="2" max="2" width="15.5703125" customWidth="1"/>
    <col min="3" max="3" width="27.28515625" customWidth="1"/>
    <col min="4" max="4" width="15.28515625" customWidth="1"/>
    <col min="5" max="5" width="15.28515625" style="2994" customWidth="1"/>
    <col min="6" max="7" width="15.28515625" customWidth="1"/>
    <col min="8" max="8" width="41.85546875" style="2932" customWidth="1"/>
    <col min="9" max="26" width="15.28515625" customWidth="1"/>
  </cols>
  <sheetData>
    <row r="1" spans="1:27" ht="54" customHeight="1" thickBot="1">
      <c r="C1" s="1831" t="s">
        <v>1493</v>
      </c>
      <c r="D1" s="1831" t="s">
        <v>278</v>
      </c>
      <c r="E1" s="3004" t="s">
        <v>6</v>
      </c>
      <c r="F1" s="1831" t="s">
        <v>1494</v>
      </c>
      <c r="G1" s="1831" t="s">
        <v>5</v>
      </c>
      <c r="J1" s="1592"/>
      <c r="M1" s="1831" t="s">
        <v>1493</v>
      </c>
      <c r="N1" s="1831" t="s">
        <v>278</v>
      </c>
      <c r="O1" s="1831" t="s">
        <v>6</v>
      </c>
      <c r="P1" s="1831" t="s">
        <v>1494</v>
      </c>
      <c r="Q1" s="1831" t="s">
        <v>5</v>
      </c>
      <c r="V1" s="1831" t="s">
        <v>1493</v>
      </c>
      <c r="W1" s="1831" t="s">
        <v>278</v>
      </c>
      <c r="X1" s="1831" t="s">
        <v>6</v>
      </c>
      <c r="Y1" s="1831" t="s">
        <v>1494</v>
      </c>
      <c r="Z1" s="1831" t="s">
        <v>5</v>
      </c>
    </row>
    <row r="2" spans="1:27" ht="16.5" thickBot="1">
      <c r="C2" s="1592"/>
      <c r="D2" s="2993"/>
      <c r="H2" s="3099" t="s">
        <v>674</v>
      </c>
      <c r="R2" s="2995"/>
      <c r="T2" s="2996" t="s">
        <v>36</v>
      </c>
      <c r="W2" s="2997" t="s">
        <v>37</v>
      </c>
    </row>
    <row r="3" spans="1:27" ht="26.25" thickBot="1">
      <c r="A3" s="3004" t="s">
        <v>1493</v>
      </c>
      <c r="B3" s="3004"/>
      <c r="H3" s="3100"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7" ht="16.5" thickBot="1">
      <c r="A4" s="3004" t="s">
        <v>278</v>
      </c>
      <c r="B4" s="3004"/>
      <c r="C4" s="2993"/>
      <c r="G4" s="3005" t="s">
        <v>668</v>
      </c>
      <c r="H4" s="3107"/>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7" ht="16.5" thickBot="1">
      <c r="A5" s="3004" t="s">
        <v>6</v>
      </c>
      <c r="B5" s="3004"/>
      <c r="C5" s="1592"/>
      <c r="G5" s="1592">
        <v>2016</v>
      </c>
      <c r="H5" s="3108">
        <f>D15</f>
        <v>19939.260000000002</v>
      </c>
      <c r="I5" s="1549">
        <f>D21</f>
        <v>0</v>
      </c>
      <c r="J5" s="1549">
        <f>D27</f>
        <v>13299.486420000003</v>
      </c>
      <c r="K5" s="1549">
        <f>D34</f>
        <v>0</v>
      </c>
      <c r="L5" s="1549">
        <f>D40</f>
        <v>0</v>
      </c>
      <c r="M5" s="1549">
        <f>D46</f>
        <v>10185</v>
      </c>
      <c r="N5" s="1549">
        <f>D52</f>
        <v>0</v>
      </c>
      <c r="O5" s="1549">
        <f>D58</f>
        <v>152775</v>
      </c>
      <c r="P5" s="1549">
        <f>D64</f>
        <v>175731.375</v>
      </c>
      <c r="Q5" s="1549">
        <f>D65</f>
        <v>0</v>
      </c>
      <c r="R5" s="2001">
        <f>SUM(H5:Q5)</f>
        <v>371930.12141999998</v>
      </c>
      <c r="S5" s="1999">
        <f>T15</f>
        <v>1082872.5</v>
      </c>
      <c r="T5" s="3009">
        <f>P5/R5</f>
        <v>0.47248492359013949</v>
      </c>
      <c r="U5" s="3009">
        <f>(K5+(I5*1.63))/R5</f>
        <v>0</v>
      </c>
      <c r="V5" s="3009">
        <f>M5/R5</f>
        <v>2.7384176256320596E-2</v>
      </c>
      <c r="W5" s="3010">
        <f>R5/S5</f>
        <v>0.3434662173247543</v>
      </c>
    </row>
    <row r="6" spans="1:27" ht="16.5" thickBot="1">
      <c r="A6" s="3004" t="s">
        <v>1494</v>
      </c>
      <c r="B6" s="3004"/>
      <c r="D6" s="1592"/>
      <c r="G6" s="1592">
        <v>2017</v>
      </c>
      <c r="H6" s="3109">
        <f>E15</f>
        <v>20437.780000000002</v>
      </c>
      <c r="I6" s="1990">
        <f>E21</f>
        <v>0</v>
      </c>
      <c r="J6" s="3093">
        <f>E27</f>
        <v>13897.690400000003</v>
      </c>
      <c r="K6" s="1990">
        <f>E34</f>
        <v>0</v>
      </c>
      <c r="L6" s="1990">
        <f>E40</f>
        <v>0</v>
      </c>
      <c r="M6" s="1990">
        <f>E46</f>
        <v>10185</v>
      </c>
      <c r="N6" s="1990">
        <f>E52</f>
        <v>0</v>
      </c>
      <c r="O6" s="1990">
        <f>E58</f>
        <v>152775</v>
      </c>
      <c r="P6" s="1990">
        <f>E64</f>
        <v>327270.625</v>
      </c>
      <c r="Q6" s="1990">
        <f>E65</f>
        <v>0</v>
      </c>
      <c r="R6" s="3013">
        <f>SUM(H6:Q6)</f>
        <v>524566.09539999999</v>
      </c>
      <c r="S6" s="1996">
        <f>U15</f>
        <v>1912897.5</v>
      </c>
      <c r="T6" s="3009">
        <f>P6/R6</f>
        <v>0.62388825330093955</v>
      </c>
      <c r="U6" s="3009">
        <f>(K6+(I6*1.63))/R6</f>
        <v>0</v>
      </c>
      <c r="V6" s="3009">
        <f>M6/R6</f>
        <v>1.9416047070738685E-2</v>
      </c>
      <c r="W6" s="3010">
        <f>R6/S6</f>
        <v>0.27422592972179638</v>
      </c>
    </row>
    <row r="7" spans="1:27" ht="16.5" thickBot="1">
      <c r="A7" s="3004" t="s">
        <v>5</v>
      </c>
      <c r="B7" s="3004"/>
      <c r="D7" s="1592"/>
      <c r="G7" s="3014" t="s">
        <v>23</v>
      </c>
      <c r="H7" s="3110">
        <f t="shared" ref="H7:Q7" si="0">SUM(H5:H6)</f>
        <v>40377.040000000008</v>
      </c>
      <c r="I7" s="3015">
        <f t="shared" si="0"/>
        <v>0</v>
      </c>
      <c r="J7" s="3016">
        <f t="shared" si="0"/>
        <v>27197.176820000008</v>
      </c>
      <c r="K7" s="1993">
        <f t="shared" si="0"/>
        <v>0</v>
      </c>
      <c r="L7" s="3015">
        <f t="shared" si="0"/>
        <v>0</v>
      </c>
      <c r="M7" s="3016">
        <f t="shared" si="0"/>
        <v>20370</v>
      </c>
      <c r="N7" s="3015">
        <f t="shared" si="0"/>
        <v>0</v>
      </c>
      <c r="O7" s="3016">
        <f t="shared" si="0"/>
        <v>305550</v>
      </c>
      <c r="P7" s="1993">
        <f t="shared" si="0"/>
        <v>503002</v>
      </c>
      <c r="Q7" s="3015">
        <f t="shared" si="0"/>
        <v>0</v>
      </c>
      <c r="R7" s="1993">
        <f>SUM(H7:Q7)</f>
        <v>896496.21681999997</v>
      </c>
      <c r="S7" s="1994">
        <f>SUM(S5:S6)</f>
        <v>2995770</v>
      </c>
      <c r="T7" s="3009">
        <f>P7/R7</f>
        <v>0.56107542961443813</v>
      </c>
      <c r="U7" s="3009">
        <f>(K7+(I7*1.63))/R7</f>
        <v>0</v>
      </c>
      <c r="V7" s="3009">
        <f>M7/R7</f>
        <v>2.2721791367123999E-2</v>
      </c>
      <c r="W7" s="3010">
        <f>R7/S7</f>
        <v>0.29925402044215677</v>
      </c>
    </row>
    <row r="8" spans="1:27" ht="15.75">
      <c r="A8" s="2994"/>
      <c r="B8" s="3004"/>
      <c r="D8" s="1592"/>
    </row>
    <row r="9" spans="1:27" ht="15.75">
      <c r="A9" s="3004"/>
      <c r="B9" s="3004"/>
      <c r="D9" s="1592"/>
    </row>
    <row r="10" spans="1:27">
      <c r="A10" s="3004"/>
      <c r="B10" s="3004"/>
      <c r="C10" s="3017" t="s">
        <v>329</v>
      </c>
      <c r="D10" s="3017"/>
      <c r="E10" s="3072"/>
      <c r="F10" s="3017"/>
      <c r="H10" s="3018" t="s">
        <v>317</v>
      </c>
      <c r="Q10" s="3017"/>
      <c r="R10" s="3017"/>
      <c r="S10" s="3017"/>
      <c r="T10" s="3017"/>
      <c r="U10" s="3017"/>
      <c r="V10" s="3017"/>
      <c r="W10" s="3018" t="s">
        <v>317</v>
      </c>
      <c r="X10" s="3017"/>
      <c r="Y10" s="3017"/>
      <c r="Z10" s="3018" t="s">
        <v>317</v>
      </c>
      <c r="AA10" s="3017"/>
    </row>
    <row r="11" spans="1:27">
      <c r="A11" s="3004"/>
      <c r="B11" s="3004"/>
      <c r="H11" s="3101"/>
      <c r="I11" s="3020"/>
      <c r="J11" s="3020"/>
      <c r="K11" s="3019"/>
      <c r="L11" s="3019"/>
      <c r="M11" s="3019"/>
      <c r="N11" s="3019"/>
      <c r="O11" s="3019"/>
      <c r="P11" s="3019"/>
      <c r="Q11" s="3019"/>
      <c r="R11" s="3019"/>
      <c r="S11" s="3019"/>
      <c r="T11" s="3019"/>
      <c r="U11" s="3019"/>
      <c r="V11" s="3019"/>
      <c r="W11" s="3019"/>
      <c r="X11" s="3019"/>
      <c r="Y11" s="3019"/>
      <c r="Z11" s="3019"/>
      <c r="AA11" s="3019"/>
    </row>
    <row r="12" spans="1:27">
      <c r="A12" s="3004"/>
      <c r="B12" s="3004"/>
      <c r="C12" s="3021" t="s">
        <v>314</v>
      </c>
      <c r="D12" s="3022">
        <f>D15+D21+D27+D34+D40+D46+D52+D58+D64</f>
        <v>371930.12141999998</v>
      </c>
      <c r="E12" s="3073">
        <f>E15+E21+E27+E34+E40+E46+E52+E58+E64</f>
        <v>524566.09539999999</v>
      </c>
      <c r="F12" s="3022">
        <f>D12+E12</f>
        <v>896496.21681999997</v>
      </c>
      <c r="H12" s="3102" t="s">
        <v>318</v>
      </c>
      <c r="Q12" s="3024" t="s">
        <v>43</v>
      </c>
      <c r="T12" s="3025" t="s">
        <v>44</v>
      </c>
      <c r="W12" s="3026" t="s">
        <v>56</v>
      </c>
      <c r="Z12" s="3094" t="s">
        <v>319</v>
      </c>
      <c r="AA12" s="3019"/>
    </row>
    <row r="13" spans="1:27">
      <c r="C13" s="3027"/>
      <c r="E13" s="3074"/>
      <c r="H13" s="3103"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89" t="s">
        <v>1118</v>
      </c>
      <c r="AA13" s="3019"/>
    </row>
    <row r="14" spans="1:27" ht="15.75">
      <c r="C14" s="1888" t="s">
        <v>45</v>
      </c>
      <c r="D14" s="3032">
        <v>2016</v>
      </c>
      <c r="E14" s="3033">
        <v>2017</v>
      </c>
      <c r="F14" s="3034" t="s">
        <v>23</v>
      </c>
      <c r="H14" s="3104"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3089" t="s">
        <v>1131</v>
      </c>
      <c r="AA14" s="3019"/>
    </row>
    <row r="15" spans="1:27">
      <c r="B15" s="3036" t="s">
        <v>312</v>
      </c>
      <c r="C15" s="3037" t="s">
        <v>46</v>
      </c>
      <c r="D15" s="3038">
        <f>SUM(D16:D19)</f>
        <v>19939.260000000002</v>
      </c>
      <c r="E15" s="3075">
        <f>SUM(E16:E19)</f>
        <v>20437.780000000002</v>
      </c>
      <c r="F15" s="3022">
        <f>D15+E15</f>
        <v>40377.040000000008</v>
      </c>
      <c r="H15" s="3105" t="s">
        <v>327</v>
      </c>
      <c r="I15" s="3040"/>
      <c r="J15" s="3040"/>
      <c r="K15" s="3041"/>
      <c r="L15" s="3042">
        <f>SUMPRODUCT(L16:L120,S16:S120)</f>
        <v>824105.2</v>
      </c>
      <c r="M15" s="3042">
        <f>SUM(M16:M120)</f>
        <v>57363.704999999987</v>
      </c>
      <c r="N15" s="3043" t="s">
        <v>241</v>
      </c>
      <c r="O15" s="3041">
        <v>7</v>
      </c>
      <c r="P15" s="3041"/>
      <c r="Q15" s="3041"/>
      <c r="R15" s="3041"/>
      <c r="S15" s="3041"/>
      <c r="T15" s="3044">
        <f t="shared" ref="T15:Y15" si="1">SUM(T16:T179)</f>
        <v>1082872.5</v>
      </c>
      <c r="U15" s="3044">
        <f t="shared" si="1"/>
        <v>1912897.5</v>
      </c>
      <c r="V15" s="3044">
        <f t="shared" si="1"/>
        <v>2995770</v>
      </c>
      <c r="W15" s="3042">
        <f t="shared" si="1"/>
        <v>175731.375</v>
      </c>
      <c r="X15" s="3042">
        <f t="shared" si="1"/>
        <v>327270.625</v>
      </c>
      <c r="Y15" s="3042">
        <f t="shared" si="1"/>
        <v>503002</v>
      </c>
      <c r="Z15" s="3041">
        <v>0</v>
      </c>
      <c r="AA15" s="3019"/>
    </row>
    <row r="16" spans="1:27">
      <c r="B16" s="3045">
        <v>0.17</v>
      </c>
      <c r="C16" s="3046" t="s">
        <v>792</v>
      </c>
      <c r="D16" s="2242">
        <v>15407.61</v>
      </c>
      <c r="E16" s="3076">
        <v>15792.830000000002</v>
      </c>
      <c r="F16" s="3047">
        <f>SUM(D16:E16)</f>
        <v>31200.440000000002</v>
      </c>
      <c r="H16" s="3106" t="s">
        <v>1495</v>
      </c>
      <c r="I16" s="2953">
        <v>20</v>
      </c>
      <c r="J16" s="2950" t="s">
        <v>120</v>
      </c>
      <c r="K16" s="2948" t="s">
        <v>909</v>
      </c>
      <c r="L16" s="2951">
        <v>5.67</v>
      </c>
      <c r="M16" s="2951">
        <v>5.67</v>
      </c>
      <c r="N16" s="2977">
        <v>1.0455343268523274E-4</v>
      </c>
      <c r="O16" s="2948">
        <v>4</v>
      </c>
      <c r="P16" s="2949" t="s">
        <v>1522</v>
      </c>
      <c r="Q16" s="2953">
        <v>10</v>
      </c>
      <c r="R16" s="2953">
        <v>10</v>
      </c>
      <c r="S16" s="2952">
        <f t="shared" ref="S16:S47" si="2">Q16+R16</f>
        <v>20</v>
      </c>
      <c r="T16" s="2952">
        <f t="shared" ref="T16:T47" si="3">I16*Q16</f>
        <v>200</v>
      </c>
      <c r="U16" s="2952">
        <f t="shared" ref="U16:U47" si="4">I16*R16</f>
        <v>200</v>
      </c>
      <c r="V16" s="2952">
        <f t="shared" ref="V16:V47" si="5">T16+U16</f>
        <v>400</v>
      </c>
      <c r="W16" s="2954">
        <f t="shared" ref="W16:W47" si="6">M16*Q16</f>
        <v>56.7</v>
      </c>
      <c r="X16" s="2954">
        <f t="shared" ref="X16:X47" si="7">M16*R16</f>
        <v>56.7</v>
      </c>
      <c r="Y16" s="2954">
        <f t="shared" ref="Y16:Y47" si="8">W16+X16</f>
        <v>113.4</v>
      </c>
      <c r="Z16" s="2984">
        <v>0</v>
      </c>
      <c r="AA16" s="3019"/>
    </row>
    <row r="17" spans="2:27">
      <c r="B17" s="3045">
        <v>0.05</v>
      </c>
      <c r="C17" s="3046" t="s">
        <v>791</v>
      </c>
      <c r="D17" s="2053">
        <v>4531.6500000000005</v>
      </c>
      <c r="E17" s="3077">
        <v>4644.95</v>
      </c>
      <c r="F17" s="3095">
        <f>SUM(D17:E17)</f>
        <v>9176.6</v>
      </c>
      <c r="H17" s="3106" t="s">
        <v>1496</v>
      </c>
      <c r="I17" s="2953">
        <v>20</v>
      </c>
      <c r="J17" s="2950" t="s">
        <v>120</v>
      </c>
      <c r="K17" s="2948" t="s">
        <v>909</v>
      </c>
      <c r="L17" s="2951">
        <v>2.12</v>
      </c>
      <c r="M17" s="2951">
        <v>2.12</v>
      </c>
      <c r="N17" s="2977">
        <v>1.0455343268523274E-4</v>
      </c>
      <c r="O17" s="2948">
        <v>4</v>
      </c>
      <c r="P17" s="2949" t="s">
        <v>1522</v>
      </c>
      <c r="Q17" s="2953">
        <v>10</v>
      </c>
      <c r="R17" s="2953">
        <v>10</v>
      </c>
      <c r="S17" s="2952">
        <f t="shared" si="2"/>
        <v>20</v>
      </c>
      <c r="T17" s="2952">
        <f t="shared" si="3"/>
        <v>200</v>
      </c>
      <c r="U17" s="2952">
        <f t="shared" si="4"/>
        <v>200</v>
      </c>
      <c r="V17" s="2952">
        <f t="shared" si="5"/>
        <v>400</v>
      </c>
      <c r="W17" s="2954">
        <f t="shared" si="6"/>
        <v>21.200000000000003</v>
      </c>
      <c r="X17" s="2954">
        <f t="shared" si="7"/>
        <v>21.200000000000003</v>
      </c>
      <c r="Y17" s="2954">
        <f t="shared" si="8"/>
        <v>42.400000000000006</v>
      </c>
      <c r="Z17" s="2984">
        <v>0</v>
      </c>
      <c r="AA17" s="3019"/>
    </row>
    <row r="18" spans="2:27">
      <c r="B18" s="3045"/>
      <c r="C18" s="3046"/>
      <c r="D18" s="2053"/>
      <c r="E18" s="3077"/>
      <c r="F18" s="3095">
        <f>SUM(D18:E18)</f>
        <v>0</v>
      </c>
      <c r="H18" s="3106" t="s">
        <v>1497</v>
      </c>
      <c r="I18" s="2953">
        <v>18</v>
      </c>
      <c r="J18" s="2950" t="s">
        <v>120</v>
      </c>
      <c r="K18" s="2948" t="s">
        <v>909</v>
      </c>
      <c r="L18" s="2951">
        <v>12.33</v>
      </c>
      <c r="M18" s="2951">
        <v>12.33</v>
      </c>
      <c r="N18" s="2977">
        <v>9.4098089416709462E-5</v>
      </c>
      <c r="O18" s="2948">
        <v>5</v>
      </c>
      <c r="P18" s="2949" t="s">
        <v>1522</v>
      </c>
      <c r="Q18" s="2953">
        <v>10</v>
      </c>
      <c r="R18" s="2953">
        <v>10</v>
      </c>
      <c r="S18" s="2952">
        <f t="shared" si="2"/>
        <v>20</v>
      </c>
      <c r="T18" s="2952">
        <f t="shared" si="3"/>
        <v>180</v>
      </c>
      <c r="U18" s="2952">
        <f t="shared" si="4"/>
        <v>180</v>
      </c>
      <c r="V18" s="2952">
        <f t="shared" si="5"/>
        <v>360</v>
      </c>
      <c r="W18" s="2954">
        <f t="shared" si="6"/>
        <v>123.3</v>
      </c>
      <c r="X18" s="2954">
        <f t="shared" si="7"/>
        <v>123.3</v>
      </c>
      <c r="Y18" s="2954">
        <f t="shared" si="8"/>
        <v>246.6</v>
      </c>
      <c r="Z18" s="2984">
        <v>0</v>
      </c>
      <c r="AA18" s="3019"/>
    </row>
    <row r="19" spans="2:27">
      <c r="B19" s="3045"/>
      <c r="C19" s="3046"/>
      <c r="D19" s="3048"/>
      <c r="E19" s="3078"/>
      <c r="F19" s="3095">
        <f>SUM(D19:E19)</f>
        <v>0</v>
      </c>
      <c r="H19" s="3106" t="s">
        <v>1498</v>
      </c>
      <c r="I19" s="2953">
        <v>106</v>
      </c>
      <c r="J19" s="2950" t="s">
        <v>120</v>
      </c>
      <c r="K19" s="2948" t="s">
        <v>909</v>
      </c>
      <c r="L19" s="2951">
        <v>3.92</v>
      </c>
      <c r="M19" s="2951">
        <v>3.92</v>
      </c>
      <c r="N19" s="2977">
        <v>5.5413319323173351E-4</v>
      </c>
      <c r="O19" s="2948">
        <v>5</v>
      </c>
      <c r="P19" s="2949" t="s">
        <v>1522</v>
      </c>
      <c r="Q19" s="2953">
        <v>10</v>
      </c>
      <c r="R19" s="2953">
        <v>10</v>
      </c>
      <c r="S19" s="2952">
        <f t="shared" si="2"/>
        <v>20</v>
      </c>
      <c r="T19" s="2952">
        <f t="shared" si="3"/>
        <v>1060</v>
      </c>
      <c r="U19" s="2952">
        <f t="shared" si="4"/>
        <v>1060</v>
      </c>
      <c r="V19" s="2952">
        <f t="shared" si="5"/>
        <v>2120</v>
      </c>
      <c r="W19" s="2954">
        <f t="shared" si="6"/>
        <v>39.200000000000003</v>
      </c>
      <c r="X19" s="2954">
        <f t="shared" si="7"/>
        <v>39.200000000000003</v>
      </c>
      <c r="Y19" s="2954">
        <f t="shared" si="8"/>
        <v>78.400000000000006</v>
      </c>
      <c r="Z19" s="2984">
        <v>0</v>
      </c>
      <c r="AA19" s="3019"/>
    </row>
    <row r="20" spans="2:27">
      <c r="B20" s="1908">
        <f>SUM(B16:B19)</f>
        <v>0.22000000000000003</v>
      </c>
      <c r="C20" s="3049"/>
      <c r="D20" s="3050"/>
      <c r="E20" s="3079"/>
      <c r="F20" s="3051"/>
      <c r="H20" s="3106" t="s">
        <v>1499</v>
      </c>
      <c r="I20" s="2953">
        <v>110</v>
      </c>
      <c r="J20" s="2950" t="s">
        <v>120</v>
      </c>
      <c r="K20" s="2948" t="s">
        <v>909</v>
      </c>
      <c r="L20" s="2951">
        <v>13.67</v>
      </c>
      <c r="M20" s="2951">
        <v>13.67</v>
      </c>
      <c r="N20" s="2977">
        <v>5.7504387976878009E-4</v>
      </c>
      <c r="O20" s="2948">
        <v>5</v>
      </c>
      <c r="P20" s="2949" t="s">
        <v>1522</v>
      </c>
      <c r="Q20" s="2953">
        <v>10</v>
      </c>
      <c r="R20" s="2953">
        <v>10</v>
      </c>
      <c r="S20" s="2952">
        <f t="shared" si="2"/>
        <v>20</v>
      </c>
      <c r="T20" s="2952">
        <f t="shared" si="3"/>
        <v>1100</v>
      </c>
      <c r="U20" s="2952">
        <f t="shared" si="4"/>
        <v>1100</v>
      </c>
      <c r="V20" s="2952">
        <f t="shared" si="5"/>
        <v>2200</v>
      </c>
      <c r="W20" s="2954">
        <f t="shared" si="6"/>
        <v>136.69999999999999</v>
      </c>
      <c r="X20" s="2954">
        <f t="shared" si="7"/>
        <v>136.69999999999999</v>
      </c>
      <c r="Y20" s="2954">
        <f t="shared" si="8"/>
        <v>273.39999999999998</v>
      </c>
      <c r="Z20" s="2984">
        <v>0</v>
      </c>
      <c r="AA20" s="3019"/>
    </row>
    <row r="21" spans="2:27">
      <c r="C21" s="3037" t="s">
        <v>47</v>
      </c>
      <c r="D21" s="3038">
        <f>SUM(D22:D25)</f>
        <v>0</v>
      </c>
      <c r="E21" s="3075">
        <f>SUM(E22:E25)</f>
        <v>0</v>
      </c>
      <c r="F21" s="3022">
        <f>D21+E21</f>
        <v>0</v>
      </c>
      <c r="H21" s="3106" t="s">
        <v>1500</v>
      </c>
      <c r="I21" s="2953">
        <v>53</v>
      </c>
      <c r="J21" s="2950" t="s">
        <v>120</v>
      </c>
      <c r="K21" s="2948" t="s">
        <v>909</v>
      </c>
      <c r="L21" s="2951">
        <v>18</v>
      </c>
      <c r="M21" s="2951">
        <v>18</v>
      </c>
      <c r="N21" s="2977">
        <v>2.7706659661586676E-4</v>
      </c>
      <c r="O21" s="2948">
        <v>8</v>
      </c>
      <c r="P21" s="2949" t="s">
        <v>1522</v>
      </c>
      <c r="Q21" s="2953">
        <v>10</v>
      </c>
      <c r="R21" s="2953">
        <v>10</v>
      </c>
      <c r="S21" s="2952">
        <f t="shared" si="2"/>
        <v>20</v>
      </c>
      <c r="T21" s="2952">
        <f t="shared" si="3"/>
        <v>530</v>
      </c>
      <c r="U21" s="2952">
        <f t="shared" si="4"/>
        <v>530</v>
      </c>
      <c r="V21" s="2952">
        <f t="shared" si="5"/>
        <v>1060</v>
      </c>
      <c r="W21" s="2954">
        <f t="shared" si="6"/>
        <v>180</v>
      </c>
      <c r="X21" s="2954">
        <f t="shared" si="7"/>
        <v>180</v>
      </c>
      <c r="Y21" s="2954">
        <f t="shared" si="8"/>
        <v>360</v>
      </c>
      <c r="Z21" s="2984">
        <v>0</v>
      </c>
      <c r="AA21" s="3019"/>
    </row>
    <row r="22" spans="2:27">
      <c r="C22" s="3046"/>
      <c r="D22" s="2242"/>
      <c r="E22" s="3076"/>
      <c r="F22" s="3047">
        <f>SUM(D22:E22)</f>
        <v>0</v>
      </c>
      <c r="H22" s="3106" t="s">
        <v>1501</v>
      </c>
      <c r="I22" s="2953">
        <v>46</v>
      </c>
      <c r="J22" s="2950" t="s">
        <v>120</v>
      </c>
      <c r="K22" s="2948" t="s">
        <v>909</v>
      </c>
      <c r="L22" s="2951">
        <v>50</v>
      </c>
      <c r="M22" s="2951">
        <v>50</v>
      </c>
      <c r="N22" s="2977">
        <v>2.4047289517603531E-4</v>
      </c>
      <c r="O22" s="2948">
        <v>10</v>
      </c>
      <c r="P22" s="2949" t="s">
        <v>1522</v>
      </c>
      <c r="Q22" s="2953">
        <v>10</v>
      </c>
      <c r="R22" s="2953">
        <v>10</v>
      </c>
      <c r="S22" s="2952">
        <f t="shared" si="2"/>
        <v>20</v>
      </c>
      <c r="T22" s="2952">
        <f t="shared" si="3"/>
        <v>460</v>
      </c>
      <c r="U22" s="2952">
        <f t="shared" si="4"/>
        <v>460</v>
      </c>
      <c r="V22" s="2952">
        <f t="shared" si="5"/>
        <v>920</v>
      </c>
      <c r="W22" s="2954">
        <f t="shared" si="6"/>
        <v>500</v>
      </c>
      <c r="X22" s="2954">
        <f t="shared" si="7"/>
        <v>500</v>
      </c>
      <c r="Y22" s="2954">
        <f t="shared" si="8"/>
        <v>1000</v>
      </c>
      <c r="Z22" s="2984">
        <v>0</v>
      </c>
      <c r="AA22" s="3019"/>
    </row>
    <row r="23" spans="2:27">
      <c r="C23" s="3046"/>
      <c r="D23" s="3054"/>
      <c r="E23" s="3081"/>
      <c r="F23" s="3095">
        <f>SUM(D23:E23)</f>
        <v>0</v>
      </c>
      <c r="H23" s="3106" t="s">
        <v>1502</v>
      </c>
      <c r="I23" s="2953">
        <v>26</v>
      </c>
      <c r="J23" s="2950" t="s">
        <v>120</v>
      </c>
      <c r="K23" s="2948" t="s">
        <v>909</v>
      </c>
      <c r="L23" s="2951">
        <v>3.25</v>
      </c>
      <c r="M23" s="2951">
        <v>3.25</v>
      </c>
      <c r="N23" s="2977">
        <v>1.3591946249080257E-4</v>
      </c>
      <c r="O23" s="2948">
        <v>5</v>
      </c>
      <c r="P23" s="2949" t="s">
        <v>1522</v>
      </c>
      <c r="Q23" s="2953">
        <v>10</v>
      </c>
      <c r="R23" s="2953">
        <v>10</v>
      </c>
      <c r="S23" s="2952">
        <f t="shared" si="2"/>
        <v>20</v>
      </c>
      <c r="T23" s="2952">
        <f t="shared" si="3"/>
        <v>260</v>
      </c>
      <c r="U23" s="2952">
        <f t="shared" si="4"/>
        <v>260</v>
      </c>
      <c r="V23" s="2952">
        <f t="shared" si="5"/>
        <v>520</v>
      </c>
      <c r="W23" s="2954">
        <f t="shared" si="6"/>
        <v>32.5</v>
      </c>
      <c r="X23" s="2954">
        <f t="shared" si="7"/>
        <v>32.5</v>
      </c>
      <c r="Y23" s="2954">
        <f t="shared" si="8"/>
        <v>65</v>
      </c>
      <c r="Z23" s="2984">
        <v>0</v>
      </c>
      <c r="AA23" s="3019"/>
    </row>
    <row r="24" spans="2:27">
      <c r="C24" s="3046"/>
      <c r="D24" s="3096"/>
      <c r="E24" s="3082"/>
      <c r="F24" s="3095">
        <f>SUM(D24:E24)</f>
        <v>0</v>
      </c>
      <c r="H24" s="3106" t="s">
        <v>1503</v>
      </c>
      <c r="I24" s="2953">
        <v>59</v>
      </c>
      <c r="J24" s="2950" t="s">
        <v>120</v>
      </c>
      <c r="K24" s="2948" t="s">
        <v>909</v>
      </c>
      <c r="L24" s="2951">
        <v>25.53</v>
      </c>
      <c r="M24" s="2951">
        <v>25.53</v>
      </c>
      <c r="N24" s="2977">
        <v>3.0843262642143656E-4</v>
      </c>
      <c r="O24" s="2948">
        <v>5</v>
      </c>
      <c r="P24" s="2949" t="s">
        <v>1522</v>
      </c>
      <c r="Q24" s="2953">
        <v>10</v>
      </c>
      <c r="R24" s="2953">
        <v>10</v>
      </c>
      <c r="S24" s="2952">
        <f t="shared" si="2"/>
        <v>20</v>
      </c>
      <c r="T24" s="2952">
        <f t="shared" si="3"/>
        <v>590</v>
      </c>
      <c r="U24" s="2952">
        <f t="shared" si="4"/>
        <v>590</v>
      </c>
      <c r="V24" s="2952">
        <f t="shared" si="5"/>
        <v>1180</v>
      </c>
      <c r="W24" s="2954">
        <f t="shared" si="6"/>
        <v>255.3</v>
      </c>
      <c r="X24" s="2954">
        <f t="shared" si="7"/>
        <v>255.3</v>
      </c>
      <c r="Y24" s="2954">
        <f t="shared" si="8"/>
        <v>510.6</v>
      </c>
      <c r="Z24" s="2984">
        <v>0</v>
      </c>
      <c r="AA24" s="3019"/>
    </row>
    <row r="25" spans="2:27">
      <c r="C25" s="3046"/>
      <c r="D25" s="3056"/>
      <c r="E25" s="3081"/>
      <c r="F25" s="3095">
        <f>SUM(D25:E25)</f>
        <v>0</v>
      </c>
      <c r="H25" s="3106" t="s">
        <v>1504</v>
      </c>
      <c r="I25" s="2953">
        <v>4</v>
      </c>
      <c r="J25" s="2950" t="s">
        <v>120</v>
      </c>
      <c r="K25" s="2948" t="s">
        <v>909</v>
      </c>
      <c r="L25" s="2951">
        <v>4.17</v>
      </c>
      <c r="M25" s="2951">
        <v>4.17</v>
      </c>
      <c r="N25" s="2977">
        <v>2.0910686537046547E-5</v>
      </c>
      <c r="O25" s="2948">
        <v>15</v>
      </c>
      <c r="P25" s="2949" t="s">
        <v>1522</v>
      </c>
      <c r="Q25" s="2953">
        <v>10</v>
      </c>
      <c r="R25" s="2953">
        <v>10</v>
      </c>
      <c r="S25" s="2952">
        <f t="shared" si="2"/>
        <v>20</v>
      </c>
      <c r="T25" s="2952">
        <f t="shared" si="3"/>
        <v>40</v>
      </c>
      <c r="U25" s="2952">
        <f t="shared" si="4"/>
        <v>40</v>
      </c>
      <c r="V25" s="2952">
        <f t="shared" si="5"/>
        <v>80</v>
      </c>
      <c r="W25" s="2954">
        <f t="shared" si="6"/>
        <v>41.7</v>
      </c>
      <c r="X25" s="2954">
        <f t="shared" si="7"/>
        <v>41.7</v>
      </c>
      <c r="Y25" s="2954">
        <f t="shared" si="8"/>
        <v>83.4</v>
      </c>
      <c r="Z25" s="2984">
        <v>0</v>
      </c>
      <c r="AA25" s="3019"/>
    </row>
    <row r="26" spans="2:27">
      <c r="C26" s="3057"/>
      <c r="D26" s="3058"/>
      <c r="E26" s="3083"/>
      <c r="F26" s="3058"/>
      <c r="H26" s="3106" t="s">
        <v>1505</v>
      </c>
      <c r="I26" s="2953">
        <v>4</v>
      </c>
      <c r="J26" s="2950" t="s">
        <v>120</v>
      </c>
      <c r="K26" s="2948" t="s">
        <v>909</v>
      </c>
      <c r="L26" s="2951">
        <v>6.5</v>
      </c>
      <c r="M26" s="2951">
        <v>6.5</v>
      </c>
      <c r="N26" s="2977">
        <v>2.0910686537046547E-5</v>
      </c>
      <c r="O26" s="2948">
        <v>10</v>
      </c>
      <c r="P26" s="2949" t="s">
        <v>1522</v>
      </c>
      <c r="Q26" s="2953">
        <v>10</v>
      </c>
      <c r="R26" s="2953">
        <v>10</v>
      </c>
      <c r="S26" s="2952">
        <f t="shared" si="2"/>
        <v>20</v>
      </c>
      <c r="T26" s="2952">
        <f t="shared" si="3"/>
        <v>40</v>
      </c>
      <c r="U26" s="2952">
        <f t="shared" si="4"/>
        <v>40</v>
      </c>
      <c r="V26" s="2952">
        <f t="shared" si="5"/>
        <v>80</v>
      </c>
      <c r="W26" s="2954">
        <f t="shared" si="6"/>
        <v>65</v>
      </c>
      <c r="X26" s="2954">
        <f t="shared" si="7"/>
        <v>65</v>
      </c>
      <c r="Y26" s="2954">
        <f t="shared" si="8"/>
        <v>130</v>
      </c>
      <c r="Z26" s="2984">
        <v>0</v>
      </c>
      <c r="AA26" s="3019"/>
    </row>
    <row r="27" spans="2:27">
      <c r="C27" s="3037" t="s">
        <v>48</v>
      </c>
      <c r="D27" s="3038">
        <f>SUM(D29:D32)</f>
        <v>13299.486420000003</v>
      </c>
      <c r="E27" s="3075">
        <f>SUM(E29:E32)</f>
        <v>13897.690400000003</v>
      </c>
      <c r="F27" s="3022">
        <f>D27+E27</f>
        <v>27197.176820000008</v>
      </c>
      <c r="H27" s="3106" t="s">
        <v>1506</v>
      </c>
      <c r="I27" s="2953">
        <v>856</v>
      </c>
      <c r="J27" s="2950" t="s">
        <v>120</v>
      </c>
      <c r="K27" s="2948" t="s">
        <v>909</v>
      </c>
      <c r="L27" s="2951">
        <v>250</v>
      </c>
      <c r="M27" s="2951">
        <v>250</v>
      </c>
      <c r="N27" s="2977">
        <v>4.4748869189279615E-3</v>
      </c>
      <c r="O27" s="2948">
        <v>8</v>
      </c>
      <c r="P27" s="2949" t="s">
        <v>1522</v>
      </c>
      <c r="Q27" s="2953">
        <v>10</v>
      </c>
      <c r="R27" s="2953">
        <v>10</v>
      </c>
      <c r="S27" s="2952">
        <f t="shared" si="2"/>
        <v>20</v>
      </c>
      <c r="T27" s="2952">
        <f t="shared" si="3"/>
        <v>8560</v>
      </c>
      <c r="U27" s="2952">
        <f t="shared" si="4"/>
        <v>8560</v>
      </c>
      <c r="V27" s="2952">
        <f t="shared" si="5"/>
        <v>17120</v>
      </c>
      <c r="W27" s="2954">
        <f t="shared" si="6"/>
        <v>2500</v>
      </c>
      <c r="X27" s="2954">
        <f t="shared" si="7"/>
        <v>2500</v>
      </c>
      <c r="Y27" s="2954">
        <f t="shared" si="8"/>
        <v>5000</v>
      </c>
      <c r="Z27" s="2984">
        <v>0</v>
      </c>
      <c r="AA27" s="3019"/>
    </row>
    <row r="28" spans="2:27">
      <c r="C28" s="3059" t="s">
        <v>315</v>
      </c>
      <c r="D28" s="3060">
        <v>0.66700000000000004</v>
      </c>
      <c r="E28" s="3084">
        <v>0.68</v>
      </c>
      <c r="F28" s="3061"/>
      <c r="H28" s="3106" t="s">
        <v>1507</v>
      </c>
      <c r="I28" s="2953">
        <v>21</v>
      </c>
      <c r="J28" s="2950" t="s">
        <v>120</v>
      </c>
      <c r="K28" s="2948" t="s">
        <v>909</v>
      </c>
      <c r="L28" s="2951">
        <v>53.7</v>
      </c>
      <c r="M28" s="2951">
        <v>53.7</v>
      </c>
      <c r="N28" s="2977">
        <v>1.0978110431949438E-4</v>
      </c>
      <c r="O28" s="2948">
        <v>8</v>
      </c>
      <c r="P28" s="2949" t="s">
        <v>1522</v>
      </c>
      <c r="Q28" s="2953">
        <v>10</v>
      </c>
      <c r="R28" s="2953">
        <v>10</v>
      </c>
      <c r="S28" s="2952">
        <f t="shared" si="2"/>
        <v>20</v>
      </c>
      <c r="T28" s="2952">
        <f t="shared" si="3"/>
        <v>210</v>
      </c>
      <c r="U28" s="2952">
        <f t="shared" si="4"/>
        <v>210</v>
      </c>
      <c r="V28" s="2952">
        <f t="shared" si="5"/>
        <v>420</v>
      </c>
      <c r="W28" s="2954">
        <f t="shared" si="6"/>
        <v>537</v>
      </c>
      <c r="X28" s="2954">
        <f t="shared" si="7"/>
        <v>537</v>
      </c>
      <c r="Y28" s="2954">
        <f t="shared" si="8"/>
        <v>1074</v>
      </c>
      <c r="Z28" s="2984">
        <v>0</v>
      </c>
      <c r="AA28" s="3019"/>
    </row>
    <row r="29" spans="2:27">
      <c r="C29" s="3046" t="s">
        <v>778</v>
      </c>
      <c r="D29" s="3062">
        <f>D15*D28</f>
        <v>13299.486420000003</v>
      </c>
      <c r="E29" s="3085">
        <f>E15*E28</f>
        <v>13897.690400000003</v>
      </c>
      <c r="F29" s="3095">
        <f>SUM(D29:E29)</f>
        <v>27197.176820000008</v>
      </c>
      <c r="H29" s="3106" t="s">
        <v>1508</v>
      </c>
      <c r="I29" s="2953">
        <v>376</v>
      </c>
      <c r="J29" s="2950" t="s">
        <v>120</v>
      </c>
      <c r="K29" s="2948" t="s">
        <v>909</v>
      </c>
      <c r="L29" s="2951">
        <v>377</v>
      </c>
      <c r="M29" s="2951">
        <v>94</v>
      </c>
      <c r="N29" s="2977">
        <v>2.9484068017235632E-2</v>
      </c>
      <c r="O29" s="2948">
        <v>10</v>
      </c>
      <c r="P29" s="2949" t="s">
        <v>1072</v>
      </c>
      <c r="Q29" s="2953">
        <v>100</v>
      </c>
      <c r="R29" s="2953">
        <v>150</v>
      </c>
      <c r="S29" s="2952">
        <f t="shared" si="2"/>
        <v>250</v>
      </c>
      <c r="T29" s="2952">
        <f t="shared" si="3"/>
        <v>37600</v>
      </c>
      <c r="U29" s="2952">
        <f t="shared" si="4"/>
        <v>56400</v>
      </c>
      <c r="V29" s="2952">
        <f t="shared" si="5"/>
        <v>94000</v>
      </c>
      <c r="W29" s="2954">
        <f t="shared" si="6"/>
        <v>9400</v>
      </c>
      <c r="X29" s="2954">
        <f t="shared" si="7"/>
        <v>14100</v>
      </c>
      <c r="Y29" s="2954">
        <f t="shared" si="8"/>
        <v>23500</v>
      </c>
      <c r="Z29" s="2984">
        <v>0</v>
      </c>
      <c r="AA29" s="3019"/>
    </row>
    <row r="30" spans="2:27">
      <c r="C30" s="3046" t="s">
        <v>779</v>
      </c>
      <c r="D30" s="3063">
        <f>D21*D28</f>
        <v>0</v>
      </c>
      <c r="E30" s="3085">
        <f>E21*E28</f>
        <v>0</v>
      </c>
      <c r="F30" s="3095">
        <f>SUM(D30:E30)</f>
        <v>0</v>
      </c>
      <c r="H30" s="3106" t="s">
        <v>1509</v>
      </c>
      <c r="I30" s="2953">
        <v>774</v>
      </c>
      <c r="J30" s="2950" t="s">
        <v>120</v>
      </c>
      <c r="K30" s="2948" t="s">
        <v>909</v>
      </c>
      <c r="L30" s="2951">
        <v>377</v>
      </c>
      <c r="M30" s="2951">
        <v>193.5</v>
      </c>
      <c r="N30" s="2977">
        <v>6.0693267673777605E-2</v>
      </c>
      <c r="O30" s="2948">
        <v>10</v>
      </c>
      <c r="P30" s="2949" t="s">
        <v>1072</v>
      </c>
      <c r="Q30" s="2953">
        <v>100</v>
      </c>
      <c r="R30" s="2953">
        <v>150</v>
      </c>
      <c r="S30" s="2952">
        <f t="shared" si="2"/>
        <v>250</v>
      </c>
      <c r="T30" s="2952">
        <f t="shared" si="3"/>
        <v>77400</v>
      </c>
      <c r="U30" s="2952">
        <f t="shared" si="4"/>
        <v>116100</v>
      </c>
      <c r="V30" s="2952">
        <f t="shared" si="5"/>
        <v>193500</v>
      </c>
      <c r="W30" s="2954">
        <f t="shared" si="6"/>
        <v>19350</v>
      </c>
      <c r="X30" s="2954">
        <f t="shared" si="7"/>
        <v>29025</v>
      </c>
      <c r="Y30" s="2954">
        <f t="shared" si="8"/>
        <v>48375</v>
      </c>
      <c r="Z30" s="2984">
        <v>0</v>
      </c>
      <c r="AA30" s="3019"/>
    </row>
    <row r="31" spans="2:27">
      <c r="C31" s="3064"/>
      <c r="D31" s="3096"/>
      <c r="E31" s="3082"/>
      <c r="F31" s="3097"/>
      <c r="H31" s="3106" t="s">
        <v>1510</v>
      </c>
      <c r="I31" s="2953">
        <v>5963.5</v>
      </c>
      <c r="J31" s="2950" t="s">
        <v>120</v>
      </c>
      <c r="K31" s="2948" t="s">
        <v>909</v>
      </c>
      <c r="L31" s="2951">
        <v>5866.5499999999993</v>
      </c>
      <c r="M31" s="2951">
        <v>1490.875</v>
      </c>
      <c r="N31" s="2977">
        <v>3.1175219790919272E-3</v>
      </c>
      <c r="O31" s="2948">
        <v>10</v>
      </c>
      <c r="P31" s="2949" t="s">
        <v>1523</v>
      </c>
      <c r="Q31" s="2953">
        <v>1</v>
      </c>
      <c r="R31" s="2953">
        <v>1</v>
      </c>
      <c r="S31" s="2952">
        <f t="shared" si="2"/>
        <v>2</v>
      </c>
      <c r="T31" s="2952">
        <f t="shared" si="3"/>
        <v>5963.5</v>
      </c>
      <c r="U31" s="2952">
        <f t="shared" si="4"/>
        <v>5963.5</v>
      </c>
      <c r="V31" s="2952">
        <f t="shared" si="5"/>
        <v>11927</v>
      </c>
      <c r="W31" s="2954">
        <f t="shared" si="6"/>
        <v>1490.875</v>
      </c>
      <c r="X31" s="2954">
        <f t="shared" si="7"/>
        <v>1490.875</v>
      </c>
      <c r="Y31" s="2954">
        <f t="shared" si="8"/>
        <v>2981.75</v>
      </c>
      <c r="Z31" s="2984">
        <v>0</v>
      </c>
      <c r="AA31" s="3019"/>
    </row>
    <row r="32" spans="2:27">
      <c r="C32" s="3064"/>
      <c r="D32" s="3056"/>
      <c r="E32" s="3081"/>
      <c r="F32" s="3098"/>
      <c r="H32" s="3106" t="s">
        <v>1511</v>
      </c>
      <c r="I32" s="2953">
        <v>11927</v>
      </c>
      <c r="J32" s="2950" t="s">
        <v>120</v>
      </c>
      <c r="K32" s="2948" t="s">
        <v>909</v>
      </c>
      <c r="L32" s="2951">
        <v>7011.9</v>
      </c>
      <c r="M32" s="2951">
        <v>2981.75</v>
      </c>
      <c r="N32" s="2977">
        <v>6.2350439581838543E-3</v>
      </c>
      <c r="O32" s="2948">
        <v>10</v>
      </c>
      <c r="P32" s="2949" t="s">
        <v>1523</v>
      </c>
      <c r="Q32" s="2953">
        <v>1</v>
      </c>
      <c r="R32" s="2953">
        <v>1</v>
      </c>
      <c r="S32" s="2952">
        <f t="shared" si="2"/>
        <v>2</v>
      </c>
      <c r="T32" s="2952">
        <f t="shared" si="3"/>
        <v>11927</v>
      </c>
      <c r="U32" s="2952">
        <f t="shared" si="4"/>
        <v>11927</v>
      </c>
      <c r="V32" s="2952">
        <f t="shared" si="5"/>
        <v>23854</v>
      </c>
      <c r="W32" s="2954">
        <f t="shared" si="6"/>
        <v>2981.75</v>
      </c>
      <c r="X32" s="2954">
        <f t="shared" si="7"/>
        <v>2981.75</v>
      </c>
      <c r="Y32" s="2954">
        <f t="shared" si="8"/>
        <v>5963.5</v>
      </c>
      <c r="Z32" s="2984">
        <v>0</v>
      </c>
      <c r="AA32" s="3019"/>
    </row>
    <row r="33" spans="1:27">
      <c r="C33" s="3049"/>
      <c r="D33" s="3065"/>
      <c r="E33" s="3079"/>
      <c r="F33" s="3065"/>
      <c r="H33" s="3106" t="s">
        <v>1512</v>
      </c>
      <c r="I33" s="2953">
        <v>17890.5</v>
      </c>
      <c r="J33" s="2950" t="s">
        <v>120</v>
      </c>
      <c r="K33" s="2948" t="s">
        <v>909</v>
      </c>
      <c r="L33" s="2951">
        <v>8157.25</v>
      </c>
      <c r="M33" s="2951">
        <v>4472.625</v>
      </c>
      <c r="N33" s="2977">
        <v>9.3525659372757815E-3</v>
      </c>
      <c r="O33" s="2948">
        <v>10</v>
      </c>
      <c r="P33" s="2949" t="s">
        <v>1523</v>
      </c>
      <c r="Q33" s="2953">
        <v>1</v>
      </c>
      <c r="R33" s="2953">
        <v>1</v>
      </c>
      <c r="S33" s="2952">
        <f t="shared" si="2"/>
        <v>2</v>
      </c>
      <c r="T33" s="2952">
        <f t="shared" si="3"/>
        <v>17890.5</v>
      </c>
      <c r="U33" s="2952">
        <f t="shared" si="4"/>
        <v>17890.5</v>
      </c>
      <c r="V33" s="2952">
        <f t="shared" si="5"/>
        <v>35781</v>
      </c>
      <c r="W33" s="2954">
        <f t="shared" si="6"/>
        <v>4472.625</v>
      </c>
      <c r="X33" s="2954">
        <f t="shared" si="7"/>
        <v>4472.625</v>
      </c>
      <c r="Y33" s="2954">
        <f t="shared" si="8"/>
        <v>8945.25</v>
      </c>
      <c r="Z33" s="2984">
        <v>0</v>
      </c>
      <c r="AA33" s="3019"/>
    </row>
    <row r="34" spans="1:27" ht="25.5">
      <c r="A34" s="3004" t="s">
        <v>1493</v>
      </c>
      <c r="C34" s="3037" t="s">
        <v>49</v>
      </c>
      <c r="D34" s="3038">
        <f>SUM(D35:D38)</f>
        <v>0</v>
      </c>
      <c r="E34" s="3075">
        <f>SUM(E35:E38)</f>
        <v>0</v>
      </c>
      <c r="F34" s="3022">
        <f>D34+E34</f>
        <v>0</v>
      </c>
      <c r="H34" s="3106" t="s">
        <v>1513</v>
      </c>
      <c r="I34" s="2953">
        <v>23854</v>
      </c>
      <c r="J34" s="2950" t="s">
        <v>120</v>
      </c>
      <c r="K34" s="2948" t="s">
        <v>909</v>
      </c>
      <c r="L34" s="2951">
        <v>9302.5999999999985</v>
      </c>
      <c r="M34" s="2951">
        <v>4651.2999999999993</v>
      </c>
      <c r="N34" s="2977">
        <v>1.2470087916367709E-2</v>
      </c>
      <c r="O34" s="2948">
        <v>10</v>
      </c>
      <c r="P34" s="2949" t="s">
        <v>1523</v>
      </c>
      <c r="Q34" s="2953">
        <v>1</v>
      </c>
      <c r="R34" s="2953">
        <v>1</v>
      </c>
      <c r="S34" s="2952">
        <f t="shared" si="2"/>
        <v>2</v>
      </c>
      <c r="T34" s="2952">
        <f t="shared" si="3"/>
        <v>23854</v>
      </c>
      <c r="U34" s="2952">
        <f t="shared" si="4"/>
        <v>23854</v>
      </c>
      <c r="V34" s="2952">
        <f t="shared" si="5"/>
        <v>47708</v>
      </c>
      <c r="W34" s="2954">
        <f t="shared" si="6"/>
        <v>4651.2999999999993</v>
      </c>
      <c r="X34" s="2954">
        <f t="shared" si="7"/>
        <v>4651.2999999999993</v>
      </c>
      <c r="Y34" s="2954">
        <f t="shared" si="8"/>
        <v>9302.5999999999985</v>
      </c>
      <c r="Z34" s="2984">
        <v>0</v>
      </c>
      <c r="AA34" s="3019"/>
    </row>
    <row r="35" spans="1:27">
      <c r="A35" s="3004" t="s">
        <v>278</v>
      </c>
      <c r="C35" s="3046"/>
      <c r="D35" s="3062"/>
      <c r="E35" s="3086"/>
      <c r="F35" s="3095">
        <f>SUM(D35:E35)</f>
        <v>0</v>
      </c>
      <c r="H35" s="3106" t="s">
        <v>1514</v>
      </c>
      <c r="I35" s="2953">
        <v>29817.5</v>
      </c>
      <c r="J35" s="2950" t="s">
        <v>120</v>
      </c>
      <c r="K35" s="2948" t="s">
        <v>909</v>
      </c>
      <c r="L35" s="2951">
        <v>10447.950000000001</v>
      </c>
      <c r="M35" s="2951">
        <v>5223.9750000000004</v>
      </c>
      <c r="N35" s="2977">
        <v>1.5587609895459636E-2</v>
      </c>
      <c r="O35" s="2948">
        <v>10</v>
      </c>
      <c r="P35" s="2949" t="s">
        <v>1523</v>
      </c>
      <c r="Q35" s="2953">
        <v>1</v>
      </c>
      <c r="R35" s="2953">
        <v>1</v>
      </c>
      <c r="S35" s="2952">
        <f t="shared" si="2"/>
        <v>2</v>
      </c>
      <c r="T35" s="2952">
        <f t="shared" si="3"/>
        <v>29817.5</v>
      </c>
      <c r="U35" s="2952">
        <f t="shared" si="4"/>
        <v>29817.5</v>
      </c>
      <c r="V35" s="2952">
        <f t="shared" si="5"/>
        <v>59635</v>
      </c>
      <c r="W35" s="2954">
        <f t="shared" si="6"/>
        <v>5223.9750000000004</v>
      </c>
      <c r="X35" s="2954">
        <f t="shared" si="7"/>
        <v>5223.9750000000004</v>
      </c>
      <c r="Y35" s="2954">
        <f t="shared" si="8"/>
        <v>10447.950000000001</v>
      </c>
      <c r="Z35" s="2984">
        <v>0</v>
      </c>
      <c r="AA35" s="3019"/>
    </row>
    <row r="36" spans="1:27">
      <c r="A36" s="3004" t="s">
        <v>6</v>
      </c>
      <c r="C36" s="3046"/>
      <c r="D36" s="3062"/>
      <c r="E36" s="3086"/>
      <c r="F36" s="3095">
        <f>SUM(D36:E36)</f>
        <v>0</v>
      </c>
      <c r="H36" s="3106" t="s">
        <v>1515</v>
      </c>
      <c r="I36" s="2953">
        <v>35781</v>
      </c>
      <c r="J36" s="2950" t="s">
        <v>120</v>
      </c>
      <c r="K36" s="2948" t="s">
        <v>909</v>
      </c>
      <c r="L36" s="2951">
        <v>11593.3</v>
      </c>
      <c r="M36" s="2951">
        <v>5796.65</v>
      </c>
      <c r="N36" s="2977">
        <v>1.8705131874551563E-2</v>
      </c>
      <c r="O36" s="2948">
        <v>10</v>
      </c>
      <c r="P36" s="2949" t="s">
        <v>1523</v>
      </c>
      <c r="Q36" s="2953">
        <v>1</v>
      </c>
      <c r="R36" s="2953">
        <v>1</v>
      </c>
      <c r="S36" s="2952">
        <f t="shared" si="2"/>
        <v>2</v>
      </c>
      <c r="T36" s="2952">
        <f t="shared" si="3"/>
        <v>35781</v>
      </c>
      <c r="U36" s="2952">
        <f t="shared" si="4"/>
        <v>35781</v>
      </c>
      <c r="V36" s="2952">
        <f t="shared" si="5"/>
        <v>71562</v>
      </c>
      <c r="W36" s="2954">
        <f t="shared" si="6"/>
        <v>5796.65</v>
      </c>
      <c r="X36" s="2954">
        <f t="shared" si="7"/>
        <v>5796.65</v>
      </c>
      <c r="Y36" s="2954">
        <f t="shared" si="8"/>
        <v>11593.3</v>
      </c>
      <c r="Z36" s="2984">
        <v>0</v>
      </c>
      <c r="AA36" s="3019"/>
    </row>
    <row r="37" spans="1:27">
      <c r="A37" s="3004" t="s">
        <v>1494</v>
      </c>
      <c r="C37" s="3046"/>
      <c r="D37" s="3062"/>
      <c r="E37" s="3086"/>
      <c r="F37" s="3095">
        <f>SUM(D37:E37)</f>
        <v>0</v>
      </c>
      <c r="H37" s="3106" t="s">
        <v>1516</v>
      </c>
      <c r="I37" s="2953">
        <v>41744.5</v>
      </c>
      <c r="J37" s="2950" t="s">
        <v>120</v>
      </c>
      <c r="K37" s="2948" t="s">
        <v>909</v>
      </c>
      <c r="L37" s="2951">
        <v>12738.65</v>
      </c>
      <c r="M37" s="2951">
        <v>6369.3249999999998</v>
      </c>
      <c r="N37" s="2977">
        <v>2.182265385364349E-2</v>
      </c>
      <c r="O37" s="2948">
        <v>10</v>
      </c>
      <c r="P37" s="2949" t="s">
        <v>1523</v>
      </c>
      <c r="Q37" s="2953">
        <v>1</v>
      </c>
      <c r="R37" s="2953">
        <v>1</v>
      </c>
      <c r="S37" s="2952">
        <f t="shared" si="2"/>
        <v>2</v>
      </c>
      <c r="T37" s="2952">
        <f t="shared" si="3"/>
        <v>41744.5</v>
      </c>
      <c r="U37" s="2952">
        <f t="shared" si="4"/>
        <v>41744.5</v>
      </c>
      <c r="V37" s="2952">
        <f t="shared" si="5"/>
        <v>83489</v>
      </c>
      <c r="W37" s="2954">
        <f t="shared" si="6"/>
        <v>6369.3249999999998</v>
      </c>
      <c r="X37" s="2954">
        <f t="shared" si="7"/>
        <v>6369.3249999999998</v>
      </c>
      <c r="Y37" s="2954">
        <f t="shared" si="8"/>
        <v>12738.65</v>
      </c>
      <c r="Z37" s="2984">
        <v>0</v>
      </c>
      <c r="AA37" s="3019"/>
    </row>
    <row r="38" spans="1:27">
      <c r="A38" s="3004" t="s">
        <v>5</v>
      </c>
      <c r="C38" s="3046"/>
      <c r="D38" s="3062"/>
      <c r="E38" s="3086"/>
      <c r="F38" s="3095">
        <f>SUM(D38:E38)</f>
        <v>0</v>
      </c>
      <c r="H38" s="3106" t="s">
        <v>1517</v>
      </c>
      <c r="I38" s="2953">
        <v>47708</v>
      </c>
      <c r="J38" s="2950" t="s">
        <v>120</v>
      </c>
      <c r="K38" s="2948" t="s">
        <v>909</v>
      </c>
      <c r="L38" s="2951">
        <v>13884</v>
      </c>
      <c r="M38" s="2951">
        <v>6942</v>
      </c>
      <c r="N38" s="2977">
        <v>2.4940175832735417E-2</v>
      </c>
      <c r="O38" s="2948">
        <v>10</v>
      </c>
      <c r="P38" s="2949" t="s">
        <v>1523</v>
      </c>
      <c r="Q38" s="2953">
        <v>1</v>
      </c>
      <c r="R38" s="2953">
        <v>1</v>
      </c>
      <c r="S38" s="2952">
        <f t="shared" si="2"/>
        <v>2</v>
      </c>
      <c r="T38" s="2952">
        <f t="shared" si="3"/>
        <v>47708</v>
      </c>
      <c r="U38" s="2952">
        <f t="shared" si="4"/>
        <v>47708</v>
      </c>
      <c r="V38" s="2952">
        <f t="shared" si="5"/>
        <v>95416</v>
      </c>
      <c r="W38" s="2954">
        <f t="shared" si="6"/>
        <v>6942</v>
      </c>
      <c r="X38" s="2954">
        <f t="shared" si="7"/>
        <v>6942</v>
      </c>
      <c r="Y38" s="2954">
        <f t="shared" si="8"/>
        <v>13884</v>
      </c>
      <c r="Z38" s="2984">
        <v>0</v>
      </c>
      <c r="AA38" s="3019"/>
    </row>
    <row r="39" spans="1:27">
      <c r="A39" s="2994"/>
      <c r="C39" s="3049"/>
      <c r="D39" s="3065"/>
      <c r="E39" s="3079"/>
      <c r="F39" s="3065"/>
      <c r="H39" s="3106" t="s">
        <v>1518</v>
      </c>
      <c r="I39" s="2953">
        <v>53671.5</v>
      </c>
      <c r="J39" s="2950" t="s">
        <v>120</v>
      </c>
      <c r="K39" s="2948" t="s">
        <v>909</v>
      </c>
      <c r="L39" s="2951">
        <v>15029.349999999999</v>
      </c>
      <c r="M39" s="2951">
        <v>7514.6749999999993</v>
      </c>
      <c r="N39" s="2977">
        <v>2.8057697811827344E-2</v>
      </c>
      <c r="O39" s="2948">
        <v>10</v>
      </c>
      <c r="P39" s="2949" t="s">
        <v>1523</v>
      </c>
      <c r="Q39" s="2953">
        <v>1</v>
      </c>
      <c r="R39" s="2953">
        <v>1</v>
      </c>
      <c r="S39" s="2952">
        <f t="shared" si="2"/>
        <v>2</v>
      </c>
      <c r="T39" s="2952">
        <f t="shared" si="3"/>
        <v>53671.5</v>
      </c>
      <c r="U39" s="2952">
        <f t="shared" si="4"/>
        <v>53671.5</v>
      </c>
      <c r="V39" s="2952">
        <f t="shared" si="5"/>
        <v>107343</v>
      </c>
      <c r="W39" s="2954">
        <f t="shared" si="6"/>
        <v>7514.6749999999993</v>
      </c>
      <c r="X39" s="2954">
        <f t="shared" si="7"/>
        <v>7514.6749999999993</v>
      </c>
      <c r="Y39" s="2954">
        <f t="shared" si="8"/>
        <v>15029.349999999999</v>
      </c>
      <c r="Z39" s="2984">
        <v>0</v>
      </c>
      <c r="AA39" s="3019"/>
    </row>
    <row r="40" spans="1:27">
      <c r="A40" s="2994"/>
      <c r="C40" s="3037" t="s">
        <v>506</v>
      </c>
      <c r="D40" s="3038">
        <f>SUM(D41:D44)</f>
        <v>0</v>
      </c>
      <c r="E40" s="3075">
        <f>SUM(E41:E44)</f>
        <v>0</v>
      </c>
      <c r="F40" s="3022">
        <f>D40+E40</f>
        <v>0</v>
      </c>
      <c r="H40" s="3106" t="s">
        <v>1519</v>
      </c>
      <c r="I40" s="2953">
        <v>59635</v>
      </c>
      <c r="J40" s="2950" t="s">
        <v>120</v>
      </c>
      <c r="K40" s="2948" t="s">
        <v>909</v>
      </c>
      <c r="L40" s="2951">
        <v>16174.7</v>
      </c>
      <c r="M40" s="2951">
        <v>8087.35</v>
      </c>
      <c r="N40" s="2977">
        <v>3.1175219790919272E-2</v>
      </c>
      <c r="O40" s="2948">
        <v>10</v>
      </c>
      <c r="P40" s="2949" t="s">
        <v>1523</v>
      </c>
      <c r="Q40" s="2953">
        <v>1</v>
      </c>
      <c r="R40" s="2953">
        <v>1</v>
      </c>
      <c r="S40" s="2952">
        <f t="shared" si="2"/>
        <v>2</v>
      </c>
      <c r="T40" s="2952">
        <f t="shared" si="3"/>
        <v>59635</v>
      </c>
      <c r="U40" s="2952">
        <f t="shared" si="4"/>
        <v>59635</v>
      </c>
      <c r="V40" s="2952">
        <f t="shared" si="5"/>
        <v>119270</v>
      </c>
      <c r="W40" s="2954">
        <f t="shared" si="6"/>
        <v>8087.35</v>
      </c>
      <c r="X40" s="2954">
        <f t="shared" si="7"/>
        <v>8087.35</v>
      </c>
      <c r="Y40" s="2954">
        <f t="shared" si="8"/>
        <v>16174.7</v>
      </c>
      <c r="Z40" s="2984">
        <v>0</v>
      </c>
      <c r="AA40" s="3019"/>
    </row>
    <row r="41" spans="1:27">
      <c r="C41" s="3046"/>
      <c r="D41" s="3062"/>
      <c r="E41" s="3086"/>
      <c r="F41" s="3095">
        <f>SUM(D41:E41)</f>
        <v>0</v>
      </c>
      <c r="H41" s="3106" t="s">
        <v>1520</v>
      </c>
      <c r="I41" s="2953">
        <v>243</v>
      </c>
      <c r="J41" s="2950" t="s">
        <v>120</v>
      </c>
      <c r="K41" s="2948" t="s">
        <v>909</v>
      </c>
      <c r="L41" s="2951">
        <v>525.41</v>
      </c>
      <c r="M41" s="2951">
        <v>262.70499999999998</v>
      </c>
      <c r="N41" s="2977">
        <v>6.3516210356278895E-3</v>
      </c>
      <c r="O41" s="2948">
        <v>16</v>
      </c>
      <c r="P41" s="2949" t="s">
        <v>1345</v>
      </c>
      <c r="Q41" s="2953">
        <v>25</v>
      </c>
      <c r="R41" s="2953">
        <v>50</v>
      </c>
      <c r="S41" s="2952">
        <f t="shared" si="2"/>
        <v>75</v>
      </c>
      <c r="T41" s="2952">
        <f t="shared" si="3"/>
        <v>6075</v>
      </c>
      <c r="U41" s="2952">
        <f t="shared" si="4"/>
        <v>12150</v>
      </c>
      <c r="V41" s="2952">
        <f t="shared" si="5"/>
        <v>18225</v>
      </c>
      <c r="W41" s="2954">
        <f t="shared" si="6"/>
        <v>6567.625</v>
      </c>
      <c r="X41" s="2954">
        <f t="shared" si="7"/>
        <v>13135.25</v>
      </c>
      <c r="Y41" s="2954">
        <f t="shared" si="8"/>
        <v>19702.875</v>
      </c>
      <c r="Z41" s="2984">
        <v>0</v>
      </c>
      <c r="AA41" s="3019"/>
    </row>
    <row r="42" spans="1:27">
      <c r="C42" s="3046"/>
      <c r="D42" s="3062"/>
      <c r="E42" s="3086"/>
      <c r="F42" s="3095">
        <f>SUM(D42:E42)</f>
        <v>0</v>
      </c>
      <c r="H42" s="3106" t="s">
        <v>1521</v>
      </c>
      <c r="I42" s="2953">
        <v>114</v>
      </c>
      <c r="J42" s="2950" t="s">
        <v>120</v>
      </c>
      <c r="K42" s="2948" t="s">
        <v>909</v>
      </c>
      <c r="L42" s="2951">
        <v>194.77</v>
      </c>
      <c r="M42" s="2951">
        <v>97.385000000000005</v>
      </c>
      <c r="N42" s="2977">
        <v>2.9797728315291332E-3</v>
      </c>
      <c r="O42" s="2948">
        <v>16</v>
      </c>
      <c r="P42" s="2949" t="s">
        <v>1345</v>
      </c>
      <c r="Q42" s="2953">
        <v>25</v>
      </c>
      <c r="R42" s="2953">
        <v>50</v>
      </c>
      <c r="S42" s="2952">
        <f t="shared" si="2"/>
        <v>75</v>
      </c>
      <c r="T42" s="2952">
        <f t="shared" si="3"/>
        <v>2850</v>
      </c>
      <c r="U42" s="2952">
        <f t="shared" si="4"/>
        <v>5700</v>
      </c>
      <c r="V42" s="2952">
        <f t="shared" si="5"/>
        <v>8550</v>
      </c>
      <c r="W42" s="2954">
        <f t="shared" si="6"/>
        <v>2434.625</v>
      </c>
      <c r="X42" s="2954">
        <f t="shared" si="7"/>
        <v>4869.25</v>
      </c>
      <c r="Y42" s="2954">
        <f t="shared" si="8"/>
        <v>7303.875</v>
      </c>
      <c r="Z42" s="2984">
        <v>0</v>
      </c>
      <c r="AA42" s="3019"/>
    </row>
    <row r="43" spans="1:27">
      <c r="C43" s="3046"/>
      <c r="D43" s="3062"/>
      <c r="E43" s="3086"/>
      <c r="F43" s="3095">
        <f>SUM(D43:E43)</f>
        <v>0</v>
      </c>
      <c r="H43" s="3106" t="s">
        <v>1439</v>
      </c>
      <c r="I43" s="2953">
        <v>800</v>
      </c>
      <c r="J43" s="2950" t="s">
        <v>120</v>
      </c>
      <c r="K43" s="2948" t="s">
        <v>909</v>
      </c>
      <c r="L43" s="2951">
        <v>237.25</v>
      </c>
      <c r="M43" s="2951">
        <v>118.25</v>
      </c>
      <c r="N43" s="2977">
        <v>8.3642746148186189E-2</v>
      </c>
      <c r="O43" s="2948">
        <v>10</v>
      </c>
      <c r="P43" s="2949" t="s">
        <v>1249</v>
      </c>
      <c r="Q43" s="2953">
        <v>100</v>
      </c>
      <c r="R43" s="2953">
        <v>200</v>
      </c>
      <c r="S43" s="2952">
        <f t="shared" si="2"/>
        <v>300</v>
      </c>
      <c r="T43" s="2952">
        <f t="shared" si="3"/>
        <v>80000</v>
      </c>
      <c r="U43" s="2952">
        <f t="shared" si="4"/>
        <v>160000</v>
      </c>
      <c r="V43" s="2952">
        <f t="shared" si="5"/>
        <v>240000</v>
      </c>
      <c r="W43" s="2954">
        <f t="shared" si="6"/>
        <v>11825</v>
      </c>
      <c r="X43" s="2954">
        <f t="shared" si="7"/>
        <v>23650</v>
      </c>
      <c r="Y43" s="2954">
        <f t="shared" si="8"/>
        <v>35475</v>
      </c>
      <c r="Z43" s="2984">
        <v>0</v>
      </c>
      <c r="AA43" s="3019"/>
    </row>
    <row r="44" spans="1:27">
      <c r="C44" s="3046"/>
      <c r="D44" s="3062"/>
      <c r="E44" s="3086"/>
      <c r="F44" s="3095">
        <f>SUM(D44:E44)</f>
        <v>0</v>
      </c>
      <c r="H44" s="3106" t="s">
        <v>1402</v>
      </c>
      <c r="I44" s="2953">
        <v>1200</v>
      </c>
      <c r="J44" s="2950" t="s">
        <v>120</v>
      </c>
      <c r="K44" s="2948" t="s">
        <v>909</v>
      </c>
      <c r="L44" s="2951">
        <v>10.95</v>
      </c>
      <c r="M44" s="2951">
        <v>10.95</v>
      </c>
      <c r="N44" s="2977">
        <v>0.12546411922227929</v>
      </c>
      <c r="O44" s="2948">
        <v>5</v>
      </c>
      <c r="P44" s="2949" t="s">
        <v>1072</v>
      </c>
      <c r="Q44" s="2953">
        <v>100</v>
      </c>
      <c r="R44" s="2953">
        <v>200</v>
      </c>
      <c r="S44" s="2952">
        <f t="shared" si="2"/>
        <v>300</v>
      </c>
      <c r="T44" s="2952">
        <f t="shared" si="3"/>
        <v>120000</v>
      </c>
      <c r="U44" s="2952">
        <f t="shared" si="4"/>
        <v>240000</v>
      </c>
      <c r="V44" s="2952">
        <f t="shared" si="5"/>
        <v>360000</v>
      </c>
      <c r="W44" s="2954">
        <f t="shared" si="6"/>
        <v>1095</v>
      </c>
      <c r="X44" s="2954">
        <f t="shared" si="7"/>
        <v>2190</v>
      </c>
      <c r="Y44" s="2954">
        <f t="shared" si="8"/>
        <v>3285</v>
      </c>
      <c r="Z44" s="2984">
        <v>0</v>
      </c>
      <c r="AA44" s="3019"/>
    </row>
    <row r="45" spans="1:27">
      <c r="C45" s="3049"/>
      <c r="D45" s="3065"/>
      <c r="E45" s="3079"/>
      <c r="F45" s="3065"/>
      <c r="H45" s="3106" t="s">
        <v>1403</v>
      </c>
      <c r="I45" s="2953">
        <v>1208</v>
      </c>
      <c r="J45" s="2950" t="s">
        <v>120</v>
      </c>
      <c r="K45" s="2948" t="s">
        <v>909</v>
      </c>
      <c r="L45" s="2951">
        <v>70.42</v>
      </c>
      <c r="M45" s="2951">
        <v>70.42</v>
      </c>
      <c r="N45" s="2977">
        <v>1.5787568335470143E-2</v>
      </c>
      <c r="O45" s="2948">
        <v>5</v>
      </c>
      <c r="P45" s="2949" t="s">
        <v>1072</v>
      </c>
      <c r="Q45" s="2953">
        <v>25</v>
      </c>
      <c r="R45" s="2953">
        <v>25</v>
      </c>
      <c r="S45" s="2952">
        <f t="shared" si="2"/>
        <v>50</v>
      </c>
      <c r="T45" s="2952">
        <f t="shared" si="3"/>
        <v>30200</v>
      </c>
      <c r="U45" s="2952">
        <f t="shared" si="4"/>
        <v>30200</v>
      </c>
      <c r="V45" s="2952">
        <f t="shared" si="5"/>
        <v>60400</v>
      </c>
      <c r="W45" s="2954">
        <f t="shared" si="6"/>
        <v>1760.5</v>
      </c>
      <c r="X45" s="2954">
        <f t="shared" si="7"/>
        <v>1760.5</v>
      </c>
      <c r="Y45" s="2954">
        <f t="shared" si="8"/>
        <v>3521</v>
      </c>
      <c r="Z45" s="2984">
        <v>0</v>
      </c>
      <c r="AA45" s="3019"/>
    </row>
    <row r="46" spans="1:27">
      <c r="C46" s="3037" t="s">
        <v>50</v>
      </c>
      <c r="D46" s="3038">
        <f>SUM(D47:D50)</f>
        <v>10185</v>
      </c>
      <c r="E46" s="3075">
        <f>SUM(E47:E50)</f>
        <v>10185</v>
      </c>
      <c r="F46" s="3022">
        <f>D46+E46</f>
        <v>20370</v>
      </c>
      <c r="H46" s="3106" t="s">
        <v>1404</v>
      </c>
      <c r="I46" s="2953">
        <v>839</v>
      </c>
      <c r="J46" s="2950" t="s">
        <v>120</v>
      </c>
      <c r="K46" s="2948" t="s">
        <v>909</v>
      </c>
      <c r="L46" s="2951">
        <v>70.42</v>
      </c>
      <c r="M46" s="2951">
        <v>70.42</v>
      </c>
      <c r="N46" s="2977">
        <v>2.1930082505727568E-2</v>
      </c>
      <c r="O46" s="2948">
        <v>5</v>
      </c>
      <c r="P46" s="2949" t="s">
        <v>1072</v>
      </c>
      <c r="Q46" s="2953">
        <v>25</v>
      </c>
      <c r="R46" s="2953">
        <v>50</v>
      </c>
      <c r="S46" s="2952">
        <f t="shared" si="2"/>
        <v>75</v>
      </c>
      <c r="T46" s="2952">
        <f t="shared" si="3"/>
        <v>20975</v>
      </c>
      <c r="U46" s="2952">
        <f t="shared" si="4"/>
        <v>41950</v>
      </c>
      <c r="V46" s="2952">
        <f t="shared" si="5"/>
        <v>62925</v>
      </c>
      <c r="W46" s="2954">
        <f t="shared" si="6"/>
        <v>1760.5</v>
      </c>
      <c r="X46" s="2954">
        <f t="shared" si="7"/>
        <v>3521</v>
      </c>
      <c r="Y46" s="2954">
        <f t="shared" si="8"/>
        <v>5281.5</v>
      </c>
      <c r="Z46" s="2984">
        <v>0</v>
      </c>
      <c r="AA46" s="3019"/>
    </row>
    <row r="47" spans="1:27">
      <c r="C47" s="3046" t="s">
        <v>1275</v>
      </c>
      <c r="D47" s="3062">
        <v>10185</v>
      </c>
      <c r="E47" s="3086">
        <v>10185</v>
      </c>
      <c r="F47" s="3095">
        <f>SUM(D47:E47)</f>
        <v>20370</v>
      </c>
      <c r="H47" s="3106" t="s">
        <v>1405</v>
      </c>
      <c r="I47" s="2953">
        <v>1322</v>
      </c>
      <c r="J47" s="2950" t="s">
        <v>120</v>
      </c>
      <c r="K47" s="2948" t="s">
        <v>909</v>
      </c>
      <c r="L47" s="2951">
        <v>70.42</v>
      </c>
      <c r="M47" s="2951">
        <v>70.42</v>
      </c>
      <c r="N47" s="2977">
        <v>1.7277454751234711E-2</v>
      </c>
      <c r="O47" s="2948">
        <v>5</v>
      </c>
      <c r="P47" s="2949" t="s">
        <v>1072</v>
      </c>
      <c r="Q47" s="2953">
        <v>25</v>
      </c>
      <c r="R47" s="2953">
        <v>25</v>
      </c>
      <c r="S47" s="2952">
        <f t="shared" si="2"/>
        <v>50</v>
      </c>
      <c r="T47" s="2952">
        <f t="shared" si="3"/>
        <v>33050</v>
      </c>
      <c r="U47" s="2952">
        <f t="shared" si="4"/>
        <v>33050</v>
      </c>
      <c r="V47" s="2952">
        <f t="shared" si="5"/>
        <v>66100</v>
      </c>
      <c r="W47" s="2954">
        <f t="shared" si="6"/>
        <v>1760.5</v>
      </c>
      <c r="X47" s="2954">
        <f t="shared" si="7"/>
        <v>1760.5</v>
      </c>
      <c r="Y47" s="2954">
        <f t="shared" si="8"/>
        <v>3521</v>
      </c>
      <c r="Z47" s="2984">
        <v>0</v>
      </c>
      <c r="AA47" s="3019"/>
    </row>
    <row r="48" spans="1:27">
      <c r="C48" s="3046"/>
      <c r="D48" s="3062"/>
      <c r="E48" s="3086"/>
      <c r="F48" s="3095">
        <f>SUM(D48:E48)</f>
        <v>0</v>
      </c>
      <c r="H48" s="3106" t="s">
        <v>1400</v>
      </c>
      <c r="I48" s="2953">
        <v>46</v>
      </c>
      <c r="J48" s="2950" t="s">
        <v>120</v>
      </c>
      <c r="K48" s="2948" t="s">
        <v>909</v>
      </c>
      <c r="L48" s="2951">
        <v>13.68</v>
      </c>
      <c r="M48" s="2951">
        <v>13.68</v>
      </c>
      <c r="N48" s="2977">
        <v>1.2023644758801764E-3</v>
      </c>
      <c r="O48" s="2948">
        <v>3</v>
      </c>
      <c r="P48" s="2949" t="s">
        <v>1072</v>
      </c>
      <c r="Q48" s="2953">
        <v>25</v>
      </c>
      <c r="R48" s="2953">
        <v>50</v>
      </c>
      <c r="S48" s="2952">
        <f t="shared" ref="S48:S79" si="9">Q48+R48</f>
        <v>75</v>
      </c>
      <c r="T48" s="2952">
        <f t="shared" ref="T48:T79" si="10">I48*Q48</f>
        <v>1150</v>
      </c>
      <c r="U48" s="2952">
        <f t="shared" ref="U48:U79" si="11">I48*R48</f>
        <v>2300</v>
      </c>
      <c r="V48" s="2952">
        <f t="shared" ref="V48:V79" si="12">T48+U48</f>
        <v>3450</v>
      </c>
      <c r="W48" s="2954">
        <f t="shared" ref="W48:W79" si="13">M48*Q48</f>
        <v>342</v>
      </c>
      <c r="X48" s="2954">
        <f t="shared" ref="X48:X79" si="14">M48*R48</f>
        <v>684</v>
      </c>
      <c r="Y48" s="2954">
        <f t="shared" ref="Y48:Y79" si="15">W48+X48</f>
        <v>1026</v>
      </c>
      <c r="Z48" s="2984">
        <v>0</v>
      </c>
      <c r="AA48" s="3019"/>
    </row>
    <row r="49" spans="1:27">
      <c r="C49" s="3046"/>
      <c r="D49" s="3062"/>
      <c r="E49" s="3086"/>
      <c r="F49" s="3095">
        <f>SUM(D49:E49)</f>
        <v>0</v>
      </c>
      <c r="H49" s="3106" t="s">
        <v>1401</v>
      </c>
      <c r="I49" s="2953">
        <v>712</v>
      </c>
      <c r="J49" s="2950" t="s">
        <v>120</v>
      </c>
      <c r="K49" s="2948" t="s">
        <v>909</v>
      </c>
      <c r="L49" s="2951">
        <v>10.95</v>
      </c>
      <c r="M49" s="2951">
        <v>10.95</v>
      </c>
      <c r="N49" s="2977">
        <v>1.861051101797143E-2</v>
      </c>
      <c r="O49" s="2948">
        <v>5</v>
      </c>
      <c r="P49" s="2949" t="s">
        <v>1072</v>
      </c>
      <c r="Q49" s="2953">
        <v>25</v>
      </c>
      <c r="R49" s="2953">
        <v>50</v>
      </c>
      <c r="S49" s="2952">
        <f t="shared" si="9"/>
        <v>75</v>
      </c>
      <c r="T49" s="2952">
        <f t="shared" si="10"/>
        <v>17800</v>
      </c>
      <c r="U49" s="2952">
        <f t="shared" si="11"/>
        <v>35600</v>
      </c>
      <c r="V49" s="2952">
        <f t="shared" si="12"/>
        <v>53400</v>
      </c>
      <c r="W49" s="2954">
        <f t="shared" si="13"/>
        <v>273.75</v>
      </c>
      <c r="X49" s="2954">
        <f t="shared" si="14"/>
        <v>547.5</v>
      </c>
      <c r="Y49" s="2954">
        <f t="shared" si="15"/>
        <v>821.25</v>
      </c>
      <c r="Z49" s="2984">
        <v>0</v>
      </c>
      <c r="AA49" s="3019"/>
    </row>
    <row r="50" spans="1:27">
      <c r="C50" s="3046"/>
      <c r="D50" s="3062"/>
      <c r="E50" s="3086"/>
      <c r="F50" s="3095">
        <f>SUM(D50:E50)</f>
        <v>0</v>
      </c>
      <c r="H50" s="3106" t="s">
        <v>1406</v>
      </c>
      <c r="I50" s="2953">
        <v>2187</v>
      </c>
      <c r="J50" s="2950" t="s">
        <v>120</v>
      </c>
      <c r="K50" s="2948" t="s">
        <v>909</v>
      </c>
      <c r="L50" s="2951">
        <v>70.42</v>
      </c>
      <c r="M50" s="2951">
        <v>70.42</v>
      </c>
      <c r="N50" s="2977">
        <v>5.7164589320651001E-2</v>
      </c>
      <c r="O50" s="2948">
        <v>5</v>
      </c>
      <c r="P50" s="2949" t="s">
        <v>1072</v>
      </c>
      <c r="Q50" s="2953">
        <v>25</v>
      </c>
      <c r="R50" s="2953">
        <v>50</v>
      </c>
      <c r="S50" s="2952">
        <f t="shared" si="9"/>
        <v>75</v>
      </c>
      <c r="T50" s="2952">
        <f t="shared" si="10"/>
        <v>54675</v>
      </c>
      <c r="U50" s="2952">
        <f t="shared" si="11"/>
        <v>109350</v>
      </c>
      <c r="V50" s="2952">
        <f t="shared" si="12"/>
        <v>164025</v>
      </c>
      <c r="W50" s="2954">
        <f t="shared" si="13"/>
        <v>1760.5</v>
      </c>
      <c r="X50" s="2954">
        <f t="shared" si="14"/>
        <v>3521</v>
      </c>
      <c r="Y50" s="2954">
        <f t="shared" si="15"/>
        <v>5281.5</v>
      </c>
      <c r="Z50" s="2984">
        <v>0</v>
      </c>
      <c r="AA50" s="3019"/>
    </row>
    <row r="51" spans="1:27">
      <c r="C51" s="3049"/>
      <c r="D51" s="3065"/>
      <c r="E51" s="3079"/>
      <c r="F51" s="3065"/>
      <c r="H51" s="3106" t="s">
        <v>1407</v>
      </c>
      <c r="I51" s="2953">
        <v>228</v>
      </c>
      <c r="J51" s="2950" t="s">
        <v>120</v>
      </c>
      <c r="K51" s="2948" t="s">
        <v>909</v>
      </c>
      <c r="L51" s="2951">
        <v>21.67</v>
      </c>
      <c r="M51" s="2951">
        <v>21.67</v>
      </c>
      <c r="N51" s="2977">
        <v>5.9595456630582664E-3</v>
      </c>
      <c r="O51" s="2948">
        <v>10</v>
      </c>
      <c r="P51" s="2949" t="s">
        <v>1072</v>
      </c>
      <c r="Q51" s="2953">
        <v>25</v>
      </c>
      <c r="R51" s="2953">
        <v>50</v>
      </c>
      <c r="S51" s="2952">
        <f t="shared" si="9"/>
        <v>75</v>
      </c>
      <c r="T51" s="2952">
        <f t="shared" si="10"/>
        <v>5700</v>
      </c>
      <c r="U51" s="2952">
        <f t="shared" si="11"/>
        <v>11400</v>
      </c>
      <c r="V51" s="2952">
        <f t="shared" si="12"/>
        <v>17100</v>
      </c>
      <c r="W51" s="2954">
        <f t="shared" si="13"/>
        <v>541.75</v>
      </c>
      <c r="X51" s="2954">
        <f t="shared" si="14"/>
        <v>1083.5</v>
      </c>
      <c r="Y51" s="2954">
        <f t="shared" si="15"/>
        <v>1625.25</v>
      </c>
      <c r="Z51" s="2984">
        <v>0</v>
      </c>
      <c r="AA51" s="3019"/>
    </row>
    <row r="52" spans="1:27">
      <c r="C52" s="3037" t="s">
        <v>51</v>
      </c>
      <c r="D52" s="3038">
        <f>SUM(D53:D56)</f>
        <v>0</v>
      </c>
      <c r="E52" s="3075">
        <f>SUM(E53:E56)</f>
        <v>0</v>
      </c>
      <c r="F52" s="3022">
        <f>D52+E52</f>
        <v>0</v>
      </c>
      <c r="H52" s="3106" t="s">
        <v>1349</v>
      </c>
      <c r="I52" s="2953">
        <v>100</v>
      </c>
      <c r="J52" s="2950" t="s">
        <v>120</v>
      </c>
      <c r="K52" s="2948" t="s">
        <v>909</v>
      </c>
      <c r="L52" s="2951">
        <v>54.6</v>
      </c>
      <c r="M52" s="2951">
        <v>54.6</v>
      </c>
      <c r="N52" s="2977">
        <v>1.3069179085654092E-3</v>
      </c>
      <c r="O52" s="2948">
        <v>5</v>
      </c>
      <c r="P52" s="2949" t="s">
        <v>1071</v>
      </c>
      <c r="Q52" s="2953">
        <v>25</v>
      </c>
      <c r="R52" s="2953">
        <v>25</v>
      </c>
      <c r="S52" s="2952">
        <f t="shared" si="9"/>
        <v>50</v>
      </c>
      <c r="T52" s="2952">
        <f t="shared" si="10"/>
        <v>2500</v>
      </c>
      <c r="U52" s="2952">
        <f t="shared" si="11"/>
        <v>2500</v>
      </c>
      <c r="V52" s="2952">
        <f t="shared" si="12"/>
        <v>5000</v>
      </c>
      <c r="W52" s="2954">
        <f t="shared" si="13"/>
        <v>1365</v>
      </c>
      <c r="X52" s="2954">
        <f t="shared" si="14"/>
        <v>1365</v>
      </c>
      <c r="Y52" s="2954">
        <f t="shared" si="15"/>
        <v>2730</v>
      </c>
      <c r="Z52" s="2984">
        <v>0</v>
      </c>
      <c r="AA52" s="3019"/>
    </row>
    <row r="53" spans="1:27">
      <c r="C53" s="3046"/>
      <c r="D53" s="3062"/>
      <c r="E53" s="3085"/>
      <c r="F53" s="3095">
        <f>SUM(D53:E53)</f>
        <v>0</v>
      </c>
      <c r="H53" s="3106" t="s">
        <v>1388</v>
      </c>
      <c r="I53" s="2953">
        <v>793</v>
      </c>
      <c r="J53" s="2950" t="s">
        <v>120</v>
      </c>
      <c r="K53" s="2948" t="s">
        <v>909</v>
      </c>
      <c r="L53" s="2951">
        <v>87.75</v>
      </c>
      <c r="M53" s="2951">
        <v>87.75</v>
      </c>
      <c r="N53" s="2977">
        <v>4.1455436059694782E-2</v>
      </c>
      <c r="O53" s="2948">
        <v>12</v>
      </c>
      <c r="P53" s="2949" t="s">
        <v>1071</v>
      </c>
      <c r="Q53" s="2953">
        <v>50</v>
      </c>
      <c r="R53" s="2953">
        <v>100</v>
      </c>
      <c r="S53" s="2952">
        <f t="shared" si="9"/>
        <v>150</v>
      </c>
      <c r="T53" s="2952">
        <f t="shared" si="10"/>
        <v>39650</v>
      </c>
      <c r="U53" s="2952">
        <f t="shared" si="11"/>
        <v>79300</v>
      </c>
      <c r="V53" s="2952">
        <f t="shared" si="12"/>
        <v>118950</v>
      </c>
      <c r="W53" s="2954">
        <f t="shared" si="13"/>
        <v>4387.5</v>
      </c>
      <c r="X53" s="2954">
        <f t="shared" si="14"/>
        <v>8775</v>
      </c>
      <c r="Y53" s="2954">
        <f t="shared" si="15"/>
        <v>13162.5</v>
      </c>
      <c r="Z53" s="2984">
        <v>0</v>
      </c>
      <c r="AA53" s="3019"/>
    </row>
    <row r="54" spans="1:27">
      <c r="C54" s="3046"/>
      <c r="D54" s="3062"/>
      <c r="E54" s="3085"/>
      <c r="F54" s="3095">
        <f>SUM(D54:E54)</f>
        <v>0</v>
      </c>
      <c r="H54" s="3106" t="s">
        <v>1389</v>
      </c>
      <c r="I54" s="2953">
        <v>685</v>
      </c>
      <c r="J54" s="2950" t="s">
        <v>120</v>
      </c>
      <c r="K54" s="2948" t="s">
        <v>909</v>
      </c>
      <c r="L54" s="2951">
        <v>196.3</v>
      </c>
      <c r="M54" s="2951">
        <v>171.25</v>
      </c>
      <c r="N54" s="2977">
        <v>2.6857163021019162E-2</v>
      </c>
      <c r="O54" s="2948">
        <v>12</v>
      </c>
      <c r="P54" s="2949" t="s">
        <v>1071</v>
      </c>
      <c r="Q54" s="2953">
        <v>25</v>
      </c>
      <c r="R54" s="2953">
        <v>75</v>
      </c>
      <c r="S54" s="2952">
        <f t="shared" si="9"/>
        <v>100</v>
      </c>
      <c r="T54" s="2952">
        <f t="shared" si="10"/>
        <v>17125</v>
      </c>
      <c r="U54" s="2952">
        <f t="shared" si="11"/>
        <v>51375</v>
      </c>
      <c r="V54" s="2952">
        <f t="shared" si="12"/>
        <v>68500</v>
      </c>
      <c r="W54" s="2954">
        <f t="shared" si="13"/>
        <v>4281.25</v>
      </c>
      <c r="X54" s="2954">
        <f t="shared" si="14"/>
        <v>12843.75</v>
      </c>
      <c r="Y54" s="2954">
        <f t="shared" si="15"/>
        <v>17125</v>
      </c>
      <c r="Z54" s="2984">
        <v>0</v>
      </c>
      <c r="AA54" s="3019"/>
    </row>
    <row r="55" spans="1:27">
      <c r="C55" s="3046"/>
      <c r="D55" s="3062"/>
      <c r="E55" s="3085"/>
      <c r="F55" s="3095">
        <f>SUM(D55:E55)</f>
        <v>0</v>
      </c>
      <c r="H55" s="3106" t="s">
        <v>1390</v>
      </c>
      <c r="I55" s="2953">
        <v>685</v>
      </c>
      <c r="J55" s="2950" t="s">
        <v>120</v>
      </c>
      <c r="K55" s="2948" t="s">
        <v>909</v>
      </c>
      <c r="L55" s="2951">
        <v>430.4</v>
      </c>
      <c r="M55" s="2951">
        <v>171.25</v>
      </c>
      <c r="N55" s="2977">
        <v>2.6857163021019162E-2</v>
      </c>
      <c r="O55" s="2948">
        <v>12</v>
      </c>
      <c r="P55" s="2949" t="s">
        <v>1071</v>
      </c>
      <c r="Q55" s="2953">
        <v>25</v>
      </c>
      <c r="R55" s="2953">
        <v>75</v>
      </c>
      <c r="S55" s="2952">
        <f t="shared" si="9"/>
        <v>100</v>
      </c>
      <c r="T55" s="2952">
        <f t="shared" si="10"/>
        <v>17125</v>
      </c>
      <c r="U55" s="2952">
        <f t="shared" si="11"/>
        <v>51375</v>
      </c>
      <c r="V55" s="2952">
        <f t="shared" si="12"/>
        <v>68500</v>
      </c>
      <c r="W55" s="2954">
        <f t="shared" si="13"/>
        <v>4281.25</v>
      </c>
      <c r="X55" s="2954">
        <f t="shared" si="14"/>
        <v>12843.75</v>
      </c>
      <c r="Y55" s="2954">
        <f t="shared" si="15"/>
        <v>17125</v>
      </c>
      <c r="Z55" s="2984">
        <v>0</v>
      </c>
      <c r="AA55" s="3019"/>
    </row>
    <row r="56" spans="1:27">
      <c r="C56" s="3046"/>
      <c r="D56" s="3062"/>
      <c r="E56" s="3085"/>
      <c r="F56" s="3095">
        <f>SUM(D56:E56)</f>
        <v>0</v>
      </c>
      <c r="H56" s="3106" t="s">
        <v>1391</v>
      </c>
      <c r="I56" s="2953">
        <v>601</v>
      </c>
      <c r="J56" s="2950" t="s">
        <v>120</v>
      </c>
      <c r="K56" s="2948" t="s">
        <v>909</v>
      </c>
      <c r="L56" s="2951">
        <v>150.80000000000001</v>
      </c>
      <c r="M56" s="2951">
        <v>150.80000000000001</v>
      </c>
      <c r="N56" s="2977">
        <v>2.3563729891434328E-2</v>
      </c>
      <c r="O56" s="2948">
        <v>12</v>
      </c>
      <c r="P56" s="2949" t="s">
        <v>1071</v>
      </c>
      <c r="Q56" s="2953">
        <v>25</v>
      </c>
      <c r="R56" s="2953">
        <v>75</v>
      </c>
      <c r="S56" s="2952">
        <f t="shared" si="9"/>
        <v>100</v>
      </c>
      <c r="T56" s="2952">
        <f t="shared" si="10"/>
        <v>15025</v>
      </c>
      <c r="U56" s="2952">
        <f t="shared" si="11"/>
        <v>45075</v>
      </c>
      <c r="V56" s="2952">
        <f t="shared" si="12"/>
        <v>60100</v>
      </c>
      <c r="W56" s="2954">
        <f t="shared" si="13"/>
        <v>3770.0000000000005</v>
      </c>
      <c r="X56" s="2954">
        <f t="shared" si="14"/>
        <v>11310</v>
      </c>
      <c r="Y56" s="2954">
        <f t="shared" si="15"/>
        <v>15080</v>
      </c>
      <c r="Z56" s="2984">
        <v>0</v>
      </c>
      <c r="AA56" s="3019"/>
    </row>
    <row r="57" spans="1:27">
      <c r="C57" s="3049"/>
      <c r="D57" s="3065"/>
      <c r="E57" s="3079"/>
      <c r="F57" s="3065"/>
      <c r="H57" s="3106" t="s">
        <v>1392</v>
      </c>
      <c r="I57" s="2953">
        <v>190</v>
      </c>
      <c r="J57" s="2950" t="s">
        <v>120</v>
      </c>
      <c r="K57" s="2948" t="s">
        <v>909</v>
      </c>
      <c r="L57" s="2951">
        <v>81.900000000000006</v>
      </c>
      <c r="M57" s="2951">
        <v>81.900000000000006</v>
      </c>
      <c r="N57" s="2977">
        <v>7.4494320788228326E-3</v>
      </c>
      <c r="O57" s="2948">
        <v>3</v>
      </c>
      <c r="P57" s="2949" t="s">
        <v>1071</v>
      </c>
      <c r="Q57" s="2953">
        <v>25</v>
      </c>
      <c r="R57" s="2953">
        <v>75</v>
      </c>
      <c r="S57" s="2952">
        <f t="shared" si="9"/>
        <v>100</v>
      </c>
      <c r="T57" s="2952">
        <f t="shared" si="10"/>
        <v>4750</v>
      </c>
      <c r="U57" s="2952">
        <f t="shared" si="11"/>
        <v>14250</v>
      </c>
      <c r="V57" s="2952">
        <f t="shared" si="12"/>
        <v>19000</v>
      </c>
      <c r="W57" s="2954">
        <f t="shared" si="13"/>
        <v>2047.5000000000002</v>
      </c>
      <c r="X57" s="2954">
        <f t="shared" si="14"/>
        <v>6142.5</v>
      </c>
      <c r="Y57" s="2954">
        <f t="shared" si="15"/>
        <v>8190</v>
      </c>
      <c r="Z57" s="2984">
        <v>0</v>
      </c>
      <c r="AA57" s="3019"/>
    </row>
    <row r="58" spans="1:27">
      <c r="C58" s="3037" t="s">
        <v>52</v>
      </c>
      <c r="D58" s="3038">
        <f>SUM(D59:D62)</f>
        <v>152775</v>
      </c>
      <c r="E58" s="3075">
        <f>SUM(E59:E62)</f>
        <v>152775</v>
      </c>
      <c r="F58" s="3022">
        <f>D58+E58</f>
        <v>305550</v>
      </c>
      <c r="H58" s="3106" t="s">
        <v>1392</v>
      </c>
      <c r="I58" s="2953">
        <v>157</v>
      </c>
      <c r="J58" s="2950" t="s">
        <v>120</v>
      </c>
      <c r="K58" s="2948" t="s">
        <v>909</v>
      </c>
      <c r="L58" s="2951">
        <v>16.8</v>
      </c>
      <c r="M58" s="2951">
        <v>16.8</v>
      </c>
      <c r="N58" s="2977">
        <v>6.155583349343078E-3</v>
      </c>
      <c r="O58" s="2948">
        <v>3</v>
      </c>
      <c r="P58" s="2949" t="s">
        <v>1071</v>
      </c>
      <c r="Q58" s="2953">
        <v>25</v>
      </c>
      <c r="R58" s="2953">
        <v>75</v>
      </c>
      <c r="S58" s="2952">
        <f t="shared" si="9"/>
        <v>100</v>
      </c>
      <c r="T58" s="2952">
        <f t="shared" si="10"/>
        <v>3925</v>
      </c>
      <c r="U58" s="2952">
        <f t="shared" si="11"/>
        <v>11775</v>
      </c>
      <c r="V58" s="2952">
        <f t="shared" si="12"/>
        <v>15700</v>
      </c>
      <c r="W58" s="2954">
        <f t="shared" si="13"/>
        <v>420</v>
      </c>
      <c r="X58" s="2954">
        <f t="shared" si="14"/>
        <v>1260</v>
      </c>
      <c r="Y58" s="2954">
        <f t="shared" si="15"/>
        <v>1680</v>
      </c>
      <c r="Z58" s="2984">
        <v>0</v>
      </c>
      <c r="AA58" s="3019"/>
    </row>
    <row r="59" spans="1:27">
      <c r="C59" s="3046" t="s">
        <v>1276</v>
      </c>
      <c r="D59" s="3062">
        <v>152775</v>
      </c>
      <c r="E59" s="3086">
        <v>152775</v>
      </c>
      <c r="F59" s="3095">
        <f>SUM(D59:E59)</f>
        <v>305550</v>
      </c>
      <c r="H59" s="3106" t="s">
        <v>1392</v>
      </c>
      <c r="I59" s="2953">
        <v>58</v>
      </c>
      <c r="J59" s="2950" t="s">
        <v>120</v>
      </c>
      <c r="K59" s="2948" t="s">
        <v>909</v>
      </c>
      <c r="L59" s="2951">
        <v>16.8</v>
      </c>
      <c r="M59" s="2951">
        <v>16.8</v>
      </c>
      <c r="N59" s="2977">
        <v>2.274037160903812E-3</v>
      </c>
      <c r="O59" s="2948">
        <v>3</v>
      </c>
      <c r="P59" s="2949" t="s">
        <v>1071</v>
      </c>
      <c r="Q59" s="2953">
        <v>25</v>
      </c>
      <c r="R59" s="2953">
        <v>75</v>
      </c>
      <c r="S59" s="2952">
        <f t="shared" si="9"/>
        <v>100</v>
      </c>
      <c r="T59" s="2952">
        <f t="shared" si="10"/>
        <v>1450</v>
      </c>
      <c r="U59" s="2952">
        <f t="shared" si="11"/>
        <v>4350</v>
      </c>
      <c r="V59" s="2952">
        <f t="shared" si="12"/>
        <v>5800</v>
      </c>
      <c r="W59" s="2954">
        <f t="shared" si="13"/>
        <v>420</v>
      </c>
      <c r="X59" s="2954">
        <f t="shared" si="14"/>
        <v>1260</v>
      </c>
      <c r="Y59" s="2954">
        <f t="shared" si="15"/>
        <v>1680</v>
      </c>
      <c r="Z59" s="2984">
        <v>0</v>
      </c>
      <c r="AA59" s="3019"/>
    </row>
    <row r="60" spans="1:27">
      <c r="C60" s="3153"/>
      <c r="D60" s="3062"/>
      <c r="E60" s="3086"/>
      <c r="F60" s="3095">
        <f>SUM(D60:E60)</f>
        <v>0</v>
      </c>
      <c r="H60" s="3106" t="s">
        <v>1392</v>
      </c>
      <c r="I60" s="2953">
        <v>43</v>
      </c>
      <c r="J60" s="2950" t="s">
        <v>120</v>
      </c>
      <c r="K60" s="2948" t="s">
        <v>909</v>
      </c>
      <c r="L60" s="2951">
        <v>16.8</v>
      </c>
      <c r="M60" s="2951">
        <v>16.8</v>
      </c>
      <c r="N60" s="2977">
        <v>1.6859241020493779E-3</v>
      </c>
      <c r="O60" s="2948">
        <v>3</v>
      </c>
      <c r="P60" s="2949" t="s">
        <v>1071</v>
      </c>
      <c r="Q60" s="2953">
        <v>25</v>
      </c>
      <c r="R60" s="2953">
        <v>75</v>
      </c>
      <c r="S60" s="2952">
        <f t="shared" si="9"/>
        <v>100</v>
      </c>
      <c r="T60" s="2952">
        <f t="shared" si="10"/>
        <v>1075</v>
      </c>
      <c r="U60" s="2952">
        <f t="shared" si="11"/>
        <v>3225</v>
      </c>
      <c r="V60" s="2952">
        <f t="shared" si="12"/>
        <v>4300</v>
      </c>
      <c r="W60" s="2954">
        <f t="shared" si="13"/>
        <v>420</v>
      </c>
      <c r="X60" s="2954">
        <f t="shared" si="14"/>
        <v>1260</v>
      </c>
      <c r="Y60" s="2954">
        <f t="shared" si="15"/>
        <v>1680</v>
      </c>
      <c r="Z60" s="2984">
        <v>0</v>
      </c>
      <c r="AA60" s="3019"/>
    </row>
    <row r="61" spans="1:27">
      <c r="C61" s="3153"/>
      <c r="D61" s="3062"/>
      <c r="E61" s="3086"/>
      <c r="F61" s="3098">
        <f>SUM(D61:E61)</f>
        <v>0</v>
      </c>
      <c r="H61" s="3106" t="s">
        <v>1392</v>
      </c>
      <c r="I61" s="2953">
        <v>84</v>
      </c>
      <c r="J61" s="2950" t="s">
        <v>120</v>
      </c>
      <c r="K61" s="2948" t="s">
        <v>909</v>
      </c>
      <c r="L61" s="2951">
        <v>16.8</v>
      </c>
      <c r="M61" s="2951">
        <v>16.8</v>
      </c>
      <c r="N61" s="2977">
        <v>3.2934331295848313E-3</v>
      </c>
      <c r="O61" s="2948">
        <v>3</v>
      </c>
      <c r="P61" s="2949" t="s">
        <v>1071</v>
      </c>
      <c r="Q61" s="2953">
        <v>25</v>
      </c>
      <c r="R61" s="2953">
        <v>75</v>
      </c>
      <c r="S61" s="2952">
        <f t="shared" si="9"/>
        <v>100</v>
      </c>
      <c r="T61" s="2952">
        <f t="shared" si="10"/>
        <v>2100</v>
      </c>
      <c r="U61" s="2952">
        <f t="shared" si="11"/>
        <v>6300</v>
      </c>
      <c r="V61" s="2952">
        <f t="shared" si="12"/>
        <v>8400</v>
      </c>
      <c r="W61" s="2954">
        <f t="shared" si="13"/>
        <v>420</v>
      </c>
      <c r="X61" s="2954">
        <f t="shared" si="14"/>
        <v>1260</v>
      </c>
      <c r="Y61" s="2954">
        <f t="shared" si="15"/>
        <v>1680</v>
      </c>
      <c r="Z61" s="2984">
        <v>0</v>
      </c>
      <c r="AA61" s="3019"/>
    </row>
    <row r="62" spans="1:27">
      <c r="C62" s="3046"/>
      <c r="D62" s="3062"/>
      <c r="E62" s="3086"/>
      <c r="F62" s="3095">
        <f>SUM(D62:E62)</f>
        <v>0</v>
      </c>
      <c r="H62" s="3106" t="s">
        <v>1392</v>
      </c>
      <c r="I62" s="2953">
        <v>69</v>
      </c>
      <c r="J62" s="2950" t="s">
        <v>120</v>
      </c>
      <c r="K62" s="2948" t="s">
        <v>909</v>
      </c>
      <c r="L62" s="2951">
        <v>16.8</v>
      </c>
      <c r="M62" s="2951">
        <v>16.8</v>
      </c>
      <c r="N62" s="2977">
        <v>2.705320070730397E-3</v>
      </c>
      <c r="O62" s="2948">
        <v>3</v>
      </c>
      <c r="P62" s="2949" t="s">
        <v>1071</v>
      </c>
      <c r="Q62" s="2953">
        <v>25</v>
      </c>
      <c r="R62" s="2953">
        <v>75</v>
      </c>
      <c r="S62" s="2952">
        <f t="shared" si="9"/>
        <v>100</v>
      </c>
      <c r="T62" s="2952">
        <f t="shared" si="10"/>
        <v>1725</v>
      </c>
      <c r="U62" s="2952">
        <f t="shared" si="11"/>
        <v>5175</v>
      </c>
      <c r="V62" s="2952">
        <f t="shared" si="12"/>
        <v>6900</v>
      </c>
      <c r="W62" s="2954">
        <f t="shared" si="13"/>
        <v>420</v>
      </c>
      <c r="X62" s="2954">
        <f t="shared" si="14"/>
        <v>1260</v>
      </c>
      <c r="Y62" s="2954">
        <f t="shared" si="15"/>
        <v>1680</v>
      </c>
      <c r="Z62" s="2984">
        <v>0</v>
      </c>
      <c r="AA62" s="3019"/>
    </row>
    <row r="63" spans="1:27">
      <c r="C63" s="3049"/>
      <c r="D63" s="3065"/>
      <c r="E63" s="3079"/>
      <c r="F63" s="3065"/>
      <c r="H63" s="3106" t="s">
        <v>1392</v>
      </c>
      <c r="I63" s="2953">
        <v>63</v>
      </c>
      <c r="J63" s="2950" t="s">
        <v>120</v>
      </c>
      <c r="K63" s="2948" t="s">
        <v>909</v>
      </c>
      <c r="L63" s="2951">
        <v>16.8</v>
      </c>
      <c r="M63" s="2951">
        <v>16.8</v>
      </c>
      <c r="N63" s="2977">
        <v>2.4700748471886236E-3</v>
      </c>
      <c r="O63" s="2948">
        <v>3</v>
      </c>
      <c r="P63" s="2949" t="s">
        <v>1071</v>
      </c>
      <c r="Q63" s="2953">
        <v>25</v>
      </c>
      <c r="R63" s="2953">
        <v>75</v>
      </c>
      <c r="S63" s="2952">
        <f t="shared" si="9"/>
        <v>100</v>
      </c>
      <c r="T63" s="2952">
        <f t="shared" si="10"/>
        <v>1575</v>
      </c>
      <c r="U63" s="2952">
        <f t="shared" si="11"/>
        <v>4725</v>
      </c>
      <c r="V63" s="2952">
        <f t="shared" si="12"/>
        <v>6300</v>
      </c>
      <c r="W63" s="2954">
        <f t="shared" si="13"/>
        <v>420</v>
      </c>
      <c r="X63" s="2954">
        <f t="shared" si="14"/>
        <v>1260</v>
      </c>
      <c r="Y63" s="2954">
        <f t="shared" si="15"/>
        <v>1680</v>
      </c>
      <c r="Z63" s="2984">
        <v>0</v>
      </c>
      <c r="AA63" s="3019"/>
    </row>
    <row r="64" spans="1:27" ht="25.5">
      <c r="A64" s="3004" t="s">
        <v>1493</v>
      </c>
      <c r="C64" s="3037" t="s">
        <v>53</v>
      </c>
      <c r="D64" s="3038">
        <f>W15</f>
        <v>175731.375</v>
      </c>
      <c r="E64" s="3207">
        <f>X15</f>
        <v>327270.625</v>
      </c>
      <c r="F64" s="3022">
        <f>D64+E64</f>
        <v>503002</v>
      </c>
      <c r="H64" s="3106" t="s">
        <v>1392</v>
      </c>
      <c r="I64" s="2953">
        <v>44</v>
      </c>
      <c r="J64" s="2950" t="s">
        <v>120</v>
      </c>
      <c r="K64" s="2948" t="s">
        <v>909</v>
      </c>
      <c r="L64" s="2951">
        <v>16.8</v>
      </c>
      <c r="M64" s="2951">
        <v>16.8</v>
      </c>
      <c r="N64" s="2977">
        <v>1.7251316393063403E-3</v>
      </c>
      <c r="O64" s="2948">
        <v>3</v>
      </c>
      <c r="P64" s="2949" t="s">
        <v>1071</v>
      </c>
      <c r="Q64" s="2953">
        <v>25</v>
      </c>
      <c r="R64" s="2953">
        <v>75</v>
      </c>
      <c r="S64" s="2952">
        <f t="shared" si="9"/>
        <v>100</v>
      </c>
      <c r="T64" s="2952">
        <f t="shared" si="10"/>
        <v>1100</v>
      </c>
      <c r="U64" s="2952">
        <f t="shared" si="11"/>
        <v>3300</v>
      </c>
      <c r="V64" s="2952">
        <f t="shared" si="12"/>
        <v>4400</v>
      </c>
      <c r="W64" s="2954">
        <f t="shared" si="13"/>
        <v>420</v>
      </c>
      <c r="X64" s="2954">
        <f t="shared" si="14"/>
        <v>1260</v>
      </c>
      <c r="Y64" s="2954">
        <f t="shared" si="15"/>
        <v>1680</v>
      </c>
      <c r="Z64" s="2984">
        <v>0</v>
      </c>
      <c r="AA64" s="3019"/>
    </row>
    <row r="65" spans="1:27">
      <c r="A65" s="3004" t="s">
        <v>278</v>
      </c>
      <c r="C65" s="3066" t="s">
        <v>313</v>
      </c>
      <c r="D65" s="3067"/>
      <c r="E65" s="3087"/>
      <c r="F65" s="3068"/>
      <c r="H65" s="3106" t="s">
        <v>1393</v>
      </c>
      <c r="I65" s="2953">
        <v>46</v>
      </c>
      <c r="J65" s="2950" t="s">
        <v>120</v>
      </c>
      <c r="K65" s="2948" t="s">
        <v>909</v>
      </c>
      <c r="L65" s="2951">
        <v>16.8</v>
      </c>
      <c r="M65" s="2951">
        <v>16.8</v>
      </c>
      <c r="N65" s="2977">
        <v>1.8035467138202649E-3</v>
      </c>
      <c r="O65" s="2948">
        <v>3</v>
      </c>
      <c r="P65" s="2949" t="s">
        <v>1071</v>
      </c>
      <c r="Q65" s="2953">
        <v>25</v>
      </c>
      <c r="R65" s="2953">
        <v>75</v>
      </c>
      <c r="S65" s="2952">
        <f t="shared" si="9"/>
        <v>100</v>
      </c>
      <c r="T65" s="2952">
        <f t="shared" si="10"/>
        <v>1150</v>
      </c>
      <c r="U65" s="2952">
        <f t="shared" si="11"/>
        <v>3450</v>
      </c>
      <c r="V65" s="2952">
        <f t="shared" si="12"/>
        <v>4600</v>
      </c>
      <c r="W65" s="2954">
        <f t="shared" si="13"/>
        <v>420</v>
      </c>
      <c r="X65" s="2954">
        <f t="shared" si="14"/>
        <v>1260</v>
      </c>
      <c r="Y65" s="2954">
        <f t="shared" si="15"/>
        <v>1680</v>
      </c>
      <c r="Z65" s="2984">
        <v>0</v>
      </c>
      <c r="AA65" s="3019"/>
    </row>
    <row r="66" spans="1:27">
      <c r="A66" s="3004" t="s">
        <v>6</v>
      </c>
      <c r="C66" s="3069"/>
      <c r="D66" s="3050"/>
      <c r="E66" s="3079"/>
      <c r="F66" s="3065"/>
      <c r="H66" s="3106" t="s">
        <v>1393</v>
      </c>
      <c r="I66" s="2953">
        <v>247</v>
      </c>
      <c r="J66" s="2950" t="s">
        <v>120</v>
      </c>
      <c r="K66" s="2948" t="s">
        <v>909</v>
      </c>
      <c r="L66" s="2951">
        <v>15.81</v>
      </c>
      <c r="M66" s="2951">
        <v>15.81</v>
      </c>
      <c r="N66" s="2977">
        <v>9.6842617024696827E-3</v>
      </c>
      <c r="O66" s="2948">
        <v>3</v>
      </c>
      <c r="P66" s="2949" t="s">
        <v>1071</v>
      </c>
      <c r="Q66" s="2953">
        <v>25</v>
      </c>
      <c r="R66" s="2953">
        <v>75</v>
      </c>
      <c r="S66" s="2952">
        <f t="shared" si="9"/>
        <v>100</v>
      </c>
      <c r="T66" s="2952">
        <f t="shared" si="10"/>
        <v>6175</v>
      </c>
      <c r="U66" s="2952">
        <f t="shared" si="11"/>
        <v>18525</v>
      </c>
      <c r="V66" s="2952">
        <f t="shared" si="12"/>
        <v>24700</v>
      </c>
      <c r="W66" s="2954">
        <f t="shared" si="13"/>
        <v>395.25</v>
      </c>
      <c r="X66" s="2954">
        <f t="shared" si="14"/>
        <v>1185.75</v>
      </c>
      <c r="Y66" s="2954">
        <f t="shared" si="15"/>
        <v>1581</v>
      </c>
      <c r="Z66" s="2984">
        <v>0</v>
      </c>
    </row>
    <row r="67" spans="1:27">
      <c r="A67" s="3004" t="s">
        <v>1494</v>
      </c>
      <c r="C67" s="3070" t="s">
        <v>54</v>
      </c>
      <c r="D67" s="3062">
        <v>0</v>
      </c>
      <c r="E67" s="3088">
        <v>0</v>
      </c>
      <c r="F67" s="3071">
        <v>0</v>
      </c>
      <c r="H67" s="3106" t="s">
        <v>1393</v>
      </c>
      <c r="I67" s="2953">
        <v>90</v>
      </c>
      <c r="J67" s="2950" t="s">
        <v>120</v>
      </c>
      <c r="K67" s="2948" t="s">
        <v>909</v>
      </c>
      <c r="L67" s="2951">
        <v>15.81</v>
      </c>
      <c r="M67" s="2951">
        <v>15.81</v>
      </c>
      <c r="N67" s="2977">
        <v>3.5286783531266052E-3</v>
      </c>
      <c r="O67" s="2948">
        <v>3</v>
      </c>
      <c r="P67" s="2949" t="s">
        <v>1071</v>
      </c>
      <c r="Q67" s="2953">
        <v>25</v>
      </c>
      <c r="R67" s="2953">
        <v>75</v>
      </c>
      <c r="S67" s="2952">
        <f t="shared" si="9"/>
        <v>100</v>
      </c>
      <c r="T67" s="2952">
        <f t="shared" si="10"/>
        <v>2250</v>
      </c>
      <c r="U67" s="2952">
        <f t="shared" si="11"/>
        <v>6750</v>
      </c>
      <c r="V67" s="2952">
        <f t="shared" si="12"/>
        <v>9000</v>
      </c>
      <c r="W67" s="2954">
        <f t="shared" si="13"/>
        <v>395.25</v>
      </c>
      <c r="X67" s="2954">
        <f t="shared" si="14"/>
        <v>1185.75</v>
      </c>
      <c r="Y67" s="2954">
        <f t="shared" si="15"/>
        <v>1581</v>
      </c>
      <c r="Z67" s="2984">
        <v>0</v>
      </c>
    </row>
    <row r="68" spans="1:27">
      <c r="A68" s="3004" t="s">
        <v>5</v>
      </c>
      <c r="H68" s="3106" t="s">
        <v>1393</v>
      </c>
      <c r="I68" s="2953">
        <v>68</v>
      </c>
      <c r="J68" s="2950" t="s">
        <v>120</v>
      </c>
      <c r="K68" s="2948" t="s">
        <v>909</v>
      </c>
      <c r="L68" s="2951">
        <v>15.81</v>
      </c>
      <c r="M68" s="2951">
        <v>15.81</v>
      </c>
      <c r="N68" s="2977">
        <v>2.6661125334734351E-3</v>
      </c>
      <c r="O68" s="2948">
        <v>3</v>
      </c>
      <c r="P68" s="2949" t="s">
        <v>1071</v>
      </c>
      <c r="Q68" s="2953">
        <v>25</v>
      </c>
      <c r="R68" s="2953">
        <v>75</v>
      </c>
      <c r="S68" s="2952">
        <f t="shared" si="9"/>
        <v>100</v>
      </c>
      <c r="T68" s="2952">
        <f t="shared" si="10"/>
        <v>1700</v>
      </c>
      <c r="U68" s="2952">
        <f t="shared" si="11"/>
        <v>5100</v>
      </c>
      <c r="V68" s="2952">
        <f t="shared" si="12"/>
        <v>6800</v>
      </c>
      <c r="W68" s="2954">
        <f t="shared" si="13"/>
        <v>395.25</v>
      </c>
      <c r="X68" s="2954">
        <f t="shared" si="14"/>
        <v>1185.75</v>
      </c>
      <c r="Y68" s="2954">
        <f t="shared" si="15"/>
        <v>1581</v>
      </c>
      <c r="Z68" s="2984">
        <v>0</v>
      </c>
    </row>
    <row r="69" spans="1:27">
      <c r="A69" s="2994"/>
      <c r="H69" s="3106" t="s">
        <v>1393</v>
      </c>
      <c r="I69" s="2953">
        <v>133</v>
      </c>
      <c r="J69" s="2950" t="s">
        <v>120</v>
      </c>
      <c r="K69" s="2948" t="s">
        <v>909</v>
      </c>
      <c r="L69" s="2951">
        <v>15.81</v>
      </c>
      <c r="M69" s="2951">
        <v>15.81</v>
      </c>
      <c r="N69" s="2977">
        <v>5.2146024551759833E-3</v>
      </c>
      <c r="O69" s="2948">
        <v>3</v>
      </c>
      <c r="P69" s="2949" t="s">
        <v>1071</v>
      </c>
      <c r="Q69" s="2953">
        <v>25</v>
      </c>
      <c r="R69" s="2953">
        <v>75</v>
      </c>
      <c r="S69" s="2952">
        <f t="shared" si="9"/>
        <v>100</v>
      </c>
      <c r="T69" s="2952">
        <f t="shared" si="10"/>
        <v>3325</v>
      </c>
      <c r="U69" s="2952">
        <f t="shared" si="11"/>
        <v>9975</v>
      </c>
      <c r="V69" s="2952">
        <f t="shared" si="12"/>
        <v>13300</v>
      </c>
      <c r="W69" s="2954">
        <f t="shared" si="13"/>
        <v>395.25</v>
      </c>
      <c r="X69" s="2954">
        <f t="shared" si="14"/>
        <v>1185.75</v>
      </c>
      <c r="Y69" s="2954">
        <f t="shared" si="15"/>
        <v>1581</v>
      </c>
      <c r="Z69" s="2984">
        <v>0</v>
      </c>
    </row>
    <row r="70" spans="1:27">
      <c r="A70" s="2994"/>
      <c r="H70" s="3106" t="s">
        <v>1393</v>
      </c>
      <c r="I70" s="2953">
        <v>108</v>
      </c>
      <c r="J70" s="2950" t="s">
        <v>120</v>
      </c>
      <c r="K70" s="2948" t="s">
        <v>909</v>
      </c>
      <c r="L70" s="2951">
        <v>15.81</v>
      </c>
      <c r="M70" s="2951">
        <v>15.81</v>
      </c>
      <c r="N70" s="2977">
        <v>4.2344140237519264E-3</v>
      </c>
      <c r="O70" s="2948">
        <v>3</v>
      </c>
      <c r="P70" s="2949" t="s">
        <v>1071</v>
      </c>
      <c r="Q70" s="2953">
        <v>25</v>
      </c>
      <c r="R70" s="2953">
        <v>75</v>
      </c>
      <c r="S70" s="2952">
        <f t="shared" si="9"/>
        <v>100</v>
      </c>
      <c r="T70" s="2952">
        <f t="shared" si="10"/>
        <v>2700</v>
      </c>
      <c r="U70" s="2952">
        <f t="shared" si="11"/>
        <v>8100</v>
      </c>
      <c r="V70" s="2952">
        <f t="shared" si="12"/>
        <v>10800</v>
      </c>
      <c r="W70" s="2954">
        <f t="shared" si="13"/>
        <v>395.25</v>
      </c>
      <c r="X70" s="2954">
        <f t="shared" si="14"/>
        <v>1185.75</v>
      </c>
      <c r="Y70" s="2954">
        <f t="shared" si="15"/>
        <v>1581</v>
      </c>
      <c r="Z70" s="2984">
        <v>0</v>
      </c>
    </row>
    <row r="71" spans="1:27">
      <c r="H71" s="3106" t="s">
        <v>1393</v>
      </c>
      <c r="I71" s="2953">
        <v>99</v>
      </c>
      <c r="J71" s="2950" t="s">
        <v>120</v>
      </c>
      <c r="K71" s="2948" t="s">
        <v>909</v>
      </c>
      <c r="L71" s="2951">
        <v>15.81</v>
      </c>
      <c r="M71" s="2951">
        <v>15.81</v>
      </c>
      <c r="N71" s="2977">
        <v>3.8815461884392655E-3</v>
      </c>
      <c r="O71" s="2948">
        <v>3</v>
      </c>
      <c r="P71" s="2949" t="s">
        <v>1071</v>
      </c>
      <c r="Q71" s="2953">
        <v>25</v>
      </c>
      <c r="R71" s="2953">
        <v>75</v>
      </c>
      <c r="S71" s="2952">
        <f t="shared" si="9"/>
        <v>100</v>
      </c>
      <c r="T71" s="2952">
        <f t="shared" si="10"/>
        <v>2475</v>
      </c>
      <c r="U71" s="2952">
        <f t="shared" si="11"/>
        <v>7425</v>
      </c>
      <c r="V71" s="2952">
        <f t="shared" si="12"/>
        <v>9900</v>
      </c>
      <c r="W71" s="2954">
        <f t="shared" si="13"/>
        <v>395.25</v>
      </c>
      <c r="X71" s="2954">
        <f t="shared" si="14"/>
        <v>1185.75</v>
      </c>
      <c r="Y71" s="2954">
        <f t="shared" si="15"/>
        <v>1581</v>
      </c>
      <c r="Z71" s="2984">
        <v>0</v>
      </c>
    </row>
    <row r="72" spans="1:27">
      <c r="H72" s="3106" t="s">
        <v>1393</v>
      </c>
      <c r="I72" s="2953">
        <v>69</v>
      </c>
      <c r="J72" s="2950" t="s">
        <v>120</v>
      </c>
      <c r="K72" s="2948" t="s">
        <v>909</v>
      </c>
      <c r="L72" s="2951">
        <v>15.81</v>
      </c>
      <c r="M72" s="2951">
        <v>15.81</v>
      </c>
      <c r="N72" s="2977">
        <v>2.705320070730397E-3</v>
      </c>
      <c r="O72" s="2948">
        <v>3</v>
      </c>
      <c r="P72" s="2949" t="s">
        <v>1071</v>
      </c>
      <c r="Q72" s="2953">
        <v>25</v>
      </c>
      <c r="R72" s="2953">
        <v>75</v>
      </c>
      <c r="S72" s="2952">
        <f t="shared" si="9"/>
        <v>100</v>
      </c>
      <c r="T72" s="2952">
        <f t="shared" si="10"/>
        <v>1725</v>
      </c>
      <c r="U72" s="2952">
        <f t="shared" si="11"/>
        <v>5175</v>
      </c>
      <c r="V72" s="2952">
        <f t="shared" si="12"/>
        <v>6900</v>
      </c>
      <c r="W72" s="2954">
        <f t="shared" si="13"/>
        <v>395.25</v>
      </c>
      <c r="X72" s="2954">
        <f t="shared" si="14"/>
        <v>1185.75</v>
      </c>
      <c r="Y72" s="2954">
        <f t="shared" si="15"/>
        <v>1581</v>
      </c>
      <c r="Z72" s="2984">
        <v>0</v>
      </c>
    </row>
    <row r="73" spans="1:27">
      <c r="H73" s="3106" t="s">
        <v>1394</v>
      </c>
      <c r="I73" s="2953">
        <v>72</v>
      </c>
      <c r="J73" s="2950" t="s">
        <v>120</v>
      </c>
      <c r="K73" s="2948" t="s">
        <v>909</v>
      </c>
      <c r="L73" s="2951">
        <v>15.81</v>
      </c>
      <c r="M73" s="2951">
        <v>15.81</v>
      </c>
      <c r="N73" s="2977">
        <v>2.8229426825012839E-3</v>
      </c>
      <c r="O73" s="2948">
        <v>3</v>
      </c>
      <c r="P73" s="2949" t="s">
        <v>1071</v>
      </c>
      <c r="Q73" s="2953">
        <v>25</v>
      </c>
      <c r="R73" s="2953">
        <v>75</v>
      </c>
      <c r="S73" s="2952">
        <f t="shared" si="9"/>
        <v>100</v>
      </c>
      <c r="T73" s="2952">
        <f t="shared" si="10"/>
        <v>1800</v>
      </c>
      <c r="U73" s="2952">
        <f t="shared" si="11"/>
        <v>5400</v>
      </c>
      <c r="V73" s="2952">
        <f t="shared" si="12"/>
        <v>7200</v>
      </c>
      <c r="W73" s="2954">
        <f t="shared" si="13"/>
        <v>395.25</v>
      </c>
      <c r="X73" s="2954">
        <f t="shared" si="14"/>
        <v>1185.75</v>
      </c>
      <c r="Y73" s="2954">
        <f t="shared" si="15"/>
        <v>1581</v>
      </c>
      <c r="Z73" s="2984">
        <v>0</v>
      </c>
    </row>
    <row r="74" spans="1:27">
      <c r="H74" s="3106" t="s">
        <v>1394</v>
      </c>
      <c r="I74" s="2953">
        <v>112</v>
      </c>
      <c r="J74" s="2950" t="s">
        <v>120</v>
      </c>
      <c r="K74" s="2948" t="s">
        <v>909</v>
      </c>
      <c r="L74" s="2951">
        <v>23.33</v>
      </c>
      <c r="M74" s="2951">
        <v>23.33</v>
      </c>
      <c r="N74" s="2977">
        <v>4.3912441727797756E-3</v>
      </c>
      <c r="O74" s="2948">
        <v>3</v>
      </c>
      <c r="P74" s="2949" t="s">
        <v>1071</v>
      </c>
      <c r="Q74" s="2953">
        <v>25</v>
      </c>
      <c r="R74" s="2953">
        <v>75</v>
      </c>
      <c r="S74" s="2952">
        <f t="shared" si="9"/>
        <v>100</v>
      </c>
      <c r="T74" s="2952">
        <f t="shared" si="10"/>
        <v>2800</v>
      </c>
      <c r="U74" s="2952">
        <f t="shared" si="11"/>
        <v>8400</v>
      </c>
      <c r="V74" s="2952">
        <f t="shared" si="12"/>
        <v>11200</v>
      </c>
      <c r="W74" s="2954">
        <f t="shared" si="13"/>
        <v>583.25</v>
      </c>
      <c r="X74" s="2954">
        <f t="shared" si="14"/>
        <v>1749.7499999999998</v>
      </c>
      <c r="Y74" s="2954">
        <f t="shared" si="15"/>
        <v>2333</v>
      </c>
      <c r="Z74" s="2984">
        <v>0</v>
      </c>
    </row>
    <row r="75" spans="1:27">
      <c r="H75" s="3106" t="s">
        <v>1394</v>
      </c>
      <c r="I75" s="2953">
        <v>41</v>
      </c>
      <c r="J75" s="2950" t="s">
        <v>120</v>
      </c>
      <c r="K75" s="2948" t="s">
        <v>909</v>
      </c>
      <c r="L75" s="2951">
        <v>23.33</v>
      </c>
      <c r="M75" s="2951">
        <v>23.33</v>
      </c>
      <c r="N75" s="2977">
        <v>1.6075090275354533E-3</v>
      </c>
      <c r="O75" s="2948">
        <v>3</v>
      </c>
      <c r="P75" s="2949" t="s">
        <v>1071</v>
      </c>
      <c r="Q75" s="2953">
        <v>25</v>
      </c>
      <c r="R75" s="2953">
        <v>75</v>
      </c>
      <c r="S75" s="2952">
        <f t="shared" si="9"/>
        <v>100</v>
      </c>
      <c r="T75" s="2952">
        <f t="shared" si="10"/>
        <v>1025</v>
      </c>
      <c r="U75" s="2952">
        <f t="shared" si="11"/>
        <v>3075</v>
      </c>
      <c r="V75" s="2952">
        <f t="shared" si="12"/>
        <v>4100</v>
      </c>
      <c r="W75" s="2954">
        <f t="shared" si="13"/>
        <v>583.25</v>
      </c>
      <c r="X75" s="2954">
        <f t="shared" si="14"/>
        <v>1749.7499999999998</v>
      </c>
      <c r="Y75" s="2954">
        <f t="shared" si="15"/>
        <v>2333</v>
      </c>
      <c r="Z75" s="2984">
        <v>0</v>
      </c>
    </row>
    <row r="76" spans="1:27">
      <c r="H76" s="3106" t="s">
        <v>1394</v>
      </c>
      <c r="I76" s="2953">
        <v>31</v>
      </c>
      <c r="J76" s="2950" t="s">
        <v>120</v>
      </c>
      <c r="K76" s="2948" t="s">
        <v>909</v>
      </c>
      <c r="L76" s="2951">
        <v>23.33</v>
      </c>
      <c r="M76" s="2951">
        <v>23.33</v>
      </c>
      <c r="N76" s="2977">
        <v>1.2154336549658306E-3</v>
      </c>
      <c r="O76" s="2948">
        <v>3</v>
      </c>
      <c r="P76" s="2949" t="s">
        <v>1071</v>
      </c>
      <c r="Q76" s="2953">
        <v>25</v>
      </c>
      <c r="R76" s="2953">
        <v>75</v>
      </c>
      <c r="S76" s="2952">
        <f t="shared" si="9"/>
        <v>100</v>
      </c>
      <c r="T76" s="2952">
        <f t="shared" si="10"/>
        <v>775</v>
      </c>
      <c r="U76" s="2952">
        <f t="shared" si="11"/>
        <v>2325</v>
      </c>
      <c r="V76" s="2952">
        <f t="shared" si="12"/>
        <v>3100</v>
      </c>
      <c r="W76" s="2954">
        <f t="shared" si="13"/>
        <v>583.25</v>
      </c>
      <c r="X76" s="2954">
        <f t="shared" si="14"/>
        <v>1749.7499999999998</v>
      </c>
      <c r="Y76" s="2954">
        <f t="shared" si="15"/>
        <v>2333</v>
      </c>
      <c r="Z76" s="2984">
        <v>0</v>
      </c>
    </row>
    <row r="77" spans="1:27">
      <c r="H77" s="3106" t="s">
        <v>1394</v>
      </c>
      <c r="I77" s="2953">
        <v>60</v>
      </c>
      <c r="J77" s="2950" t="s">
        <v>120</v>
      </c>
      <c r="K77" s="2948" t="s">
        <v>909</v>
      </c>
      <c r="L77" s="2951">
        <v>23.33</v>
      </c>
      <c r="M77" s="2951">
        <v>23.33</v>
      </c>
      <c r="N77" s="2977">
        <v>2.3524522354177366E-3</v>
      </c>
      <c r="O77" s="2948">
        <v>3</v>
      </c>
      <c r="P77" s="2949" t="s">
        <v>1071</v>
      </c>
      <c r="Q77" s="2953">
        <v>25</v>
      </c>
      <c r="R77" s="2953">
        <v>75</v>
      </c>
      <c r="S77" s="2952">
        <f t="shared" si="9"/>
        <v>100</v>
      </c>
      <c r="T77" s="2952">
        <f t="shared" si="10"/>
        <v>1500</v>
      </c>
      <c r="U77" s="2952">
        <f t="shared" si="11"/>
        <v>4500</v>
      </c>
      <c r="V77" s="2952">
        <f t="shared" si="12"/>
        <v>6000</v>
      </c>
      <c r="W77" s="2954">
        <f t="shared" si="13"/>
        <v>583.25</v>
      </c>
      <c r="X77" s="2954">
        <f t="shared" si="14"/>
        <v>1749.7499999999998</v>
      </c>
      <c r="Y77" s="2954">
        <f t="shared" si="15"/>
        <v>2333</v>
      </c>
      <c r="Z77" s="2984">
        <v>0</v>
      </c>
    </row>
    <row r="78" spans="1:27">
      <c r="H78" s="3106" t="s">
        <v>1394</v>
      </c>
      <c r="I78" s="2953">
        <v>49</v>
      </c>
      <c r="J78" s="2950" t="s">
        <v>120</v>
      </c>
      <c r="K78" s="2948" t="s">
        <v>909</v>
      </c>
      <c r="L78" s="2951">
        <v>23.33</v>
      </c>
      <c r="M78" s="2951">
        <v>23.33</v>
      </c>
      <c r="N78" s="2977">
        <v>1.9211693255911516E-3</v>
      </c>
      <c r="O78" s="2948">
        <v>3</v>
      </c>
      <c r="P78" s="2949" t="s">
        <v>1071</v>
      </c>
      <c r="Q78" s="2953">
        <v>25</v>
      </c>
      <c r="R78" s="2953">
        <v>75</v>
      </c>
      <c r="S78" s="2952">
        <f t="shared" si="9"/>
        <v>100</v>
      </c>
      <c r="T78" s="2952">
        <f t="shared" si="10"/>
        <v>1225</v>
      </c>
      <c r="U78" s="2952">
        <f t="shared" si="11"/>
        <v>3675</v>
      </c>
      <c r="V78" s="2952">
        <f t="shared" si="12"/>
        <v>4900</v>
      </c>
      <c r="W78" s="2954">
        <f t="shared" si="13"/>
        <v>583.25</v>
      </c>
      <c r="X78" s="2954">
        <f t="shared" si="14"/>
        <v>1749.7499999999998</v>
      </c>
      <c r="Y78" s="2954">
        <f t="shared" si="15"/>
        <v>2333</v>
      </c>
      <c r="Z78" s="2984">
        <v>0</v>
      </c>
    </row>
    <row r="79" spans="1:27">
      <c r="H79" s="3106" t="s">
        <v>1394</v>
      </c>
      <c r="I79" s="2953">
        <v>45</v>
      </c>
      <c r="J79" s="2950" t="s">
        <v>120</v>
      </c>
      <c r="K79" s="2948" t="s">
        <v>909</v>
      </c>
      <c r="L79" s="2951">
        <v>23.33</v>
      </c>
      <c r="M79" s="2951">
        <v>23.33</v>
      </c>
      <c r="N79" s="2977">
        <v>1.7643391765633026E-3</v>
      </c>
      <c r="O79" s="2948">
        <v>3</v>
      </c>
      <c r="P79" s="2949" t="s">
        <v>1071</v>
      </c>
      <c r="Q79" s="2953">
        <v>25</v>
      </c>
      <c r="R79" s="2953">
        <v>75</v>
      </c>
      <c r="S79" s="2952">
        <f t="shared" si="9"/>
        <v>100</v>
      </c>
      <c r="T79" s="2952">
        <f t="shared" si="10"/>
        <v>1125</v>
      </c>
      <c r="U79" s="2952">
        <f t="shared" si="11"/>
        <v>3375</v>
      </c>
      <c r="V79" s="2952">
        <f t="shared" si="12"/>
        <v>4500</v>
      </c>
      <c r="W79" s="2954">
        <f t="shared" si="13"/>
        <v>583.25</v>
      </c>
      <c r="X79" s="2954">
        <f t="shared" si="14"/>
        <v>1749.7499999999998</v>
      </c>
      <c r="Y79" s="2954">
        <f t="shared" si="15"/>
        <v>2333</v>
      </c>
      <c r="Z79" s="2984">
        <v>0</v>
      </c>
    </row>
    <row r="80" spans="1:27">
      <c r="H80" s="3106" t="s">
        <v>1394</v>
      </c>
      <c r="I80" s="2953">
        <v>31</v>
      </c>
      <c r="J80" s="2950" t="s">
        <v>120</v>
      </c>
      <c r="K80" s="2948" t="s">
        <v>909</v>
      </c>
      <c r="L80" s="2951">
        <v>23.33</v>
      </c>
      <c r="M80" s="2951">
        <v>23.33</v>
      </c>
      <c r="N80" s="2977">
        <v>1.2154336549658306E-3</v>
      </c>
      <c r="O80" s="2948">
        <v>3</v>
      </c>
      <c r="P80" s="2949" t="s">
        <v>1071</v>
      </c>
      <c r="Q80" s="2953">
        <v>25</v>
      </c>
      <c r="R80" s="2953">
        <v>75</v>
      </c>
      <c r="S80" s="2952">
        <f t="shared" ref="S80:S111" si="16">Q80+R80</f>
        <v>100</v>
      </c>
      <c r="T80" s="2952">
        <f t="shared" ref="T80:T111" si="17">I80*Q80</f>
        <v>775</v>
      </c>
      <c r="U80" s="2952">
        <f t="shared" ref="U80:U111" si="18">I80*R80</f>
        <v>2325</v>
      </c>
      <c r="V80" s="2952">
        <f t="shared" ref="V80:V111" si="19">T80+U80</f>
        <v>3100</v>
      </c>
      <c r="W80" s="2954">
        <f t="shared" ref="W80:W111" si="20">M80*Q80</f>
        <v>583.25</v>
      </c>
      <c r="X80" s="2954">
        <f t="shared" ref="X80:X111" si="21">M80*R80</f>
        <v>1749.7499999999998</v>
      </c>
      <c r="Y80" s="2954">
        <f t="shared" ref="Y80:Y111" si="22">W80+X80</f>
        <v>2333</v>
      </c>
      <c r="Z80" s="2984">
        <v>0</v>
      </c>
    </row>
    <row r="81" spans="8:26">
      <c r="H81" s="3106" t="s">
        <v>1395</v>
      </c>
      <c r="I81" s="2953">
        <v>33</v>
      </c>
      <c r="J81" s="2950" t="s">
        <v>120</v>
      </c>
      <c r="K81" s="2948" t="s">
        <v>909</v>
      </c>
      <c r="L81" s="2951">
        <v>23.33</v>
      </c>
      <c r="M81" s="2951">
        <v>23.33</v>
      </c>
      <c r="N81" s="2977">
        <v>1.2938487294797553E-3</v>
      </c>
      <c r="O81" s="2948">
        <v>3</v>
      </c>
      <c r="P81" s="2949" t="s">
        <v>1071</v>
      </c>
      <c r="Q81" s="2953">
        <v>25</v>
      </c>
      <c r="R81" s="2953">
        <v>75</v>
      </c>
      <c r="S81" s="2952">
        <f t="shared" si="16"/>
        <v>100</v>
      </c>
      <c r="T81" s="2952">
        <f t="shared" si="17"/>
        <v>825</v>
      </c>
      <c r="U81" s="2952">
        <f t="shared" si="18"/>
        <v>2475</v>
      </c>
      <c r="V81" s="2952">
        <f t="shared" si="19"/>
        <v>3300</v>
      </c>
      <c r="W81" s="2954">
        <f t="shared" si="20"/>
        <v>583.25</v>
      </c>
      <c r="X81" s="2954">
        <f t="shared" si="21"/>
        <v>1749.7499999999998</v>
      </c>
      <c r="Y81" s="2954">
        <f t="shared" si="22"/>
        <v>2333</v>
      </c>
      <c r="Z81" s="2984">
        <v>0</v>
      </c>
    </row>
    <row r="82" spans="8:26">
      <c r="H82" s="3106" t="s">
        <v>1395</v>
      </c>
      <c r="I82" s="2953">
        <v>210</v>
      </c>
      <c r="J82" s="2950" t="s">
        <v>120</v>
      </c>
      <c r="K82" s="2948" t="s">
        <v>909</v>
      </c>
      <c r="L82" s="2951">
        <v>24.29</v>
      </c>
      <c r="M82" s="2951">
        <v>24.29</v>
      </c>
      <c r="N82" s="2977">
        <v>8.2335828239620788E-3</v>
      </c>
      <c r="O82" s="2948">
        <v>3</v>
      </c>
      <c r="P82" s="2949" t="s">
        <v>1071</v>
      </c>
      <c r="Q82" s="2953">
        <v>25</v>
      </c>
      <c r="R82" s="2953">
        <v>75</v>
      </c>
      <c r="S82" s="2952">
        <f t="shared" si="16"/>
        <v>100</v>
      </c>
      <c r="T82" s="2952">
        <f t="shared" si="17"/>
        <v>5250</v>
      </c>
      <c r="U82" s="2952">
        <f t="shared" si="18"/>
        <v>15750</v>
      </c>
      <c r="V82" s="2952">
        <f t="shared" si="19"/>
        <v>21000</v>
      </c>
      <c r="W82" s="2954">
        <f t="shared" si="20"/>
        <v>607.25</v>
      </c>
      <c r="X82" s="2954">
        <f t="shared" si="21"/>
        <v>1821.75</v>
      </c>
      <c r="Y82" s="2954">
        <f t="shared" si="22"/>
        <v>2429</v>
      </c>
      <c r="Z82" s="2984">
        <v>0</v>
      </c>
    </row>
    <row r="83" spans="8:26">
      <c r="H83" s="3106" t="s">
        <v>1395</v>
      </c>
      <c r="I83" s="2953">
        <v>77</v>
      </c>
      <c r="J83" s="2950" t="s">
        <v>120</v>
      </c>
      <c r="K83" s="2948" t="s">
        <v>909</v>
      </c>
      <c r="L83" s="2951">
        <v>24.29</v>
      </c>
      <c r="M83" s="2951">
        <v>24.29</v>
      </c>
      <c r="N83" s="2977">
        <v>3.0189803687860955E-3</v>
      </c>
      <c r="O83" s="2948">
        <v>3</v>
      </c>
      <c r="P83" s="2949" t="s">
        <v>1071</v>
      </c>
      <c r="Q83" s="2953">
        <v>25</v>
      </c>
      <c r="R83" s="2953">
        <v>75</v>
      </c>
      <c r="S83" s="2952">
        <f t="shared" si="16"/>
        <v>100</v>
      </c>
      <c r="T83" s="2952">
        <f t="shared" si="17"/>
        <v>1925</v>
      </c>
      <c r="U83" s="2952">
        <f t="shared" si="18"/>
        <v>5775</v>
      </c>
      <c r="V83" s="2952">
        <f t="shared" si="19"/>
        <v>7700</v>
      </c>
      <c r="W83" s="2954">
        <f t="shared" si="20"/>
        <v>607.25</v>
      </c>
      <c r="X83" s="2954">
        <f t="shared" si="21"/>
        <v>1821.75</v>
      </c>
      <c r="Y83" s="2954">
        <f t="shared" si="22"/>
        <v>2429</v>
      </c>
      <c r="Z83" s="2984">
        <v>0</v>
      </c>
    </row>
    <row r="84" spans="8:26">
      <c r="H84" s="3106" t="s">
        <v>1395</v>
      </c>
      <c r="I84" s="2953">
        <v>58</v>
      </c>
      <c r="J84" s="2950" t="s">
        <v>120</v>
      </c>
      <c r="K84" s="2948" t="s">
        <v>909</v>
      </c>
      <c r="L84" s="2951">
        <v>24.29</v>
      </c>
      <c r="M84" s="2951">
        <v>24.29</v>
      </c>
      <c r="N84" s="2977">
        <v>2.274037160903812E-3</v>
      </c>
      <c r="O84" s="2948">
        <v>3</v>
      </c>
      <c r="P84" s="2949" t="s">
        <v>1071</v>
      </c>
      <c r="Q84" s="2953">
        <v>25</v>
      </c>
      <c r="R84" s="2953">
        <v>75</v>
      </c>
      <c r="S84" s="2952">
        <f t="shared" si="16"/>
        <v>100</v>
      </c>
      <c r="T84" s="2952">
        <f t="shared" si="17"/>
        <v>1450</v>
      </c>
      <c r="U84" s="2952">
        <f t="shared" si="18"/>
        <v>4350</v>
      </c>
      <c r="V84" s="2952">
        <f t="shared" si="19"/>
        <v>5800</v>
      </c>
      <c r="W84" s="2954">
        <f t="shared" si="20"/>
        <v>607.25</v>
      </c>
      <c r="X84" s="2954">
        <f t="shared" si="21"/>
        <v>1821.75</v>
      </c>
      <c r="Y84" s="2954">
        <f t="shared" si="22"/>
        <v>2429</v>
      </c>
      <c r="Z84" s="2984">
        <v>0</v>
      </c>
    </row>
    <row r="85" spans="8:26">
      <c r="H85" s="3106" t="s">
        <v>1395</v>
      </c>
      <c r="I85" s="2953">
        <v>113</v>
      </c>
      <c r="J85" s="2950" t="s">
        <v>120</v>
      </c>
      <c r="K85" s="2948" t="s">
        <v>909</v>
      </c>
      <c r="L85" s="2951">
        <v>24.29</v>
      </c>
      <c r="M85" s="2951">
        <v>24.29</v>
      </c>
      <c r="N85" s="2977">
        <v>4.4304517100367371E-3</v>
      </c>
      <c r="O85" s="2948">
        <v>3</v>
      </c>
      <c r="P85" s="2949" t="s">
        <v>1071</v>
      </c>
      <c r="Q85" s="2953">
        <v>25</v>
      </c>
      <c r="R85" s="2953">
        <v>75</v>
      </c>
      <c r="S85" s="2952">
        <f t="shared" si="16"/>
        <v>100</v>
      </c>
      <c r="T85" s="2952">
        <f t="shared" si="17"/>
        <v>2825</v>
      </c>
      <c r="U85" s="2952">
        <f t="shared" si="18"/>
        <v>8475</v>
      </c>
      <c r="V85" s="2952">
        <f t="shared" si="19"/>
        <v>11300</v>
      </c>
      <c r="W85" s="2954">
        <f t="shared" si="20"/>
        <v>607.25</v>
      </c>
      <c r="X85" s="2954">
        <f t="shared" si="21"/>
        <v>1821.75</v>
      </c>
      <c r="Y85" s="2954">
        <f t="shared" si="22"/>
        <v>2429</v>
      </c>
      <c r="Z85" s="2984">
        <v>0</v>
      </c>
    </row>
    <row r="86" spans="8:26">
      <c r="H86" s="3106" t="s">
        <v>1395</v>
      </c>
      <c r="I86" s="2953">
        <v>92</v>
      </c>
      <c r="J86" s="2950" t="s">
        <v>120</v>
      </c>
      <c r="K86" s="2948" t="s">
        <v>909</v>
      </c>
      <c r="L86" s="2951">
        <v>24.29</v>
      </c>
      <c r="M86" s="2951">
        <v>24.29</v>
      </c>
      <c r="N86" s="2977">
        <v>3.6070934276405298E-3</v>
      </c>
      <c r="O86" s="2948">
        <v>3</v>
      </c>
      <c r="P86" s="2949" t="s">
        <v>1071</v>
      </c>
      <c r="Q86" s="2953">
        <v>25</v>
      </c>
      <c r="R86" s="2953">
        <v>75</v>
      </c>
      <c r="S86" s="2952">
        <f t="shared" si="16"/>
        <v>100</v>
      </c>
      <c r="T86" s="2952">
        <f t="shared" si="17"/>
        <v>2300</v>
      </c>
      <c r="U86" s="2952">
        <f t="shared" si="18"/>
        <v>6900</v>
      </c>
      <c r="V86" s="2952">
        <f t="shared" si="19"/>
        <v>9200</v>
      </c>
      <c r="W86" s="2954">
        <f t="shared" si="20"/>
        <v>607.25</v>
      </c>
      <c r="X86" s="2954">
        <f t="shared" si="21"/>
        <v>1821.75</v>
      </c>
      <c r="Y86" s="2954">
        <f t="shared" si="22"/>
        <v>2429</v>
      </c>
      <c r="Z86" s="2984">
        <v>0</v>
      </c>
    </row>
    <row r="87" spans="8:26">
      <c r="H87" s="3106" t="s">
        <v>1395</v>
      </c>
      <c r="I87" s="2953">
        <v>84</v>
      </c>
      <c r="J87" s="2950" t="s">
        <v>120</v>
      </c>
      <c r="K87" s="2948" t="s">
        <v>909</v>
      </c>
      <c r="L87" s="2951">
        <v>24.29</v>
      </c>
      <c r="M87" s="2951">
        <v>24.29</v>
      </c>
      <c r="N87" s="2977">
        <v>3.2934331295848313E-3</v>
      </c>
      <c r="O87" s="2948">
        <v>3</v>
      </c>
      <c r="P87" s="2949" t="s">
        <v>1071</v>
      </c>
      <c r="Q87" s="2953">
        <v>25</v>
      </c>
      <c r="R87" s="2953">
        <v>75</v>
      </c>
      <c r="S87" s="2952">
        <f t="shared" si="16"/>
        <v>100</v>
      </c>
      <c r="T87" s="2952">
        <f t="shared" si="17"/>
        <v>2100</v>
      </c>
      <c r="U87" s="2952">
        <f t="shared" si="18"/>
        <v>6300</v>
      </c>
      <c r="V87" s="2952">
        <f t="shared" si="19"/>
        <v>8400</v>
      </c>
      <c r="W87" s="2954">
        <f t="shared" si="20"/>
        <v>607.25</v>
      </c>
      <c r="X87" s="2954">
        <f t="shared" si="21"/>
        <v>1821.75</v>
      </c>
      <c r="Y87" s="2954">
        <f t="shared" si="22"/>
        <v>2429</v>
      </c>
      <c r="Z87" s="2984">
        <v>0</v>
      </c>
    </row>
    <row r="88" spans="8:26">
      <c r="H88" s="3106" t="s">
        <v>1395</v>
      </c>
      <c r="I88" s="2953">
        <v>59</v>
      </c>
      <c r="J88" s="2950" t="s">
        <v>120</v>
      </c>
      <c r="K88" s="2948" t="s">
        <v>909</v>
      </c>
      <c r="L88" s="2951">
        <v>24.29</v>
      </c>
      <c r="M88" s="2951">
        <v>24.29</v>
      </c>
      <c r="N88" s="2977">
        <v>2.3132446981607743E-3</v>
      </c>
      <c r="O88" s="2948">
        <v>3</v>
      </c>
      <c r="P88" s="2949" t="s">
        <v>1071</v>
      </c>
      <c r="Q88" s="2953">
        <v>25</v>
      </c>
      <c r="R88" s="2953">
        <v>75</v>
      </c>
      <c r="S88" s="2952">
        <f t="shared" si="16"/>
        <v>100</v>
      </c>
      <c r="T88" s="2952">
        <f t="shared" si="17"/>
        <v>1475</v>
      </c>
      <c r="U88" s="2952">
        <f t="shared" si="18"/>
        <v>4425</v>
      </c>
      <c r="V88" s="2952">
        <f t="shared" si="19"/>
        <v>5900</v>
      </c>
      <c r="W88" s="2954">
        <f t="shared" si="20"/>
        <v>607.25</v>
      </c>
      <c r="X88" s="2954">
        <f t="shared" si="21"/>
        <v>1821.75</v>
      </c>
      <c r="Y88" s="2954">
        <f t="shared" si="22"/>
        <v>2429</v>
      </c>
      <c r="Z88" s="2984">
        <v>0</v>
      </c>
    </row>
    <row r="89" spans="8:26">
      <c r="H89" s="3106" t="s">
        <v>1396</v>
      </c>
      <c r="I89" s="2953">
        <v>61</v>
      </c>
      <c r="J89" s="2950" t="s">
        <v>120</v>
      </c>
      <c r="K89" s="2948" t="s">
        <v>909</v>
      </c>
      <c r="L89" s="2951">
        <v>24.29</v>
      </c>
      <c r="M89" s="2951">
        <v>24.29</v>
      </c>
      <c r="N89" s="2977">
        <v>2.3916597726746989E-3</v>
      </c>
      <c r="O89" s="2948">
        <v>3</v>
      </c>
      <c r="P89" s="2949" t="s">
        <v>1071</v>
      </c>
      <c r="Q89" s="2953">
        <v>25</v>
      </c>
      <c r="R89" s="2953">
        <v>75</v>
      </c>
      <c r="S89" s="2952">
        <f t="shared" si="16"/>
        <v>100</v>
      </c>
      <c r="T89" s="2952">
        <f t="shared" si="17"/>
        <v>1525</v>
      </c>
      <c r="U89" s="2952">
        <f t="shared" si="18"/>
        <v>4575</v>
      </c>
      <c r="V89" s="2952">
        <f t="shared" si="19"/>
        <v>6100</v>
      </c>
      <c r="W89" s="2954">
        <f t="shared" si="20"/>
        <v>607.25</v>
      </c>
      <c r="X89" s="2954">
        <f t="shared" si="21"/>
        <v>1821.75</v>
      </c>
      <c r="Y89" s="2954">
        <f t="shared" si="22"/>
        <v>2429</v>
      </c>
      <c r="Z89" s="2984">
        <v>0</v>
      </c>
    </row>
    <row r="90" spans="8:26">
      <c r="H90" s="3106" t="s">
        <v>1396</v>
      </c>
      <c r="I90" s="2953">
        <v>299</v>
      </c>
      <c r="J90" s="2950" t="s">
        <v>120</v>
      </c>
      <c r="K90" s="2948" t="s">
        <v>909</v>
      </c>
      <c r="L90" s="2951">
        <v>31.63</v>
      </c>
      <c r="M90" s="2951">
        <v>31.63</v>
      </c>
      <c r="N90" s="2977">
        <v>1.1723053639831721E-2</v>
      </c>
      <c r="O90" s="2948">
        <v>3</v>
      </c>
      <c r="P90" s="2949" t="s">
        <v>1071</v>
      </c>
      <c r="Q90" s="2953">
        <v>25</v>
      </c>
      <c r="R90" s="2953">
        <v>75</v>
      </c>
      <c r="S90" s="2952">
        <f t="shared" si="16"/>
        <v>100</v>
      </c>
      <c r="T90" s="2952">
        <f t="shared" si="17"/>
        <v>7475</v>
      </c>
      <c r="U90" s="2952">
        <f t="shared" si="18"/>
        <v>22425</v>
      </c>
      <c r="V90" s="2952">
        <f t="shared" si="19"/>
        <v>29900</v>
      </c>
      <c r="W90" s="2954">
        <f t="shared" si="20"/>
        <v>790.75</v>
      </c>
      <c r="X90" s="2954">
        <f t="shared" si="21"/>
        <v>2372.25</v>
      </c>
      <c r="Y90" s="2954">
        <f t="shared" si="22"/>
        <v>3163</v>
      </c>
      <c r="Z90" s="2984">
        <v>0</v>
      </c>
    </row>
    <row r="91" spans="8:26">
      <c r="H91" s="3106" t="s">
        <v>1396</v>
      </c>
      <c r="I91" s="2953">
        <v>110</v>
      </c>
      <c r="J91" s="2950" t="s">
        <v>120</v>
      </c>
      <c r="K91" s="2948" t="s">
        <v>909</v>
      </c>
      <c r="L91" s="2951">
        <v>31.63</v>
      </c>
      <c r="M91" s="2951">
        <v>31.63</v>
      </c>
      <c r="N91" s="2977">
        <v>4.312829098265851E-3</v>
      </c>
      <c r="O91" s="2948">
        <v>3</v>
      </c>
      <c r="P91" s="2949" t="s">
        <v>1071</v>
      </c>
      <c r="Q91" s="2953">
        <v>25</v>
      </c>
      <c r="R91" s="2953">
        <v>75</v>
      </c>
      <c r="S91" s="2952">
        <f t="shared" si="16"/>
        <v>100</v>
      </c>
      <c r="T91" s="2952">
        <f t="shared" si="17"/>
        <v>2750</v>
      </c>
      <c r="U91" s="2952">
        <f t="shared" si="18"/>
        <v>8250</v>
      </c>
      <c r="V91" s="2952">
        <f t="shared" si="19"/>
        <v>11000</v>
      </c>
      <c r="W91" s="2954">
        <f t="shared" si="20"/>
        <v>790.75</v>
      </c>
      <c r="X91" s="2954">
        <f t="shared" si="21"/>
        <v>2372.25</v>
      </c>
      <c r="Y91" s="2954">
        <f t="shared" si="22"/>
        <v>3163</v>
      </c>
      <c r="Z91" s="2984">
        <v>0</v>
      </c>
    </row>
    <row r="92" spans="8:26">
      <c r="H92" s="3106" t="s">
        <v>1396</v>
      </c>
      <c r="I92" s="2953">
        <v>82</v>
      </c>
      <c r="J92" s="2950" t="s">
        <v>120</v>
      </c>
      <c r="K92" s="2948" t="s">
        <v>909</v>
      </c>
      <c r="L92" s="2951">
        <v>31.63</v>
      </c>
      <c r="M92" s="2951">
        <v>31.63</v>
      </c>
      <c r="N92" s="2977">
        <v>3.2150180550709066E-3</v>
      </c>
      <c r="O92" s="2948">
        <v>3</v>
      </c>
      <c r="P92" s="2949" t="s">
        <v>1071</v>
      </c>
      <c r="Q92" s="2953">
        <v>25</v>
      </c>
      <c r="R92" s="2953">
        <v>75</v>
      </c>
      <c r="S92" s="2952">
        <f t="shared" si="16"/>
        <v>100</v>
      </c>
      <c r="T92" s="2952">
        <f t="shared" si="17"/>
        <v>2050</v>
      </c>
      <c r="U92" s="2952">
        <f t="shared" si="18"/>
        <v>6150</v>
      </c>
      <c r="V92" s="2952">
        <f t="shared" si="19"/>
        <v>8200</v>
      </c>
      <c r="W92" s="2954">
        <f t="shared" si="20"/>
        <v>790.75</v>
      </c>
      <c r="X92" s="2954">
        <f t="shared" si="21"/>
        <v>2372.25</v>
      </c>
      <c r="Y92" s="2954">
        <f t="shared" si="22"/>
        <v>3163</v>
      </c>
      <c r="Z92" s="2984">
        <v>0</v>
      </c>
    </row>
    <row r="93" spans="8:26">
      <c r="H93" s="3106" t="s">
        <v>1396</v>
      </c>
      <c r="I93" s="2953">
        <v>161</v>
      </c>
      <c r="J93" s="2950" t="s">
        <v>120</v>
      </c>
      <c r="K93" s="2948" t="s">
        <v>909</v>
      </c>
      <c r="L93" s="2951">
        <v>31.63</v>
      </c>
      <c r="M93" s="2951">
        <v>31.63</v>
      </c>
      <c r="N93" s="2977">
        <v>6.3124134983709272E-3</v>
      </c>
      <c r="O93" s="2948">
        <v>3</v>
      </c>
      <c r="P93" s="2949" t="s">
        <v>1071</v>
      </c>
      <c r="Q93" s="2953">
        <v>25</v>
      </c>
      <c r="R93" s="2953">
        <v>75</v>
      </c>
      <c r="S93" s="2952">
        <f t="shared" si="16"/>
        <v>100</v>
      </c>
      <c r="T93" s="2952">
        <f t="shared" si="17"/>
        <v>4025</v>
      </c>
      <c r="U93" s="2952">
        <f t="shared" si="18"/>
        <v>12075</v>
      </c>
      <c r="V93" s="2952">
        <f t="shared" si="19"/>
        <v>16100</v>
      </c>
      <c r="W93" s="2954">
        <f t="shared" si="20"/>
        <v>790.75</v>
      </c>
      <c r="X93" s="2954">
        <f t="shared" si="21"/>
        <v>2372.25</v>
      </c>
      <c r="Y93" s="2954">
        <f t="shared" si="22"/>
        <v>3163</v>
      </c>
      <c r="Z93" s="2984">
        <v>0</v>
      </c>
    </row>
    <row r="94" spans="8:26">
      <c r="H94" s="3106" t="s">
        <v>1396</v>
      </c>
      <c r="I94" s="2953">
        <v>131</v>
      </c>
      <c r="J94" s="2950" t="s">
        <v>120</v>
      </c>
      <c r="K94" s="2948" t="s">
        <v>909</v>
      </c>
      <c r="L94" s="2951">
        <v>31.63</v>
      </c>
      <c r="M94" s="2951">
        <v>31.63</v>
      </c>
      <c r="N94" s="2977">
        <v>5.1361873806620587E-3</v>
      </c>
      <c r="O94" s="2948">
        <v>3</v>
      </c>
      <c r="P94" s="2949" t="s">
        <v>1071</v>
      </c>
      <c r="Q94" s="2953">
        <v>25</v>
      </c>
      <c r="R94" s="2953">
        <v>75</v>
      </c>
      <c r="S94" s="2952">
        <f t="shared" si="16"/>
        <v>100</v>
      </c>
      <c r="T94" s="2952">
        <f t="shared" si="17"/>
        <v>3275</v>
      </c>
      <c r="U94" s="2952">
        <f t="shared" si="18"/>
        <v>9825</v>
      </c>
      <c r="V94" s="2952">
        <f t="shared" si="19"/>
        <v>13100</v>
      </c>
      <c r="W94" s="2954">
        <f t="shared" si="20"/>
        <v>790.75</v>
      </c>
      <c r="X94" s="2954">
        <f t="shared" si="21"/>
        <v>2372.25</v>
      </c>
      <c r="Y94" s="2954">
        <f t="shared" si="22"/>
        <v>3163</v>
      </c>
      <c r="Z94" s="2984">
        <v>0</v>
      </c>
    </row>
    <row r="95" spans="8:26">
      <c r="H95" s="3106" t="s">
        <v>1396</v>
      </c>
      <c r="I95" s="2953">
        <v>120</v>
      </c>
      <c r="J95" s="2950" t="s">
        <v>120</v>
      </c>
      <c r="K95" s="2948" t="s">
        <v>909</v>
      </c>
      <c r="L95" s="2951">
        <v>31.63</v>
      </c>
      <c r="M95" s="2951">
        <v>31.63</v>
      </c>
      <c r="N95" s="2977">
        <v>4.7049044708354732E-3</v>
      </c>
      <c r="O95" s="2948">
        <v>3</v>
      </c>
      <c r="P95" s="2949" t="s">
        <v>1071</v>
      </c>
      <c r="Q95" s="2953">
        <v>25</v>
      </c>
      <c r="R95" s="2953">
        <v>75</v>
      </c>
      <c r="S95" s="2952">
        <f t="shared" si="16"/>
        <v>100</v>
      </c>
      <c r="T95" s="2952">
        <f t="shared" si="17"/>
        <v>3000</v>
      </c>
      <c r="U95" s="2952">
        <f t="shared" si="18"/>
        <v>9000</v>
      </c>
      <c r="V95" s="2952">
        <f t="shared" si="19"/>
        <v>12000</v>
      </c>
      <c r="W95" s="2954">
        <f t="shared" si="20"/>
        <v>790.75</v>
      </c>
      <c r="X95" s="2954">
        <f t="shared" si="21"/>
        <v>2372.25</v>
      </c>
      <c r="Y95" s="2954">
        <f t="shared" si="22"/>
        <v>3163</v>
      </c>
      <c r="Z95" s="2984">
        <v>0</v>
      </c>
    </row>
    <row r="96" spans="8:26">
      <c r="H96" s="3106" t="s">
        <v>1396</v>
      </c>
      <c r="I96" s="2953">
        <v>84</v>
      </c>
      <c r="J96" s="2950" t="s">
        <v>120</v>
      </c>
      <c r="K96" s="2948" t="s">
        <v>909</v>
      </c>
      <c r="L96" s="2951">
        <v>31.63</v>
      </c>
      <c r="M96" s="2951">
        <v>31.63</v>
      </c>
      <c r="N96" s="2977">
        <v>3.2934331295848313E-3</v>
      </c>
      <c r="O96" s="2948">
        <v>3</v>
      </c>
      <c r="P96" s="2949" t="s">
        <v>1071</v>
      </c>
      <c r="Q96" s="2953">
        <v>25</v>
      </c>
      <c r="R96" s="2953">
        <v>75</v>
      </c>
      <c r="S96" s="2952">
        <f t="shared" si="16"/>
        <v>100</v>
      </c>
      <c r="T96" s="2952">
        <f t="shared" si="17"/>
        <v>2100</v>
      </c>
      <c r="U96" s="2952">
        <f t="shared" si="18"/>
        <v>6300</v>
      </c>
      <c r="V96" s="2952">
        <f t="shared" si="19"/>
        <v>8400</v>
      </c>
      <c r="W96" s="2954">
        <f t="shared" si="20"/>
        <v>790.75</v>
      </c>
      <c r="X96" s="2954">
        <f t="shared" si="21"/>
        <v>2372.25</v>
      </c>
      <c r="Y96" s="2954">
        <f t="shared" si="22"/>
        <v>3163</v>
      </c>
      <c r="Z96" s="2984">
        <v>0</v>
      </c>
    </row>
    <row r="97" spans="8:26">
      <c r="H97" s="3106" t="s">
        <v>1397</v>
      </c>
      <c r="I97" s="2953">
        <v>87</v>
      </c>
      <c r="J97" s="2950" t="s">
        <v>120</v>
      </c>
      <c r="K97" s="2948" t="s">
        <v>909</v>
      </c>
      <c r="L97" s="2951">
        <v>31.63</v>
      </c>
      <c r="M97" s="2951">
        <v>31.63</v>
      </c>
      <c r="N97" s="2977">
        <v>3.4110557413557182E-3</v>
      </c>
      <c r="O97" s="2948">
        <v>3</v>
      </c>
      <c r="P97" s="2949" t="s">
        <v>1071</v>
      </c>
      <c r="Q97" s="2953">
        <v>25</v>
      </c>
      <c r="R97" s="2953">
        <v>75</v>
      </c>
      <c r="S97" s="2952">
        <f t="shared" si="16"/>
        <v>100</v>
      </c>
      <c r="T97" s="2952">
        <f t="shared" si="17"/>
        <v>2175</v>
      </c>
      <c r="U97" s="2952">
        <f t="shared" si="18"/>
        <v>6525</v>
      </c>
      <c r="V97" s="2952">
        <f t="shared" si="19"/>
        <v>8700</v>
      </c>
      <c r="W97" s="2954">
        <f t="shared" si="20"/>
        <v>790.75</v>
      </c>
      <c r="X97" s="2954">
        <f t="shared" si="21"/>
        <v>2372.25</v>
      </c>
      <c r="Y97" s="2954">
        <f t="shared" si="22"/>
        <v>3163</v>
      </c>
      <c r="Z97" s="2984">
        <v>0</v>
      </c>
    </row>
    <row r="98" spans="8:26">
      <c r="H98" s="3106" t="s">
        <v>1397</v>
      </c>
      <c r="I98" s="2953">
        <v>255</v>
      </c>
      <c r="J98" s="2950" t="s">
        <v>120</v>
      </c>
      <c r="K98" s="2948" t="s">
        <v>909</v>
      </c>
      <c r="L98" s="2951">
        <v>35.71</v>
      </c>
      <c r="M98" s="2951">
        <v>35.71</v>
      </c>
      <c r="N98" s="2977">
        <v>9.9979220005253812E-3</v>
      </c>
      <c r="O98" s="2948">
        <v>3</v>
      </c>
      <c r="P98" s="2949" t="s">
        <v>1071</v>
      </c>
      <c r="Q98" s="2953">
        <v>25</v>
      </c>
      <c r="R98" s="2953">
        <v>75</v>
      </c>
      <c r="S98" s="2952">
        <f t="shared" si="16"/>
        <v>100</v>
      </c>
      <c r="T98" s="2952">
        <f t="shared" si="17"/>
        <v>6375</v>
      </c>
      <c r="U98" s="2952">
        <f t="shared" si="18"/>
        <v>19125</v>
      </c>
      <c r="V98" s="2952">
        <f t="shared" si="19"/>
        <v>25500</v>
      </c>
      <c r="W98" s="2954">
        <f t="shared" si="20"/>
        <v>892.75</v>
      </c>
      <c r="X98" s="2954">
        <f t="shared" si="21"/>
        <v>2678.25</v>
      </c>
      <c r="Y98" s="2954">
        <f t="shared" si="22"/>
        <v>3571</v>
      </c>
      <c r="Z98" s="2984">
        <v>0</v>
      </c>
    </row>
    <row r="99" spans="8:26">
      <c r="H99" s="3106" t="s">
        <v>1397</v>
      </c>
      <c r="I99" s="2953">
        <v>93</v>
      </c>
      <c r="J99" s="2950" t="s">
        <v>120</v>
      </c>
      <c r="K99" s="2948" t="s">
        <v>909</v>
      </c>
      <c r="L99" s="2951">
        <v>35.71</v>
      </c>
      <c r="M99" s="2951">
        <v>35.71</v>
      </c>
      <c r="N99" s="2977">
        <v>3.6463009648974921E-3</v>
      </c>
      <c r="O99" s="2948">
        <v>3</v>
      </c>
      <c r="P99" s="2949" t="s">
        <v>1071</v>
      </c>
      <c r="Q99" s="2953">
        <v>25</v>
      </c>
      <c r="R99" s="2953">
        <v>75</v>
      </c>
      <c r="S99" s="2952">
        <f t="shared" si="16"/>
        <v>100</v>
      </c>
      <c r="T99" s="2952">
        <f t="shared" si="17"/>
        <v>2325</v>
      </c>
      <c r="U99" s="2952">
        <f t="shared" si="18"/>
        <v>6975</v>
      </c>
      <c r="V99" s="2952">
        <f t="shared" si="19"/>
        <v>9300</v>
      </c>
      <c r="W99" s="2954">
        <f t="shared" si="20"/>
        <v>892.75</v>
      </c>
      <c r="X99" s="2954">
        <f t="shared" si="21"/>
        <v>2678.25</v>
      </c>
      <c r="Y99" s="2954">
        <f t="shared" si="22"/>
        <v>3571</v>
      </c>
      <c r="Z99" s="2984">
        <v>0</v>
      </c>
    </row>
    <row r="100" spans="8:26">
      <c r="H100" s="3106" t="s">
        <v>1397</v>
      </c>
      <c r="I100" s="2953">
        <v>70</v>
      </c>
      <c r="J100" s="2950" t="s">
        <v>120</v>
      </c>
      <c r="K100" s="2948" t="s">
        <v>909</v>
      </c>
      <c r="L100" s="2951">
        <v>35.71</v>
      </c>
      <c r="M100" s="2951">
        <v>35.71</v>
      </c>
      <c r="N100" s="2977">
        <v>2.7445276079873593E-3</v>
      </c>
      <c r="O100" s="2948">
        <v>3</v>
      </c>
      <c r="P100" s="2949" t="s">
        <v>1071</v>
      </c>
      <c r="Q100" s="2953">
        <v>25</v>
      </c>
      <c r="R100" s="2953">
        <v>75</v>
      </c>
      <c r="S100" s="2952">
        <f t="shared" si="16"/>
        <v>100</v>
      </c>
      <c r="T100" s="2952">
        <f t="shared" si="17"/>
        <v>1750</v>
      </c>
      <c r="U100" s="2952">
        <f t="shared" si="18"/>
        <v>5250</v>
      </c>
      <c r="V100" s="2952">
        <f t="shared" si="19"/>
        <v>7000</v>
      </c>
      <c r="W100" s="2954">
        <f t="shared" si="20"/>
        <v>892.75</v>
      </c>
      <c r="X100" s="2954">
        <f t="shared" si="21"/>
        <v>2678.25</v>
      </c>
      <c r="Y100" s="2954">
        <f t="shared" si="22"/>
        <v>3571</v>
      </c>
      <c r="Z100" s="2984">
        <v>0</v>
      </c>
    </row>
    <row r="101" spans="8:26">
      <c r="H101" s="3106" t="s">
        <v>1397</v>
      </c>
      <c r="I101" s="2953">
        <v>137</v>
      </c>
      <c r="J101" s="2950" t="s">
        <v>120</v>
      </c>
      <c r="K101" s="2948" t="s">
        <v>909</v>
      </c>
      <c r="L101" s="2951">
        <v>35.71</v>
      </c>
      <c r="M101" s="2951">
        <v>35.71</v>
      </c>
      <c r="N101" s="2977">
        <v>5.3714326042038326E-3</v>
      </c>
      <c r="O101" s="2948">
        <v>3</v>
      </c>
      <c r="P101" s="2949" t="s">
        <v>1071</v>
      </c>
      <c r="Q101" s="2953">
        <v>25</v>
      </c>
      <c r="R101" s="2953">
        <v>75</v>
      </c>
      <c r="S101" s="2952">
        <f t="shared" si="16"/>
        <v>100</v>
      </c>
      <c r="T101" s="2952">
        <f t="shared" si="17"/>
        <v>3425</v>
      </c>
      <c r="U101" s="2952">
        <f t="shared" si="18"/>
        <v>10275</v>
      </c>
      <c r="V101" s="2952">
        <f t="shared" si="19"/>
        <v>13700</v>
      </c>
      <c r="W101" s="2954">
        <f t="shared" si="20"/>
        <v>892.75</v>
      </c>
      <c r="X101" s="2954">
        <f t="shared" si="21"/>
        <v>2678.25</v>
      </c>
      <c r="Y101" s="2954">
        <f t="shared" si="22"/>
        <v>3571</v>
      </c>
      <c r="Z101" s="2984">
        <v>0</v>
      </c>
    </row>
    <row r="102" spans="8:26">
      <c r="H102" s="3106" t="s">
        <v>1397</v>
      </c>
      <c r="I102" s="2953">
        <v>112</v>
      </c>
      <c r="J102" s="2950" t="s">
        <v>120</v>
      </c>
      <c r="K102" s="2948" t="s">
        <v>909</v>
      </c>
      <c r="L102" s="2951">
        <v>35.71</v>
      </c>
      <c r="M102" s="2951">
        <v>35.71</v>
      </c>
      <c r="N102" s="2977">
        <v>4.3912441727797756E-3</v>
      </c>
      <c r="O102" s="2948">
        <v>3</v>
      </c>
      <c r="P102" s="2949" t="s">
        <v>1071</v>
      </c>
      <c r="Q102" s="2953">
        <v>25</v>
      </c>
      <c r="R102" s="2953">
        <v>75</v>
      </c>
      <c r="S102" s="2952">
        <f t="shared" si="16"/>
        <v>100</v>
      </c>
      <c r="T102" s="2952">
        <f t="shared" si="17"/>
        <v>2800</v>
      </c>
      <c r="U102" s="2952">
        <f t="shared" si="18"/>
        <v>8400</v>
      </c>
      <c r="V102" s="2952">
        <f t="shared" si="19"/>
        <v>11200</v>
      </c>
      <c r="W102" s="2954">
        <f t="shared" si="20"/>
        <v>892.75</v>
      </c>
      <c r="X102" s="2954">
        <f t="shared" si="21"/>
        <v>2678.25</v>
      </c>
      <c r="Y102" s="2954">
        <f t="shared" si="22"/>
        <v>3571</v>
      </c>
      <c r="Z102" s="2984">
        <v>0</v>
      </c>
    </row>
    <row r="103" spans="8:26">
      <c r="H103" s="3106" t="s">
        <v>1397</v>
      </c>
      <c r="I103" s="2953">
        <v>103</v>
      </c>
      <c r="J103" s="2950" t="s">
        <v>120</v>
      </c>
      <c r="K103" s="2948" t="s">
        <v>909</v>
      </c>
      <c r="L103" s="2951">
        <v>35.71</v>
      </c>
      <c r="M103" s="2951">
        <v>35.71</v>
      </c>
      <c r="N103" s="2977">
        <v>4.0383763374671148E-3</v>
      </c>
      <c r="O103" s="2948">
        <v>3</v>
      </c>
      <c r="P103" s="2949" t="s">
        <v>1071</v>
      </c>
      <c r="Q103" s="2953">
        <v>25</v>
      </c>
      <c r="R103" s="2953">
        <v>75</v>
      </c>
      <c r="S103" s="2952">
        <f t="shared" si="16"/>
        <v>100</v>
      </c>
      <c r="T103" s="2952">
        <f t="shared" si="17"/>
        <v>2575</v>
      </c>
      <c r="U103" s="2952">
        <f t="shared" si="18"/>
        <v>7725</v>
      </c>
      <c r="V103" s="2952">
        <f t="shared" si="19"/>
        <v>10300</v>
      </c>
      <c r="W103" s="2954">
        <f t="shared" si="20"/>
        <v>892.75</v>
      </c>
      <c r="X103" s="2954">
        <f t="shared" si="21"/>
        <v>2678.25</v>
      </c>
      <c r="Y103" s="2954">
        <f t="shared" si="22"/>
        <v>3571</v>
      </c>
      <c r="Z103" s="2984">
        <v>0</v>
      </c>
    </row>
    <row r="104" spans="8:26">
      <c r="H104" s="3106" t="s">
        <v>1397</v>
      </c>
      <c r="I104" s="2953">
        <v>71</v>
      </c>
      <c r="J104" s="2950" t="s">
        <v>120</v>
      </c>
      <c r="K104" s="2948" t="s">
        <v>909</v>
      </c>
      <c r="L104" s="2951">
        <v>35.71</v>
      </c>
      <c r="M104" s="2951">
        <v>35.71</v>
      </c>
      <c r="N104" s="2977">
        <v>2.7837351452443216E-3</v>
      </c>
      <c r="O104" s="2948">
        <v>3</v>
      </c>
      <c r="P104" s="2949" t="s">
        <v>1071</v>
      </c>
      <c r="Q104" s="2953">
        <v>25</v>
      </c>
      <c r="R104" s="2953">
        <v>75</v>
      </c>
      <c r="S104" s="2952">
        <f t="shared" si="16"/>
        <v>100</v>
      </c>
      <c r="T104" s="2952">
        <f t="shared" si="17"/>
        <v>1775</v>
      </c>
      <c r="U104" s="2952">
        <f t="shared" si="18"/>
        <v>5325</v>
      </c>
      <c r="V104" s="2952">
        <f t="shared" si="19"/>
        <v>7100</v>
      </c>
      <c r="W104" s="2954">
        <f t="shared" si="20"/>
        <v>892.75</v>
      </c>
      <c r="X104" s="2954">
        <f t="shared" si="21"/>
        <v>2678.25</v>
      </c>
      <c r="Y104" s="2954">
        <f t="shared" si="22"/>
        <v>3571</v>
      </c>
      <c r="Z104" s="2984">
        <v>0</v>
      </c>
    </row>
    <row r="105" spans="8:26">
      <c r="H105" s="3106" t="s">
        <v>1398</v>
      </c>
      <c r="I105" s="2953">
        <v>74</v>
      </c>
      <c r="J105" s="2950" t="s">
        <v>120</v>
      </c>
      <c r="K105" s="2948" t="s">
        <v>909</v>
      </c>
      <c r="L105" s="2951">
        <v>35.71</v>
      </c>
      <c r="M105" s="2951">
        <v>35.71</v>
      </c>
      <c r="N105" s="2977">
        <v>2.9013577570152086E-3</v>
      </c>
      <c r="O105" s="2948">
        <v>3</v>
      </c>
      <c r="P105" s="2949" t="s">
        <v>1071</v>
      </c>
      <c r="Q105" s="2953">
        <v>25</v>
      </c>
      <c r="R105" s="2953">
        <v>75</v>
      </c>
      <c r="S105" s="2952">
        <f t="shared" si="16"/>
        <v>100</v>
      </c>
      <c r="T105" s="2952">
        <f t="shared" si="17"/>
        <v>1850</v>
      </c>
      <c r="U105" s="2952">
        <f t="shared" si="18"/>
        <v>5550</v>
      </c>
      <c r="V105" s="2952">
        <f t="shared" si="19"/>
        <v>7400</v>
      </c>
      <c r="W105" s="2954">
        <f t="shared" si="20"/>
        <v>892.75</v>
      </c>
      <c r="X105" s="2954">
        <f t="shared" si="21"/>
        <v>2678.25</v>
      </c>
      <c r="Y105" s="2954">
        <f t="shared" si="22"/>
        <v>3571</v>
      </c>
      <c r="Z105" s="2984">
        <v>0</v>
      </c>
    </row>
    <row r="106" spans="8:26">
      <c r="H106" s="3106" t="s">
        <v>1398</v>
      </c>
      <c r="I106" s="2953">
        <v>344</v>
      </c>
      <c r="J106" s="2950" t="s">
        <v>120</v>
      </c>
      <c r="K106" s="2948" t="s">
        <v>909</v>
      </c>
      <c r="L106" s="2951">
        <v>35.71</v>
      </c>
      <c r="M106" s="2951">
        <v>35.71</v>
      </c>
      <c r="N106" s="2977">
        <v>1.3487392816395024E-2</v>
      </c>
      <c r="O106" s="2948">
        <v>3</v>
      </c>
      <c r="P106" s="2949" t="s">
        <v>1071</v>
      </c>
      <c r="Q106" s="2953">
        <v>25</v>
      </c>
      <c r="R106" s="2953">
        <v>75</v>
      </c>
      <c r="S106" s="2952">
        <f t="shared" si="16"/>
        <v>100</v>
      </c>
      <c r="T106" s="2952">
        <f t="shared" si="17"/>
        <v>8600</v>
      </c>
      <c r="U106" s="2952">
        <f t="shared" si="18"/>
        <v>25800</v>
      </c>
      <c r="V106" s="2952">
        <f t="shared" si="19"/>
        <v>34400</v>
      </c>
      <c r="W106" s="2954">
        <f t="shared" si="20"/>
        <v>892.75</v>
      </c>
      <c r="X106" s="2954">
        <f t="shared" si="21"/>
        <v>2678.25</v>
      </c>
      <c r="Y106" s="2954">
        <f t="shared" si="22"/>
        <v>3571</v>
      </c>
      <c r="Z106" s="2984">
        <v>0</v>
      </c>
    </row>
    <row r="107" spans="8:26">
      <c r="H107" s="3106" t="s">
        <v>1398</v>
      </c>
      <c r="I107" s="2953">
        <v>126</v>
      </c>
      <c r="J107" s="2950" t="s">
        <v>120</v>
      </c>
      <c r="K107" s="2948" t="s">
        <v>909</v>
      </c>
      <c r="L107" s="2951">
        <v>35.71</v>
      </c>
      <c r="M107" s="2951">
        <v>35.71</v>
      </c>
      <c r="N107" s="2977">
        <v>4.9401496943772471E-3</v>
      </c>
      <c r="O107" s="2948">
        <v>3</v>
      </c>
      <c r="P107" s="2949" t="s">
        <v>1071</v>
      </c>
      <c r="Q107" s="2953">
        <v>25</v>
      </c>
      <c r="R107" s="2953">
        <v>75</v>
      </c>
      <c r="S107" s="2952">
        <f t="shared" si="16"/>
        <v>100</v>
      </c>
      <c r="T107" s="2952">
        <f t="shared" si="17"/>
        <v>3150</v>
      </c>
      <c r="U107" s="2952">
        <f t="shared" si="18"/>
        <v>9450</v>
      </c>
      <c r="V107" s="2952">
        <f t="shared" si="19"/>
        <v>12600</v>
      </c>
      <c r="W107" s="2954">
        <f t="shared" si="20"/>
        <v>892.75</v>
      </c>
      <c r="X107" s="2954">
        <f t="shared" si="21"/>
        <v>2678.25</v>
      </c>
      <c r="Y107" s="2954">
        <f t="shared" si="22"/>
        <v>3571</v>
      </c>
      <c r="Z107" s="2984">
        <v>0</v>
      </c>
    </row>
    <row r="108" spans="8:26">
      <c r="H108" s="3106" t="s">
        <v>1398</v>
      </c>
      <c r="I108" s="2953">
        <v>95</v>
      </c>
      <c r="J108" s="2950" t="s">
        <v>120</v>
      </c>
      <c r="K108" s="2948" t="s">
        <v>909</v>
      </c>
      <c r="L108" s="2951">
        <v>35.71</v>
      </c>
      <c r="M108" s="2951">
        <v>35.71</v>
      </c>
      <c r="N108" s="2977">
        <v>3.7247160394114163E-3</v>
      </c>
      <c r="O108" s="2948">
        <v>3</v>
      </c>
      <c r="P108" s="2949" t="s">
        <v>1071</v>
      </c>
      <c r="Q108" s="2953">
        <v>25</v>
      </c>
      <c r="R108" s="2953">
        <v>75</v>
      </c>
      <c r="S108" s="2952">
        <f t="shared" si="16"/>
        <v>100</v>
      </c>
      <c r="T108" s="2952">
        <f t="shared" si="17"/>
        <v>2375</v>
      </c>
      <c r="U108" s="2952">
        <f t="shared" si="18"/>
        <v>7125</v>
      </c>
      <c r="V108" s="2952">
        <f t="shared" si="19"/>
        <v>9500</v>
      </c>
      <c r="W108" s="2954">
        <f t="shared" si="20"/>
        <v>892.75</v>
      </c>
      <c r="X108" s="2954">
        <f t="shared" si="21"/>
        <v>2678.25</v>
      </c>
      <c r="Y108" s="2954">
        <f t="shared" si="22"/>
        <v>3571</v>
      </c>
      <c r="Z108" s="2984">
        <v>0</v>
      </c>
    </row>
    <row r="109" spans="8:26">
      <c r="H109" s="3106" t="s">
        <v>1398</v>
      </c>
      <c r="I109" s="2953">
        <v>185</v>
      </c>
      <c r="J109" s="2950" t="s">
        <v>120</v>
      </c>
      <c r="K109" s="2948" t="s">
        <v>909</v>
      </c>
      <c r="L109" s="2951">
        <v>35.71</v>
      </c>
      <c r="M109" s="2951">
        <v>35.71</v>
      </c>
      <c r="N109" s="2977">
        <v>7.2533943925380219E-3</v>
      </c>
      <c r="O109" s="2948">
        <v>3</v>
      </c>
      <c r="P109" s="2949" t="s">
        <v>1071</v>
      </c>
      <c r="Q109" s="2953">
        <v>25</v>
      </c>
      <c r="R109" s="2953">
        <v>75</v>
      </c>
      <c r="S109" s="2952">
        <f t="shared" si="16"/>
        <v>100</v>
      </c>
      <c r="T109" s="2952">
        <f t="shared" si="17"/>
        <v>4625</v>
      </c>
      <c r="U109" s="2952">
        <f t="shared" si="18"/>
        <v>13875</v>
      </c>
      <c r="V109" s="2952">
        <f t="shared" si="19"/>
        <v>18500</v>
      </c>
      <c r="W109" s="2954">
        <f t="shared" si="20"/>
        <v>892.75</v>
      </c>
      <c r="X109" s="2954">
        <f t="shared" si="21"/>
        <v>2678.25</v>
      </c>
      <c r="Y109" s="2954">
        <f t="shared" si="22"/>
        <v>3571</v>
      </c>
      <c r="Z109" s="2984">
        <v>0</v>
      </c>
    </row>
    <row r="110" spans="8:26">
      <c r="H110" s="3106" t="s">
        <v>1398</v>
      </c>
      <c r="I110" s="2953">
        <v>151</v>
      </c>
      <c r="J110" s="2950" t="s">
        <v>120</v>
      </c>
      <c r="K110" s="2948" t="s">
        <v>909</v>
      </c>
      <c r="L110" s="2951">
        <v>35.71</v>
      </c>
      <c r="M110" s="2951">
        <v>35.71</v>
      </c>
      <c r="N110" s="2977">
        <v>5.9203381258013041E-3</v>
      </c>
      <c r="O110" s="2948">
        <v>3</v>
      </c>
      <c r="P110" s="2949" t="s">
        <v>1071</v>
      </c>
      <c r="Q110" s="2953">
        <v>25</v>
      </c>
      <c r="R110" s="2953">
        <v>75</v>
      </c>
      <c r="S110" s="2952">
        <f t="shared" si="16"/>
        <v>100</v>
      </c>
      <c r="T110" s="2952">
        <f t="shared" si="17"/>
        <v>3775</v>
      </c>
      <c r="U110" s="2952">
        <f t="shared" si="18"/>
        <v>11325</v>
      </c>
      <c r="V110" s="2952">
        <f t="shared" si="19"/>
        <v>15100</v>
      </c>
      <c r="W110" s="2954">
        <f t="shared" si="20"/>
        <v>892.75</v>
      </c>
      <c r="X110" s="2954">
        <f t="shared" si="21"/>
        <v>2678.25</v>
      </c>
      <c r="Y110" s="2954">
        <f t="shared" si="22"/>
        <v>3571</v>
      </c>
      <c r="Z110" s="2984">
        <v>0</v>
      </c>
    </row>
    <row r="111" spans="8:26">
      <c r="H111" s="3106" t="s">
        <v>1398</v>
      </c>
      <c r="I111" s="2953">
        <v>139</v>
      </c>
      <c r="J111" s="2950" t="s">
        <v>120</v>
      </c>
      <c r="K111" s="2948" t="s">
        <v>909</v>
      </c>
      <c r="L111" s="2951">
        <v>35.71</v>
      </c>
      <c r="M111" s="2951">
        <v>35.71</v>
      </c>
      <c r="N111" s="2977">
        <v>5.4498476787177563E-3</v>
      </c>
      <c r="O111" s="2948">
        <v>3</v>
      </c>
      <c r="P111" s="2949" t="s">
        <v>1071</v>
      </c>
      <c r="Q111" s="2953">
        <v>25</v>
      </c>
      <c r="R111" s="2953">
        <v>75</v>
      </c>
      <c r="S111" s="2952">
        <f t="shared" si="16"/>
        <v>100</v>
      </c>
      <c r="T111" s="2952">
        <f t="shared" si="17"/>
        <v>3475</v>
      </c>
      <c r="U111" s="2952">
        <f t="shared" si="18"/>
        <v>10425</v>
      </c>
      <c r="V111" s="2952">
        <f t="shared" si="19"/>
        <v>13900</v>
      </c>
      <c r="W111" s="2954">
        <f t="shared" si="20"/>
        <v>892.75</v>
      </c>
      <c r="X111" s="2954">
        <f t="shared" si="21"/>
        <v>2678.25</v>
      </c>
      <c r="Y111" s="2954">
        <f t="shared" si="22"/>
        <v>3571</v>
      </c>
      <c r="Z111" s="2984">
        <v>0</v>
      </c>
    </row>
    <row r="112" spans="8:26">
      <c r="H112" s="3106" t="s">
        <v>1398</v>
      </c>
      <c r="I112" s="2953">
        <v>96</v>
      </c>
      <c r="J112" s="2950" t="s">
        <v>120</v>
      </c>
      <c r="K112" s="2948" t="s">
        <v>909</v>
      </c>
      <c r="L112" s="2951">
        <v>35.71</v>
      </c>
      <c r="M112" s="2951">
        <v>35.71</v>
      </c>
      <c r="N112" s="2977">
        <v>3.7639235766683786E-3</v>
      </c>
      <c r="O112" s="2948">
        <v>3</v>
      </c>
      <c r="P112" s="2949" t="s">
        <v>1071</v>
      </c>
      <c r="Q112" s="2953">
        <v>25</v>
      </c>
      <c r="R112" s="2953">
        <v>75</v>
      </c>
      <c r="S112" s="2952">
        <f t="shared" ref="S112:S143" si="23">Q112+R112</f>
        <v>100</v>
      </c>
      <c r="T112" s="2952">
        <f t="shared" ref="T112:T143" si="24">I112*Q112</f>
        <v>2400</v>
      </c>
      <c r="U112" s="2952">
        <f t="shared" ref="U112:U143" si="25">I112*R112</f>
        <v>7200</v>
      </c>
      <c r="V112" s="2952">
        <f t="shared" ref="V112:V143" si="26">T112+U112</f>
        <v>9600</v>
      </c>
      <c r="W112" s="2954">
        <f t="shared" ref="W112:W143" si="27">M112*Q112</f>
        <v>892.75</v>
      </c>
      <c r="X112" s="2954">
        <f t="shared" ref="X112:X143" si="28">M112*R112</f>
        <v>2678.25</v>
      </c>
      <c r="Y112" s="2954">
        <f t="shared" ref="Y112:Y143" si="29">W112+X112</f>
        <v>3571</v>
      </c>
      <c r="Z112" s="2984">
        <v>0</v>
      </c>
    </row>
    <row r="113" spans="8:26">
      <c r="H113" s="3106" t="s">
        <v>1399</v>
      </c>
      <c r="I113" s="2953">
        <v>100</v>
      </c>
      <c r="J113" s="2950" t="s">
        <v>120</v>
      </c>
      <c r="K113" s="2948" t="s">
        <v>909</v>
      </c>
      <c r="L113" s="2951">
        <v>35.71</v>
      </c>
      <c r="M113" s="2951">
        <v>35.71</v>
      </c>
      <c r="N113" s="2977">
        <v>3.9207537256962278E-3</v>
      </c>
      <c r="O113" s="2948">
        <v>3</v>
      </c>
      <c r="P113" s="2949" t="s">
        <v>1071</v>
      </c>
      <c r="Q113" s="2953">
        <v>25</v>
      </c>
      <c r="R113" s="2953">
        <v>75</v>
      </c>
      <c r="S113" s="2952">
        <f t="shared" si="23"/>
        <v>100</v>
      </c>
      <c r="T113" s="2952">
        <f t="shared" si="24"/>
        <v>2500</v>
      </c>
      <c r="U113" s="2952">
        <f t="shared" si="25"/>
        <v>7500</v>
      </c>
      <c r="V113" s="2952">
        <f t="shared" si="26"/>
        <v>10000</v>
      </c>
      <c r="W113" s="2954">
        <f t="shared" si="27"/>
        <v>892.75</v>
      </c>
      <c r="X113" s="2954">
        <f t="shared" si="28"/>
        <v>2678.25</v>
      </c>
      <c r="Y113" s="2954">
        <f t="shared" si="29"/>
        <v>3571</v>
      </c>
      <c r="Z113" s="2984">
        <v>0</v>
      </c>
    </row>
    <row r="114" spans="8:26">
      <c r="H114" s="3106" t="s">
        <v>1399</v>
      </c>
      <c r="I114" s="2953">
        <v>159</v>
      </c>
      <c r="J114" s="2950" t="s">
        <v>120</v>
      </c>
      <c r="K114" s="2948" t="s">
        <v>909</v>
      </c>
      <c r="L114" s="2951">
        <v>13.68</v>
      </c>
      <c r="M114" s="2951">
        <v>13.68</v>
      </c>
      <c r="N114" s="2977">
        <v>6.2339984238570026E-3</v>
      </c>
      <c r="O114" s="2948">
        <v>3</v>
      </c>
      <c r="P114" s="2949" t="s">
        <v>1071</v>
      </c>
      <c r="Q114" s="2953">
        <v>25</v>
      </c>
      <c r="R114" s="2953">
        <v>75</v>
      </c>
      <c r="S114" s="2952">
        <f t="shared" si="23"/>
        <v>100</v>
      </c>
      <c r="T114" s="2952">
        <f t="shared" si="24"/>
        <v>3975</v>
      </c>
      <c r="U114" s="2952">
        <f t="shared" si="25"/>
        <v>11925</v>
      </c>
      <c r="V114" s="2952">
        <f t="shared" si="26"/>
        <v>15900</v>
      </c>
      <c r="W114" s="2954">
        <f t="shared" si="27"/>
        <v>342</v>
      </c>
      <c r="X114" s="2954">
        <f t="shared" si="28"/>
        <v>1026</v>
      </c>
      <c r="Y114" s="2954">
        <f t="shared" si="29"/>
        <v>1368</v>
      </c>
      <c r="Z114" s="2984">
        <v>0</v>
      </c>
    </row>
    <row r="115" spans="8:26">
      <c r="H115" s="3106" t="s">
        <v>1399</v>
      </c>
      <c r="I115" s="2953">
        <v>58</v>
      </c>
      <c r="J115" s="2950" t="s">
        <v>120</v>
      </c>
      <c r="K115" s="2948" t="s">
        <v>909</v>
      </c>
      <c r="L115" s="2951">
        <v>13.68</v>
      </c>
      <c r="M115" s="2951">
        <v>13.68</v>
      </c>
      <c r="N115" s="2977">
        <v>2.274037160903812E-3</v>
      </c>
      <c r="O115" s="2948">
        <v>3</v>
      </c>
      <c r="P115" s="2949" t="s">
        <v>1071</v>
      </c>
      <c r="Q115" s="2953">
        <v>25</v>
      </c>
      <c r="R115" s="2953">
        <v>75</v>
      </c>
      <c r="S115" s="2952">
        <f t="shared" si="23"/>
        <v>100</v>
      </c>
      <c r="T115" s="2952">
        <f t="shared" si="24"/>
        <v>1450</v>
      </c>
      <c r="U115" s="2952">
        <f t="shared" si="25"/>
        <v>4350</v>
      </c>
      <c r="V115" s="2952">
        <f t="shared" si="26"/>
        <v>5800</v>
      </c>
      <c r="W115" s="2954">
        <f t="shared" si="27"/>
        <v>342</v>
      </c>
      <c r="X115" s="2954">
        <f t="shared" si="28"/>
        <v>1026</v>
      </c>
      <c r="Y115" s="2954">
        <f t="shared" si="29"/>
        <v>1368</v>
      </c>
      <c r="Z115" s="2984">
        <v>0</v>
      </c>
    </row>
    <row r="116" spans="8:26">
      <c r="H116" s="3106" t="s">
        <v>1399</v>
      </c>
      <c r="I116" s="2953">
        <v>44</v>
      </c>
      <c r="J116" s="2950" t="s">
        <v>120</v>
      </c>
      <c r="K116" s="2948" t="s">
        <v>909</v>
      </c>
      <c r="L116" s="2951">
        <v>13.68</v>
      </c>
      <c r="M116" s="2951">
        <v>13.68</v>
      </c>
      <c r="N116" s="2977">
        <v>1.7251316393063403E-3</v>
      </c>
      <c r="O116" s="2948">
        <v>3</v>
      </c>
      <c r="P116" s="2949" t="s">
        <v>1071</v>
      </c>
      <c r="Q116" s="2953">
        <v>25</v>
      </c>
      <c r="R116" s="2953">
        <v>75</v>
      </c>
      <c r="S116" s="2952">
        <f t="shared" si="23"/>
        <v>100</v>
      </c>
      <c r="T116" s="2952">
        <f t="shared" si="24"/>
        <v>1100</v>
      </c>
      <c r="U116" s="2952">
        <f t="shared" si="25"/>
        <v>3300</v>
      </c>
      <c r="V116" s="2952">
        <f t="shared" si="26"/>
        <v>4400</v>
      </c>
      <c r="W116" s="2954">
        <f t="shared" si="27"/>
        <v>342</v>
      </c>
      <c r="X116" s="2954">
        <f t="shared" si="28"/>
        <v>1026</v>
      </c>
      <c r="Y116" s="2954">
        <f t="shared" si="29"/>
        <v>1368</v>
      </c>
      <c r="Z116" s="2984">
        <v>0</v>
      </c>
    </row>
    <row r="117" spans="8:26">
      <c r="H117" s="3106" t="s">
        <v>1399</v>
      </c>
      <c r="I117" s="2953">
        <v>86</v>
      </c>
      <c r="J117" s="2950" t="s">
        <v>120</v>
      </c>
      <c r="K117" s="2948" t="s">
        <v>909</v>
      </c>
      <c r="L117" s="2951">
        <v>13.68</v>
      </c>
      <c r="M117" s="2951">
        <v>13.68</v>
      </c>
      <c r="N117" s="2977">
        <v>3.3718482040987559E-3</v>
      </c>
      <c r="O117" s="2948">
        <v>3</v>
      </c>
      <c r="P117" s="2949" t="s">
        <v>1071</v>
      </c>
      <c r="Q117" s="2953">
        <v>25</v>
      </c>
      <c r="R117" s="2953">
        <v>75</v>
      </c>
      <c r="S117" s="2952">
        <f t="shared" si="23"/>
        <v>100</v>
      </c>
      <c r="T117" s="2952">
        <f t="shared" si="24"/>
        <v>2150</v>
      </c>
      <c r="U117" s="2952">
        <f t="shared" si="25"/>
        <v>6450</v>
      </c>
      <c r="V117" s="2952">
        <f t="shared" si="26"/>
        <v>8600</v>
      </c>
      <c r="W117" s="2954">
        <f t="shared" si="27"/>
        <v>342</v>
      </c>
      <c r="X117" s="2954">
        <f t="shared" si="28"/>
        <v>1026</v>
      </c>
      <c r="Y117" s="2954">
        <f t="shared" si="29"/>
        <v>1368</v>
      </c>
      <c r="Z117" s="2984">
        <v>0</v>
      </c>
    </row>
    <row r="118" spans="8:26">
      <c r="H118" s="3106" t="s">
        <v>1399</v>
      </c>
      <c r="I118" s="2953">
        <v>70</v>
      </c>
      <c r="J118" s="2950" t="s">
        <v>120</v>
      </c>
      <c r="K118" s="2948" t="s">
        <v>909</v>
      </c>
      <c r="L118" s="2951">
        <v>13.68</v>
      </c>
      <c r="M118" s="2951">
        <v>13.68</v>
      </c>
      <c r="N118" s="2977">
        <v>2.7445276079873593E-3</v>
      </c>
      <c r="O118" s="2948">
        <v>3</v>
      </c>
      <c r="P118" s="2949" t="s">
        <v>1071</v>
      </c>
      <c r="Q118" s="2953">
        <v>25</v>
      </c>
      <c r="R118" s="2953">
        <v>75</v>
      </c>
      <c r="S118" s="2952">
        <f t="shared" si="23"/>
        <v>100</v>
      </c>
      <c r="T118" s="2952">
        <f t="shared" si="24"/>
        <v>1750</v>
      </c>
      <c r="U118" s="2952">
        <f t="shared" si="25"/>
        <v>5250</v>
      </c>
      <c r="V118" s="2952">
        <f t="shared" si="26"/>
        <v>7000</v>
      </c>
      <c r="W118" s="2954">
        <f t="shared" si="27"/>
        <v>342</v>
      </c>
      <c r="X118" s="2954">
        <f t="shared" si="28"/>
        <v>1026</v>
      </c>
      <c r="Y118" s="2954">
        <f t="shared" si="29"/>
        <v>1368</v>
      </c>
      <c r="Z118" s="2984">
        <v>0</v>
      </c>
    </row>
    <row r="119" spans="8:26">
      <c r="H119" s="3106" t="s">
        <v>1399</v>
      </c>
      <c r="I119" s="2953">
        <v>64</v>
      </c>
      <c r="J119" s="2950" t="s">
        <v>120</v>
      </c>
      <c r="K119" s="2948" t="s">
        <v>909</v>
      </c>
      <c r="L119" s="2951">
        <v>13.68</v>
      </c>
      <c r="M119" s="2951">
        <v>13.68</v>
      </c>
      <c r="N119" s="2977">
        <v>2.5092823844455859E-3</v>
      </c>
      <c r="O119" s="2948">
        <v>3</v>
      </c>
      <c r="P119" s="2949" t="s">
        <v>1071</v>
      </c>
      <c r="Q119" s="2953">
        <v>25</v>
      </c>
      <c r="R119" s="2953">
        <v>75</v>
      </c>
      <c r="S119" s="2952">
        <f t="shared" si="23"/>
        <v>100</v>
      </c>
      <c r="T119" s="2952">
        <f t="shared" si="24"/>
        <v>1600</v>
      </c>
      <c r="U119" s="2952">
        <f t="shared" si="25"/>
        <v>4800</v>
      </c>
      <c r="V119" s="2952">
        <f t="shared" si="26"/>
        <v>6400</v>
      </c>
      <c r="W119" s="2954">
        <f t="shared" si="27"/>
        <v>342</v>
      </c>
      <c r="X119" s="2954">
        <f t="shared" si="28"/>
        <v>1026</v>
      </c>
      <c r="Y119" s="2954">
        <f t="shared" si="29"/>
        <v>1368</v>
      </c>
      <c r="Z119" s="2984">
        <v>0</v>
      </c>
    </row>
    <row r="120" spans="8:26">
      <c r="H120" s="3106" t="s">
        <v>1399</v>
      </c>
      <c r="I120" s="2953">
        <v>45</v>
      </c>
      <c r="J120" s="2950" t="s">
        <v>120</v>
      </c>
      <c r="K120" s="2948" t="s">
        <v>909</v>
      </c>
      <c r="L120" s="2951">
        <v>13.68</v>
      </c>
      <c r="M120" s="2951">
        <v>13.68</v>
      </c>
      <c r="N120" s="2977"/>
      <c r="O120" s="2948"/>
      <c r="P120" s="2949"/>
      <c r="Q120" s="2953"/>
      <c r="R120" s="2953"/>
      <c r="S120" s="2952">
        <f t="shared" si="23"/>
        <v>0</v>
      </c>
      <c r="T120" s="2952">
        <f t="shared" si="24"/>
        <v>0</v>
      </c>
      <c r="U120" s="2952">
        <f t="shared" si="25"/>
        <v>0</v>
      </c>
      <c r="V120" s="2952">
        <f t="shared" si="26"/>
        <v>0</v>
      </c>
      <c r="W120" s="2954">
        <f t="shared" si="27"/>
        <v>0</v>
      </c>
      <c r="X120" s="2954">
        <f t="shared" si="28"/>
        <v>0</v>
      </c>
      <c r="Y120" s="2954">
        <f t="shared" si="29"/>
        <v>0</v>
      </c>
      <c r="Z120" s="2984"/>
    </row>
    <row r="121" spans="8:26">
      <c r="H121" s="3106"/>
      <c r="I121" s="2953"/>
      <c r="J121" s="2950" t="s">
        <v>120</v>
      </c>
      <c r="K121" s="2948"/>
      <c r="L121" s="2951"/>
      <c r="M121" s="2951"/>
      <c r="N121" s="2977"/>
      <c r="O121" s="2948"/>
      <c r="P121" s="2949"/>
      <c r="Q121" s="2953"/>
      <c r="R121" s="2953"/>
      <c r="S121" s="2952">
        <f t="shared" si="23"/>
        <v>0</v>
      </c>
      <c r="T121" s="2952">
        <f t="shared" si="24"/>
        <v>0</v>
      </c>
      <c r="U121" s="2952">
        <f t="shared" si="25"/>
        <v>0</v>
      </c>
      <c r="V121" s="2952">
        <f t="shared" si="26"/>
        <v>0</v>
      </c>
      <c r="W121" s="2954">
        <f t="shared" si="27"/>
        <v>0</v>
      </c>
      <c r="X121" s="2954">
        <f t="shared" si="28"/>
        <v>0</v>
      </c>
      <c r="Y121" s="2954">
        <f t="shared" si="29"/>
        <v>0</v>
      </c>
      <c r="Z121" s="2984"/>
    </row>
    <row r="122" spans="8:26">
      <c r="H122" s="3106"/>
      <c r="I122" s="2953"/>
      <c r="J122" s="2950" t="s">
        <v>120</v>
      </c>
      <c r="K122" s="2948"/>
      <c r="L122" s="2951"/>
      <c r="M122" s="2951"/>
      <c r="N122" s="2977"/>
      <c r="O122" s="2948"/>
      <c r="P122" s="2949"/>
      <c r="Q122" s="2953"/>
      <c r="R122" s="2953"/>
      <c r="S122" s="2952">
        <f t="shared" si="23"/>
        <v>0</v>
      </c>
      <c r="T122" s="2952">
        <f t="shared" si="24"/>
        <v>0</v>
      </c>
      <c r="U122" s="2952">
        <f t="shared" si="25"/>
        <v>0</v>
      </c>
      <c r="V122" s="2952">
        <f t="shared" si="26"/>
        <v>0</v>
      </c>
      <c r="W122" s="2954">
        <f t="shared" si="27"/>
        <v>0</v>
      </c>
      <c r="X122" s="2954">
        <f t="shared" si="28"/>
        <v>0</v>
      </c>
      <c r="Y122" s="2954">
        <f t="shared" si="29"/>
        <v>0</v>
      </c>
      <c r="Z122" s="2984"/>
    </row>
    <row r="123" spans="8:26">
      <c r="H123" s="3106"/>
      <c r="I123" s="2953"/>
      <c r="J123" s="2950" t="s">
        <v>120</v>
      </c>
      <c r="K123" s="2948"/>
      <c r="L123" s="2951"/>
      <c r="M123" s="2951"/>
      <c r="N123" s="2977"/>
      <c r="O123" s="2948"/>
      <c r="P123" s="2949"/>
      <c r="Q123" s="2953"/>
      <c r="R123" s="2953"/>
      <c r="S123" s="2952">
        <f t="shared" si="23"/>
        <v>0</v>
      </c>
      <c r="T123" s="2952">
        <f t="shared" si="24"/>
        <v>0</v>
      </c>
      <c r="U123" s="2952">
        <f t="shared" si="25"/>
        <v>0</v>
      </c>
      <c r="V123" s="2952">
        <f t="shared" si="26"/>
        <v>0</v>
      </c>
      <c r="W123" s="2954">
        <f t="shared" si="27"/>
        <v>0</v>
      </c>
      <c r="X123" s="2954">
        <f t="shared" si="28"/>
        <v>0</v>
      </c>
      <c r="Y123" s="2954">
        <f t="shared" si="29"/>
        <v>0</v>
      </c>
      <c r="Z123" s="2984"/>
    </row>
    <row r="124" spans="8:26">
      <c r="H124" s="3106"/>
      <c r="I124" s="2953"/>
      <c r="J124" s="2950" t="s">
        <v>120</v>
      </c>
      <c r="K124" s="2948"/>
      <c r="L124" s="2951"/>
      <c r="M124" s="2951"/>
      <c r="N124" s="2977"/>
      <c r="O124" s="2948"/>
      <c r="P124" s="2949"/>
      <c r="Q124" s="2953"/>
      <c r="R124" s="2953"/>
      <c r="S124" s="2952">
        <f t="shared" si="23"/>
        <v>0</v>
      </c>
      <c r="T124" s="2952">
        <f t="shared" si="24"/>
        <v>0</v>
      </c>
      <c r="U124" s="2952">
        <f t="shared" si="25"/>
        <v>0</v>
      </c>
      <c r="V124" s="2952">
        <f t="shared" si="26"/>
        <v>0</v>
      </c>
      <c r="W124" s="2954">
        <f t="shared" si="27"/>
        <v>0</v>
      </c>
      <c r="X124" s="2954">
        <f t="shared" si="28"/>
        <v>0</v>
      </c>
      <c r="Y124" s="2954">
        <f t="shared" si="29"/>
        <v>0</v>
      </c>
      <c r="Z124" s="2984"/>
    </row>
    <row r="125" spans="8:26">
      <c r="H125" s="3106"/>
      <c r="I125" s="2953"/>
      <c r="J125" s="2950" t="s">
        <v>120</v>
      </c>
      <c r="K125" s="2948"/>
      <c r="L125" s="2951"/>
      <c r="M125" s="2951"/>
      <c r="N125" s="2977"/>
      <c r="O125" s="2948"/>
      <c r="P125" s="2949"/>
      <c r="Q125" s="2953"/>
      <c r="R125" s="2953"/>
      <c r="S125" s="2952">
        <f t="shared" si="23"/>
        <v>0</v>
      </c>
      <c r="T125" s="2952">
        <f t="shared" si="24"/>
        <v>0</v>
      </c>
      <c r="U125" s="2952">
        <f t="shared" si="25"/>
        <v>0</v>
      </c>
      <c r="V125" s="2952">
        <f t="shared" si="26"/>
        <v>0</v>
      </c>
      <c r="W125" s="2954">
        <f t="shared" si="27"/>
        <v>0</v>
      </c>
      <c r="X125" s="2954">
        <f t="shared" si="28"/>
        <v>0</v>
      </c>
      <c r="Y125" s="2954">
        <f t="shared" si="29"/>
        <v>0</v>
      </c>
      <c r="Z125" s="2984"/>
    </row>
    <row r="126" spans="8:26">
      <c r="H126" s="3106"/>
      <c r="I126" s="2953"/>
      <c r="J126" s="2950" t="s">
        <v>120</v>
      </c>
      <c r="K126" s="2948"/>
      <c r="L126" s="2951"/>
      <c r="M126" s="2951"/>
      <c r="N126" s="2977"/>
      <c r="O126" s="2948"/>
      <c r="P126" s="2949"/>
      <c r="Q126" s="2953"/>
      <c r="R126" s="2953"/>
      <c r="S126" s="2952">
        <f t="shared" si="23"/>
        <v>0</v>
      </c>
      <c r="T126" s="2952">
        <f t="shared" si="24"/>
        <v>0</v>
      </c>
      <c r="U126" s="2952">
        <f t="shared" si="25"/>
        <v>0</v>
      </c>
      <c r="V126" s="2952">
        <f t="shared" si="26"/>
        <v>0</v>
      </c>
      <c r="W126" s="2954">
        <f t="shared" si="27"/>
        <v>0</v>
      </c>
      <c r="X126" s="2954">
        <f t="shared" si="28"/>
        <v>0</v>
      </c>
      <c r="Y126" s="2954">
        <f t="shared" si="29"/>
        <v>0</v>
      </c>
      <c r="Z126" s="2984"/>
    </row>
    <row r="127" spans="8:26">
      <c r="H127" s="3106"/>
      <c r="I127" s="2953"/>
      <c r="J127" s="2950" t="s">
        <v>120</v>
      </c>
      <c r="K127" s="2948"/>
      <c r="L127" s="2951"/>
      <c r="M127" s="2951"/>
      <c r="N127" s="2977"/>
      <c r="O127" s="2948"/>
      <c r="P127" s="2949"/>
      <c r="Q127" s="2953"/>
      <c r="R127" s="2953"/>
      <c r="S127" s="2952">
        <f t="shared" si="23"/>
        <v>0</v>
      </c>
      <c r="T127" s="2952">
        <f t="shared" si="24"/>
        <v>0</v>
      </c>
      <c r="U127" s="2952">
        <f t="shared" si="25"/>
        <v>0</v>
      </c>
      <c r="V127" s="2952">
        <f t="shared" si="26"/>
        <v>0</v>
      </c>
      <c r="W127" s="2954">
        <f t="shared" si="27"/>
        <v>0</v>
      </c>
      <c r="X127" s="2954">
        <f t="shared" si="28"/>
        <v>0</v>
      </c>
      <c r="Y127" s="2954">
        <f t="shared" si="29"/>
        <v>0</v>
      </c>
      <c r="Z127" s="2984"/>
    </row>
    <row r="128" spans="8:26">
      <c r="H128" s="3106"/>
      <c r="I128" s="2953"/>
      <c r="J128" s="2950" t="s">
        <v>120</v>
      </c>
      <c r="K128" s="2948"/>
      <c r="L128" s="2951"/>
      <c r="M128" s="2951"/>
      <c r="N128" s="2977"/>
      <c r="O128" s="2948"/>
      <c r="P128" s="2949"/>
      <c r="Q128" s="2953"/>
      <c r="R128" s="2953"/>
      <c r="S128" s="2952">
        <f t="shared" si="23"/>
        <v>0</v>
      </c>
      <c r="T128" s="2952">
        <f t="shared" si="24"/>
        <v>0</v>
      </c>
      <c r="U128" s="2952">
        <f t="shared" si="25"/>
        <v>0</v>
      </c>
      <c r="V128" s="2952">
        <f t="shared" si="26"/>
        <v>0</v>
      </c>
      <c r="W128" s="2954">
        <f t="shared" si="27"/>
        <v>0</v>
      </c>
      <c r="X128" s="2954">
        <f t="shared" si="28"/>
        <v>0</v>
      </c>
      <c r="Y128" s="2954">
        <f t="shared" si="29"/>
        <v>0</v>
      </c>
      <c r="Z128" s="2984"/>
    </row>
    <row r="129" spans="8:26">
      <c r="H129" s="3106"/>
      <c r="I129" s="2953"/>
      <c r="J129" s="2950" t="s">
        <v>120</v>
      </c>
      <c r="K129" s="2948"/>
      <c r="L129" s="2951"/>
      <c r="M129" s="2951"/>
      <c r="N129" s="2977"/>
      <c r="O129" s="2948"/>
      <c r="P129" s="2949"/>
      <c r="Q129" s="2953"/>
      <c r="R129" s="2953"/>
      <c r="S129" s="2952">
        <f t="shared" si="23"/>
        <v>0</v>
      </c>
      <c r="T129" s="2952">
        <f t="shared" si="24"/>
        <v>0</v>
      </c>
      <c r="U129" s="2952">
        <f t="shared" si="25"/>
        <v>0</v>
      </c>
      <c r="V129" s="2952">
        <f t="shared" si="26"/>
        <v>0</v>
      </c>
      <c r="W129" s="2954">
        <f t="shared" si="27"/>
        <v>0</v>
      </c>
      <c r="X129" s="2954">
        <f t="shared" si="28"/>
        <v>0</v>
      </c>
      <c r="Y129" s="2954">
        <f t="shared" si="29"/>
        <v>0</v>
      </c>
      <c r="Z129" s="2984"/>
    </row>
    <row r="130" spans="8:26">
      <c r="H130" s="3106"/>
      <c r="I130" s="2953"/>
      <c r="J130" s="2950" t="s">
        <v>120</v>
      </c>
      <c r="K130" s="2948"/>
      <c r="L130" s="2951"/>
      <c r="M130" s="2951"/>
      <c r="N130" s="2977"/>
      <c r="O130" s="2948"/>
      <c r="P130" s="2949"/>
      <c r="Q130" s="2953"/>
      <c r="R130" s="2953"/>
      <c r="S130" s="2952">
        <f t="shared" si="23"/>
        <v>0</v>
      </c>
      <c r="T130" s="2952">
        <f t="shared" si="24"/>
        <v>0</v>
      </c>
      <c r="U130" s="2952">
        <f t="shared" si="25"/>
        <v>0</v>
      </c>
      <c r="V130" s="2952">
        <f t="shared" si="26"/>
        <v>0</v>
      </c>
      <c r="W130" s="2954">
        <f t="shared" si="27"/>
        <v>0</v>
      </c>
      <c r="X130" s="2954">
        <f t="shared" si="28"/>
        <v>0</v>
      </c>
      <c r="Y130" s="2954">
        <f t="shared" si="29"/>
        <v>0</v>
      </c>
      <c r="Z130" s="2984"/>
    </row>
    <row r="131" spans="8:26">
      <c r="H131" s="3106"/>
      <c r="I131" s="2953"/>
      <c r="J131" s="2950" t="s">
        <v>120</v>
      </c>
      <c r="K131" s="2948"/>
      <c r="L131" s="2951"/>
      <c r="M131" s="2951"/>
      <c r="N131" s="2977"/>
      <c r="O131" s="2948"/>
      <c r="P131" s="2949"/>
      <c r="Q131" s="2953"/>
      <c r="R131" s="2953"/>
      <c r="S131" s="2952">
        <f t="shared" si="23"/>
        <v>0</v>
      </c>
      <c r="T131" s="2952">
        <f t="shared" si="24"/>
        <v>0</v>
      </c>
      <c r="U131" s="2952">
        <f t="shared" si="25"/>
        <v>0</v>
      </c>
      <c r="V131" s="2952">
        <f t="shared" si="26"/>
        <v>0</v>
      </c>
      <c r="W131" s="2954">
        <f t="shared" si="27"/>
        <v>0</v>
      </c>
      <c r="X131" s="2954">
        <f t="shared" si="28"/>
        <v>0</v>
      </c>
      <c r="Y131" s="2954">
        <f t="shared" si="29"/>
        <v>0</v>
      </c>
      <c r="Z131" s="2984"/>
    </row>
    <row r="132" spans="8:26">
      <c r="H132" s="3106"/>
      <c r="I132" s="2953"/>
      <c r="J132" s="2950" t="s">
        <v>120</v>
      </c>
      <c r="K132" s="2948"/>
      <c r="L132" s="2951"/>
      <c r="M132" s="2951"/>
      <c r="N132" s="2977"/>
      <c r="O132" s="2948"/>
      <c r="P132" s="2949"/>
      <c r="Q132" s="2953"/>
      <c r="R132" s="2953"/>
      <c r="S132" s="2952">
        <f t="shared" si="23"/>
        <v>0</v>
      </c>
      <c r="T132" s="2952">
        <f t="shared" si="24"/>
        <v>0</v>
      </c>
      <c r="U132" s="2952">
        <f t="shared" si="25"/>
        <v>0</v>
      </c>
      <c r="V132" s="2952">
        <f t="shared" si="26"/>
        <v>0</v>
      </c>
      <c r="W132" s="2954">
        <f t="shared" si="27"/>
        <v>0</v>
      </c>
      <c r="X132" s="2954">
        <f t="shared" si="28"/>
        <v>0</v>
      </c>
      <c r="Y132" s="2954">
        <f t="shared" si="29"/>
        <v>0</v>
      </c>
      <c r="Z132" s="2984"/>
    </row>
    <row r="133" spans="8:26">
      <c r="H133" s="3106"/>
      <c r="I133" s="2953"/>
      <c r="J133" s="2950" t="s">
        <v>120</v>
      </c>
      <c r="K133" s="2948"/>
      <c r="L133" s="2951"/>
      <c r="M133" s="2951"/>
      <c r="N133" s="2977"/>
      <c r="O133" s="2948"/>
      <c r="P133" s="2949"/>
      <c r="Q133" s="2953"/>
      <c r="R133" s="2953"/>
      <c r="S133" s="2952">
        <f t="shared" si="23"/>
        <v>0</v>
      </c>
      <c r="T133" s="2952">
        <f t="shared" si="24"/>
        <v>0</v>
      </c>
      <c r="U133" s="2952">
        <f t="shared" si="25"/>
        <v>0</v>
      </c>
      <c r="V133" s="2952">
        <f t="shared" si="26"/>
        <v>0</v>
      </c>
      <c r="W133" s="2954">
        <f t="shared" si="27"/>
        <v>0</v>
      </c>
      <c r="X133" s="2954">
        <f t="shared" si="28"/>
        <v>0</v>
      </c>
      <c r="Y133" s="2954">
        <f t="shared" si="29"/>
        <v>0</v>
      </c>
      <c r="Z133" s="2984"/>
    </row>
    <row r="134" spans="8:26">
      <c r="H134" s="3106"/>
      <c r="I134" s="2953"/>
      <c r="J134" s="2950" t="s">
        <v>120</v>
      </c>
      <c r="K134" s="2948"/>
      <c r="L134" s="2951"/>
      <c r="M134" s="2951"/>
      <c r="N134" s="2977"/>
      <c r="O134" s="2948"/>
      <c r="P134" s="2949"/>
      <c r="Q134" s="2953"/>
      <c r="R134" s="2953"/>
      <c r="S134" s="2952">
        <f t="shared" si="23"/>
        <v>0</v>
      </c>
      <c r="T134" s="2952">
        <f t="shared" si="24"/>
        <v>0</v>
      </c>
      <c r="U134" s="2952">
        <f t="shared" si="25"/>
        <v>0</v>
      </c>
      <c r="V134" s="2952">
        <f t="shared" si="26"/>
        <v>0</v>
      </c>
      <c r="W134" s="2954">
        <f t="shared" si="27"/>
        <v>0</v>
      </c>
      <c r="X134" s="2954">
        <f t="shared" si="28"/>
        <v>0</v>
      </c>
      <c r="Y134" s="2954">
        <f t="shared" si="29"/>
        <v>0</v>
      </c>
      <c r="Z134" s="2984"/>
    </row>
    <row r="135" spans="8:26">
      <c r="H135" s="3106"/>
      <c r="I135" s="2953"/>
      <c r="J135" s="2950" t="s">
        <v>120</v>
      </c>
      <c r="K135" s="2948"/>
      <c r="L135" s="2951"/>
      <c r="M135" s="2951"/>
      <c r="N135" s="2977"/>
      <c r="O135" s="2948"/>
      <c r="P135" s="2949"/>
      <c r="Q135" s="2953"/>
      <c r="R135" s="2953"/>
      <c r="S135" s="2952">
        <f t="shared" si="23"/>
        <v>0</v>
      </c>
      <c r="T135" s="2952">
        <f t="shared" si="24"/>
        <v>0</v>
      </c>
      <c r="U135" s="2952">
        <f t="shared" si="25"/>
        <v>0</v>
      </c>
      <c r="V135" s="2952">
        <f t="shared" si="26"/>
        <v>0</v>
      </c>
      <c r="W135" s="2954">
        <f t="shared" si="27"/>
        <v>0</v>
      </c>
      <c r="X135" s="2954">
        <f t="shared" si="28"/>
        <v>0</v>
      </c>
      <c r="Y135" s="2954">
        <f t="shared" si="29"/>
        <v>0</v>
      </c>
      <c r="Z135" s="2984"/>
    </row>
    <row r="136" spans="8:26">
      <c r="H136" s="3106"/>
      <c r="I136" s="2953"/>
      <c r="J136" s="2950" t="s">
        <v>120</v>
      </c>
      <c r="K136" s="2948"/>
      <c r="L136" s="2951"/>
      <c r="M136" s="2951"/>
      <c r="N136" s="2977"/>
      <c r="O136" s="2948"/>
      <c r="P136" s="2949"/>
      <c r="Q136" s="2953"/>
      <c r="R136" s="2953"/>
      <c r="S136" s="2952">
        <f t="shared" si="23"/>
        <v>0</v>
      </c>
      <c r="T136" s="2952">
        <f t="shared" si="24"/>
        <v>0</v>
      </c>
      <c r="U136" s="2952">
        <f t="shared" si="25"/>
        <v>0</v>
      </c>
      <c r="V136" s="2952">
        <f t="shared" si="26"/>
        <v>0</v>
      </c>
      <c r="W136" s="2954">
        <f t="shared" si="27"/>
        <v>0</v>
      </c>
      <c r="X136" s="2954">
        <f t="shared" si="28"/>
        <v>0</v>
      </c>
      <c r="Y136" s="2954">
        <f t="shared" si="29"/>
        <v>0</v>
      </c>
      <c r="Z136" s="2984"/>
    </row>
    <row r="137" spans="8:26">
      <c r="H137" s="3106"/>
      <c r="I137" s="2953"/>
      <c r="J137" s="2950" t="s">
        <v>120</v>
      </c>
      <c r="K137" s="2948"/>
      <c r="L137" s="2951"/>
      <c r="M137" s="2951"/>
      <c r="N137" s="2977"/>
      <c r="O137" s="2948"/>
      <c r="P137" s="2949"/>
      <c r="Q137" s="2953"/>
      <c r="R137" s="2953"/>
      <c r="S137" s="2952">
        <f t="shared" si="23"/>
        <v>0</v>
      </c>
      <c r="T137" s="2952">
        <f t="shared" si="24"/>
        <v>0</v>
      </c>
      <c r="U137" s="2952">
        <f t="shared" si="25"/>
        <v>0</v>
      </c>
      <c r="V137" s="2952">
        <f t="shared" si="26"/>
        <v>0</v>
      </c>
      <c r="W137" s="2954">
        <f t="shared" si="27"/>
        <v>0</v>
      </c>
      <c r="X137" s="2954">
        <f t="shared" si="28"/>
        <v>0</v>
      </c>
      <c r="Y137" s="2954">
        <f t="shared" si="29"/>
        <v>0</v>
      </c>
      <c r="Z137" s="2984"/>
    </row>
    <row r="138" spans="8:26">
      <c r="H138" s="3106"/>
      <c r="I138" s="2953"/>
      <c r="J138" s="2950" t="s">
        <v>120</v>
      </c>
      <c r="K138" s="2948"/>
      <c r="L138" s="2951"/>
      <c r="M138" s="2951"/>
      <c r="N138" s="2977"/>
      <c r="O138" s="2948"/>
      <c r="P138" s="2949"/>
      <c r="Q138" s="2953"/>
      <c r="R138" s="2953"/>
      <c r="S138" s="2952">
        <f t="shared" si="23"/>
        <v>0</v>
      </c>
      <c r="T138" s="2952">
        <f t="shared" si="24"/>
        <v>0</v>
      </c>
      <c r="U138" s="2952">
        <f t="shared" si="25"/>
        <v>0</v>
      </c>
      <c r="V138" s="2952">
        <f t="shared" si="26"/>
        <v>0</v>
      </c>
      <c r="W138" s="2954">
        <f t="shared" si="27"/>
        <v>0</v>
      </c>
      <c r="X138" s="2954">
        <f t="shared" si="28"/>
        <v>0</v>
      </c>
      <c r="Y138" s="2954">
        <f t="shared" si="29"/>
        <v>0</v>
      </c>
      <c r="Z138" s="2984"/>
    </row>
    <row r="139" spans="8:26">
      <c r="H139" s="3106"/>
      <c r="I139" s="2953"/>
      <c r="J139" s="2950" t="s">
        <v>120</v>
      </c>
      <c r="K139" s="2948"/>
      <c r="L139" s="2951"/>
      <c r="M139" s="2951"/>
      <c r="N139" s="2977"/>
      <c r="O139" s="2948"/>
      <c r="P139" s="2949"/>
      <c r="Q139" s="2953"/>
      <c r="R139" s="2953"/>
      <c r="S139" s="2952">
        <f t="shared" si="23"/>
        <v>0</v>
      </c>
      <c r="T139" s="2952">
        <f t="shared" si="24"/>
        <v>0</v>
      </c>
      <c r="U139" s="2952">
        <f t="shared" si="25"/>
        <v>0</v>
      </c>
      <c r="V139" s="2952">
        <f t="shared" si="26"/>
        <v>0</v>
      </c>
      <c r="W139" s="2954">
        <f t="shared" si="27"/>
        <v>0</v>
      </c>
      <c r="X139" s="2954">
        <f t="shared" si="28"/>
        <v>0</v>
      </c>
      <c r="Y139" s="2954">
        <f t="shared" si="29"/>
        <v>0</v>
      </c>
      <c r="Z139" s="2984"/>
    </row>
    <row r="140" spans="8:26">
      <c r="H140" s="3106"/>
      <c r="I140" s="2953"/>
      <c r="J140" s="2950" t="s">
        <v>120</v>
      </c>
      <c r="K140" s="2948"/>
      <c r="L140" s="2951"/>
      <c r="M140" s="2951"/>
      <c r="N140" s="2977"/>
      <c r="O140" s="2948"/>
      <c r="P140" s="2949"/>
      <c r="Q140" s="2953"/>
      <c r="R140" s="2953"/>
      <c r="S140" s="2952">
        <f t="shared" si="23"/>
        <v>0</v>
      </c>
      <c r="T140" s="2952">
        <f t="shared" si="24"/>
        <v>0</v>
      </c>
      <c r="U140" s="2952">
        <f t="shared" si="25"/>
        <v>0</v>
      </c>
      <c r="V140" s="2952">
        <f t="shared" si="26"/>
        <v>0</v>
      </c>
      <c r="W140" s="2954">
        <f t="shared" si="27"/>
        <v>0</v>
      </c>
      <c r="X140" s="2954">
        <f t="shared" si="28"/>
        <v>0</v>
      </c>
      <c r="Y140" s="2954">
        <f t="shared" si="29"/>
        <v>0</v>
      </c>
      <c r="Z140" s="2984"/>
    </row>
    <row r="141" spans="8:26">
      <c r="H141" s="3106"/>
      <c r="I141" s="2953"/>
      <c r="J141" s="2950" t="s">
        <v>120</v>
      </c>
      <c r="K141" s="2948"/>
      <c r="L141" s="2951"/>
      <c r="M141" s="2951"/>
      <c r="N141" s="2977"/>
      <c r="O141" s="2948"/>
      <c r="P141" s="2949"/>
      <c r="Q141" s="2953"/>
      <c r="R141" s="2953"/>
      <c r="S141" s="2952">
        <f t="shared" si="23"/>
        <v>0</v>
      </c>
      <c r="T141" s="2952">
        <f t="shared" si="24"/>
        <v>0</v>
      </c>
      <c r="U141" s="2952">
        <f t="shared" si="25"/>
        <v>0</v>
      </c>
      <c r="V141" s="2952">
        <f t="shared" si="26"/>
        <v>0</v>
      </c>
      <c r="W141" s="2954">
        <f t="shared" si="27"/>
        <v>0</v>
      </c>
      <c r="X141" s="2954">
        <f t="shared" si="28"/>
        <v>0</v>
      </c>
      <c r="Y141" s="2954">
        <f t="shared" si="29"/>
        <v>0</v>
      </c>
      <c r="Z141" s="2984"/>
    </row>
    <row r="142" spans="8:26">
      <c r="H142" s="3106"/>
      <c r="I142" s="2953"/>
      <c r="J142" s="2950" t="s">
        <v>120</v>
      </c>
      <c r="K142" s="2948"/>
      <c r="L142" s="2951"/>
      <c r="M142" s="2951"/>
      <c r="N142" s="2977"/>
      <c r="O142" s="2948"/>
      <c r="P142" s="2949"/>
      <c r="Q142" s="2953"/>
      <c r="R142" s="2953"/>
      <c r="S142" s="2952">
        <f t="shared" si="23"/>
        <v>0</v>
      </c>
      <c r="T142" s="2952">
        <f t="shared" si="24"/>
        <v>0</v>
      </c>
      <c r="U142" s="2952">
        <f t="shared" si="25"/>
        <v>0</v>
      </c>
      <c r="V142" s="2952">
        <f t="shared" si="26"/>
        <v>0</v>
      </c>
      <c r="W142" s="2954">
        <f t="shared" si="27"/>
        <v>0</v>
      </c>
      <c r="X142" s="2954">
        <f t="shared" si="28"/>
        <v>0</v>
      </c>
      <c r="Y142" s="2954">
        <f t="shared" si="29"/>
        <v>0</v>
      </c>
      <c r="Z142" s="2984"/>
    </row>
    <row r="143" spans="8:26">
      <c r="H143" s="3106"/>
      <c r="I143" s="2953"/>
      <c r="J143" s="2950" t="s">
        <v>120</v>
      </c>
      <c r="K143" s="2948"/>
      <c r="L143" s="2951"/>
      <c r="M143" s="2951"/>
      <c r="N143" s="2977"/>
      <c r="O143" s="2948"/>
      <c r="P143" s="2949"/>
      <c r="Q143" s="2953"/>
      <c r="R143" s="2953"/>
      <c r="S143" s="2952">
        <f t="shared" si="23"/>
        <v>0</v>
      </c>
      <c r="T143" s="2952">
        <f t="shared" si="24"/>
        <v>0</v>
      </c>
      <c r="U143" s="2952">
        <f t="shared" si="25"/>
        <v>0</v>
      </c>
      <c r="V143" s="2952">
        <f t="shared" si="26"/>
        <v>0</v>
      </c>
      <c r="W143" s="2954">
        <f t="shared" si="27"/>
        <v>0</v>
      </c>
      <c r="X143" s="2954">
        <f t="shared" si="28"/>
        <v>0</v>
      </c>
      <c r="Y143" s="2954">
        <f t="shared" si="29"/>
        <v>0</v>
      </c>
      <c r="Z143" s="2984"/>
    </row>
    <row r="144" spans="8:26">
      <c r="H144" s="3106"/>
      <c r="I144" s="2953"/>
      <c r="J144" s="2950" t="s">
        <v>120</v>
      </c>
      <c r="K144" s="2948"/>
      <c r="L144" s="2951"/>
      <c r="M144" s="2951"/>
      <c r="N144" s="2977"/>
      <c r="O144" s="2948"/>
      <c r="P144" s="2949"/>
      <c r="Q144" s="2953"/>
      <c r="R144" s="2953"/>
      <c r="S144" s="2952">
        <f t="shared" ref="S144:S175" si="30">Q144+R144</f>
        <v>0</v>
      </c>
      <c r="T144" s="2952">
        <f t="shared" ref="T144:T179" si="31">I144*Q144</f>
        <v>0</v>
      </c>
      <c r="U144" s="2952">
        <f t="shared" ref="U144:U179" si="32">I144*R144</f>
        <v>0</v>
      </c>
      <c r="V144" s="2952">
        <f t="shared" ref="V144:V175" si="33">T144+U144</f>
        <v>0</v>
      </c>
      <c r="W144" s="2954">
        <f t="shared" ref="W144:W179" si="34">M144*Q144</f>
        <v>0</v>
      </c>
      <c r="X144" s="2954">
        <f t="shared" ref="X144:X179" si="35">M144*R144</f>
        <v>0</v>
      </c>
      <c r="Y144" s="2954">
        <f t="shared" ref="Y144:Y175" si="36">W144+X144</f>
        <v>0</v>
      </c>
      <c r="Z144" s="2984"/>
    </row>
    <row r="145" spans="8:26">
      <c r="H145" s="3106"/>
      <c r="I145" s="2953"/>
      <c r="J145" s="2950" t="s">
        <v>120</v>
      </c>
      <c r="K145" s="2948"/>
      <c r="L145" s="2951"/>
      <c r="M145" s="2951"/>
      <c r="N145" s="2977"/>
      <c r="O145" s="2948"/>
      <c r="P145" s="2949"/>
      <c r="Q145" s="2953"/>
      <c r="R145" s="2953"/>
      <c r="S145" s="2952">
        <f t="shared" si="30"/>
        <v>0</v>
      </c>
      <c r="T145" s="2952">
        <f t="shared" si="31"/>
        <v>0</v>
      </c>
      <c r="U145" s="2952">
        <f t="shared" si="32"/>
        <v>0</v>
      </c>
      <c r="V145" s="2952">
        <f t="shared" si="33"/>
        <v>0</v>
      </c>
      <c r="W145" s="2954">
        <f t="shared" si="34"/>
        <v>0</v>
      </c>
      <c r="X145" s="2954">
        <f t="shared" si="35"/>
        <v>0</v>
      </c>
      <c r="Y145" s="2954">
        <f t="shared" si="36"/>
        <v>0</v>
      </c>
      <c r="Z145" s="2984"/>
    </row>
    <row r="146" spans="8:26">
      <c r="H146" s="3106"/>
      <c r="I146" s="2953"/>
      <c r="J146" s="2950" t="s">
        <v>120</v>
      </c>
      <c r="K146" s="2948"/>
      <c r="L146" s="2951"/>
      <c r="M146" s="2951"/>
      <c r="N146" s="2977"/>
      <c r="O146" s="2948"/>
      <c r="P146" s="2949"/>
      <c r="Q146" s="2953"/>
      <c r="R146" s="2953"/>
      <c r="S146" s="2952">
        <f t="shared" si="30"/>
        <v>0</v>
      </c>
      <c r="T146" s="2952">
        <f t="shared" si="31"/>
        <v>0</v>
      </c>
      <c r="U146" s="2952">
        <f t="shared" si="32"/>
        <v>0</v>
      </c>
      <c r="V146" s="2952">
        <f t="shared" si="33"/>
        <v>0</v>
      </c>
      <c r="W146" s="2954">
        <f t="shared" si="34"/>
        <v>0</v>
      </c>
      <c r="X146" s="2954">
        <f t="shared" si="35"/>
        <v>0</v>
      </c>
      <c r="Y146" s="2954">
        <f t="shared" si="36"/>
        <v>0</v>
      </c>
      <c r="Z146" s="2984"/>
    </row>
    <row r="147" spans="8:26">
      <c r="H147" s="3106"/>
      <c r="I147" s="2953"/>
      <c r="J147" s="2950" t="s">
        <v>120</v>
      </c>
      <c r="K147" s="2948"/>
      <c r="L147" s="2951"/>
      <c r="M147" s="2951"/>
      <c r="N147" s="2977"/>
      <c r="O147" s="2948"/>
      <c r="P147" s="2949"/>
      <c r="Q147" s="2953"/>
      <c r="R147" s="2953"/>
      <c r="S147" s="2952">
        <f t="shared" si="30"/>
        <v>0</v>
      </c>
      <c r="T147" s="2952">
        <f t="shared" si="31"/>
        <v>0</v>
      </c>
      <c r="U147" s="2952">
        <f t="shared" si="32"/>
        <v>0</v>
      </c>
      <c r="V147" s="2952">
        <f t="shared" si="33"/>
        <v>0</v>
      </c>
      <c r="W147" s="2954">
        <f t="shared" si="34"/>
        <v>0</v>
      </c>
      <c r="X147" s="2954">
        <f t="shared" si="35"/>
        <v>0</v>
      </c>
      <c r="Y147" s="2954">
        <f t="shared" si="36"/>
        <v>0</v>
      </c>
      <c r="Z147" s="2984"/>
    </row>
    <row r="148" spans="8:26">
      <c r="H148" s="3106"/>
      <c r="I148" s="2953"/>
      <c r="J148" s="2950" t="s">
        <v>120</v>
      </c>
      <c r="K148" s="2948"/>
      <c r="L148" s="2951"/>
      <c r="M148" s="2951"/>
      <c r="N148" s="2977"/>
      <c r="O148" s="2948"/>
      <c r="P148" s="2949"/>
      <c r="Q148" s="2953"/>
      <c r="R148" s="2953"/>
      <c r="S148" s="2952">
        <f t="shared" si="30"/>
        <v>0</v>
      </c>
      <c r="T148" s="2952">
        <f t="shared" si="31"/>
        <v>0</v>
      </c>
      <c r="U148" s="2952">
        <f t="shared" si="32"/>
        <v>0</v>
      </c>
      <c r="V148" s="2952">
        <f t="shared" si="33"/>
        <v>0</v>
      </c>
      <c r="W148" s="2954">
        <f t="shared" si="34"/>
        <v>0</v>
      </c>
      <c r="X148" s="2954">
        <f t="shared" si="35"/>
        <v>0</v>
      </c>
      <c r="Y148" s="2954">
        <f t="shared" si="36"/>
        <v>0</v>
      </c>
      <c r="Z148" s="2984"/>
    </row>
    <row r="149" spans="8:26">
      <c r="H149" s="3106"/>
      <c r="I149" s="2953"/>
      <c r="J149" s="2950" t="s">
        <v>120</v>
      </c>
      <c r="K149" s="2948"/>
      <c r="L149" s="2951"/>
      <c r="M149" s="2951"/>
      <c r="N149" s="2977"/>
      <c r="O149" s="2948"/>
      <c r="P149" s="2949"/>
      <c r="Q149" s="2953"/>
      <c r="R149" s="2953"/>
      <c r="S149" s="2952">
        <f t="shared" si="30"/>
        <v>0</v>
      </c>
      <c r="T149" s="2952">
        <f t="shared" si="31"/>
        <v>0</v>
      </c>
      <c r="U149" s="2952">
        <f t="shared" si="32"/>
        <v>0</v>
      </c>
      <c r="V149" s="2952">
        <f t="shared" si="33"/>
        <v>0</v>
      </c>
      <c r="W149" s="2954">
        <f t="shared" si="34"/>
        <v>0</v>
      </c>
      <c r="X149" s="2954">
        <f t="shared" si="35"/>
        <v>0</v>
      </c>
      <c r="Y149" s="2954">
        <f t="shared" si="36"/>
        <v>0</v>
      </c>
      <c r="Z149" s="2984"/>
    </row>
    <row r="150" spans="8:26">
      <c r="H150" s="3106"/>
      <c r="I150" s="2953"/>
      <c r="J150" s="2950" t="s">
        <v>120</v>
      </c>
      <c r="K150" s="2948"/>
      <c r="L150" s="2951"/>
      <c r="M150" s="2951"/>
      <c r="N150" s="2977"/>
      <c r="O150" s="2948"/>
      <c r="P150" s="2949"/>
      <c r="Q150" s="2953"/>
      <c r="R150" s="2953"/>
      <c r="S150" s="2952">
        <f t="shared" si="30"/>
        <v>0</v>
      </c>
      <c r="T150" s="2952">
        <f t="shared" si="31"/>
        <v>0</v>
      </c>
      <c r="U150" s="2952">
        <f t="shared" si="32"/>
        <v>0</v>
      </c>
      <c r="V150" s="2952">
        <f t="shared" si="33"/>
        <v>0</v>
      </c>
      <c r="W150" s="2954">
        <f t="shared" si="34"/>
        <v>0</v>
      </c>
      <c r="X150" s="2954">
        <f t="shared" si="35"/>
        <v>0</v>
      </c>
      <c r="Y150" s="2954">
        <f t="shared" si="36"/>
        <v>0</v>
      </c>
      <c r="Z150" s="2984"/>
    </row>
    <row r="151" spans="8:26">
      <c r="H151" s="3106"/>
      <c r="I151" s="2953"/>
      <c r="J151" s="2950" t="s">
        <v>120</v>
      </c>
      <c r="K151" s="2948"/>
      <c r="L151" s="2951"/>
      <c r="M151" s="2951"/>
      <c r="N151" s="2977"/>
      <c r="O151" s="2948"/>
      <c r="P151" s="2949"/>
      <c r="Q151" s="2953"/>
      <c r="R151" s="2953"/>
      <c r="S151" s="2952">
        <f t="shared" si="30"/>
        <v>0</v>
      </c>
      <c r="T151" s="2952">
        <f t="shared" si="31"/>
        <v>0</v>
      </c>
      <c r="U151" s="2952">
        <f t="shared" si="32"/>
        <v>0</v>
      </c>
      <c r="V151" s="2952">
        <f t="shared" si="33"/>
        <v>0</v>
      </c>
      <c r="W151" s="2954">
        <f t="shared" si="34"/>
        <v>0</v>
      </c>
      <c r="X151" s="2954">
        <f t="shared" si="35"/>
        <v>0</v>
      </c>
      <c r="Y151" s="2954">
        <f t="shared" si="36"/>
        <v>0</v>
      </c>
      <c r="Z151" s="2984"/>
    </row>
    <row r="152" spans="8:26">
      <c r="H152" s="3106"/>
      <c r="I152" s="2953"/>
      <c r="J152" s="2950" t="s">
        <v>120</v>
      </c>
      <c r="K152" s="2948"/>
      <c r="L152" s="2951"/>
      <c r="M152" s="2951"/>
      <c r="N152" s="2977"/>
      <c r="O152" s="2948"/>
      <c r="P152" s="2949"/>
      <c r="Q152" s="2953"/>
      <c r="R152" s="2953"/>
      <c r="S152" s="2952">
        <f t="shared" si="30"/>
        <v>0</v>
      </c>
      <c r="T152" s="2952">
        <f t="shared" si="31"/>
        <v>0</v>
      </c>
      <c r="U152" s="2952">
        <f t="shared" si="32"/>
        <v>0</v>
      </c>
      <c r="V152" s="2952">
        <f t="shared" si="33"/>
        <v>0</v>
      </c>
      <c r="W152" s="2954">
        <f t="shared" si="34"/>
        <v>0</v>
      </c>
      <c r="X152" s="2954">
        <f t="shared" si="35"/>
        <v>0</v>
      </c>
      <c r="Y152" s="2954">
        <f t="shared" si="36"/>
        <v>0</v>
      </c>
      <c r="Z152" s="2984"/>
    </row>
    <row r="153" spans="8:26">
      <c r="H153" s="3106"/>
      <c r="I153" s="2953"/>
      <c r="J153" s="2950" t="s">
        <v>120</v>
      </c>
      <c r="K153" s="2948"/>
      <c r="L153" s="2951"/>
      <c r="M153" s="2951"/>
      <c r="N153" s="2977"/>
      <c r="O153" s="2948"/>
      <c r="P153" s="2949"/>
      <c r="Q153" s="2953"/>
      <c r="R153" s="2953"/>
      <c r="S153" s="2952">
        <f t="shared" si="30"/>
        <v>0</v>
      </c>
      <c r="T153" s="2952">
        <f t="shared" si="31"/>
        <v>0</v>
      </c>
      <c r="U153" s="2952">
        <f t="shared" si="32"/>
        <v>0</v>
      </c>
      <c r="V153" s="2952">
        <f t="shared" si="33"/>
        <v>0</v>
      </c>
      <c r="W153" s="2954">
        <f t="shared" si="34"/>
        <v>0</v>
      </c>
      <c r="X153" s="2954">
        <f t="shared" si="35"/>
        <v>0</v>
      </c>
      <c r="Y153" s="2954">
        <f t="shared" si="36"/>
        <v>0</v>
      </c>
      <c r="Z153" s="2984"/>
    </row>
    <row r="154" spans="8:26">
      <c r="H154" s="3106"/>
      <c r="I154" s="2953"/>
      <c r="J154" s="2950" t="s">
        <v>120</v>
      </c>
      <c r="K154" s="2948"/>
      <c r="L154" s="2951"/>
      <c r="M154" s="2951"/>
      <c r="N154" s="2977"/>
      <c r="O154" s="2948"/>
      <c r="P154" s="2949"/>
      <c r="Q154" s="2953"/>
      <c r="R154" s="2953"/>
      <c r="S154" s="2952">
        <f t="shared" si="30"/>
        <v>0</v>
      </c>
      <c r="T154" s="2952">
        <f t="shared" si="31"/>
        <v>0</v>
      </c>
      <c r="U154" s="2952">
        <f t="shared" si="32"/>
        <v>0</v>
      </c>
      <c r="V154" s="2952">
        <f t="shared" si="33"/>
        <v>0</v>
      </c>
      <c r="W154" s="2954">
        <f t="shared" si="34"/>
        <v>0</v>
      </c>
      <c r="X154" s="2954">
        <f t="shared" si="35"/>
        <v>0</v>
      </c>
      <c r="Y154" s="2954">
        <f t="shared" si="36"/>
        <v>0</v>
      </c>
      <c r="Z154" s="2984"/>
    </row>
    <row r="155" spans="8:26">
      <c r="H155" s="3106"/>
      <c r="I155" s="2953"/>
      <c r="J155" s="2950" t="s">
        <v>120</v>
      </c>
      <c r="K155" s="2948"/>
      <c r="L155" s="2951"/>
      <c r="M155" s="2951"/>
      <c r="N155" s="2977"/>
      <c r="O155" s="2948"/>
      <c r="P155" s="2949"/>
      <c r="Q155" s="2953"/>
      <c r="R155" s="2953"/>
      <c r="S155" s="2952">
        <f t="shared" si="30"/>
        <v>0</v>
      </c>
      <c r="T155" s="2952">
        <f t="shared" si="31"/>
        <v>0</v>
      </c>
      <c r="U155" s="2952">
        <f t="shared" si="32"/>
        <v>0</v>
      </c>
      <c r="V155" s="2952">
        <f t="shared" si="33"/>
        <v>0</v>
      </c>
      <c r="W155" s="2954">
        <f t="shared" si="34"/>
        <v>0</v>
      </c>
      <c r="X155" s="2954">
        <f t="shared" si="35"/>
        <v>0</v>
      </c>
      <c r="Y155" s="2954">
        <f t="shared" si="36"/>
        <v>0</v>
      </c>
      <c r="Z155" s="2984"/>
    </row>
    <row r="156" spans="8:26">
      <c r="H156" s="3106"/>
      <c r="I156" s="2953"/>
      <c r="J156" s="2950" t="s">
        <v>120</v>
      </c>
      <c r="K156" s="2948"/>
      <c r="L156" s="2951"/>
      <c r="M156" s="2951"/>
      <c r="N156" s="2977"/>
      <c r="O156" s="2948"/>
      <c r="P156" s="2949"/>
      <c r="Q156" s="2953"/>
      <c r="R156" s="2953"/>
      <c r="S156" s="2952">
        <f t="shared" si="30"/>
        <v>0</v>
      </c>
      <c r="T156" s="2952">
        <f t="shared" si="31"/>
        <v>0</v>
      </c>
      <c r="U156" s="2952">
        <f t="shared" si="32"/>
        <v>0</v>
      </c>
      <c r="V156" s="2952">
        <f t="shared" si="33"/>
        <v>0</v>
      </c>
      <c r="W156" s="2954">
        <f t="shared" si="34"/>
        <v>0</v>
      </c>
      <c r="X156" s="2954">
        <f t="shared" si="35"/>
        <v>0</v>
      </c>
      <c r="Y156" s="2954">
        <f t="shared" si="36"/>
        <v>0</v>
      </c>
      <c r="Z156" s="2984"/>
    </row>
    <row r="157" spans="8:26">
      <c r="H157" s="3106"/>
      <c r="I157" s="2953"/>
      <c r="J157" s="2950" t="s">
        <v>120</v>
      </c>
      <c r="K157" s="2948"/>
      <c r="L157" s="2951"/>
      <c r="M157" s="2951"/>
      <c r="N157" s="2977"/>
      <c r="O157" s="2948"/>
      <c r="P157" s="2949"/>
      <c r="Q157" s="2953"/>
      <c r="R157" s="2953"/>
      <c r="S157" s="2952">
        <f t="shared" si="30"/>
        <v>0</v>
      </c>
      <c r="T157" s="2952">
        <f t="shared" si="31"/>
        <v>0</v>
      </c>
      <c r="U157" s="2952">
        <f t="shared" si="32"/>
        <v>0</v>
      </c>
      <c r="V157" s="2952">
        <f t="shared" si="33"/>
        <v>0</v>
      </c>
      <c r="W157" s="2954">
        <f t="shared" si="34"/>
        <v>0</v>
      </c>
      <c r="X157" s="2954">
        <f t="shared" si="35"/>
        <v>0</v>
      </c>
      <c r="Y157" s="2954">
        <f t="shared" si="36"/>
        <v>0</v>
      </c>
      <c r="Z157" s="2984"/>
    </row>
    <row r="158" spans="8:26">
      <c r="H158" s="3106"/>
      <c r="I158" s="2953"/>
      <c r="J158" s="2950" t="s">
        <v>120</v>
      </c>
      <c r="K158" s="2948"/>
      <c r="L158" s="2951"/>
      <c r="M158" s="2951"/>
      <c r="N158" s="2977"/>
      <c r="O158" s="2948"/>
      <c r="P158" s="2949"/>
      <c r="Q158" s="2953"/>
      <c r="R158" s="2953"/>
      <c r="S158" s="2952">
        <f t="shared" si="30"/>
        <v>0</v>
      </c>
      <c r="T158" s="2952">
        <f t="shared" si="31"/>
        <v>0</v>
      </c>
      <c r="U158" s="2952">
        <f t="shared" si="32"/>
        <v>0</v>
      </c>
      <c r="V158" s="2952">
        <f t="shared" si="33"/>
        <v>0</v>
      </c>
      <c r="W158" s="2954">
        <f t="shared" si="34"/>
        <v>0</v>
      </c>
      <c r="X158" s="2954">
        <f t="shared" si="35"/>
        <v>0</v>
      </c>
      <c r="Y158" s="2954">
        <f t="shared" si="36"/>
        <v>0</v>
      </c>
      <c r="Z158" s="2984"/>
    </row>
    <row r="159" spans="8:26">
      <c r="H159" s="3106"/>
      <c r="I159" s="2953"/>
      <c r="J159" s="2950" t="s">
        <v>120</v>
      </c>
      <c r="K159" s="2948"/>
      <c r="L159" s="2951"/>
      <c r="M159" s="2951"/>
      <c r="N159" s="2977"/>
      <c r="O159" s="2948"/>
      <c r="P159" s="2949"/>
      <c r="Q159" s="2953"/>
      <c r="R159" s="2953"/>
      <c r="S159" s="2952">
        <f t="shared" si="30"/>
        <v>0</v>
      </c>
      <c r="T159" s="2952">
        <f t="shared" si="31"/>
        <v>0</v>
      </c>
      <c r="U159" s="2952">
        <f t="shared" si="32"/>
        <v>0</v>
      </c>
      <c r="V159" s="2952">
        <f t="shared" si="33"/>
        <v>0</v>
      </c>
      <c r="W159" s="2954">
        <f t="shared" si="34"/>
        <v>0</v>
      </c>
      <c r="X159" s="2954">
        <f t="shared" si="35"/>
        <v>0</v>
      </c>
      <c r="Y159" s="2954">
        <f t="shared" si="36"/>
        <v>0</v>
      </c>
      <c r="Z159" s="2984"/>
    </row>
    <row r="160" spans="8:26">
      <c r="H160" s="3106"/>
      <c r="I160" s="2953"/>
      <c r="J160" s="2950" t="s">
        <v>120</v>
      </c>
      <c r="K160" s="2948"/>
      <c r="L160" s="2951"/>
      <c r="M160" s="2951"/>
      <c r="N160" s="2977"/>
      <c r="O160" s="2948"/>
      <c r="P160" s="2949"/>
      <c r="Q160" s="2953"/>
      <c r="R160" s="2953"/>
      <c r="S160" s="2952">
        <f t="shared" si="30"/>
        <v>0</v>
      </c>
      <c r="T160" s="2952">
        <f t="shared" si="31"/>
        <v>0</v>
      </c>
      <c r="U160" s="2952">
        <f t="shared" si="32"/>
        <v>0</v>
      </c>
      <c r="V160" s="2952">
        <f t="shared" si="33"/>
        <v>0</v>
      </c>
      <c r="W160" s="2954">
        <f t="shared" si="34"/>
        <v>0</v>
      </c>
      <c r="X160" s="2954">
        <f t="shared" si="35"/>
        <v>0</v>
      </c>
      <c r="Y160" s="2954">
        <f t="shared" si="36"/>
        <v>0</v>
      </c>
      <c r="Z160" s="2984"/>
    </row>
    <row r="161" spans="8:26">
      <c r="H161" s="3106"/>
      <c r="I161" s="2953"/>
      <c r="J161" s="2950" t="s">
        <v>120</v>
      </c>
      <c r="K161" s="2948"/>
      <c r="L161" s="2951"/>
      <c r="M161" s="2951"/>
      <c r="N161" s="2977"/>
      <c r="O161" s="2948"/>
      <c r="P161" s="2949"/>
      <c r="Q161" s="2953"/>
      <c r="R161" s="2953"/>
      <c r="S161" s="2952">
        <f t="shared" si="30"/>
        <v>0</v>
      </c>
      <c r="T161" s="2952">
        <f t="shared" si="31"/>
        <v>0</v>
      </c>
      <c r="U161" s="2952">
        <f t="shared" si="32"/>
        <v>0</v>
      </c>
      <c r="V161" s="2952">
        <f t="shared" si="33"/>
        <v>0</v>
      </c>
      <c r="W161" s="2954">
        <f t="shared" si="34"/>
        <v>0</v>
      </c>
      <c r="X161" s="2954">
        <f t="shared" si="35"/>
        <v>0</v>
      </c>
      <c r="Y161" s="2954">
        <f t="shared" si="36"/>
        <v>0</v>
      </c>
      <c r="Z161" s="2984"/>
    </row>
    <row r="162" spans="8:26">
      <c r="H162" s="3106"/>
      <c r="I162" s="2953"/>
      <c r="J162" s="2950" t="s">
        <v>120</v>
      </c>
      <c r="K162" s="2948"/>
      <c r="L162" s="2951"/>
      <c r="M162" s="2951"/>
      <c r="N162" s="2977"/>
      <c r="O162" s="2948"/>
      <c r="P162" s="2949"/>
      <c r="Q162" s="2953"/>
      <c r="R162" s="2953"/>
      <c r="S162" s="2952">
        <f t="shared" si="30"/>
        <v>0</v>
      </c>
      <c r="T162" s="2952">
        <f t="shared" si="31"/>
        <v>0</v>
      </c>
      <c r="U162" s="2952">
        <f t="shared" si="32"/>
        <v>0</v>
      </c>
      <c r="V162" s="2952">
        <f t="shared" si="33"/>
        <v>0</v>
      </c>
      <c r="W162" s="2954">
        <f t="shared" si="34"/>
        <v>0</v>
      </c>
      <c r="X162" s="2954">
        <f t="shared" si="35"/>
        <v>0</v>
      </c>
      <c r="Y162" s="2954">
        <f t="shared" si="36"/>
        <v>0</v>
      </c>
      <c r="Z162" s="2984"/>
    </row>
    <row r="163" spans="8:26">
      <c r="H163" s="3106"/>
      <c r="I163" s="2953"/>
      <c r="J163" s="2950" t="s">
        <v>120</v>
      </c>
      <c r="K163" s="2948"/>
      <c r="L163" s="2951"/>
      <c r="M163" s="2951"/>
      <c r="N163" s="2977"/>
      <c r="O163" s="2948"/>
      <c r="P163" s="2949"/>
      <c r="Q163" s="2953"/>
      <c r="R163" s="2953"/>
      <c r="S163" s="2952">
        <f t="shared" si="30"/>
        <v>0</v>
      </c>
      <c r="T163" s="2952">
        <f t="shared" si="31"/>
        <v>0</v>
      </c>
      <c r="U163" s="2952">
        <f t="shared" si="32"/>
        <v>0</v>
      </c>
      <c r="V163" s="2952">
        <f t="shared" si="33"/>
        <v>0</v>
      </c>
      <c r="W163" s="2954">
        <f t="shared" si="34"/>
        <v>0</v>
      </c>
      <c r="X163" s="2954">
        <f t="shared" si="35"/>
        <v>0</v>
      </c>
      <c r="Y163" s="2954">
        <f t="shared" si="36"/>
        <v>0</v>
      </c>
      <c r="Z163" s="2984"/>
    </row>
    <row r="164" spans="8:26">
      <c r="H164" s="3106"/>
      <c r="I164" s="2953"/>
      <c r="J164" s="2950" t="s">
        <v>120</v>
      </c>
      <c r="K164" s="2948"/>
      <c r="L164" s="2951"/>
      <c r="M164" s="2951"/>
      <c r="N164" s="2977"/>
      <c r="O164" s="2948"/>
      <c r="P164" s="2949"/>
      <c r="Q164" s="2953"/>
      <c r="R164" s="2953"/>
      <c r="S164" s="2952">
        <f t="shared" si="30"/>
        <v>0</v>
      </c>
      <c r="T164" s="2952">
        <f t="shared" si="31"/>
        <v>0</v>
      </c>
      <c r="U164" s="2952">
        <f t="shared" si="32"/>
        <v>0</v>
      </c>
      <c r="V164" s="2952">
        <f t="shared" si="33"/>
        <v>0</v>
      </c>
      <c r="W164" s="2954">
        <f t="shared" si="34"/>
        <v>0</v>
      </c>
      <c r="X164" s="2954">
        <f t="shared" si="35"/>
        <v>0</v>
      </c>
      <c r="Y164" s="2954">
        <f t="shared" si="36"/>
        <v>0</v>
      </c>
      <c r="Z164" s="2984"/>
    </row>
    <row r="165" spans="8:26">
      <c r="H165" s="3106"/>
      <c r="I165" s="2953"/>
      <c r="J165" s="2950" t="s">
        <v>120</v>
      </c>
      <c r="K165" s="2948"/>
      <c r="L165" s="2951"/>
      <c r="M165" s="2951"/>
      <c r="N165" s="2977"/>
      <c r="O165" s="2948"/>
      <c r="P165" s="2949"/>
      <c r="Q165" s="2953"/>
      <c r="R165" s="2953"/>
      <c r="S165" s="2952">
        <f t="shared" si="30"/>
        <v>0</v>
      </c>
      <c r="T165" s="2952">
        <f t="shared" si="31"/>
        <v>0</v>
      </c>
      <c r="U165" s="2952">
        <f t="shared" si="32"/>
        <v>0</v>
      </c>
      <c r="V165" s="2952">
        <f t="shared" si="33"/>
        <v>0</v>
      </c>
      <c r="W165" s="2954">
        <f t="shared" si="34"/>
        <v>0</v>
      </c>
      <c r="X165" s="2954">
        <f t="shared" si="35"/>
        <v>0</v>
      </c>
      <c r="Y165" s="2954">
        <f t="shared" si="36"/>
        <v>0</v>
      </c>
      <c r="Z165" s="2984"/>
    </row>
    <row r="166" spans="8:26">
      <c r="H166" s="3106"/>
      <c r="I166" s="2953"/>
      <c r="J166" s="2950" t="s">
        <v>120</v>
      </c>
      <c r="K166" s="2948"/>
      <c r="L166" s="2951"/>
      <c r="M166" s="2951"/>
      <c r="N166" s="2977"/>
      <c r="O166" s="2948"/>
      <c r="P166" s="2949"/>
      <c r="Q166" s="2953"/>
      <c r="R166" s="2953"/>
      <c r="S166" s="2952">
        <f t="shared" si="30"/>
        <v>0</v>
      </c>
      <c r="T166" s="2952">
        <f t="shared" si="31"/>
        <v>0</v>
      </c>
      <c r="U166" s="2952">
        <f t="shared" si="32"/>
        <v>0</v>
      </c>
      <c r="V166" s="2952">
        <f t="shared" si="33"/>
        <v>0</v>
      </c>
      <c r="W166" s="2954">
        <f t="shared" si="34"/>
        <v>0</v>
      </c>
      <c r="X166" s="2954">
        <f t="shared" si="35"/>
        <v>0</v>
      </c>
      <c r="Y166" s="2954">
        <f t="shared" si="36"/>
        <v>0</v>
      </c>
      <c r="Z166" s="2984"/>
    </row>
    <row r="167" spans="8:26">
      <c r="H167" s="3106"/>
      <c r="I167" s="2953"/>
      <c r="J167" s="2950" t="s">
        <v>120</v>
      </c>
      <c r="K167" s="2948"/>
      <c r="L167" s="2951"/>
      <c r="M167" s="2951"/>
      <c r="N167" s="2977"/>
      <c r="O167" s="2948"/>
      <c r="P167" s="2949"/>
      <c r="Q167" s="2953"/>
      <c r="R167" s="2953"/>
      <c r="S167" s="2952">
        <f t="shared" si="30"/>
        <v>0</v>
      </c>
      <c r="T167" s="2952">
        <f t="shared" si="31"/>
        <v>0</v>
      </c>
      <c r="U167" s="2952">
        <f t="shared" si="32"/>
        <v>0</v>
      </c>
      <c r="V167" s="2952">
        <f t="shared" si="33"/>
        <v>0</v>
      </c>
      <c r="W167" s="2954">
        <f t="shared" si="34"/>
        <v>0</v>
      </c>
      <c r="X167" s="2954">
        <f t="shared" si="35"/>
        <v>0</v>
      </c>
      <c r="Y167" s="2954">
        <f t="shared" si="36"/>
        <v>0</v>
      </c>
      <c r="Z167" s="2984"/>
    </row>
    <row r="168" spans="8:26">
      <c r="H168" s="3106"/>
      <c r="I168" s="2953"/>
      <c r="J168" s="2950" t="s">
        <v>120</v>
      </c>
      <c r="K168" s="2948"/>
      <c r="L168" s="2951"/>
      <c r="M168" s="2951"/>
      <c r="N168" s="2977"/>
      <c r="O168" s="2948"/>
      <c r="P168" s="2949"/>
      <c r="Q168" s="2953"/>
      <c r="R168" s="2953"/>
      <c r="S168" s="2952">
        <f t="shared" si="30"/>
        <v>0</v>
      </c>
      <c r="T168" s="2952">
        <f t="shared" si="31"/>
        <v>0</v>
      </c>
      <c r="U168" s="2952">
        <f t="shared" si="32"/>
        <v>0</v>
      </c>
      <c r="V168" s="2952">
        <f t="shared" si="33"/>
        <v>0</v>
      </c>
      <c r="W168" s="2954">
        <f t="shared" si="34"/>
        <v>0</v>
      </c>
      <c r="X168" s="2954">
        <f t="shared" si="35"/>
        <v>0</v>
      </c>
      <c r="Y168" s="2954">
        <f t="shared" si="36"/>
        <v>0</v>
      </c>
      <c r="Z168" s="2984"/>
    </row>
    <row r="169" spans="8:26">
      <c r="H169" s="3106"/>
      <c r="I169" s="2953"/>
      <c r="J169" s="2950" t="s">
        <v>120</v>
      </c>
      <c r="K169" s="2948"/>
      <c r="L169" s="2951"/>
      <c r="M169" s="2951"/>
      <c r="N169" s="2977"/>
      <c r="O169" s="2948"/>
      <c r="P169" s="2949"/>
      <c r="Q169" s="2953"/>
      <c r="R169" s="2953"/>
      <c r="S169" s="2952">
        <f t="shared" si="30"/>
        <v>0</v>
      </c>
      <c r="T169" s="2952">
        <f t="shared" si="31"/>
        <v>0</v>
      </c>
      <c r="U169" s="2952">
        <f t="shared" si="32"/>
        <v>0</v>
      </c>
      <c r="V169" s="2952">
        <f t="shared" si="33"/>
        <v>0</v>
      </c>
      <c r="W169" s="2954">
        <f t="shared" si="34"/>
        <v>0</v>
      </c>
      <c r="X169" s="2954">
        <f t="shared" si="35"/>
        <v>0</v>
      </c>
      <c r="Y169" s="2954">
        <f t="shared" si="36"/>
        <v>0</v>
      </c>
      <c r="Z169" s="2984"/>
    </row>
    <row r="170" spans="8:26">
      <c r="H170" s="3106"/>
      <c r="I170" s="2953"/>
      <c r="J170" s="2950" t="s">
        <v>120</v>
      </c>
      <c r="K170" s="2948"/>
      <c r="L170" s="2951"/>
      <c r="M170" s="2951"/>
      <c r="N170" s="2977"/>
      <c r="O170" s="2948"/>
      <c r="P170" s="2949"/>
      <c r="Q170" s="2953"/>
      <c r="R170" s="2953"/>
      <c r="S170" s="2952">
        <f t="shared" si="30"/>
        <v>0</v>
      </c>
      <c r="T170" s="2952">
        <f t="shared" si="31"/>
        <v>0</v>
      </c>
      <c r="U170" s="2952">
        <f t="shared" si="32"/>
        <v>0</v>
      </c>
      <c r="V170" s="2952">
        <f t="shared" si="33"/>
        <v>0</v>
      </c>
      <c r="W170" s="2954">
        <f t="shared" si="34"/>
        <v>0</v>
      </c>
      <c r="X170" s="2954">
        <f t="shared" si="35"/>
        <v>0</v>
      </c>
      <c r="Y170" s="2954">
        <f t="shared" si="36"/>
        <v>0</v>
      </c>
      <c r="Z170" s="2984"/>
    </row>
    <row r="171" spans="8:26">
      <c r="H171" s="3106"/>
      <c r="I171" s="2953"/>
      <c r="J171" s="2950" t="s">
        <v>120</v>
      </c>
      <c r="K171" s="2948"/>
      <c r="L171" s="2951"/>
      <c r="M171" s="2951"/>
      <c r="N171" s="2977"/>
      <c r="O171" s="2948"/>
      <c r="P171" s="2949"/>
      <c r="Q171" s="2953"/>
      <c r="R171" s="2953"/>
      <c r="S171" s="2952">
        <f t="shared" si="30"/>
        <v>0</v>
      </c>
      <c r="T171" s="2952">
        <f t="shared" si="31"/>
        <v>0</v>
      </c>
      <c r="U171" s="2952">
        <f t="shared" si="32"/>
        <v>0</v>
      </c>
      <c r="V171" s="2952">
        <f t="shared" si="33"/>
        <v>0</v>
      </c>
      <c r="W171" s="2954">
        <f t="shared" si="34"/>
        <v>0</v>
      </c>
      <c r="X171" s="2954">
        <f t="shared" si="35"/>
        <v>0</v>
      </c>
      <c r="Y171" s="2954">
        <f t="shared" si="36"/>
        <v>0</v>
      </c>
      <c r="Z171" s="2984"/>
    </row>
    <row r="172" spans="8:26">
      <c r="H172" s="3106"/>
      <c r="I172" s="2953"/>
      <c r="J172" s="2950" t="s">
        <v>120</v>
      </c>
      <c r="K172" s="2948"/>
      <c r="L172" s="2951"/>
      <c r="M172" s="2951"/>
      <c r="N172" s="2977"/>
      <c r="O172" s="2948"/>
      <c r="P172" s="2949"/>
      <c r="Q172" s="2953"/>
      <c r="R172" s="2953"/>
      <c r="S172" s="2952">
        <f t="shared" si="30"/>
        <v>0</v>
      </c>
      <c r="T172" s="2952">
        <f t="shared" si="31"/>
        <v>0</v>
      </c>
      <c r="U172" s="2952">
        <f t="shared" si="32"/>
        <v>0</v>
      </c>
      <c r="V172" s="2952">
        <f t="shared" si="33"/>
        <v>0</v>
      </c>
      <c r="W172" s="2954">
        <f t="shared" si="34"/>
        <v>0</v>
      </c>
      <c r="X172" s="2954">
        <f t="shared" si="35"/>
        <v>0</v>
      </c>
      <c r="Y172" s="2954">
        <f t="shared" si="36"/>
        <v>0</v>
      </c>
      <c r="Z172" s="2984"/>
    </row>
    <row r="173" spans="8:26">
      <c r="H173" s="3106"/>
      <c r="I173" s="2953"/>
      <c r="J173" s="2950" t="s">
        <v>120</v>
      </c>
      <c r="K173" s="2948"/>
      <c r="L173" s="2951"/>
      <c r="M173" s="2951"/>
      <c r="N173" s="2977"/>
      <c r="O173" s="2948"/>
      <c r="P173" s="2949"/>
      <c r="Q173" s="2953"/>
      <c r="R173" s="2953"/>
      <c r="S173" s="2952">
        <f t="shared" si="30"/>
        <v>0</v>
      </c>
      <c r="T173" s="2952">
        <f t="shared" si="31"/>
        <v>0</v>
      </c>
      <c r="U173" s="2952">
        <f t="shared" si="32"/>
        <v>0</v>
      </c>
      <c r="V173" s="2952">
        <f t="shared" si="33"/>
        <v>0</v>
      </c>
      <c r="W173" s="2954">
        <f t="shared" si="34"/>
        <v>0</v>
      </c>
      <c r="X173" s="2954">
        <f t="shared" si="35"/>
        <v>0</v>
      </c>
      <c r="Y173" s="2954">
        <f t="shared" si="36"/>
        <v>0</v>
      </c>
      <c r="Z173" s="2984"/>
    </row>
    <row r="174" spans="8:26">
      <c r="H174" s="3106"/>
      <c r="I174" s="2953"/>
      <c r="J174" s="2950" t="s">
        <v>120</v>
      </c>
      <c r="K174" s="2948"/>
      <c r="L174" s="2951"/>
      <c r="M174" s="2951"/>
      <c r="N174" s="2977"/>
      <c r="O174" s="2948"/>
      <c r="P174" s="2949"/>
      <c r="Q174" s="2953"/>
      <c r="R174" s="2953"/>
      <c r="S174" s="2952">
        <f t="shared" si="30"/>
        <v>0</v>
      </c>
      <c r="T174" s="2952">
        <f t="shared" si="31"/>
        <v>0</v>
      </c>
      <c r="U174" s="2952">
        <f t="shared" si="32"/>
        <v>0</v>
      </c>
      <c r="V174" s="2952">
        <f t="shared" si="33"/>
        <v>0</v>
      </c>
      <c r="W174" s="2954">
        <f t="shared" si="34"/>
        <v>0</v>
      </c>
      <c r="X174" s="2954">
        <f t="shared" si="35"/>
        <v>0</v>
      </c>
      <c r="Y174" s="2954">
        <f t="shared" si="36"/>
        <v>0</v>
      </c>
      <c r="Z174" s="2984"/>
    </row>
    <row r="175" spans="8:26">
      <c r="H175" s="3106"/>
      <c r="I175" s="2953"/>
      <c r="J175" s="2950" t="s">
        <v>120</v>
      </c>
      <c r="K175" s="2948"/>
      <c r="L175" s="2951"/>
      <c r="M175" s="2951"/>
      <c r="N175" s="2977"/>
      <c r="O175" s="2948"/>
      <c r="P175" s="2949"/>
      <c r="Q175" s="2953"/>
      <c r="R175" s="2953"/>
      <c r="S175" s="2952">
        <f t="shared" si="30"/>
        <v>0</v>
      </c>
      <c r="T175" s="2952">
        <f t="shared" si="31"/>
        <v>0</v>
      </c>
      <c r="U175" s="2952">
        <f t="shared" si="32"/>
        <v>0</v>
      </c>
      <c r="V175" s="2952">
        <f t="shared" si="33"/>
        <v>0</v>
      </c>
      <c r="W175" s="2954">
        <f t="shared" si="34"/>
        <v>0</v>
      </c>
      <c r="X175" s="2954">
        <f t="shared" si="35"/>
        <v>0</v>
      </c>
      <c r="Y175" s="2954">
        <f t="shared" si="36"/>
        <v>0</v>
      </c>
      <c r="Z175" s="2984"/>
    </row>
    <row r="176" spans="8:26">
      <c r="H176" s="3106"/>
      <c r="I176" s="2953"/>
      <c r="J176" s="2950" t="s">
        <v>120</v>
      </c>
      <c r="K176" s="2948"/>
      <c r="L176" s="2951"/>
      <c r="M176" s="2951"/>
      <c r="N176" s="2977"/>
      <c r="O176" s="2948"/>
      <c r="P176" s="2949"/>
      <c r="Q176" s="2953"/>
      <c r="R176" s="2953"/>
      <c r="S176" s="2952">
        <f t="shared" ref="S176:S179" si="37">Q176+R176</f>
        <v>0</v>
      </c>
      <c r="T176" s="2952">
        <f t="shared" si="31"/>
        <v>0</v>
      </c>
      <c r="U176" s="2952">
        <f t="shared" si="32"/>
        <v>0</v>
      </c>
      <c r="V176" s="2952">
        <f t="shared" ref="V176:V179" si="38">T176+U176</f>
        <v>0</v>
      </c>
      <c r="W176" s="2954">
        <f t="shared" si="34"/>
        <v>0</v>
      </c>
      <c r="X176" s="2954">
        <f t="shared" si="35"/>
        <v>0</v>
      </c>
      <c r="Y176" s="2954">
        <f t="shared" ref="Y176:Y179" si="39">W176+X176</f>
        <v>0</v>
      </c>
      <c r="Z176" s="2984"/>
    </row>
    <row r="177" spans="8:26">
      <c r="H177" s="3106"/>
      <c r="I177" s="2953"/>
      <c r="J177" s="2950" t="s">
        <v>120</v>
      </c>
      <c r="K177" s="2948"/>
      <c r="L177" s="2951"/>
      <c r="M177" s="2951"/>
      <c r="N177" s="2977"/>
      <c r="O177" s="2948"/>
      <c r="P177" s="2949"/>
      <c r="Q177" s="2953"/>
      <c r="R177" s="2953"/>
      <c r="S177" s="2952">
        <f t="shared" si="37"/>
        <v>0</v>
      </c>
      <c r="T177" s="2952">
        <f t="shared" si="31"/>
        <v>0</v>
      </c>
      <c r="U177" s="2952">
        <f t="shared" si="32"/>
        <v>0</v>
      </c>
      <c r="V177" s="2952">
        <f t="shared" si="38"/>
        <v>0</v>
      </c>
      <c r="W177" s="2954">
        <f t="shared" si="34"/>
        <v>0</v>
      </c>
      <c r="X177" s="2954">
        <f t="shared" si="35"/>
        <v>0</v>
      </c>
      <c r="Y177" s="2954">
        <f t="shared" si="39"/>
        <v>0</v>
      </c>
      <c r="Z177" s="2984"/>
    </row>
    <row r="178" spans="8:26">
      <c r="H178" s="3106"/>
      <c r="I178" s="2953"/>
      <c r="J178" s="2950" t="s">
        <v>120</v>
      </c>
      <c r="K178" s="2948"/>
      <c r="L178" s="2951"/>
      <c r="M178" s="2951"/>
      <c r="N178" s="2977"/>
      <c r="O178" s="2948"/>
      <c r="P178" s="2949"/>
      <c r="Q178" s="2953"/>
      <c r="R178" s="2953"/>
      <c r="S178" s="2952">
        <f t="shared" si="37"/>
        <v>0</v>
      </c>
      <c r="T178" s="2952">
        <f t="shared" si="31"/>
        <v>0</v>
      </c>
      <c r="U178" s="2952">
        <f t="shared" si="32"/>
        <v>0</v>
      </c>
      <c r="V178" s="2952">
        <f t="shared" si="38"/>
        <v>0</v>
      </c>
      <c r="W178" s="2954">
        <f t="shared" si="34"/>
        <v>0</v>
      </c>
      <c r="X178" s="2954">
        <f t="shared" si="35"/>
        <v>0</v>
      </c>
      <c r="Y178" s="2954">
        <f t="shared" si="39"/>
        <v>0</v>
      </c>
      <c r="Z178" s="2984"/>
    </row>
    <row r="179" spans="8:26">
      <c r="H179" s="3106"/>
      <c r="I179" s="2953"/>
      <c r="J179" s="2950" t="s">
        <v>120</v>
      </c>
      <c r="K179" s="2948"/>
      <c r="L179" s="2951"/>
      <c r="M179" s="2951"/>
      <c r="N179" s="2977"/>
      <c r="O179" s="2948"/>
      <c r="P179" s="2949"/>
      <c r="Q179" s="2953"/>
      <c r="R179" s="2953"/>
      <c r="S179" s="2952">
        <f t="shared" si="37"/>
        <v>0</v>
      </c>
      <c r="T179" s="2952">
        <f t="shared" si="31"/>
        <v>0</v>
      </c>
      <c r="U179" s="2952">
        <f t="shared" si="32"/>
        <v>0</v>
      </c>
      <c r="V179" s="2952">
        <f t="shared" si="38"/>
        <v>0</v>
      </c>
      <c r="W179" s="2954">
        <f t="shared" si="34"/>
        <v>0</v>
      </c>
      <c r="X179" s="2954">
        <f t="shared" si="35"/>
        <v>0</v>
      </c>
      <c r="Y179" s="2954">
        <f t="shared" si="39"/>
        <v>0</v>
      </c>
      <c r="Z179" s="2984"/>
    </row>
  </sheetData>
  <customSheetViews>
    <customSheetView guid="{074EB09C-6289-46D7-9513-012B68BCA7BF}" showGridLines="0">
      <pane xSplit="1" ySplit="1" topLeftCell="B59" activePane="bottomRight" state="frozen"/>
      <selection pane="bottomRight" activeCell="H45" sqref="H45"/>
      <pageMargins left="0.7" right="0.7" top="0.75" bottom="0.75" header="0.3" footer="0.3"/>
    </customSheetView>
    <customSheetView guid="{D9EFFE19-D14B-4C6F-BDF4-FF696F73968D}" showGridLines="0">
      <pane xSplit="1" ySplit="1" topLeftCell="B5" activePane="bottomRight" state="frozen"/>
      <selection pane="bottomRight" activeCell="B9" sqref="B9"/>
      <pageMargins left="0.7" right="0.7" top="0.75" bottom="0.75" header="0.3" footer="0.3"/>
    </customSheetView>
  </customSheetView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86"/>
  <sheetViews>
    <sheetView showGridLines="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7.7109375" customWidth="1"/>
    <col min="2" max="2" width="15.85546875" customWidth="1"/>
    <col min="3" max="3" width="28.85546875" customWidth="1"/>
    <col min="4" max="4" width="15.85546875" customWidth="1"/>
    <col min="5" max="5" width="15.85546875" style="2994" customWidth="1"/>
    <col min="6" max="7" width="15.85546875" customWidth="1"/>
    <col min="8" max="8" width="31.140625" customWidth="1"/>
    <col min="9" max="26" width="15.85546875" customWidth="1"/>
  </cols>
  <sheetData>
    <row r="1" spans="1:27" ht="51.75" customHeight="1" thickBot="1">
      <c r="C1" s="1831" t="s">
        <v>1492</v>
      </c>
      <c r="D1" s="1831" t="s">
        <v>278</v>
      </c>
      <c r="E1" s="1831" t="s">
        <v>6</v>
      </c>
      <c r="F1" s="1831" t="s">
        <v>1494</v>
      </c>
      <c r="G1" s="1831" t="s">
        <v>5</v>
      </c>
      <c r="J1" s="1592"/>
      <c r="M1" s="1831" t="s">
        <v>1492</v>
      </c>
      <c r="N1" s="1831" t="s">
        <v>278</v>
      </c>
      <c r="O1" s="1831" t="s">
        <v>6</v>
      </c>
      <c r="P1" s="1831" t="s">
        <v>1494</v>
      </c>
      <c r="Q1" s="1831" t="s">
        <v>5</v>
      </c>
      <c r="V1" s="1831" t="s">
        <v>1492</v>
      </c>
      <c r="W1" s="1831" t="s">
        <v>278</v>
      </c>
      <c r="X1" s="1831" t="s">
        <v>6</v>
      </c>
      <c r="Y1" s="1831" t="s">
        <v>1494</v>
      </c>
      <c r="Z1" s="1831" t="s">
        <v>5</v>
      </c>
    </row>
    <row r="2" spans="1:27" ht="16.5" thickBot="1">
      <c r="C2" s="1592"/>
      <c r="D2" s="2993"/>
      <c r="H2" s="1576" t="s">
        <v>674</v>
      </c>
      <c r="R2" s="2995"/>
      <c r="T2" s="2996" t="s">
        <v>36</v>
      </c>
      <c r="W2" s="2997" t="s">
        <v>37</v>
      </c>
    </row>
    <row r="3" spans="1:27" ht="26.25" thickBot="1">
      <c r="A3" s="3004" t="s">
        <v>1492</v>
      </c>
      <c r="B3" s="3004"/>
      <c r="H3" s="2999" t="s">
        <v>8</v>
      </c>
      <c r="I3" s="3000" t="s">
        <v>9</v>
      </c>
      <c r="J3" s="3000" t="s">
        <v>10</v>
      </c>
      <c r="K3" s="3000" t="s">
        <v>11</v>
      </c>
      <c r="L3" s="3001" t="s">
        <v>504</v>
      </c>
      <c r="M3" s="3000" t="s">
        <v>12</v>
      </c>
      <c r="N3" s="3000" t="s">
        <v>13</v>
      </c>
      <c r="O3" s="3000" t="s">
        <v>14</v>
      </c>
      <c r="P3" s="3000" t="s">
        <v>38</v>
      </c>
      <c r="Q3" s="3000" t="s">
        <v>39</v>
      </c>
      <c r="R3" s="3000" t="s">
        <v>16</v>
      </c>
      <c r="S3" s="3002" t="s">
        <v>40</v>
      </c>
      <c r="T3" s="2999" t="s">
        <v>41</v>
      </c>
      <c r="U3" s="2999" t="s">
        <v>11</v>
      </c>
      <c r="V3" s="3003" t="s">
        <v>42</v>
      </c>
    </row>
    <row r="4" spans="1:27" ht="16.5" thickBot="1">
      <c r="A4" s="3004" t="s">
        <v>278</v>
      </c>
      <c r="B4" s="3004"/>
      <c r="C4" s="2993"/>
      <c r="G4" s="3005" t="s">
        <v>668</v>
      </c>
      <c r="H4" s="2003"/>
      <c r="I4" s="2002"/>
      <c r="J4" s="2002"/>
      <c r="K4" s="2002"/>
      <c r="L4" s="2002"/>
      <c r="M4" s="2002"/>
      <c r="N4" s="2002"/>
      <c r="O4" s="2002"/>
      <c r="P4" s="2002"/>
      <c r="Q4" s="2002"/>
      <c r="R4" s="2000"/>
      <c r="S4" s="3006"/>
      <c r="T4" s="3007" t="e">
        <f>P4/R4</f>
        <v>#DIV/0!</v>
      </c>
      <c r="U4" s="3007" t="e">
        <f>(K4+(I4*1.63))/R4</f>
        <v>#DIV/0!</v>
      </c>
      <c r="V4" s="3007" t="e">
        <f>M4/R4</f>
        <v>#DIV/0!</v>
      </c>
      <c r="W4" s="3008" t="e">
        <f>R4/S4</f>
        <v>#DIV/0!</v>
      </c>
    </row>
    <row r="5" spans="1:27" ht="16.5" thickBot="1">
      <c r="A5" s="3004" t="s">
        <v>6</v>
      </c>
      <c r="B5" s="3004"/>
      <c r="C5" s="1592"/>
      <c r="G5" s="1592">
        <v>2016</v>
      </c>
      <c r="H5" s="1582">
        <f>D15</f>
        <v>27189.899999999998</v>
      </c>
      <c r="I5" s="1549">
        <f>D21</f>
        <v>20000</v>
      </c>
      <c r="J5" s="1549">
        <f>D27</f>
        <v>31475.6633</v>
      </c>
      <c r="K5" s="1549">
        <f>D34</f>
        <v>10000</v>
      </c>
      <c r="L5" s="1549">
        <f>D40</f>
        <v>10000</v>
      </c>
      <c r="M5" s="1549">
        <f>D46</f>
        <v>60000</v>
      </c>
      <c r="N5" s="1549">
        <f>D52</f>
        <v>1000</v>
      </c>
      <c r="O5" s="1549">
        <f>D58</f>
        <v>240000</v>
      </c>
      <c r="P5" s="1549">
        <f>D64</f>
        <v>746489.46771000011</v>
      </c>
      <c r="Q5" s="1549">
        <f>D65</f>
        <v>0</v>
      </c>
      <c r="R5" s="2001">
        <f>SUM(H5:Q5)</f>
        <v>1146155.03101</v>
      </c>
      <c r="S5" s="1999">
        <f>T15</f>
        <v>3090940.5</v>
      </c>
      <c r="T5" s="3009">
        <f>P5/R5</f>
        <v>0.6512988622945608</v>
      </c>
      <c r="U5" s="3009">
        <f>(K5+(I5*1.63))/R5</f>
        <v>3.7167746812104968E-2</v>
      </c>
      <c r="V5" s="3009">
        <f>M5/R5</f>
        <v>5.2348939171978831E-2</v>
      </c>
      <c r="W5" s="3010">
        <f>R5/S5</f>
        <v>0.37081109487872704</v>
      </c>
    </row>
    <row r="6" spans="1:27" ht="16.5" thickBot="1">
      <c r="A6" s="3004">
        <v>18231134</v>
      </c>
      <c r="B6" s="3004"/>
      <c r="D6" s="1592"/>
      <c r="G6" s="1592">
        <v>2017</v>
      </c>
      <c r="H6" s="3011">
        <f>E15</f>
        <v>27869.7</v>
      </c>
      <c r="I6" s="1990">
        <f>E21</f>
        <v>23805.368749999998</v>
      </c>
      <c r="J6" s="3093">
        <f>E27</f>
        <v>35139.046750000001</v>
      </c>
      <c r="K6" s="1990">
        <f>E34</f>
        <v>10000</v>
      </c>
      <c r="L6" s="1990">
        <f>E40</f>
        <v>10000</v>
      </c>
      <c r="M6" s="1990">
        <f>E46</f>
        <v>60000</v>
      </c>
      <c r="N6" s="1990">
        <f>E52</f>
        <v>1000</v>
      </c>
      <c r="O6" s="1990">
        <f>E58</f>
        <v>240000</v>
      </c>
      <c r="P6" s="1990">
        <f>E64</f>
        <v>746489.46771000011</v>
      </c>
      <c r="Q6" s="1990">
        <f>E65</f>
        <v>0</v>
      </c>
      <c r="R6" s="3013">
        <f>SUM(H6:Q6)</f>
        <v>1154303.5832100001</v>
      </c>
      <c r="S6" s="1996">
        <f>U15</f>
        <v>3090940.5</v>
      </c>
      <c r="T6" s="3009">
        <f>P6/R6</f>
        <v>0.64670116126131161</v>
      </c>
      <c r="U6" s="3009">
        <f>(K6+(I6*1.63))/R6</f>
        <v>4.2278956569453366E-2</v>
      </c>
      <c r="V6" s="3009">
        <f>M6/R6</f>
        <v>5.197939335261019E-2</v>
      </c>
      <c r="W6" s="3010">
        <f>R6/S6</f>
        <v>0.3734473643895766</v>
      </c>
    </row>
    <row r="7" spans="1:27" ht="16.5" thickBot="1">
      <c r="A7" s="3004" t="s">
        <v>5</v>
      </c>
      <c r="B7" s="3004"/>
      <c r="D7" s="1592"/>
      <c r="G7" s="3014" t="s">
        <v>23</v>
      </c>
      <c r="H7" s="1564">
        <f t="shared" ref="H7:Q7" si="0">SUM(H5:H6)</f>
        <v>55059.6</v>
      </c>
      <c r="I7" s="3015">
        <f t="shared" si="0"/>
        <v>43805.368749999994</v>
      </c>
      <c r="J7" s="3016">
        <f t="shared" si="0"/>
        <v>66614.710049999994</v>
      </c>
      <c r="K7" s="1993">
        <f t="shared" si="0"/>
        <v>20000</v>
      </c>
      <c r="L7" s="3015">
        <f t="shared" si="0"/>
        <v>20000</v>
      </c>
      <c r="M7" s="3016">
        <f t="shared" si="0"/>
        <v>120000</v>
      </c>
      <c r="N7" s="3015">
        <f t="shared" si="0"/>
        <v>2000</v>
      </c>
      <c r="O7" s="3016">
        <f t="shared" si="0"/>
        <v>480000</v>
      </c>
      <c r="P7" s="1993">
        <f t="shared" si="0"/>
        <v>1492978.9354200002</v>
      </c>
      <c r="Q7" s="3015">
        <f t="shared" si="0"/>
        <v>0</v>
      </c>
      <c r="R7" s="1993">
        <f>SUM(H7:Q7)</f>
        <v>2300458.6142200003</v>
      </c>
      <c r="S7" s="1994">
        <f>SUM(S5:S6)</f>
        <v>6181881</v>
      </c>
      <c r="T7" s="3009">
        <f>P7/R7</f>
        <v>0.64899186892184701</v>
      </c>
      <c r="U7" s="3009">
        <f>(K7+(I7*1.63))/R7</f>
        <v>3.9732404007403216E-2</v>
      </c>
      <c r="V7" s="3009">
        <f>M7/R7</f>
        <v>5.2163511770320421E-2</v>
      </c>
      <c r="W7" s="3010">
        <f>R7/S7</f>
        <v>0.37212922963415185</v>
      </c>
    </row>
    <row r="8" spans="1:27" ht="15.75">
      <c r="A8" s="2994"/>
      <c r="B8" s="3004"/>
      <c r="D8" s="1592"/>
    </row>
    <row r="9" spans="1:27" ht="15.75">
      <c r="A9" s="3004"/>
      <c r="B9" s="3004"/>
      <c r="D9" s="1592"/>
    </row>
    <row r="10" spans="1:27">
      <c r="A10" s="3004"/>
      <c r="B10" s="3004"/>
      <c r="C10" s="3017" t="s">
        <v>329</v>
      </c>
      <c r="D10" s="3017"/>
      <c r="E10" s="3072"/>
      <c r="F10" s="3017"/>
      <c r="H10" s="3623" t="s">
        <v>317</v>
      </c>
      <c r="I10" s="3623"/>
      <c r="J10" s="3623"/>
      <c r="K10" s="3623"/>
      <c r="L10" s="3623"/>
      <c r="M10" s="3623"/>
      <c r="N10" s="3623"/>
      <c r="O10" s="3623"/>
      <c r="P10" s="3623"/>
      <c r="Q10" s="3017"/>
      <c r="R10" s="3017"/>
      <c r="S10" s="3017"/>
      <c r="T10" s="3017"/>
      <c r="U10" s="3017"/>
      <c r="V10" s="3017"/>
      <c r="W10" s="3018" t="s">
        <v>317</v>
      </c>
      <c r="X10" s="3017"/>
      <c r="Y10" s="3017"/>
      <c r="Z10" s="3018" t="s">
        <v>317</v>
      </c>
      <c r="AA10" s="3017"/>
    </row>
    <row r="11" spans="1:27">
      <c r="A11" s="3004"/>
      <c r="B11" s="3004"/>
      <c r="H11" s="3019"/>
      <c r="I11" s="3020"/>
      <c r="J11" s="3020"/>
      <c r="K11" s="3019"/>
      <c r="L11" s="3019"/>
      <c r="M11" s="3019"/>
      <c r="N11" s="3019"/>
      <c r="O11" s="3019"/>
      <c r="P11" s="3019"/>
      <c r="Q11" s="3019"/>
      <c r="R11" s="3019"/>
      <c r="S11" s="3019"/>
      <c r="T11" s="3019"/>
      <c r="U11" s="3019"/>
      <c r="V11" s="3019"/>
      <c r="W11" s="3019"/>
      <c r="X11" s="3019"/>
      <c r="Y11" s="3019"/>
      <c r="Z11" s="3019"/>
      <c r="AA11" s="3019"/>
    </row>
    <row r="12" spans="1:27">
      <c r="A12" s="3004"/>
      <c r="B12" s="3004"/>
      <c r="C12" s="3021" t="s">
        <v>314</v>
      </c>
      <c r="D12" s="3022">
        <f>D15+D21+D27+D34+D40+D46+D52+D58+D64</f>
        <v>1146155.03101</v>
      </c>
      <c r="E12" s="3073">
        <f>E15+E21+E27+E34+E40+E46+E52+E58+E64</f>
        <v>1154303.5832100001</v>
      </c>
      <c r="F12" s="3022">
        <f>D12+E12</f>
        <v>2300458.6142199999</v>
      </c>
      <c r="H12" s="3619" t="s">
        <v>318</v>
      </c>
      <c r="I12" s="3619"/>
      <c r="J12" s="3619"/>
      <c r="K12" s="3619"/>
      <c r="L12" s="3619"/>
      <c r="M12" s="3619"/>
      <c r="N12" s="3619"/>
      <c r="O12" s="3619"/>
      <c r="P12" s="3619"/>
      <c r="Q12" s="3620" t="s">
        <v>43</v>
      </c>
      <c r="R12" s="3620"/>
      <c r="S12" s="3620"/>
      <c r="T12" s="3621" t="s">
        <v>44</v>
      </c>
      <c r="U12" s="3621"/>
      <c r="V12" s="3621"/>
      <c r="W12" s="3622" t="s">
        <v>56</v>
      </c>
      <c r="X12" s="3622"/>
      <c r="Y12" s="3622"/>
      <c r="Z12" s="3094" t="s">
        <v>319</v>
      </c>
      <c r="AA12" s="3019"/>
    </row>
    <row r="13" spans="1:27">
      <c r="C13" s="3027"/>
      <c r="E13" s="3074"/>
      <c r="H13" s="3028" t="s">
        <v>320</v>
      </c>
      <c r="I13" s="3028" t="s">
        <v>240</v>
      </c>
      <c r="J13" s="3028" t="s">
        <v>321</v>
      </c>
      <c r="K13" s="3028" t="s">
        <v>322</v>
      </c>
      <c r="L13" s="3028" t="s">
        <v>57</v>
      </c>
      <c r="M13" s="3028" t="s">
        <v>58</v>
      </c>
      <c r="N13" s="3028" t="s">
        <v>323</v>
      </c>
      <c r="O13" s="3028" t="s">
        <v>59</v>
      </c>
      <c r="P13" s="3028" t="s">
        <v>60</v>
      </c>
      <c r="Q13" s="3029">
        <v>2016</v>
      </c>
      <c r="R13" s="3029">
        <v>2017</v>
      </c>
      <c r="S13" s="3029" t="s">
        <v>324</v>
      </c>
      <c r="T13" s="3030">
        <v>2016</v>
      </c>
      <c r="U13" s="3030">
        <v>2017</v>
      </c>
      <c r="V13" s="3030" t="s">
        <v>324</v>
      </c>
      <c r="W13" s="3031">
        <v>2016</v>
      </c>
      <c r="X13" s="3031">
        <v>2017</v>
      </c>
      <c r="Y13" s="3031" t="s">
        <v>324</v>
      </c>
      <c r="Z13" s="3089" t="s">
        <v>1118</v>
      </c>
      <c r="AA13" s="3019"/>
    </row>
    <row r="14" spans="1:27" ht="15.75">
      <c r="C14" s="1888" t="s">
        <v>45</v>
      </c>
      <c r="D14" s="3032">
        <v>2016</v>
      </c>
      <c r="E14" s="3033">
        <v>2017</v>
      </c>
      <c r="F14" s="3034" t="s">
        <v>23</v>
      </c>
      <c r="H14" s="3035" t="s">
        <v>326</v>
      </c>
      <c r="I14" s="3035" t="s">
        <v>326</v>
      </c>
      <c r="J14" s="3028"/>
      <c r="K14" s="3035" t="s">
        <v>326</v>
      </c>
      <c r="L14" s="3035" t="s">
        <v>326</v>
      </c>
      <c r="M14" s="3035" t="s">
        <v>326</v>
      </c>
      <c r="N14" s="3035" t="s">
        <v>326</v>
      </c>
      <c r="O14" s="3035" t="s">
        <v>326</v>
      </c>
      <c r="P14" s="3035" t="s">
        <v>326</v>
      </c>
      <c r="Q14" s="3035" t="s">
        <v>326</v>
      </c>
      <c r="R14" s="3035" t="s">
        <v>326</v>
      </c>
      <c r="S14" s="3029"/>
      <c r="T14" s="3030"/>
      <c r="U14" s="3030"/>
      <c r="V14" s="3030"/>
      <c r="W14" s="3031"/>
      <c r="X14" s="3031"/>
      <c r="Y14" s="3031"/>
      <c r="Z14" s="3089" t="s">
        <v>1131</v>
      </c>
      <c r="AA14" s="3019"/>
    </row>
    <row r="15" spans="1:27">
      <c r="B15" s="3036" t="s">
        <v>312</v>
      </c>
      <c r="C15" s="3037" t="s">
        <v>46</v>
      </c>
      <c r="D15" s="3038">
        <f>SUM(D16:D19)</f>
        <v>27189.899999999998</v>
      </c>
      <c r="E15" s="3075">
        <f>SUM(E16:E19)</f>
        <v>27869.7</v>
      </c>
      <c r="F15" s="3022">
        <f>D15+E15</f>
        <v>55059.6</v>
      </c>
      <c r="H15" s="3039" t="s">
        <v>327</v>
      </c>
      <c r="I15" s="3040"/>
      <c r="J15" s="3040"/>
      <c r="K15" s="3041"/>
      <c r="L15" s="3042">
        <f>SUMPRODUCT(L16:L186,S16:S186)</f>
        <v>1658865.4838</v>
      </c>
      <c r="M15" s="3042">
        <f>SUM(M16:M186)</f>
        <v>14785.663769999999</v>
      </c>
      <c r="N15" s="3043" t="s">
        <v>241</v>
      </c>
      <c r="O15" s="3041">
        <v>7</v>
      </c>
      <c r="P15" s="3041"/>
      <c r="Q15" s="3041"/>
      <c r="R15" s="3041"/>
      <c r="S15" s="3041"/>
      <c r="T15" s="3044">
        <f t="shared" ref="T15:Y15" si="1">SUM(T16:T186)</f>
        <v>3090940.5</v>
      </c>
      <c r="U15" s="3044">
        <f t="shared" si="1"/>
        <v>3090940.5</v>
      </c>
      <c r="V15" s="3044">
        <f t="shared" si="1"/>
        <v>6181881</v>
      </c>
      <c r="W15" s="3042">
        <f t="shared" si="1"/>
        <v>746489.46771000011</v>
      </c>
      <c r="X15" s="3042">
        <f t="shared" si="1"/>
        <v>746489.46771000011</v>
      </c>
      <c r="Y15" s="3042">
        <f t="shared" si="1"/>
        <v>1492978.9354200002</v>
      </c>
      <c r="Z15" s="3041">
        <v>0</v>
      </c>
      <c r="AA15" s="3019"/>
    </row>
    <row r="16" spans="1:27">
      <c r="B16" s="3045">
        <v>0.3</v>
      </c>
      <c r="C16" s="3046" t="s">
        <v>792</v>
      </c>
      <c r="D16" s="2242">
        <v>27189.899999999998</v>
      </c>
      <c r="E16" s="3076">
        <v>27869.7</v>
      </c>
      <c r="F16" s="3047">
        <f>SUM(D16:E16)</f>
        <v>55059.6</v>
      </c>
      <c r="H16" s="2948" t="s">
        <v>1348</v>
      </c>
      <c r="I16" s="2953">
        <v>158</v>
      </c>
      <c r="J16" s="2950" t="s">
        <v>120</v>
      </c>
      <c r="K16" s="2948" t="s">
        <v>909</v>
      </c>
      <c r="L16" s="2951">
        <v>161</v>
      </c>
      <c r="M16" s="2951">
        <v>144.9</v>
      </c>
      <c r="N16" s="2977">
        <v>1.2779281904650058E-3</v>
      </c>
      <c r="O16" s="2948">
        <v>12</v>
      </c>
      <c r="P16" s="2949" t="s">
        <v>1071</v>
      </c>
      <c r="Q16" s="2953">
        <v>25</v>
      </c>
      <c r="R16" s="2953">
        <v>25</v>
      </c>
      <c r="S16" s="2952">
        <f t="shared" ref="S16:S47" si="2">Q16+R16</f>
        <v>50</v>
      </c>
      <c r="T16" s="2952">
        <f t="shared" ref="T16:T47" si="3">I16*Q16</f>
        <v>3950</v>
      </c>
      <c r="U16" s="2952">
        <f t="shared" ref="U16:U47" si="4">I16*R16</f>
        <v>3950</v>
      </c>
      <c r="V16" s="2952">
        <f t="shared" ref="V16:V47" si="5">T16+U16</f>
        <v>7900</v>
      </c>
      <c r="W16" s="2954">
        <f t="shared" ref="W16:W47" si="6">M16*Q16</f>
        <v>3622.5</v>
      </c>
      <c r="X16" s="2954">
        <f t="shared" ref="X16:X47" si="7">M16*R16</f>
        <v>3622.5</v>
      </c>
      <c r="Y16" s="2954">
        <f t="shared" ref="Y16:Y47" si="8">W16+X16</f>
        <v>7245</v>
      </c>
      <c r="Z16" s="2949"/>
      <c r="AA16" s="3019"/>
    </row>
    <row r="17" spans="2:27">
      <c r="B17" s="3045"/>
      <c r="C17" s="3046"/>
      <c r="D17" s="2053"/>
      <c r="E17" s="3077"/>
      <c r="F17" s="3095">
        <f>SUM(D17:E17)</f>
        <v>0</v>
      </c>
      <c r="H17" s="2948" t="s">
        <v>1349</v>
      </c>
      <c r="I17" s="2953">
        <v>100</v>
      </c>
      <c r="J17" s="2950" t="s">
        <v>120</v>
      </c>
      <c r="K17" s="2948" t="s">
        <v>909</v>
      </c>
      <c r="L17" s="2951">
        <v>54.6</v>
      </c>
      <c r="M17" s="2951">
        <v>49.14</v>
      </c>
      <c r="N17" s="2977">
        <v>8.0881531042088968E-4</v>
      </c>
      <c r="O17" s="2948">
        <v>5</v>
      </c>
      <c r="P17" s="2949" t="s">
        <v>1522</v>
      </c>
      <c r="Q17" s="2953">
        <v>25</v>
      </c>
      <c r="R17" s="2953">
        <v>25</v>
      </c>
      <c r="S17" s="2952">
        <f t="shared" si="2"/>
        <v>50</v>
      </c>
      <c r="T17" s="2952">
        <f t="shared" si="3"/>
        <v>2500</v>
      </c>
      <c r="U17" s="2952">
        <f t="shared" si="4"/>
        <v>2500</v>
      </c>
      <c r="V17" s="2952">
        <f t="shared" si="5"/>
        <v>5000</v>
      </c>
      <c r="W17" s="2954">
        <f t="shared" si="6"/>
        <v>1228.5</v>
      </c>
      <c r="X17" s="2954">
        <f t="shared" si="7"/>
        <v>1228.5</v>
      </c>
      <c r="Y17" s="2954">
        <f t="shared" si="8"/>
        <v>2457</v>
      </c>
      <c r="Z17" s="2949"/>
      <c r="AA17" s="3019"/>
    </row>
    <row r="18" spans="2:27">
      <c r="B18" s="3045"/>
      <c r="C18" s="3046"/>
      <c r="D18" s="2053"/>
      <c r="E18" s="3077"/>
      <c r="F18" s="3095">
        <f>SUM(D18:E18)</f>
        <v>0</v>
      </c>
      <c r="H18" s="2948" t="s">
        <v>1350</v>
      </c>
      <c r="I18" s="2953">
        <v>300</v>
      </c>
      <c r="J18" s="2950" t="s">
        <v>120</v>
      </c>
      <c r="K18" s="2948" t="s">
        <v>909</v>
      </c>
      <c r="L18" s="2951">
        <v>65</v>
      </c>
      <c r="M18" s="2951">
        <v>58.5</v>
      </c>
      <c r="N18" s="2977">
        <v>2.4264459312626691E-2</v>
      </c>
      <c r="O18" s="2948">
        <v>5</v>
      </c>
      <c r="P18" s="2949" t="s">
        <v>1522</v>
      </c>
      <c r="Q18" s="2953">
        <v>250</v>
      </c>
      <c r="R18" s="2953">
        <v>250</v>
      </c>
      <c r="S18" s="2952">
        <f t="shared" si="2"/>
        <v>500</v>
      </c>
      <c r="T18" s="2952">
        <f t="shared" si="3"/>
        <v>75000</v>
      </c>
      <c r="U18" s="2952">
        <f t="shared" si="4"/>
        <v>75000</v>
      </c>
      <c r="V18" s="2952">
        <f t="shared" si="5"/>
        <v>150000</v>
      </c>
      <c r="W18" s="2954">
        <f t="shared" si="6"/>
        <v>14625</v>
      </c>
      <c r="X18" s="2954">
        <f t="shared" si="7"/>
        <v>14625</v>
      </c>
      <c r="Y18" s="2954">
        <f t="shared" si="8"/>
        <v>29250</v>
      </c>
      <c r="Z18" s="2949"/>
      <c r="AA18" s="3019"/>
    </row>
    <row r="19" spans="2:27">
      <c r="B19" s="3045"/>
      <c r="C19" s="3046"/>
      <c r="D19" s="3048"/>
      <c r="E19" s="3078"/>
      <c r="F19" s="3095">
        <f>SUM(D19:E19)</f>
        <v>0</v>
      </c>
      <c r="H19" s="2948" t="s">
        <v>1351</v>
      </c>
      <c r="I19" s="2953">
        <v>46</v>
      </c>
      <c r="J19" s="2950" t="s">
        <v>120</v>
      </c>
      <c r="K19" s="2948" t="s">
        <v>909</v>
      </c>
      <c r="L19" s="2951">
        <v>81.132999999999996</v>
      </c>
      <c r="M19" s="2951">
        <v>73.0197</v>
      </c>
      <c r="N19" s="2977">
        <v>1.8602752139680464E-3</v>
      </c>
      <c r="O19" s="2948">
        <v>10</v>
      </c>
      <c r="P19" s="2949" t="s">
        <v>1071</v>
      </c>
      <c r="Q19" s="2953">
        <v>125</v>
      </c>
      <c r="R19" s="2953">
        <v>125</v>
      </c>
      <c r="S19" s="2952">
        <f t="shared" si="2"/>
        <v>250</v>
      </c>
      <c r="T19" s="2952">
        <f t="shared" si="3"/>
        <v>5750</v>
      </c>
      <c r="U19" s="2952">
        <f t="shared" si="4"/>
        <v>5750</v>
      </c>
      <c r="V19" s="2952">
        <f t="shared" si="5"/>
        <v>11500</v>
      </c>
      <c r="W19" s="2954">
        <f t="shared" si="6"/>
        <v>9127.4624999999996</v>
      </c>
      <c r="X19" s="2954">
        <f t="shared" si="7"/>
        <v>9127.4624999999996</v>
      </c>
      <c r="Y19" s="2954">
        <f t="shared" si="8"/>
        <v>18254.924999999999</v>
      </c>
      <c r="Z19" s="2949"/>
      <c r="AA19" s="3019"/>
    </row>
    <row r="20" spans="2:27">
      <c r="B20" s="1908">
        <f>SUM(B16:B19)</f>
        <v>0.3</v>
      </c>
      <c r="C20" s="3049"/>
      <c r="D20" s="3050"/>
      <c r="E20" s="3079"/>
      <c r="F20" s="3051"/>
      <c r="H20" s="2948" t="s">
        <v>1352</v>
      </c>
      <c r="I20" s="2953">
        <v>116</v>
      </c>
      <c r="J20" s="2950" t="s">
        <v>120</v>
      </c>
      <c r="K20" s="2948" t="s">
        <v>909</v>
      </c>
      <c r="L20" s="2951">
        <v>81.132999999999996</v>
      </c>
      <c r="M20" s="2951">
        <v>73.0197</v>
      </c>
      <c r="N20" s="2977">
        <v>1.8764515201764642E-4</v>
      </c>
      <c r="O20" s="2948">
        <v>10</v>
      </c>
      <c r="P20" s="2949" t="s">
        <v>1071</v>
      </c>
      <c r="Q20" s="2953">
        <v>5</v>
      </c>
      <c r="R20" s="2953">
        <v>5</v>
      </c>
      <c r="S20" s="2952">
        <f t="shared" si="2"/>
        <v>10</v>
      </c>
      <c r="T20" s="2952">
        <f t="shared" si="3"/>
        <v>580</v>
      </c>
      <c r="U20" s="2952">
        <f t="shared" si="4"/>
        <v>580</v>
      </c>
      <c r="V20" s="2952">
        <f t="shared" si="5"/>
        <v>1160</v>
      </c>
      <c r="W20" s="2954">
        <f t="shared" si="6"/>
        <v>365.0985</v>
      </c>
      <c r="X20" s="2954">
        <f t="shared" si="7"/>
        <v>365.0985</v>
      </c>
      <c r="Y20" s="2954">
        <f t="shared" si="8"/>
        <v>730.197</v>
      </c>
      <c r="Z20" s="2949"/>
      <c r="AA20" s="3019"/>
    </row>
    <row r="21" spans="2:27">
      <c r="C21" s="3037" t="s">
        <v>47</v>
      </c>
      <c r="D21" s="3038">
        <f>SUM(D22:D25)</f>
        <v>20000</v>
      </c>
      <c r="E21" s="3075">
        <f>SUM(E22:E25)</f>
        <v>23805.368749999998</v>
      </c>
      <c r="F21" s="3022">
        <f>D21+E21</f>
        <v>43805.368749999994</v>
      </c>
      <c r="H21" s="2948" t="s">
        <v>1353</v>
      </c>
      <c r="I21" s="2953">
        <v>162</v>
      </c>
      <c r="J21" s="2950" t="s">
        <v>120</v>
      </c>
      <c r="K21" s="2948" t="s">
        <v>909</v>
      </c>
      <c r="L21" s="2951">
        <v>81.132999999999996</v>
      </c>
      <c r="M21" s="2951">
        <v>73.0197</v>
      </c>
      <c r="N21" s="2977">
        <v>2.6205616057636827E-4</v>
      </c>
      <c r="O21" s="2948">
        <v>10</v>
      </c>
      <c r="P21" s="2949" t="s">
        <v>1071</v>
      </c>
      <c r="Q21" s="2953">
        <v>5</v>
      </c>
      <c r="R21" s="2953">
        <v>5</v>
      </c>
      <c r="S21" s="2952">
        <f t="shared" si="2"/>
        <v>10</v>
      </c>
      <c r="T21" s="2952">
        <f t="shared" si="3"/>
        <v>810</v>
      </c>
      <c r="U21" s="2952">
        <f t="shared" si="4"/>
        <v>810</v>
      </c>
      <c r="V21" s="2952">
        <f t="shared" si="5"/>
        <v>1620</v>
      </c>
      <c r="W21" s="2954">
        <f t="shared" si="6"/>
        <v>365.0985</v>
      </c>
      <c r="X21" s="2954">
        <f t="shared" si="7"/>
        <v>365.0985</v>
      </c>
      <c r="Y21" s="2954">
        <f t="shared" si="8"/>
        <v>730.197</v>
      </c>
      <c r="Z21" s="2949"/>
      <c r="AA21" s="3019"/>
    </row>
    <row r="22" spans="2:27">
      <c r="C22" s="3046">
        <v>0.25</v>
      </c>
      <c r="D22" s="2242">
        <v>20000</v>
      </c>
      <c r="E22" s="3076">
        <v>23805.368749999998</v>
      </c>
      <c r="F22" s="3047">
        <f>SUM(D22:E22)</f>
        <v>43805.368749999994</v>
      </c>
      <c r="H22" s="2948" t="s">
        <v>1354</v>
      </c>
      <c r="I22" s="2953">
        <v>302</v>
      </c>
      <c r="J22" s="2950" t="s">
        <v>120</v>
      </c>
      <c r="K22" s="2948" t="s">
        <v>909</v>
      </c>
      <c r="L22" s="2951">
        <v>81.132999999999996</v>
      </c>
      <c r="M22" s="2951">
        <v>73.0197</v>
      </c>
      <c r="N22" s="2977">
        <v>4.8852444749421741E-4</v>
      </c>
      <c r="O22" s="2948">
        <v>10</v>
      </c>
      <c r="P22" s="2949" t="s">
        <v>1071</v>
      </c>
      <c r="Q22" s="2953">
        <v>5</v>
      </c>
      <c r="R22" s="2953">
        <v>5</v>
      </c>
      <c r="S22" s="2952">
        <f t="shared" si="2"/>
        <v>10</v>
      </c>
      <c r="T22" s="2952">
        <f t="shared" si="3"/>
        <v>1510</v>
      </c>
      <c r="U22" s="2952">
        <f t="shared" si="4"/>
        <v>1510</v>
      </c>
      <c r="V22" s="2952">
        <f t="shared" si="5"/>
        <v>3020</v>
      </c>
      <c r="W22" s="2954">
        <f t="shared" si="6"/>
        <v>365.0985</v>
      </c>
      <c r="X22" s="2954">
        <f t="shared" si="7"/>
        <v>365.0985</v>
      </c>
      <c r="Y22" s="2954">
        <f t="shared" si="8"/>
        <v>730.197</v>
      </c>
      <c r="Z22" s="2949"/>
      <c r="AA22" s="3019"/>
    </row>
    <row r="23" spans="2:27">
      <c r="C23" s="3046"/>
      <c r="D23" s="3054"/>
      <c r="E23" s="3081"/>
      <c r="F23" s="3095">
        <f>SUM(D23:E23)</f>
        <v>0</v>
      </c>
      <c r="H23" s="2948" t="s">
        <v>1526</v>
      </c>
      <c r="I23" s="2953">
        <v>464</v>
      </c>
      <c r="J23" s="2950" t="s">
        <v>120</v>
      </c>
      <c r="K23" s="2948" t="s">
        <v>909</v>
      </c>
      <c r="L23" s="2951">
        <v>81.132999999999996</v>
      </c>
      <c r="M23" s="2951">
        <v>73.0197</v>
      </c>
      <c r="N23" s="2977">
        <v>7.5058060807058568E-4</v>
      </c>
      <c r="O23" s="2948">
        <v>10</v>
      </c>
      <c r="P23" s="2949" t="s">
        <v>1071</v>
      </c>
      <c r="Q23" s="2953">
        <v>5</v>
      </c>
      <c r="R23" s="2953">
        <v>5</v>
      </c>
      <c r="S23" s="2952">
        <f t="shared" si="2"/>
        <v>10</v>
      </c>
      <c r="T23" s="2952">
        <f t="shared" si="3"/>
        <v>2320</v>
      </c>
      <c r="U23" s="2952">
        <f t="shared" si="4"/>
        <v>2320</v>
      </c>
      <c r="V23" s="2952">
        <f t="shared" si="5"/>
        <v>4640</v>
      </c>
      <c r="W23" s="2954">
        <f t="shared" si="6"/>
        <v>365.0985</v>
      </c>
      <c r="X23" s="2954">
        <f t="shared" si="7"/>
        <v>365.0985</v>
      </c>
      <c r="Y23" s="2954">
        <f t="shared" si="8"/>
        <v>730.197</v>
      </c>
      <c r="Z23" s="2949"/>
      <c r="AA23" s="3019"/>
    </row>
    <row r="24" spans="2:27">
      <c r="C24" s="3046"/>
      <c r="D24" s="3096"/>
      <c r="E24" s="3082"/>
      <c r="F24" s="3095">
        <f>SUM(D24:E24)</f>
        <v>0</v>
      </c>
      <c r="H24" s="2948" t="s">
        <v>1356</v>
      </c>
      <c r="I24" s="2953">
        <v>153</v>
      </c>
      <c r="J24" s="2950" t="s">
        <v>120</v>
      </c>
      <c r="K24" s="2948" t="s">
        <v>909</v>
      </c>
      <c r="L24" s="2951">
        <v>60.12</v>
      </c>
      <c r="M24" s="2951">
        <v>54.107999999999997</v>
      </c>
      <c r="N24" s="2977">
        <v>2.4749748498879225E-2</v>
      </c>
      <c r="O24" s="2948">
        <v>10</v>
      </c>
      <c r="P24" s="2949" t="s">
        <v>1071</v>
      </c>
      <c r="Q24" s="2953">
        <v>500</v>
      </c>
      <c r="R24" s="2953">
        <v>500</v>
      </c>
      <c r="S24" s="2952">
        <f t="shared" si="2"/>
        <v>1000</v>
      </c>
      <c r="T24" s="2952">
        <f t="shared" si="3"/>
        <v>76500</v>
      </c>
      <c r="U24" s="2952">
        <f t="shared" si="4"/>
        <v>76500</v>
      </c>
      <c r="V24" s="2952">
        <f t="shared" si="5"/>
        <v>153000</v>
      </c>
      <c r="W24" s="2954">
        <f t="shared" si="6"/>
        <v>27054</v>
      </c>
      <c r="X24" s="2954">
        <f t="shared" si="7"/>
        <v>27054</v>
      </c>
      <c r="Y24" s="2954">
        <f t="shared" si="8"/>
        <v>54108</v>
      </c>
      <c r="Z24" s="2949"/>
      <c r="AA24" s="3019"/>
    </row>
    <row r="25" spans="2:27">
      <c r="C25" s="3046"/>
      <c r="D25" s="3056"/>
      <c r="E25" s="3081"/>
      <c r="F25" s="3095">
        <f>SUM(D25:E25)</f>
        <v>0</v>
      </c>
      <c r="H25" s="2948" t="s">
        <v>1357</v>
      </c>
      <c r="I25" s="2953">
        <v>41</v>
      </c>
      <c r="J25" s="2950" t="s">
        <v>120</v>
      </c>
      <c r="K25" s="2948" t="s">
        <v>909</v>
      </c>
      <c r="L25" s="2951">
        <v>52.239899999999999</v>
      </c>
      <c r="M25" s="2951">
        <v>47.015909999999998</v>
      </c>
      <c r="N25" s="2977">
        <v>1.326457109090259E-4</v>
      </c>
      <c r="O25" s="2948">
        <v>12</v>
      </c>
      <c r="P25" s="2949" t="s">
        <v>1071</v>
      </c>
      <c r="Q25" s="2953">
        <v>10</v>
      </c>
      <c r="R25" s="2953">
        <v>10</v>
      </c>
      <c r="S25" s="2952">
        <f t="shared" si="2"/>
        <v>20</v>
      </c>
      <c r="T25" s="2952">
        <f t="shared" si="3"/>
        <v>410</v>
      </c>
      <c r="U25" s="2952">
        <f t="shared" si="4"/>
        <v>410</v>
      </c>
      <c r="V25" s="2952">
        <f t="shared" si="5"/>
        <v>820</v>
      </c>
      <c r="W25" s="2954">
        <f t="shared" si="6"/>
        <v>470.15909999999997</v>
      </c>
      <c r="X25" s="2954">
        <f t="shared" si="7"/>
        <v>470.15909999999997</v>
      </c>
      <c r="Y25" s="2954">
        <f t="shared" si="8"/>
        <v>940.31819999999993</v>
      </c>
      <c r="Z25" s="2949"/>
      <c r="AA25" s="3019"/>
    </row>
    <row r="26" spans="2:27">
      <c r="C26" s="3057"/>
      <c r="D26" s="3058"/>
      <c r="E26" s="3083"/>
      <c r="F26" s="3058"/>
      <c r="H26" s="2948" t="s">
        <v>1358</v>
      </c>
      <c r="I26" s="2953">
        <v>70</v>
      </c>
      <c r="J26" s="2950" t="s">
        <v>120</v>
      </c>
      <c r="K26" s="2948" t="s">
        <v>909</v>
      </c>
      <c r="L26" s="2951">
        <v>53.279499999999999</v>
      </c>
      <c r="M26" s="2951">
        <v>47.951549999999997</v>
      </c>
      <c r="N26" s="2977">
        <v>1.1323414345892456E-4</v>
      </c>
      <c r="O26" s="2948">
        <v>12</v>
      </c>
      <c r="P26" s="2949" t="s">
        <v>1071</v>
      </c>
      <c r="Q26" s="2953">
        <v>5</v>
      </c>
      <c r="R26" s="2953">
        <v>5</v>
      </c>
      <c r="S26" s="2952">
        <f t="shared" si="2"/>
        <v>10</v>
      </c>
      <c r="T26" s="2952">
        <f t="shared" si="3"/>
        <v>350</v>
      </c>
      <c r="U26" s="2952">
        <f t="shared" si="4"/>
        <v>350</v>
      </c>
      <c r="V26" s="2952">
        <f t="shared" si="5"/>
        <v>700</v>
      </c>
      <c r="W26" s="2954">
        <f t="shared" si="6"/>
        <v>239.75774999999999</v>
      </c>
      <c r="X26" s="2954">
        <f t="shared" si="7"/>
        <v>239.75774999999999</v>
      </c>
      <c r="Y26" s="2954">
        <f t="shared" si="8"/>
        <v>479.51549999999997</v>
      </c>
      <c r="Z26" s="2949"/>
      <c r="AA26" s="3019"/>
    </row>
    <row r="27" spans="2:27">
      <c r="C27" s="3037" t="s">
        <v>48</v>
      </c>
      <c r="D27" s="3038">
        <f>SUM(D29:D32)</f>
        <v>31475.6633</v>
      </c>
      <c r="E27" s="3075">
        <f>SUM(E29:E32)</f>
        <v>35139.046750000001</v>
      </c>
      <c r="F27" s="3022">
        <f>D27+E27</f>
        <v>66614.710049999994</v>
      </c>
      <c r="H27" s="2948" t="s">
        <v>1359</v>
      </c>
      <c r="I27" s="2953">
        <v>66</v>
      </c>
      <c r="J27" s="2950" t="s">
        <v>120</v>
      </c>
      <c r="K27" s="2948" t="s">
        <v>909</v>
      </c>
      <c r="L27" s="2951">
        <v>55.878500000000003</v>
      </c>
      <c r="M27" s="2951">
        <v>50.290650000000007</v>
      </c>
      <c r="N27" s="2977">
        <v>2.6690905243889362E-3</v>
      </c>
      <c r="O27" s="2948">
        <v>12</v>
      </c>
      <c r="P27" s="2949" t="s">
        <v>1071</v>
      </c>
      <c r="Q27" s="2953">
        <v>125</v>
      </c>
      <c r="R27" s="2953">
        <v>125</v>
      </c>
      <c r="S27" s="2952">
        <f t="shared" si="2"/>
        <v>250</v>
      </c>
      <c r="T27" s="2952">
        <f t="shared" si="3"/>
        <v>8250</v>
      </c>
      <c r="U27" s="2952">
        <f t="shared" si="4"/>
        <v>8250</v>
      </c>
      <c r="V27" s="2952">
        <f t="shared" si="5"/>
        <v>16500</v>
      </c>
      <c r="W27" s="2954">
        <f t="shared" si="6"/>
        <v>6286.3312500000011</v>
      </c>
      <c r="X27" s="2954">
        <f t="shared" si="7"/>
        <v>6286.3312500000011</v>
      </c>
      <c r="Y27" s="2954">
        <f t="shared" si="8"/>
        <v>12572.662500000002</v>
      </c>
      <c r="Z27" s="2949"/>
      <c r="AA27" s="3019"/>
    </row>
    <row r="28" spans="2:27">
      <c r="C28" s="3059" t="s">
        <v>315</v>
      </c>
      <c r="D28" s="3060">
        <v>0.66700000000000004</v>
      </c>
      <c r="E28" s="3084">
        <v>0.68</v>
      </c>
      <c r="F28" s="3061"/>
      <c r="H28" s="2948" t="s">
        <v>1360</v>
      </c>
      <c r="I28" s="2953">
        <v>34</v>
      </c>
      <c r="J28" s="2950" t="s">
        <v>120</v>
      </c>
      <c r="K28" s="2948" t="s">
        <v>909</v>
      </c>
      <c r="L28" s="2951">
        <v>57.385999999999996</v>
      </c>
      <c r="M28" s="2951">
        <v>51.647399999999998</v>
      </c>
      <c r="N28" s="2977">
        <v>1.0999888221724099E-3</v>
      </c>
      <c r="O28" s="2948">
        <v>12</v>
      </c>
      <c r="P28" s="2949" t="s">
        <v>1071</v>
      </c>
      <c r="Q28" s="2953">
        <v>100</v>
      </c>
      <c r="R28" s="2953">
        <v>100</v>
      </c>
      <c r="S28" s="2952">
        <f t="shared" si="2"/>
        <v>200</v>
      </c>
      <c r="T28" s="2952">
        <f t="shared" si="3"/>
        <v>3400</v>
      </c>
      <c r="U28" s="2952">
        <f t="shared" si="4"/>
        <v>3400</v>
      </c>
      <c r="V28" s="2952">
        <f t="shared" si="5"/>
        <v>6800</v>
      </c>
      <c r="W28" s="2954">
        <f t="shared" si="6"/>
        <v>5164.74</v>
      </c>
      <c r="X28" s="2954">
        <f t="shared" si="7"/>
        <v>5164.74</v>
      </c>
      <c r="Y28" s="2954">
        <f t="shared" si="8"/>
        <v>10329.48</v>
      </c>
      <c r="Z28" s="2949"/>
      <c r="AA28" s="3019"/>
    </row>
    <row r="29" spans="2:27">
      <c r="C29" s="3046" t="s">
        <v>778</v>
      </c>
      <c r="D29" s="3062">
        <f>D15*D28</f>
        <v>18135.6633</v>
      </c>
      <c r="E29" s="3085">
        <f>E15*E28</f>
        <v>18951.396000000001</v>
      </c>
      <c r="F29" s="3095">
        <f>SUM(D29:E29)</f>
        <v>37087.059300000001</v>
      </c>
      <c r="H29" s="2948" t="s">
        <v>1361</v>
      </c>
      <c r="I29" s="2953">
        <v>34</v>
      </c>
      <c r="J29" s="2950" t="s">
        <v>120</v>
      </c>
      <c r="K29" s="2948" t="s">
        <v>909</v>
      </c>
      <c r="L29" s="2951">
        <v>57.385999999999996</v>
      </c>
      <c r="M29" s="2951">
        <v>51.647399999999998</v>
      </c>
      <c r="N29" s="2977">
        <v>1.0999888221724099E-3</v>
      </c>
      <c r="O29" s="2948">
        <v>12</v>
      </c>
      <c r="P29" s="2949" t="s">
        <v>1071</v>
      </c>
      <c r="Q29" s="2953">
        <v>100</v>
      </c>
      <c r="R29" s="2953">
        <v>100</v>
      </c>
      <c r="S29" s="2952">
        <f t="shared" si="2"/>
        <v>200</v>
      </c>
      <c r="T29" s="2952">
        <f t="shared" si="3"/>
        <v>3400</v>
      </c>
      <c r="U29" s="2952">
        <f t="shared" si="4"/>
        <v>3400</v>
      </c>
      <c r="V29" s="2952">
        <f t="shared" si="5"/>
        <v>6800</v>
      </c>
      <c r="W29" s="2954">
        <f t="shared" si="6"/>
        <v>5164.74</v>
      </c>
      <c r="X29" s="2954">
        <f t="shared" si="7"/>
        <v>5164.74</v>
      </c>
      <c r="Y29" s="2954">
        <f t="shared" si="8"/>
        <v>10329.48</v>
      </c>
      <c r="Z29" s="2949"/>
      <c r="AA29" s="3019"/>
    </row>
    <row r="30" spans="2:27">
      <c r="C30" s="3046" t="s">
        <v>779</v>
      </c>
      <c r="D30" s="3063">
        <f>D21*D28</f>
        <v>13340</v>
      </c>
      <c r="E30" s="3085">
        <f>E21*E28</f>
        <v>16187.650749999999</v>
      </c>
      <c r="F30" s="3095">
        <f>SUM(D30:E30)</f>
        <v>29527.650750000001</v>
      </c>
      <c r="H30" s="2948" t="s">
        <v>1362</v>
      </c>
      <c r="I30" s="2953">
        <v>136</v>
      </c>
      <c r="J30" s="2950" t="s">
        <v>120</v>
      </c>
      <c r="K30" s="2948" t="s">
        <v>909</v>
      </c>
      <c r="L30" s="2951">
        <v>41.076000000000001</v>
      </c>
      <c r="M30" s="2951">
        <v>36.968400000000003</v>
      </c>
      <c r="N30" s="2977">
        <v>3.2999664665172297E-2</v>
      </c>
      <c r="O30" s="2948">
        <v>12</v>
      </c>
      <c r="P30" s="2949" t="s">
        <v>1071</v>
      </c>
      <c r="Q30" s="2953">
        <v>750</v>
      </c>
      <c r="R30" s="2953">
        <v>750</v>
      </c>
      <c r="S30" s="2952">
        <f t="shared" si="2"/>
        <v>1500</v>
      </c>
      <c r="T30" s="2952">
        <f t="shared" si="3"/>
        <v>102000</v>
      </c>
      <c r="U30" s="2952">
        <f t="shared" si="4"/>
        <v>102000</v>
      </c>
      <c r="V30" s="2952">
        <f t="shared" si="5"/>
        <v>204000</v>
      </c>
      <c r="W30" s="2954">
        <f t="shared" si="6"/>
        <v>27726.300000000003</v>
      </c>
      <c r="X30" s="2954">
        <f t="shared" si="7"/>
        <v>27726.300000000003</v>
      </c>
      <c r="Y30" s="2954">
        <f t="shared" si="8"/>
        <v>55452.600000000006</v>
      </c>
      <c r="Z30" s="2949"/>
      <c r="AA30" s="3019"/>
    </row>
    <row r="31" spans="2:27">
      <c r="C31" s="3064"/>
      <c r="D31" s="3096"/>
      <c r="E31" s="3082"/>
      <c r="F31" s="3097"/>
      <c r="H31" s="2948" t="s">
        <v>1363</v>
      </c>
      <c r="I31" s="2953">
        <v>264.44799999999998</v>
      </c>
      <c r="J31" s="2950" t="s">
        <v>120</v>
      </c>
      <c r="K31" s="2948" t="s">
        <v>909</v>
      </c>
      <c r="L31" s="2951">
        <v>79.575999999999993</v>
      </c>
      <c r="M31" s="2951">
        <v>71.618399999999994</v>
      </c>
      <c r="N31" s="2977">
        <v>2.1388959121018344E-2</v>
      </c>
      <c r="O31" s="2948">
        <v>12</v>
      </c>
      <c r="P31" s="2949" t="s">
        <v>1071</v>
      </c>
      <c r="Q31" s="2953">
        <v>250</v>
      </c>
      <c r="R31" s="2953">
        <v>250</v>
      </c>
      <c r="S31" s="2952">
        <f t="shared" si="2"/>
        <v>500</v>
      </c>
      <c r="T31" s="2952">
        <f t="shared" si="3"/>
        <v>66112</v>
      </c>
      <c r="U31" s="2952">
        <f t="shared" si="4"/>
        <v>66112</v>
      </c>
      <c r="V31" s="2952">
        <f t="shared" si="5"/>
        <v>132224</v>
      </c>
      <c r="W31" s="2954">
        <f t="shared" si="6"/>
        <v>17904.599999999999</v>
      </c>
      <c r="X31" s="2954">
        <f t="shared" si="7"/>
        <v>17904.599999999999</v>
      </c>
      <c r="Y31" s="2954">
        <f t="shared" si="8"/>
        <v>35809.199999999997</v>
      </c>
      <c r="Z31" s="2949"/>
      <c r="AA31" s="3019"/>
    </row>
    <row r="32" spans="2:27">
      <c r="C32" s="3064"/>
      <c r="D32" s="3056"/>
      <c r="E32" s="3081"/>
      <c r="F32" s="3098"/>
      <c r="H32" s="2948" t="s">
        <v>1363</v>
      </c>
      <c r="I32" s="2953">
        <v>190.072</v>
      </c>
      <c r="J32" s="2950" t="s">
        <v>120</v>
      </c>
      <c r="K32" s="2948" t="s">
        <v>909</v>
      </c>
      <c r="L32" s="2951">
        <v>79.575999999999993</v>
      </c>
      <c r="M32" s="2951">
        <v>71.618399999999994</v>
      </c>
      <c r="N32" s="2977">
        <v>1.5373314368231935E-2</v>
      </c>
      <c r="O32" s="2948">
        <v>12</v>
      </c>
      <c r="P32" s="2949" t="s">
        <v>1071</v>
      </c>
      <c r="Q32" s="2953">
        <v>250</v>
      </c>
      <c r="R32" s="2953">
        <v>250</v>
      </c>
      <c r="S32" s="2952">
        <f t="shared" si="2"/>
        <v>500</v>
      </c>
      <c r="T32" s="2952">
        <f t="shared" si="3"/>
        <v>47518</v>
      </c>
      <c r="U32" s="2952">
        <f t="shared" si="4"/>
        <v>47518</v>
      </c>
      <c r="V32" s="2952">
        <f t="shared" si="5"/>
        <v>95036</v>
      </c>
      <c r="W32" s="2954">
        <f t="shared" si="6"/>
        <v>17904.599999999999</v>
      </c>
      <c r="X32" s="2954">
        <f t="shared" si="7"/>
        <v>17904.599999999999</v>
      </c>
      <c r="Y32" s="2954">
        <f t="shared" si="8"/>
        <v>35809.199999999997</v>
      </c>
      <c r="Z32" s="2949"/>
      <c r="AA32" s="3019"/>
    </row>
    <row r="33" spans="1:27">
      <c r="C33" s="3049"/>
      <c r="D33" s="3065"/>
      <c r="E33" s="3079"/>
      <c r="F33" s="3065"/>
      <c r="H33" s="2948" t="s">
        <v>1364</v>
      </c>
      <c r="I33" s="2953">
        <v>202</v>
      </c>
      <c r="J33" s="2950" t="s">
        <v>120</v>
      </c>
      <c r="K33" s="2948" t="s">
        <v>909</v>
      </c>
      <c r="L33" s="2951">
        <v>42.503999999999998</v>
      </c>
      <c r="M33" s="2951">
        <v>38.253599999999999</v>
      </c>
      <c r="N33" s="2977">
        <v>3.2676138541003945E-3</v>
      </c>
      <c r="O33" s="2948">
        <v>12</v>
      </c>
      <c r="P33" s="2949" t="s">
        <v>1071</v>
      </c>
      <c r="Q33" s="2953">
        <v>50</v>
      </c>
      <c r="R33" s="2953">
        <v>50</v>
      </c>
      <c r="S33" s="2952">
        <f t="shared" si="2"/>
        <v>100</v>
      </c>
      <c r="T33" s="2952">
        <f t="shared" si="3"/>
        <v>10100</v>
      </c>
      <c r="U33" s="2952">
        <f t="shared" si="4"/>
        <v>10100</v>
      </c>
      <c r="V33" s="2952">
        <f t="shared" si="5"/>
        <v>20200</v>
      </c>
      <c r="W33" s="2954">
        <f t="shared" si="6"/>
        <v>1912.6799999999998</v>
      </c>
      <c r="X33" s="2954">
        <f t="shared" si="7"/>
        <v>1912.6799999999998</v>
      </c>
      <c r="Y33" s="2954">
        <f t="shared" si="8"/>
        <v>3825.3599999999997</v>
      </c>
      <c r="Z33" s="2949"/>
      <c r="AA33" s="3019"/>
    </row>
    <row r="34" spans="1:27" ht="25.5">
      <c r="A34" s="3004" t="s">
        <v>1492</v>
      </c>
      <c r="C34" s="3037" t="s">
        <v>49</v>
      </c>
      <c r="D34" s="3038">
        <f>SUM(D35:D38)</f>
        <v>10000</v>
      </c>
      <c r="E34" s="3075">
        <f>SUM(E35:E38)</f>
        <v>10000</v>
      </c>
      <c r="F34" s="3022">
        <f>D34+E34</f>
        <v>20000</v>
      </c>
      <c r="H34" s="2948" t="s">
        <v>1365</v>
      </c>
      <c r="I34" s="2953">
        <v>421.464</v>
      </c>
      <c r="J34" s="2950" t="s">
        <v>120</v>
      </c>
      <c r="K34" s="2948" t="s">
        <v>909</v>
      </c>
      <c r="L34" s="2951">
        <v>105.50399999999999</v>
      </c>
      <c r="M34" s="2951">
        <v>94.953599999999994</v>
      </c>
      <c r="N34" s="2977">
        <v>3.4088653599122988E-3</v>
      </c>
      <c r="O34" s="2948">
        <v>12</v>
      </c>
      <c r="P34" s="2949" t="s">
        <v>1071</v>
      </c>
      <c r="Q34" s="2953">
        <v>25</v>
      </c>
      <c r="R34" s="2953">
        <v>25</v>
      </c>
      <c r="S34" s="2952">
        <f t="shared" si="2"/>
        <v>50</v>
      </c>
      <c r="T34" s="2952">
        <f t="shared" si="3"/>
        <v>10536.6</v>
      </c>
      <c r="U34" s="2952">
        <f t="shared" si="4"/>
        <v>10536.6</v>
      </c>
      <c r="V34" s="2952">
        <f t="shared" si="5"/>
        <v>21073.200000000001</v>
      </c>
      <c r="W34" s="2954">
        <f t="shared" si="6"/>
        <v>2373.8399999999997</v>
      </c>
      <c r="X34" s="2954">
        <f t="shared" si="7"/>
        <v>2373.8399999999997</v>
      </c>
      <c r="Y34" s="2954">
        <f t="shared" si="8"/>
        <v>4747.6799999999994</v>
      </c>
      <c r="Z34" s="2949"/>
      <c r="AA34" s="3019"/>
    </row>
    <row r="35" spans="1:27">
      <c r="A35" s="3004" t="s">
        <v>278</v>
      </c>
      <c r="C35" s="3046"/>
      <c r="D35" s="3062">
        <v>10000</v>
      </c>
      <c r="E35" s="3086">
        <v>10000</v>
      </c>
      <c r="F35" s="3095">
        <f>SUM(D35:E35)</f>
        <v>20000</v>
      </c>
      <c r="H35" s="2948" t="s">
        <v>1365</v>
      </c>
      <c r="I35" s="2953">
        <v>280.976</v>
      </c>
      <c r="J35" s="2950" t="s">
        <v>120</v>
      </c>
      <c r="K35" s="2948" t="s">
        <v>909</v>
      </c>
      <c r="L35" s="2951">
        <v>105.50399999999999</v>
      </c>
      <c r="M35" s="2951">
        <v>94.953599999999994</v>
      </c>
      <c r="N35" s="2977">
        <v>2.2725769066081988E-3</v>
      </c>
      <c r="O35" s="2948">
        <v>12</v>
      </c>
      <c r="P35" s="2949" t="s">
        <v>1071</v>
      </c>
      <c r="Q35" s="2953">
        <v>25</v>
      </c>
      <c r="R35" s="2953">
        <v>25</v>
      </c>
      <c r="S35" s="2952">
        <f t="shared" si="2"/>
        <v>50</v>
      </c>
      <c r="T35" s="2952">
        <f t="shared" si="3"/>
        <v>7024.4</v>
      </c>
      <c r="U35" s="2952">
        <f t="shared" si="4"/>
        <v>7024.4</v>
      </c>
      <c r="V35" s="2952">
        <f t="shared" si="5"/>
        <v>14048.8</v>
      </c>
      <c r="W35" s="2954">
        <f t="shared" si="6"/>
        <v>2373.8399999999997</v>
      </c>
      <c r="X35" s="2954">
        <f t="shared" si="7"/>
        <v>2373.8399999999997</v>
      </c>
      <c r="Y35" s="2954">
        <f t="shared" si="8"/>
        <v>4747.6799999999994</v>
      </c>
      <c r="Z35" s="2949"/>
      <c r="AA35" s="3019"/>
    </row>
    <row r="36" spans="1:27">
      <c r="A36" s="3004" t="s">
        <v>6</v>
      </c>
      <c r="C36" s="3046"/>
      <c r="D36" s="3062"/>
      <c r="E36" s="3086"/>
      <c r="F36" s="3095">
        <f>SUM(D36:E36)</f>
        <v>0</v>
      </c>
      <c r="H36" s="2948" t="s">
        <v>1366</v>
      </c>
      <c r="I36" s="2953">
        <v>446</v>
      </c>
      <c r="J36" s="2950" t="s">
        <v>120</v>
      </c>
      <c r="K36" s="2948" t="s">
        <v>909</v>
      </c>
      <c r="L36" s="2951">
        <v>57.357999999999997</v>
      </c>
      <c r="M36" s="2951">
        <v>51.622199999999999</v>
      </c>
      <c r="N36" s="2977">
        <v>3.6073162844771682E-2</v>
      </c>
      <c r="O36" s="2948">
        <v>12</v>
      </c>
      <c r="P36" s="2949" t="s">
        <v>1071</v>
      </c>
      <c r="Q36" s="2953">
        <v>250</v>
      </c>
      <c r="R36" s="2953">
        <v>250</v>
      </c>
      <c r="S36" s="2952">
        <f t="shared" si="2"/>
        <v>500</v>
      </c>
      <c r="T36" s="2952">
        <f t="shared" si="3"/>
        <v>111500</v>
      </c>
      <c r="U36" s="2952">
        <f t="shared" si="4"/>
        <v>111500</v>
      </c>
      <c r="V36" s="2952">
        <f t="shared" si="5"/>
        <v>223000</v>
      </c>
      <c r="W36" s="2954">
        <f t="shared" si="6"/>
        <v>12905.55</v>
      </c>
      <c r="X36" s="2954">
        <f t="shared" si="7"/>
        <v>12905.55</v>
      </c>
      <c r="Y36" s="2954">
        <f t="shared" si="8"/>
        <v>25811.1</v>
      </c>
      <c r="Z36" s="2949"/>
      <c r="AA36" s="3019"/>
    </row>
    <row r="37" spans="1:27">
      <c r="A37" s="3004" t="s">
        <v>1494</v>
      </c>
      <c r="C37" s="3046"/>
      <c r="D37" s="3062"/>
      <c r="E37" s="3086"/>
      <c r="F37" s="3095">
        <f>SUM(D37:E37)</f>
        <v>0</v>
      </c>
      <c r="H37" s="2948" t="s">
        <v>1367</v>
      </c>
      <c r="I37" s="2953">
        <v>462.78399999999999</v>
      </c>
      <c r="J37" s="2950" t="s">
        <v>120</v>
      </c>
      <c r="K37" s="2948" t="s">
        <v>909</v>
      </c>
      <c r="L37" s="2951">
        <v>99.35799999999999</v>
      </c>
      <c r="M37" s="2951">
        <v>89.422199999999989</v>
      </c>
      <c r="N37" s="2977">
        <v>7.4861356923564201E-3</v>
      </c>
      <c r="O37" s="2948">
        <v>12</v>
      </c>
      <c r="P37" s="2949" t="s">
        <v>1071</v>
      </c>
      <c r="Q37" s="2953">
        <v>50</v>
      </c>
      <c r="R37" s="2953">
        <v>50</v>
      </c>
      <c r="S37" s="2952">
        <f t="shared" si="2"/>
        <v>100</v>
      </c>
      <c r="T37" s="2952">
        <f t="shared" si="3"/>
        <v>23139.200000000001</v>
      </c>
      <c r="U37" s="2952">
        <f t="shared" si="4"/>
        <v>23139.200000000001</v>
      </c>
      <c r="V37" s="2952">
        <f t="shared" si="5"/>
        <v>46278.400000000001</v>
      </c>
      <c r="W37" s="2954">
        <f t="shared" si="6"/>
        <v>4471.1099999999997</v>
      </c>
      <c r="X37" s="2954">
        <f t="shared" si="7"/>
        <v>4471.1099999999997</v>
      </c>
      <c r="Y37" s="2954">
        <f t="shared" si="8"/>
        <v>8942.2199999999993</v>
      </c>
      <c r="Z37" s="2949"/>
      <c r="AA37" s="3019"/>
    </row>
    <row r="38" spans="1:27">
      <c r="A38" s="3004" t="s">
        <v>5</v>
      </c>
      <c r="C38" s="3046"/>
      <c r="D38" s="3062"/>
      <c r="E38" s="3086"/>
      <c r="F38" s="3095">
        <f>SUM(D38:E38)</f>
        <v>0</v>
      </c>
      <c r="H38" s="2948" t="s">
        <v>1367</v>
      </c>
      <c r="I38" s="2953">
        <v>322.29599999999999</v>
      </c>
      <c r="J38" s="2950" t="s">
        <v>120</v>
      </c>
      <c r="K38" s="2948" t="s">
        <v>909</v>
      </c>
      <c r="L38" s="2951">
        <v>99.35799999999999</v>
      </c>
      <c r="M38" s="2951">
        <v>89.422199999999989</v>
      </c>
      <c r="N38" s="2977">
        <v>2.6067793928741105E-3</v>
      </c>
      <c r="O38" s="2948">
        <v>12</v>
      </c>
      <c r="P38" s="2949" t="s">
        <v>1071</v>
      </c>
      <c r="Q38" s="2953">
        <v>25</v>
      </c>
      <c r="R38" s="2953">
        <v>25</v>
      </c>
      <c r="S38" s="2952">
        <f t="shared" si="2"/>
        <v>50</v>
      </c>
      <c r="T38" s="2952">
        <f t="shared" si="3"/>
        <v>8057.4</v>
      </c>
      <c r="U38" s="2952">
        <f t="shared" si="4"/>
        <v>8057.4</v>
      </c>
      <c r="V38" s="2952">
        <f t="shared" si="5"/>
        <v>16114.8</v>
      </c>
      <c r="W38" s="2954">
        <f t="shared" si="6"/>
        <v>2235.5549999999998</v>
      </c>
      <c r="X38" s="2954">
        <f t="shared" si="7"/>
        <v>2235.5549999999998</v>
      </c>
      <c r="Y38" s="2954">
        <f t="shared" si="8"/>
        <v>4471.1099999999997</v>
      </c>
      <c r="Z38" s="2949"/>
      <c r="AA38" s="3019"/>
    </row>
    <row r="39" spans="1:27">
      <c r="A39" s="2994"/>
      <c r="C39" s="3049"/>
      <c r="D39" s="3065"/>
      <c r="E39" s="3079"/>
      <c r="F39" s="3065"/>
      <c r="H39" s="2948" t="s">
        <v>1368</v>
      </c>
      <c r="I39" s="2953">
        <v>273</v>
      </c>
      <c r="J39" s="2950" t="s">
        <v>120</v>
      </c>
      <c r="K39" s="2948" t="s">
        <v>909</v>
      </c>
      <c r="L39" s="2951">
        <v>50.722000000000001</v>
      </c>
      <c r="M39" s="2951">
        <v>45.649799999999999</v>
      </c>
      <c r="N39" s="2977">
        <v>8.8322631897961162E-3</v>
      </c>
      <c r="O39" s="2948">
        <v>12</v>
      </c>
      <c r="P39" s="2949" t="s">
        <v>1071</v>
      </c>
      <c r="Q39" s="2953">
        <v>100</v>
      </c>
      <c r="R39" s="2953">
        <v>100</v>
      </c>
      <c r="S39" s="2952">
        <f t="shared" si="2"/>
        <v>200</v>
      </c>
      <c r="T39" s="2952">
        <f t="shared" si="3"/>
        <v>27300</v>
      </c>
      <c r="U39" s="2952">
        <f t="shared" si="4"/>
        <v>27300</v>
      </c>
      <c r="V39" s="2952">
        <f t="shared" si="5"/>
        <v>54600</v>
      </c>
      <c r="W39" s="2954">
        <f t="shared" si="6"/>
        <v>4564.9799999999996</v>
      </c>
      <c r="X39" s="2954">
        <f t="shared" si="7"/>
        <v>4564.9799999999996</v>
      </c>
      <c r="Y39" s="2954">
        <f t="shared" si="8"/>
        <v>9129.9599999999991</v>
      </c>
      <c r="Z39" s="2949"/>
      <c r="AA39" s="3019"/>
    </row>
    <row r="40" spans="1:27">
      <c r="A40" s="2994"/>
      <c r="C40" s="3037" t="s">
        <v>506</v>
      </c>
      <c r="D40" s="3038">
        <f>SUM(D41:D44)</f>
        <v>10000</v>
      </c>
      <c r="E40" s="3075">
        <f>SUM(E41:E44)</f>
        <v>10000</v>
      </c>
      <c r="F40" s="3022">
        <f>D40+E40</f>
        <v>20000</v>
      </c>
      <c r="H40" s="2948" t="s">
        <v>1369</v>
      </c>
      <c r="I40" s="2953">
        <v>524.76400000000001</v>
      </c>
      <c r="J40" s="2950" t="s">
        <v>120</v>
      </c>
      <c r="K40" s="2948" t="s">
        <v>909</v>
      </c>
      <c r="L40" s="2951">
        <v>134.72200000000001</v>
      </c>
      <c r="M40" s="2951">
        <v>121.24980000000001</v>
      </c>
      <c r="N40" s="2977">
        <v>8.4887431511541551E-3</v>
      </c>
      <c r="O40" s="2948">
        <v>12</v>
      </c>
      <c r="P40" s="2949" t="s">
        <v>1071</v>
      </c>
      <c r="Q40" s="2953">
        <v>50</v>
      </c>
      <c r="R40" s="2953">
        <v>50</v>
      </c>
      <c r="S40" s="2952">
        <f t="shared" si="2"/>
        <v>100</v>
      </c>
      <c r="T40" s="2952">
        <f t="shared" si="3"/>
        <v>26238.2</v>
      </c>
      <c r="U40" s="2952">
        <f t="shared" si="4"/>
        <v>26238.2</v>
      </c>
      <c r="V40" s="2952">
        <f t="shared" si="5"/>
        <v>52476.4</v>
      </c>
      <c r="W40" s="2954">
        <f t="shared" si="6"/>
        <v>6062.4900000000007</v>
      </c>
      <c r="X40" s="2954">
        <f t="shared" si="7"/>
        <v>6062.4900000000007</v>
      </c>
      <c r="Y40" s="2954">
        <f t="shared" si="8"/>
        <v>12124.980000000001</v>
      </c>
      <c r="Z40" s="2949"/>
      <c r="AA40" s="3019"/>
    </row>
    <row r="41" spans="1:27">
      <c r="C41" s="3046"/>
      <c r="D41" s="3062">
        <v>10000</v>
      </c>
      <c r="E41" s="3086">
        <v>10000</v>
      </c>
      <c r="F41" s="3095">
        <f>SUM(D41:E41)</f>
        <v>20000</v>
      </c>
      <c r="H41" s="2948" t="s">
        <v>1369</v>
      </c>
      <c r="I41" s="2953">
        <v>376.012</v>
      </c>
      <c r="J41" s="2950" t="s">
        <v>120</v>
      </c>
      <c r="K41" s="2948" t="s">
        <v>909</v>
      </c>
      <c r="L41" s="2951">
        <v>134.72200000000001</v>
      </c>
      <c r="M41" s="2951">
        <v>121.24980000000001</v>
      </c>
      <c r="N41" s="2977">
        <v>3.0412426250197955E-3</v>
      </c>
      <c r="O41" s="2948">
        <v>12</v>
      </c>
      <c r="P41" s="2949" t="s">
        <v>1071</v>
      </c>
      <c r="Q41" s="2953">
        <v>25</v>
      </c>
      <c r="R41" s="2953">
        <v>25</v>
      </c>
      <c r="S41" s="2952">
        <f t="shared" si="2"/>
        <v>50</v>
      </c>
      <c r="T41" s="2952">
        <f t="shared" si="3"/>
        <v>9400.2999999999993</v>
      </c>
      <c r="U41" s="2952">
        <f t="shared" si="4"/>
        <v>9400.2999999999993</v>
      </c>
      <c r="V41" s="2952">
        <f t="shared" si="5"/>
        <v>18800.599999999999</v>
      </c>
      <c r="W41" s="2954">
        <f t="shared" si="6"/>
        <v>3031.2450000000003</v>
      </c>
      <c r="X41" s="2954">
        <f t="shared" si="7"/>
        <v>3031.2450000000003</v>
      </c>
      <c r="Y41" s="2954">
        <f t="shared" si="8"/>
        <v>6062.4900000000007</v>
      </c>
      <c r="Z41" s="2949"/>
      <c r="AA41" s="3019"/>
    </row>
    <row r="42" spans="1:27">
      <c r="C42" s="3046"/>
      <c r="D42" s="3062"/>
      <c r="E42" s="3086"/>
      <c r="F42" s="3095">
        <f>SUM(D42:E42)</f>
        <v>0</v>
      </c>
      <c r="H42" s="2948" t="s">
        <v>1370</v>
      </c>
      <c r="I42" s="2953">
        <v>202</v>
      </c>
      <c r="J42" s="2950" t="s">
        <v>120</v>
      </c>
      <c r="K42" s="2948" t="s">
        <v>909</v>
      </c>
      <c r="L42" s="2951">
        <v>60.451999999999998</v>
      </c>
      <c r="M42" s="2951">
        <v>54.406799999999997</v>
      </c>
      <c r="N42" s="2977">
        <v>8.1690346352509859E-3</v>
      </c>
      <c r="O42" s="2948">
        <v>12</v>
      </c>
      <c r="P42" s="2949" t="s">
        <v>1071</v>
      </c>
      <c r="Q42" s="2953">
        <v>125</v>
      </c>
      <c r="R42" s="2953">
        <v>125</v>
      </c>
      <c r="S42" s="2952">
        <f t="shared" si="2"/>
        <v>250</v>
      </c>
      <c r="T42" s="2952">
        <f t="shared" si="3"/>
        <v>25250</v>
      </c>
      <c r="U42" s="2952">
        <f t="shared" si="4"/>
        <v>25250</v>
      </c>
      <c r="V42" s="2952">
        <f t="shared" si="5"/>
        <v>50500</v>
      </c>
      <c r="W42" s="2954">
        <f t="shared" si="6"/>
        <v>6800.8499999999995</v>
      </c>
      <c r="X42" s="2954">
        <f t="shared" si="7"/>
        <v>6800.8499999999995</v>
      </c>
      <c r="Y42" s="2954">
        <f t="shared" si="8"/>
        <v>13601.699999999999</v>
      </c>
      <c r="Z42" s="2949"/>
      <c r="AA42" s="3019"/>
    </row>
    <row r="43" spans="1:27">
      <c r="C43" s="3046"/>
      <c r="D43" s="3062"/>
      <c r="E43" s="3086"/>
      <c r="F43" s="3095">
        <f>SUM(D43:E43)</f>
        <v>0</v>
      </c>
      <c r="H43" s="2948" t="s">
        <v>1371</v>
      </c>
      <c r="I43" s="2953">
        <v>561.952</v>
      </c>
      <c r="J43" s="2950" t="s">
        <v>120</v>
      </c>
      <c r="K43" s="2948" t="s">
        <v>909</v>
      </c>
      <c r="L43" s="2951">
        <v>109.452</v>
      </c>
      <c r="M43" s="2951">
        <v>98.506799999999998</v>
      </c>
      <c r="N43" s="2977">
        <v>4.5451538132163976E-3</v>
      </c>
      <c r="O43" s="2948">
        <v>12</v>
      </c>
      <c r="P43" s="2949" t="s">
        <v>1071</v>
      </c>
      <c r="Q43" s="2953">
        <v>25</v>
      </c>
      <c r="R43" s="2953">
        <v>25</v>
      </c>
      <c r="S43" s="2952">
        <f t="shared" si="2"/>
        <v>50</v>
      </c>
      <c r="T43" s="2952">
        <f t="shared" si="3"/>
        <v>14048.8</v>
      </c>
      <c r="U43" s="2952">
        <f t="shared" si="4"/>
        <v>14048.8</v>
      </c>
      <c r="V43" s="2952">
        <f t="shared" si="5"/>
        <v>28097.599999999999</v>
      </c>
      <c r="W43" s="2954">
        <f t="shared" si="6"/>
        <v>2462.67</v>
      </c>
      <c r="X43" s="2954">
        <f t="shared" si="7"/>
        <v>2462.67</v>
      </c>
      <c r="Y43" s="2954">
        <f t="shared" si="8"/>
        <v>4925.34</v>
      </c>
      <c r="Z43" s="2949"/>
      <c r="AA43" s="3019"/>
    </row>
    <row r="44" spans="1:27">
      <c r="C44" s="3046"/>
      <c r="D44" s="3062"/>
      <c r="E44" s="3086"/>
      <c r="F44" s="3095">
        <f>SUM(D44:E44)</f>
        <v>0</v>
      </c>
      <c r="H44" s="2948" t="s">
        <v>1371</v>
      </c>
      <c r="I44" s="2953">
        <v>413.2</v>
      </c>
      <c r="J44" s="2950" t="s">
        <v>120</v>
      </c>
      <c r="K44" s="2948" t="s">
        <v>909</v>
      </c>
      <c r="L44" s="2951">
        <v>109.452</v>
      </c>
      <c r="M44" s="2951">
        <v>98.506799999999998</v>
      </c>
      <c r="N44" s="2977">
        <v>3.3420248626591163E-3</v>
      </c>
      <c r="O44" s="2948">
        <v>12</v>
      </c>
      <c r="P44" s="2949" t="s">
        <v>1071</v>
      </c>
      <c r="Q44" s="2953">
        <v>25</v>
      </c>
      <c r="R44" s="2953">
        <v>25</v>
      </c>
      <c r="S44" s="2952">
        <f t="shared" si="2"/>
        <v>50</v>
      </c>
      <c r="T44" s="2952">
        <f t="shared" si="3"/>
        <v>10330</v>
      </c>
      <c r="U44" s="2952">
        <f t="shared" si="4"/>
        <v>10330</v>
      </c>
      <c r="V44" s="2952">
        <f t="shared" si="5"/>
        <v>20660</v>
      </c>
      <c r="W44" s="2954">
        <f t="shared" si="6"/>
        <v>2462.67</v>
      </c>
      <c r="X44" s="2954">
        <f t="shared" si="7"/>
        <v>2462.67</v>
      </c>
      <c r="Y44" s="2954">
        <f t="shared" si="8"/>
        <v>4925.34</v>
      </c>
      <c r="Z44" s="2949"/>
      <c r="AA44" s="3019"/>
    </row>
    <row r="45" spans="1:27">
      <c r="C45" s="3049"/>
      <c r="D45" s="3065"/>
      <c r="E45" s="3079"/>
      <c r="F45" s="3065"/>
      <c r="H45" s="2948" t="s">
        <v>1372</v>
      </c>
      <c r="I45" s="2953">
        <v>446</v>
      </c>
      <c r="J45" s="2950" t="s">
        <v>120</v>
      </c>
      <c r="K45" s="2948" t="s">
        <v>909</v>
      </c>
      <c r="L45" s="2951">
        <v>57.806000000000004</v>
      </c>
      <c r="M45" s="2951">
        <v>52.025400000000005</v>
      </c>
      <c r="N45" s="2977">
        <v>1.8036581422385841E-2</v>
      </c>
      <c r="O45" s="2948">
        <v>12</v>
      </c>
      <c r="P45" s="2949" t="s">
        <v>1071</v>
      </c>
      <c r="Q45" s="2953">
        <v>125</v>
      </c>
      <c r="R45" s="2953">
        <v>125</v>
      </c>
      <c r="S45" s="2952">
        <f t="shared" si="2"/>
        <v>250</v>
      </c>
      <c r="T45" s="2952">
        <f t="shared" si="3"/>
        <v>55750</v>
      </c>
      <c r="U45" s="2952">
        <f t="shared" si="4"/>
        <v>55750</v>
      </c>
      <c r="V45" s="2952">
        <f t="shared" si="5"/>
        <v>111500</v>
      </c>
      <c r="W45" s="2954">
        <f t="shared" si="6"/>
        <v>6503.1750000000002</v>
      </c>
      <c r="X45" s="2954">
        <f t="shared" si="7"/>
        <v>6503.1750000000002</v>
      </c>
      <c r="Y45" s="2954">
        <f t="shared" si="8"/>
        <v>13006.35</v>
      </c>
      <c r="Z45" s="2949"/>
      <c r="AA45" s="3019"/>
    </row>
    <row r="46" spans="1:27">
      <c r="C46" s="3037" t="s">
        <v>50</v>
      </c>
      <c r="D46" s="3038">
        <f>SUM(D47:D50)</f>
        <v>60000</v>
      </c>
      <c r="E46" s="3075">
        <f>SUM(E47:E50)</f>
        <v>60000</v>
      </c>
      <c r="F46" s="3022">
        <f>D46+E46</f>
        <v>120000</v>
      </c>
      <c r="H46" s="2948" t="s">
        <v>1373</v>
      </c>
      <c r="I46" s="2953">
        <v>599.14</v>
      </c>
      <c r="J46" s="2950" t="s">
        <v>120</v>
      </c>
      <c r="K46" s="2948" t="s">
        <v>909</v>
      </c>
      <c r="L46" s="2951">
        <v>99.805999999999983</v>
      </c>
      <c r="M46" s="2951">
        <v>89.825399999999988</v>
      </c>
      <c r="N46" s="2977">
        <v>9.6918721017114368E-3</v>
      </c>
      <c r="O46" s="2948">
        <v>12</v>
      </c>
      <c r="P46" s="2949" t="s">
        <v>1071</v>
      </c>
      <c r="Q46" s="2953">
        <v>50</v>
      </c>
      <c r="R46" s="2953">
        <v>50</v>
      </c>
      <c r="S46" s="2952">
        <f t="shared" si="2"/>
        <v>100</v>
      </c>
      <c r="T46" s="2952">
        <f t="shared" si="3"/>
        <v>29957</v>
      </c>
      <c r="U46" s="2952">
        <f t="shared" si="4"/>
        <v>29957</v>
      </c>
      <c r="V46" s="2952">
        <f t="shared" si="5"/>
        <v>59914</v>
      </c>
      <c r="W46" s="2954">
        <f t="shared" si="6"/>
        <v>4491.2699999999995</v>
      </c>
      <c r="X46" s="2954">
        <f t="shared" si="7"/>
        <v>4491.2699999999995</v>
      </c>
      <c r="Y46" s="2954">
        <f t="shared" si="8"/>
        <v>8982.5399999999991</v>
      </c>
      <c r="Z46" s="2949"/>
      <c r="AA46" s="3019"/>
    </row>
    <row r="47" spans="1:27">
      <c r="C47" s="3046"/>
      <c r="D47" s="3062">
        <v>60000</v>
      </c>
      <c r="E47" s="3086">
        <v>60000</v>
      </c>
      <c r="F47" s="3095">
        <f>SUM(D47:E47)</f>
        <v>120000</v>
      </c>
      <c r="H47" s="2948" t="s">
        <v>1373</v>
      </c>
      <c r="I47" s="2953">
        <v>450.38799999999998</v>
      </c>
      <c r="J47" s="2950" t="s">
        <v>120</v>
      </c>
      <c r="K47" s="2948" t="s">
        <v>909</v>
      </c>
      <c r="L47" s="2951">
        <v>99.805999999999983</v>
      </c>
      <c r="M47" s="2951">
        <v>89.825399999999988</v>
      </c>
      <c r="N47" s="2977">
        <v>7.2856142005968726E-3</v>
      </c>
      <c r="O47" s="2948">
        <v>12</v>
      </c>
      <c r="P47" s="2949" t="s">
        <v>1071</v>
      </c>
      <c r="Q47" s="2953">
        <v>50</v>
      </c>
      <c r="R47" s="2953">
        <v>50</v>
      </c>
      <c r="S47" s="2952">
        <f t="shared" si="2"/>
        <v>100</v>
      </c>
      <c r="T47" s="2952">
        <f t="shared" si="3"/>
        <v>22519.399999999998</v>
      </c>
      <c r="U47" s="2952">
        <f t="shared" si="4"/>
        <v>22519.399999999998</v>
      </c>
      <c r="V47" s="2952">
        <f t="shared" si="5"/>
        <v>45038.799999999996</v>
      </c>
      <c r="W47" s="2954">
        <f t="shared" si="6"/>
        <v>4491.2699999999995</v>
      </c>
      <c r="X47" s="2954">
        <f t="shared" si="7"/>
        <v>4491.2699999999995</v>
      </c>
      <c r="Y47" s="2954">
        <f t="shared" si="8"/>
        <v>8982.5399999999991</v>
      </c>
      <c r="Z47" s="2949"/>
      <c r="AA47" s="3019"/>
    </row>
    <row r="48" spans="1:27">
      <c r="C48" s="3046"/>
      <c r="D48" s="3062"/>
      <c r="E48" s="3086"/>
      <c r="F48" s="3095">
        <f>SUM(D48:E48)</f>
        <v>0</v>
      </c>
      <c r="H48" s="2948" t="s">
        <v>1374</v>
      </c>
      <c r="I48" s="2953">
        <v>77</v>
      </c>
      <c r="J48" s="2950" t="s">
        <v>120</v>
      </c>
      <c r="K48" s="2948" t="s">
        <v>909</v>
      </c>
      <c r="L48" s="2951">
        <v>60.437999999999995</v>
      </c>
      <c r="M48" s="2951">
        <v>54.394199999999998</v>
      </c>
      <c r="N48" s="2977">
        <v>2.4911511560963403E-3</v>
      </c>
      <c r="O48" s="2948">
        <v>12</v>
      </c>
      <c r="P48" s="2949" t="s">
        <v>1071</v>
      </c>
      <c r="Q48" s="2953">
        <v>100</v>
      </c>
      <c r="R48" s="2953">
        <v>100</v>
      </c>
      <c r="S48" s="2952">
        <f t="shared" ref="S48:S79" si="9">Q48+R48</f>
        <v>200</v>
      </c>
      <c r="T48" s="2952">
        <f t="shared" ref="T48:T79" si="10">I48*Q48</f>
        <v>7700</v>
      </c>
      <c r="U48" s="2952">
        <f t="shared" ref="U48:U79" si="11">I48*R48</f>
        <v>7700</v>
      </c>
      <c r="V48" s="2952">
        <f t="shared" ref="V48:V79" si="12">T48+U48</f>
        <v>15400</v>
      </c>
      <c r="W48" s="2954">
        <f t="shared" ref="W48:W79" si="13">M48*Q48</f>
        <v>5439.42</v>
      </c>
      <c r="X48" s="2954">
        <f t="shared" ref="X48:X79" si="14">M48*R48</f>
        <v>5439.42</v>
      </c>
      <c r="Y48" s="2954">
        <f t="shared" ref="Y48:Y79" si="15">W48+X48</f>
        <v>10878.84</v>
      </c>
      <c r="Z48" s="2949"/>
      <c r="AA48" s="3019"/>
    </row>
    <row r="49" spans="1:27">
      <c r="C49" s="3046"/>
      <c r="D49" s="3062"/>
      <c r="E49" s="3086"/>
      <c r="F49" s="3095">
        <f>SUM(D49:E49)</f>
        <v>0</v>
      </c>
      <c r="H49" s="2948" t="s">
        <v>1375</v>
      </c>
      <c r="I49" s="2953">
        <v>231.392</v>
      </c>
      <c r="J49" s="2950" t="s">
        <v>120</v>
      </c>
      <c r="K49" s="2948" t="s">
        <v>909</v>
      </c>
      <c r="L49" s="2951">
        <v>102.438</v>
      </c>
      <c r="M49" s="2951">
        <v>92.194200000000009</v>
      </c>
      <c r="N49" s="2977">
        <v>1.871533923089105E-3</v>
      </c>
      <c r="O49" s="2948">
        <v>12</v>
      </c>
      <c r="P49" s="2949" t="s">
        <v>1071</v>
      </c>
      <c r="Q49" s="2953">
        <v>25</v>
      </c>
      <c r="R49" s="2953">
        <v>25</v>
      </c>
      <c r="S49" s="2952">
        <f t="shared" si="9"/>
        <v>50</v>
      </c>
      <c r="T49" s="2952">
        <f t="shared" si="10"/>
        <v>5784.8</v>
      </c>
      <c r="U49" s="2952">
        <f t="shared" si="11"/>
        <v>5784.8</v>
      </c>
      <c r="V49" s="2952">
        <f t="shared" si="12"/>
        <v>11569.6</v>
      </c>
      <c r="W49" s="2954">
        <f t="shared" si="13"/>
        <v>2304.855</v>
      </c>
      <c r="X49" s="2954">
        <f t="shared" si="14"/>
        <v>2304.855</v>
      </c>
      <c r="Y49" s="2954">
        <f t="shared" si="15"/>
        <v>4609.71</v>
      </c>
      <c r="Z49" s="2949"/>
      <c r="AA49" s="3019"/>
    </row>
    <row r="50" spans="1:27">
      <c r="C50" s="3046"/>
      <c r="D50" s="3062"/>
      <c r="E50" s="3086"/>
      <c r="F50" s="3095">
        <f>SUM(D50:E50)</f>
        <v>0</v>
      </c>
      <c r="H50" s="2948" t="s">
        <v>1375</v>
      </c>
      <c r="I50" s="2953">
        <v>165.28</v>
      </c>
      <c r="J50" s="2950" t="s">
        <v>120</v>
      </c>
      <c r="K50" s="2948" t="s">
        <v>909</v>
      </c>
      <c r="L50" s="2951">
        <v>102.438</v>
      </c>
      <c r="M50" s="2951">
        <v>92.194200000000009</v>
      </c>
      <c r="N50" s="2977">
        <v>1.3368099450636465E-3</v>
      </c>
      <c r="O50" s="2948">
        <v>12</v>
      </c>
      <c r="P50" s="2949" t="s">
        <v>1071</v>
      </c>
      <c r="Q50" s="2953">
        <v>25</v>
      </c>
      <c r="R50" s="2953">
        <v>25</v>
      </c>
      <c r="S50" s="2952">
        <f t="shared" si="9"/>
        <v>50</v>
      </c>
      <c r="T50" s="2952">
        <f t="shared" si="10"/>
        <v>4132</v>
      </c>
      <c r="U50" s="2952">
        <f t="shared" si="11"/>
        <v>4132</v>
      </c>
      <c r="V50" s="2952">
        <f t="shared" si="12"/>
        <v>8264</v>
      </c>
      <c r="W50" s="2954">
        <f t="shared" si="13"/>
        <v>2304.855</v>
      </c>
      <c r="X50" s="2954">
        <f t="shared" si="14"/>
        <v>2304.855</v>
      </c>
      <c r="Y50" s="2954">
        <f t="shared" si="15"/>
        <v>4609.71</v>
      </c>
      <c r="Z50" s="2949"/>
      <c r="AA50" s="3019"/>
    </row>
    <row r="51" spans="1:27">
      <c r="C51" s="3049"/>
      <c r="D51" s="3065"/>
      <c r="E51" s="3079"/>
      <c r="F51" s="3065"/>
      <c r="H51" s="2948" t="s">
        <v>1376</v>
      </c>
      <c r="I51" s="2953">
        <v>103</v>
      </c>
      <c r="J51" s="2950" t="s">
        <v>120</v>
      </c>
      <c r="K51" s="2948" t="s">
        <v>909</v>
      </c>
      <c r="L51" s="2951">
        <v>70.587999999999994</v>
      </c>
      <c r="M51" s="2951">
        <v>63.529199999999996</v>
      </c>
      <c r="N51" s="2977">
        <v>3.3323190789340657E-3</v>
      </c>
      <c r="O51" s="2948">
        <v>12</v>
      </c>
      <c r="P51" s="2949" t="s">
        <v>1071</v>
      </c>
      <c r="Q51" s="2953">
        <v>100</v>
      </c>
      <c r="R51" s="2953">
        <v>100</v>
      </c>
      <c r="S51" s="2952">
        <f t="shared" si="9"/>
        <v>200</v>
      </c>
      <c r="T51" s="2952">
        <f t="shared" si="10"/>
        <v>10300</v>
      </c>
      <c r="U51" s="2952">
        <f t="shared" si="11"/>
        <v>10300</v>
      </c>
      <c r="V51" s="2952">
        <f t="shared" si="12"/>
        <v>20600</v>
      </c>
      <c r="W51" s="2954">
        <f t="shared" si="13"/>
        <v>6352.9199999999992</v>
      </c>
      <c r="X51" s="2954">
        <f t="shared" si="14"/>
        <v>6352.9199999999992</v>
      </c>
      <c r="Y51" s="2954">
        <f t="shared" si="15"/>
        <v>12705.839999999998</v>
      </c>
      <c r="Z51" s="2949"/>
      <c r="AA51" s="3019"/>
    </row>
    <row r="52" spans="1:27">
      <c r="C52" s="3037" t="s">
        <v>51</v>
      </c>
      <c r="D52" s="3038">
        <f>SUM(D53:D56)</f>
        <v>1000</v>
      </c>
      <c r="E52" s="3075">
        <f>SUM(E53:E56)</f>
        <v>1000</v>
      </c>
      <c r="F52" s="3022">
        <f>D52+E52</f>
        <v>2000</v>
      </c>
      <c r="H52" s="2948" t="s">
        <v>1377</v>
      </c>
      <c r="I52" s="2953">
        <v>466.916</v>
      </c>
      <c r="J52" s="2950" t="s">
        <v>120</v>
      </c>
      <c r="K52" s="2948" t="s">
        <v>909</v>
      </c>
      <c r="L52" s="2951">
        <v>154.58799999999999</v>
      </c>
      <c r="M52" s="2951">
        <v>139.1292</v>
      </c>
      <c r="N52" s="2977">
        <v>3.7764880948048013E-3</v>
      </c>
      <c r="O52" s="2948">
        <v>12</v>
      </c>
      <c r="P52" s="2949" t="s">
        <v>1071</v>
      </c>
      <c r="Q52" s="2953">
        <v>25</v>
      </c>
      <c r="R52" s="2953">
        <v>25</v>
      </c>
      <c r="S52" s="2952">
        <f t="shared" si="9"/>
        <v>50</v>
      </c>
      <c r="T52" s="2952">
        <f t="shared" si="10"/>
        <v>11672.9</v>
      </c>
      <c r="U52" s="2952">
        <f t="shared" si="11"/>
        <v>11672.9</v>
      </c>
      <c r="V52" s="2952">
        <f t="shared" si="12"/>
        <v>23345.8</v>
      </c>
      <c r="W52" s="2954">
        <f t="shared" si="13"/>
        <v>3478.23</v>
      </c>
      <c r="X52" s="2954">
        <f t="shared" si="14"/>
        <v>3478.23</v>
      </c>
      <c r="Y52" s="2954">
        <f t="shared" si="15"/>
        <v>6956.46</v>
      </c>
      <c r="Z52" s="2949"/>
      <c r="AA52" s="3019"/>
    </row>
    <row r="53" spans="1:27">
      <c r="C53" s="3046"/>
      <c r="D53" s="3062">
        <v>1000</v>
      </c>
      <c r="E53" s="3085">
        <v>1000</v>
      </c>
      <c r="F53" s="3095">
        <f>SUM(D53:E53)</f>
        <v>2000</v>
      </c>
      <c r="H53" s="2948" t="s">
        <v>1377</v>
      </c>
      <c r="I53" s="2953">
        <v>334.69200000000001</v>
      </c>
      <c r="J53" s="2950" t="s">
        <v>120</v>
      </c>
      <c r="K53" s="2948" t="s">
        <v>909</v>
      </c>
      <c r="L53" s="2951">
        <v>154.58799999999999</v>
      </c>
      <c r="M53" s="2951">
        <v>139.1292</v>
      </c>
      <c r="N53" s="2977">
        <v>2.7070401387538838E-3</v>
      </c>
      <c r="O53" s="2948">
        <v>12</v>
      </c>
      <c r="P53" s="2949" t="s">
        <v>1071</v>
      </c>
      <c r="Q53" s="2953">
        <v>25</v>
      </c>
      <c r="R53" s="2953">
        <v>25</v>
      </c>
      <c r="S53" s="2952">
        <f t="shared" si="9"/>
        <v>50</v>
      </c>
      <c r="T53" s="2952">
        <f t="shared" si="10"/>
        <v>8367.2999999999993</v>
      </c>
      <c r="U53" s="2952">
        <f t="shared" si="11"/>
        <v>8367.2999999999993</v>
      </c>
      <c r="V53" s="2952">
        <f t="shared" si="12"/>
        <v>16734.599999999999</v>
      </c>
      <c r="W53" s="2954">
        <f t="shared" si="13"/>
        <v>3478.23</v>
      </c>
      <c r="X53" s="2954">
        <f t="shared" si="14"/>
        <v>3478.23</v>
      </c>
      <c r="Y53" s="2954">
        <f t="shared" si="15"/>
        <v>6956.46</v>
      </c>
      <c r="Z53" s="2949"/>
      <c r="AA53" s="3019"/>
    </row>
    <row r="54" spans="1:27">
      <c r="C54" s="3046"/>
      <c r="D54" s="3062"/>
      <c r="E54" s="3085"/>
      <c r="F54" s="3095">
        <f>SUM(D54:E54)</f>
        <v>0</v>
      </c>
      <c r="H54" s="2948" t="s">
        <v>1374</v>
      </c>
      <c r="I54" s="2953">
        <v>403</v>
      </c>
      <c r="J54" s="2950" t="s">
        <v>120</v>
      </c>
      <c r="K54" s="2948" t="s">
        <v>909</v>
      </c>
      <c r="L54" s="2951">
        <v>61.333999999999996</v>
      </c>
      <c r="M54" s="2951">
        <v>55.200599999999994</v>
      </c>
      <c r="N54" s="2977">
        <v>3.2595257009961857E-3</v>
      </c>
      <c r="O54" s="2948">
        <v>12</v>
      </c>
      <c r="P54" s="2949" t="s">
        <v>1071</v>
      </c>
      <c r="Q54" s="2953">
        <v>25</v>
      </c>
      <c r="R54" s="2953">
        <v>25</v>
      </c>
      <c r="S54" s="2952">
        <f t="shared" si="9"/>
        <v>50</v>
      </c>
      <c r="T54" s="2952">
        <f t="shared" si="10"/>
        <v>10075</v>
      </c>
      <c r="U54" s="2952">
        <f t="shared" si="11"/>
        <v>10075</v>
      </c>
      <c r="V54" s="2952">
        <f t="shared" si="12"/>
        <v>20150</v>
      </c>
      <c r="W54" s="2954">
        <f t="shared" si="13"/>
        <v>1380.0149999999999</v>
      </c>
      <c r="X54" s="2954">
        <f t="shared" si="14"/>
        <v>1380.0149999999999</v>
      </c>
      <c r="Y54" s="2954">
        <f t="shared" si="15"/>
        <v>2760.0299999999997</v>
      </c>
      <c r="Z54" s="2949"/>
      <c r="AA54" s="3019"/>
    </row>
    <row r="55" spans="1:27">
      <c r="C55" s="3046"/>
      <c r="D55" s="3062"/>
      <c r="E55" s="3085"/>
      <c r="F55" s="3095">
        <f>SUM(D55:E55)</f>
        <v>0</v>
      </c>
      <c r="H55" s="2948" t="s">
        <v>1375</v>
      </c>
      <c r="I55" s="2953">
        <v>50</v>
      </c>
      <c r="J55" s="2950" t="s">
        <v>120</v>
      </c>
      <c r="K55" s="2948" t="s">
        <v>909</v>
      </c>
      <c r="L55" s="2951">
        <v>103.334</v>
      </c>
      <c r="M55" s="2951">
        <v>93.000600000000006</v>
      </c>
      <c r="N55" s="2977">
        <v>4.0440765521044484E-4</v>
      </c>
      <c r="O55" s="2948">
        <v>12</v>
      </c>
      <c r="P55" s="2949" t="s">
        <v>1071</v>
      </c>
      <c r="Q55" s="2953">
        <v>25</v>
      </c>
      <c r="R55" s="2953">
        <v>25</v>
      </c>
      <c r="S55" s="2952">
        <f t="shared" si="9"/>
        <v>50</v>
      </c>
      <c r="T55" s="2952">
        <f t="shared" si="10"/>
        <v>1250</v>
      </c>
      <c r="U55" s="2952">
        <f t="shared" si="11"/>
        <v>1250</v>
      </c>
      <c r="V55" s="2952">
        <f t="shared" si="12"/>
        <v>2500</v>
      </c>
      <c r="W55" s="2954">
        <f t="shared" si="13"/>
        <v>2325.0150000000003</v>
      </c>
      <c r="X55" s="2954">
        <f t="shared" si="14"/>
        <v>2325.0150000000003</v>
      </c>
      <c r="Y55" s="2954">
        <f t="shared" si="15"/>
        <v>4650.0300000000007</v>
      </c>
      <c r="Z55" s="2949"/>
      <c r="AA55" s="3019"/>
    </row>
    <row r="56" spans="1:27">
      <c r="C56" s="3046"/>
      <c r="D56" s="3062"/>
      <c r="E56" s="3085"/>
      <c r="F56" s="3095">
        <f>SUM(D56:E56)</f>
        <v>0</v>
      </c>
      <c r="H56" s="2948" t="s">
        <v>1378</v>
      </c>
      <c r="I56" s="2953">
        <v>516</v>
      </c>
      <c r="J56" s="2950" t="s">
        <v>120</v>
      </c>
      <c r="K56" s="2948" t="s">
        <v>909</v>
      </c>
      <c r="L56" s="2951">
        <v>73.009999999999991</v>
      </c>
      <c r="M56" s="2951">
        <v>65.708999999999989</v>
      </c>
      <c r="N56" s="2977">
        <v>4.1734870017717911E-3</v>
      </c>
      <c r="O56" s="2948">
        <v>12</v>
      </c>
      <c r="P56" s="2949" t="s">
        <v>1071</v>
      </c>
      <c r="Q56" s="2953">
        <v>25</v>
      </c>
      <c r="R56" s="2953">
        <v>25</v>
      </c>
      <c r="S56" s="2952">
        <f t="shared" si="9"/>
        <v>50</v>
      </c>
      <c r="T56" s="2952">
        <f t="shared" si="10"/>
        <v>12900</v>
      </c>
      <c r="U56" s="2952">
        <f t="shared" si="11"/>
        <v>12900</v>
      </c>
      <c r="V56" s="2952">
        <f t="shared" si="12"/>
        <v>25800</v>
      </c>
      <c r="W56" s="2954">
        <f t="shared" si="13"/>
        <v>1642.7249999999997</v>
      </c>
      <c r="X56" s="2954">
        <f t="shared" si="14"/>
        <v>1642.7249999999997</v>
      </c>
      <c r="Y56" s="2954">
        <f t="shared" si="15"/>
        <v>3285.4499999999994</v>
      </c>
      <c r="Z56" s="2949"/>
      <c r="AA56" s="3019"/>
    </row>
    <row r="57" spans="1:27">
      <c r="C57" s="3049"/>
      <c r="D57" s="3065"/>
      <c r="E57" s="3079"/>
      <c r="F57" s="3065"/>
      <c r="H57" s="2948" t="s">
        <v>1379</v>
      </c>
      <c r="I57" s="2953">
        <v>115.696</v>
      </c>
      <c r="J57" s="2950" t="s">
        <v>120</v>
      </c>
      <c r="K57" s="2948" t="s">
        <v>909</v>
      </c>
      <c r="L57" s="2951">
        <v>155.48399999999998</v>
      </c>
      <c r="M57" s="2951">
        <v>139.93559999999999</v>
      </c>
      <c r="N57" s="2977">
        <v>9.3576696154455252E-4</v>
      </c>
      <c r="O57" s="2948">
        <v>12</v>
      </c>
      <c r="P57" s="2949" t="s">
        <v>1071</v>
      </c>
      <c r="Q57" s="2953">
        <v>25</v>
      </c>
      <c r="R57" s="2953">
        <v>25</v>
      </c>
      <c r="S57" s="2952">
        <f t="shared" si="9"/>
        <v>50</v>
      </c>
      <c r="T57" s="2952">
        <f t="shared" si="10"/>
        <v>2892.4</v>
      </c>
      <c r="U57" s="2952">
        <f t="shared" si="11"/>
        <v>2892.4</v>
      </c>
      <c r="V57" s="2952">
        <f t="shared" si="12"/>
        <v>5784.8</v>
      </c>
      <c r="W57" s="2954">
        <f t="shared" si="13"/>
        <v>3498.39</v>
      </c>
      <c r="X57" s="2954">
        <f t="shared" si="14"/>
        <v>3498.39</v>
      </c>
      <c r="Y57" s="2954">
        <f t="shared" si="15"/>
        <v>6996.78</v>
      </c>
      <c r="Z57" s="2949"/>
      <c r="AA57" s="3019"/>
    </row>
    <row r="58" spans="1:27">
      <c r="C58" s="3037" t="s">
        <v>52</v>
      </c>
      <c r="D58" s="3038">
        <f>SUM(D59:D62)</f>
        <v>240000</v>
      </c>
      <c r="E58" s="3075">
        <f>SUM(E59:E62)</f>
        <v>240000</v>
      </c>
      <c r="F58" s="3022">
        <f>D58+E58</f>
        <v>480000</v>
      </c>
      <c r="H58" s="2948" t="s">
        <v>1380</v>
      </c>
      <c r="I58" s="2953">
        <v>397</v>
      </c>
      <c r="J58" s="2950" t="s">
        <v>120</v>
      </c>
      <c r="K58" s="2948" t="s">
        <v>909</v>
      </c>
      <c r="L58" s="2951">
        <v>119.3927</v>
      </c>
      <c r="M58" s="2951">
        <v>107.45343000000001</v>
      </c>
      <c r="N58" s="2977">
        <v>3.2109967823709322E-3</v>
      </c>
      <c r="O58" s="2948">
        <v>12</v>
      </c>
      <c r="P58" s="2949" t="s">
        <v>1071</v>
      </c>
      <c r="Q58" s="2953">
        <v>25</v>
      </c>
      <c r="R58" s="2953">
        <v>25</v>
      </c>
      <c r="S58" s="2952">
        <f t="shared" si="9"/>
        <v>50</v>
      </c>
      <c r="T58" s="2952">
        <f t="shared" si="10"/>
        <v>9925</v>
      </c>
      <c r="U58" s="2952">
        <f t="shared" si="11"/>
        <v>9925</v>
      </c>
      <c r="V58" s="2952">
        <f t="shared" si="12"/>
        <v>19850</v>
      </c>
      <c r="W58" s="2954">
        <f t="shared" si="13"/>
        <v>2686.3357500000002</v>
      </c>
      <c r="X58" s="2954">
        <f t="shared" si="14"/>
        <v>2686.3357500000002</v>
      </c>
      <c r="Y58" s="2954">
        <f t="shared" si="15"/>
        <v>5372.6715000000004</v>
      </c>
      <c r="Z58" s="2949"/>
      <c r="AA58" s="3019"/>
    </row>
    <row r="59" spans="1:27">
      <c r="C59" s="3046"/>
      <c r="D59" s="3062">
        <v>240000</v>
      </c>
      <c r="E59" s="3086">
        <v>240000</v>
      </c>
      <c r="F59" s="3095">
        <f>SUM(D59:E59)</f>
        <v>480000</v>
      </c>
      <c r="H59" s="2948" t="s">
        <v>1527</v>
      </c>
      <c r="I59" s="2953">
        <v>404.93599999999998</v>
      </c>
      <c r="J59" s="2950" t="s">
        <v>120</v>
      </c>
      <c r="K59" s="2948" t="s">
        <v>909</v>
      </c>
      <c r="L59" s="2951">
        <v>99.805999999999983</v>
      </c>
      <c r="M59" s="2951">
        <v>89.825399999999988</v>
      </c>
      <c r="N59" s="2977">
        <v>3.2751843654059338E-3</v>
      </c>
      <c r="O59" s="2948">
        <v>12</v>
      </c>
      <c r="P59" s="2949" t="s">
        <v>1071</v>
      </c>
      <c r="Q59" s="2953">
        <v>25</v>
      </c>
      <c r="R59" s="2953">
        <v>25</v>
      </c>
      <c r="S59" s="2952">
        <f t="shared" si="9"/>
        <v>50</v>
      </c>
      <c r="T59" s="2952">
        <f t="shared" si="10"/>
        <v>10123.4</v>
      </c>
      <c r="U59" s="2952">
        <f t="shared" si="11"/>
        <v>10123.4</v>
      </c>
      <c r="V59" s="2952">
        <f t="shared" si="12"/>
        <v>20246.8</v>
      </c>
      <c r="W59" s="2954">
        <f t="shared" si="13"/>
        <v>2245.6349999999998</v>
      </c>
      <c r="X59" s="2954">
        <f t="shared" si="14"/>
        <v>2245.6349999999998</v>
      </c>
      <c r="Y59" s="2954">
        <f t="shared" si="15"/>
        <v>4491.2699999999995</v>
      </c>
      <c r="Z59" s="2949"/>
      <c r="AA59" s="3019"/>
    </row>
    <row r="60" spans="1:27">
      <c r="C60" s="3046"/>
      <c r="D60" s="3062"/>
      <c r="E60" s="3086"/>
      <c r="F60" s="3095">
        <f>SUM(D60:E60)</f>
        <v>0</v>
      </c>
      <c r="H60" s="2948" t="s">
        <v>1381</v>
      </c>
      <c r="I60" s="2953">
        <v>404.93599999999998</v>
      </c>
      <c r="J60" s="2950" t="s">
        <v>120</v>
      </c>
      <c r="K60" s="2948" t="s">
        <v>909</v>
      </c>
      <c r="L60" s="2951">
        <v>99.805999999999983</v>
      </c>
      <c r="M60" s="2951">
        <v>89.825399999999988</v>
      </c>
      <c r="N60" s="2977">
        <v>3.2751843654059338E-3</v>
      </c>
      <c r="O60" s="2948">
        <v>12</v>
      </c>
      <c r="P60" s="2949" t="s">
        <v>1071</v>
      </c>
      <c r="Q60" s="2953">
        <v>25</v>
      </c>
      <c r="R60" s="2953">
        <v>25</v>
      </c>
      <c r="S60" s="2952">
        <f t="shared" si="9"/>
        <v>50</v>
      </c>
      <c r="T60" s="2952">
        <f t="shared" si="10"/>
        <v>10123.4</v>
      </c>
      <c r="U60" s="2952">
        <f t="shared" si="11"/>
        <v>10123.4</v>
      </c>
      <c r="V60" s="2952">
        <f t="shared" si="12"/>
        <v>20246.8</v>
      </c>
      <c r="W60" s="2954">
        <f t="shared" si="13"/>
        <v>2245.6349999999998</v>
      </c>
      <c r="X60" s="2954">
        <f t="shared" si="14"/>
        <v>2245.6349999999998</v>
      </c>
      <c r="Y60" s="2954">
        <f t="shared" si="15"/>
        <v>4491.2699999999995</v>
      </c>
      <c r="Z60" s="2949"/>
      <c r="AA60" s="3019"/>
    </row>
    <row r="61" spans="1:27">
      <c r="C61" s="3046"/>
      <c r="D61" s="3062"/>
      <c r="E61" s="3086"/>
      <c r="F61" s="3098">
        <f>SUM(D61:E61)</f>
        <v>0</v>
      </c>
      <c r="H61" s="2948" t="s">
        <v>1382</v>
      </c>
      <c r="I61" s="2953">
        <v>1556.932</v>
      </c>
      <c r="J61" s="2950" t="s">
        <v>120</v>
      </c>
      <c r="K61" s="2948" t="s">
        <v>909</v>
      </c>
      <c r="L61" s="2951">
        <v>334.59999999999997</v>
      </c>
      <c r="M61" s="2951">
        <v>301.14</v>
      </c>
      <c r="N61" s="2977">
        <v>0</v>
      </c>
      <c r="O61" s="2948">
        <v>12</v>
      </c>
      <c r="P61" s="2949" t="s">
        <v>1071</v>
      </c>
      <c r="Q61" s="2953">
        <v>0</v>
      </c>
      <c r="R61" s="2953">
        <v>0</v>
      </c>
      <c r="S61" s="2952">
        <f t="shared" si="9"/>
        <v>0</v>
      </c>
      <c r="T61" s="2952">
        <f t="shared" si="10"/>
        <v>0</v>
      </c>
      <c r="U61" s="2952">
        <f t="shared" si="11"/>
        <v>0</v>
      </c>
      <c r="V61" s="2952">
        <f t="shared" si="12"/>
        <v>0</v>
      </c>
      <c r="W61" s="2954">
        <f t="shared" si="13"/>
        <v>0</v>
      </c>
      <c r="X61" s="2954">
        <f t="shared" si="14"/>
        <v>0</v>
      </c>
      <c r="Y61" s="2954">
        <f t="shared" si="15"/>
        <v>0</v>
      </c>
      <c r="Z61" s="2949"/>
      <c r="AA61" s="3019"/>
    </row>
    <row r="62" spans="1:27">
      <c r="C62" s="3046"/>
      <c r="D62" s="3062"/>
      <c r="E62" s="3086"/>
      <c r="F62" s="3095">
        <f>SUM(D62:E62)</f>
        <v>0</v>
      </c>
      <c r="H62" s="2948" t="s">
        <v>1528</v>
      </c>
      <c r="I62" s="2953">
        <v>1655.5239999999999</v>
      </c>
      <c r="J62" s="2950" t="s">
        <v>120</v>
      </c>
      <c r="K62" s="2948" t="s">
        <v>909</v>
      </c>
      <c r="L62" s="2951">
        <v>637</v>
      </c>
      <c r="M62" s="2951">
        <v>573.30000000000007</v>
      </c>
      <c r="N62" s="2977">
        <v>0</v>
      </c>
      <c r="O62" s="2948">
        <v>12</v>
      </c>
      <c r="P62" s="2949" t="s">
        <v>1071</v>
      </c>
      <c r="Q62" s="2953">
        <v>0</v>
      </c>
      <c r="R62" s="2953">
        <v>0</v>
      </c>
      <c r="S62" s="2952">
        <f t="shared" si="9"/>
        <v>0</v>
      </c>
      <c r="T62" s="2952">
        <f t="shared" si="10"/>
        <v>0</v>
      </c>
      <c r="U62" s="2952">
        <f t="shared" si="11"/>
        <v>0</v>
      </c>
      <c r="V62" s="2952">
        <f t="shared" si="12"/>
        <v>0</v>
      </c>
      <c r="W62" s="2954">
        <f t="shared" si="13"/>
        <v>0</v>
      </c>
      <c r="X62" s="2954">
        <f t="shared" si="14"/>
        <v>0</v>
      </c>
      <c r="Y62" s="2954">
        <f t="shared" si="15"/>
        <v>0</v>
      </c>
      <c r="Z62" s="2949"/>
      <c r="AA62" s="3019"/>
    </row>
    <row r="63" spans="1:27">
      <c r="C63" s="3049"/>
      <c r="D63" s="3065"/>
      <c r="E63" s="3079"/>
      <c r="F63" s="3065"/>
      <c r="H63" s="2948" t="s">
        <v>1383</v>
      </c>
      <c r="I63" s="2953">
        <v>1107</v>
      </c>
      <c r="J63" s="2950" t="s">
        <v>120</v>
      </c>
      <c r="K63" s="2948" t="s">
        <v>909</v>
      </c>
      <c r="L63" s="2951">
        <v>261.27269999999999</v>
      </c>
      <c r="M63" s="2951">
        <v>235.14543</v>
      </c>
      <c r="N63" s="2977">
        <v>7.162868389087399E-4</v>
      </c>
      <c r="O63" s="2948">
        <v>12</v>
      </c>
      <c r="P63" s="2949" t="s">
        <v>1071</v>
      </c>
      <c r="Q63" s="2953">
        <v>2</v>
      </c>
      <c r="R63" s="2953">
        <v>2</v>
      </c>
      <c r="S63" s="2952">
        <f t="shared" si="9"/>
        <v>4</v>
      </c>
      <c r="T63" s="2952">
        <f t="shared" si="10"/>
        <v>2214</v>
      </c>
      <c r="U63" s="2952">
        <f t="shared" si="11"/>
        <v>2214</v>
      </c>
      <c r="V63" s="2952">
        <f t="shared" si="12"/>
        <v>4428</v>
      </c>
      <c r="W63" s="2954">
        <f t="shared" si="13"/>
        <v>470.29086000000001</v>
      </c>
      <c r="X63" s="2954">
        <f t="shared" si="14"/>
        <v>470.29086000000001</v>
      </c>
      <c r="Y63" s="2954">
        <f t="shared" si="15"/>
        <v>940.58172000000002</v>
      </c>
      <c r="Z63" s="2949"/>
      <c r="AA63" s="3019"/>
    </row>
    <row r="64" spans="1:27" ht="25.5">
      <c r="A64" s="3004" t="s">
        <v>1492</v>
      </c>
      <c r="C64" s="3037" t="s">
        <v>53</v>
      </c>
      <c r="D64" s="3038">
        <f>W15</f>
        <v>746489.46771000011</v>
      </c>
      <c r="E64" s="3207">
        <f>X15</f>
        <v>746489.46771000011</v>
      </c>
      <c r="F64" s="3022">
        <f>D64+E64</f>
        <v>1492978.9354200002</v>
      </c>
      <c r="H64" s="2948" t="s">
        <v>1384</v>
      </c>
      <c r="I64" s="2953">
        <v>2482</v>
      </c>
      <c r="J64" s="2950" t="s">
        <v>120</v>
      </c>
      <c r="K64" s="2948" t="s">
        <v>909</v>
      </c>
      <c r="L64" s="2951">
        <v>409.40999999999997</v>
      </c>
      <c r="M64" s="2951">
        <v>368.46899999999999</v>
      </c>
      <c r="N64" s="2977">
        <v>0</v>
      </c>
      <c r="O64" s="2948">
        <v>12</v>
      </c>
      <c r="P64" s="2949" t="s">
        <v>1071</v>
      </c>
      <c r="Q64" s="2953">
        <v>0</v>
      </c>
      <c r="R64" s="2953">
        <v>0</v>
      </c>
      <c r="S64" s="2952">
        <f t="shared" si="9"/>
        <v>0</v>
      </c>
      <c r="T64" s="2952">
        <f t="shared" si="10"/>
        <v>0</v>
      </c>
      <c r="U64" s="2952">
        <f t="shared" si="11"/>
        <v>0</v>
      </c>
      <c r="V64" s="2952">
        <f t="shared" si="12"/>
        <v>0</v>
      </c>
      <c r="W64" s="2954">
        <f t="shared" si="13"/>
        <v>0</v>
      </c>
      <c r="X64" s="2954">
        <f t="shared" si="14"/>
        <v>0</v>
      </c>
      <c r="Y64" s="2954">
        <f t="shared" si="15"/>
        <v>0</v>
      </c>
      <c r="Z64" s="2949"/>
      <c r="AA64" s="3019"/>
    </row>
    <row r="65" spans="1:27">
      <c r="A65" s="3004" t="s">
        <v>278</v>
      </c>
      <c r="C65" s="3066" t="s">
        <v>313</v>
      </c>
      <c r="D65" s="3067"/>
      <c r="E65" s="3087"/>
      <c r="F65" s="3068"/>
      <c r="H65" s="2948" t="s">
        <v>1385</v>
      </c>
      <c r="I65" s="2953">
        <v>202</v>
      </c>
      <c r="J65" s="2950" t="s">
        <v>120</v>
      </c>
      <c r="K65" s="2948" t="s">
        <v>909</v>
      </c>
      <c r="L65" s="2951">
        <v>104.80000000000001</v>
      </c>
      <c r="M65" s="2951">
        <v>94.320000000000007</v>
      </c>
      <c r="N65" s="2977">
        <v>8.1690346352509863E-4</v>
      </c>
      <c r="O65" s="2948">
        <v>12</v>
      </c>
      <c r="P65" s="2949" t="s">
        <v>1071</v>
      </c>
      <c r="Q65" s="2953">
        <v>12.5</v>
      </c>
      <c r="R65" s="2953">
        <v>12.5</v>
      </c>
      <c r="S65" s="2952">
        <f t="shared" si="9"/>
        <v>25</v>
      </c>
      <c r="T65" s="2952">
        <f t="shared" si="10"/>
        <v>2525</v>
      </c>
      <c r="U65" s="2952">
        <f t="shared" si="11"/>
        <v>2525</v>
      </c>
      <c r="V65" s="2952">
        <f t="shared" si="12"/>
        <v>5050</v>
      </c>
      <c r="W65" s="2954">
        <f t="shared" si="13"/>
        <v>1179</v>
      </c>
      <c r="X65" s="2954">
        <f t="shared" si="14"/>
        <v>1179</v>
      </c>
      <c r="Y65" s="2954">
        <f t="shared" si="15"/>
        <v>2358</v>
      </c>
      <c r="Z65" s="2949"/>
      <c r="AA65" s="3019"/>
    </row>
    <row r="66" spans="1:27">
      <c r="A66" s="3004" t="s">
        <v>6</v>
      </c>
      <c r="C66" s="3069"/>
      <c r="D66" s="3050"/>
      <c r="E66" s="3079"/>
      <c r="F66" s="3065"/>
      <c r="H66" s="2948" t="s">
        <v>1385</v>
      </c>
      <c r="I66" s="2953">
        <v>368</v>
      </c>
      <c r="J66" s="2950" t="s">
        <v>120</v>
      </c>
      <c r="K66" s="2948" t="s">
        <v>909</v>
      </c>
      <c r="L66" s="2951">
        <v>85.15</v>
      </c>
      <c r="M66" s="2951">
        <v>76.635000000000005</v>
      </c>
      <c r="N66" s="2977">
        <v>0</v>
      </c>
      <c r="O66" s="2948">
        <v>12</v>
      </c>
      <c r="P66" s="2949" t="s">
        <v>1071</v>
      </c>
      <c r="Q66" s="2953">
        <v>0</v>
      </c>
      <c r="R66" s="2953">
        <v>0</v>
      </c>
      <c r="S66" s="2952">
        <f t="shared" si="9"/>
        <v>0</v>
      </c>
      <c r="T66" s="2952">
        <f t="shared" si="10"/>
        <v>0</v>
      </c>
      <c r="U66" s="2952">
        <f t="shared" si="11"/>
        <v>0</v>
      </c>
      <c r="V66" s="2952">
        <f t="shared" si="12"/>
        <v>0</v>
      </c>
      <c r="W66" s="2954">
        <f t="shared" si="13"/>
        <v>0</v>
      </c>
      <c r="X66" s="2954">
        <f t="shared" si="14"/>
        <v>0</v>
      </c>
      <c r="Y66" s="2954">
        <f t="shared" si="15"/>
        <v>0</v>
      </c>
      <c r="Z66" s="2949"/>
    </row>
    <row r="67" spans="1:27">
      <c r="A67" s="3004" t="s">
        <v>1494</v>
      </c>
      <c r="C67" s="3070" t="s">
        <v>54</v>
      </c>
      <c r="D67" s="3062">
        <v>0</v>
      </c>
      <c r="E67" s="3088">
        <v>0</v>
      </c>
      <c r="F67" s="3071">
        <v>0</v>
      </c>
      <c r="H67" s="2948" t="s">
        <v>1386</v>
      </c>
      <c r="I67" s="2953">
        <v>479</v>
      </c>
      <c r="J67" s="2950" t="s">
        <v>120</v>
      </c>
      <c r="K67" s="2948" t="s">
        <v>909</v>
      </c>
      <c r="L67" s="2951">
        <v>87.75</v>
      </c>
      <c r="M67" s="2951">
        <v>78.975000000000009</v>
      </c>
      <c r="N67" s="2977">
        <v>1.9371126684580308E-3</v>
      </c>
      <c r="O67" s="2948">
        <v>12</v>
      </c>
      <c r="P67" s="2949" t="s">
        <v>1071</v>
      </c>
      <c r="Q67" s="2953">
        <v>12.5</v>
      </c>
      <c r="R67" s="2953">
        <v>12.5</v>
      </c>
      <c r="S67" s="2952">
        <f t="shared" si="9"/>
        <v>25</v>
      </c>
      <c r="T67" s="2952">
        <f t="shared" si="10"/>
        <v>5987.5</v>
      </c>
      <c r="U67" s="2952">
        <f t="shared" si="11"/>
        <v>5987.5</v>
      </c>
      <c r="V67" s="2952">
        <f t="shared" si="12"/>
        <v>11975</v>
      </c>
      <c r="W67" s="2954">
        <f t="shared" si="13"/>
        <v>987.18750000000011</v>
      </c>
      <c r="X67" s="2954">
        <f t="shared" si="14"/>
        <v>987.18750000000011</v>
      </c>
      <c r="Y67" s="2954">
        <f t="shared" si="15"/>
        <v>1974.3750000000002</v>
      </c>
      <c r="Z67" s="2949"/>
    </row>
    <row r="68" spans="1:27">
      <c r="A68" s="3004" t="s">
        <v>5</v>
      </c>
      <c r="H68" s="2948" t="s">
        <v>1387</v>
      </c>
      <c r="I68" s="2953">
        <v>793</v>
      </c>
      <c r="J68" s="2950" t="s">
        <v>120</v>
      </c>
      <c r="K68" s="2948" t="s">
        <v>909</v>
      </c>
      <c r="L68" s="2951">
        <v>87.75</v>
      </c>
      <c r="M68" s="2951">
        <v>78.975000000000009</v>
      </c>
      <c r="N68" s="2977">
        <v>3.2069527058188278E-3</v>
      </c>
      <c r="O68" s="2948">
        <v>12</v>
      </c>
      <c r="P68" s="2949" t="s">
        <v>1071</v>
      </c>
      <c r="Q68" s="2953">
        <v>12.5</v>
      </c>
      <c r="R68" s="2953">
        <v>12.5</v>
      </c>
      <c r="S68" s="2952">
        <f t="shared" si="9"/>
        <v>25</v>
      </c>
      <c r="T68" s="2952">
        <f t="shared" si="10"/>
        <v>9912.5</v>
      </c>
      <c r="U68" s="2952">
        <f t="shared" si="11"/>
        <v>9912.5</v>
      </c>
      <c r="V68" s="2952">
        <f t="shared" si="12"/>
        <v>19825</v>
      </c>
      <c r="W68" s="2954">
        <f t="shared" si="13"/>
        <v>987.18750000000011</v>
      </c>
      <c r="X68" s="2954">
        <f t="shared" si="14"/>
        <v>987.18750000000011</v>
      </c>
      <c r="Y68" s="2954">
        <f t="shared" si="15"/>
        <v>1974.3750000000002</v>
      </c>
      <c r="Z68" s="2949"/>
    </row>
    <row r="69" spans="1:27">
      <c r="A69" s="2994"/>
      <c r="H69" s="2948" t="s">
        <v>1388</v>
      </c>
      <c r="I69" s="2953">
        <v>685</v>
      </c>
      <c r="J69" s="2950" t="s">
        <v>120</v>
      </c>
      <c r="K69" s="2948" t="s">
        <v>909</v>
      </c>
      <c r="L69" s="2951">
        <v>196.3</v>
      </c>
      <c r="M69" s="2951">
        <v>176.67000000000002</v>
      </c>
      <c r="N69" s="2977">
        <v>2.7701924381915472E-3</v>
      </c>
      <c r="O69" s="2948">
        <v>12</v>
      </c>
      <c r="P69" s="2949" t="s">
        <v>1071</v>
      </c>
      <c r="Q69" s="2953">
        <v>12.5</v>
      </c>
      <c r="R69" s="2953">
        <v>12.5</v>
      </c>
      <c r="S69" s="2952">
        <f t="shared" si="9"/>
        <v>25</v>
      </c>
      <c r="T69" s="2952">
        <f t="shared" si="10"/>
        <v>8562.5</v>
      </c>
      <c r="U69" s="2952">
        <f t="shared" si="11"/>
        <v>8562.5</v>
      </c>
      <c r="V69" s="2952">
        <f t="shared" si="12"/>
        <v>17125</v>
      </c>
      <c r="W69" s="2954">
        <f t="shared" si="13"/>
        <v>2208.375</v>
      </c>
      <c r="X69" s="2954">
        <f t="shared" si="14"/>
        <v>2208.375</v>
      </c>
      <c r="Y69" s="2954">
        <f t="shared" si="15"/>
        <v>4416.75</v>
      </c>
      <c r="Z69" s="2949"/>
    </row>
    <row r="70" spans="1:27">
      <c r="A70" s="2994"/>
      <c r="H70" s="2948" t="s">
        <v>1389</v>
      </c>
      <c r="I70" s="2953">
        <v>685</v>
      </c>
      <c r="J70" s="2950" t="s">
        <v>120</v>
      </c>
      <c r="K70" s="2948" t="s">
        <v>909</v>
      </c>
      <c r="L70" s="2951">
        <v>376.59999999999997</v>
      </c>
      <c r="M70" s="2951">
        <v>338.94</v>
      </c>
      <c r="N70" s="2977">
        <v>2.2161539505532379E-3</v>
      </c>
      <c r="O70" s="2948">
        <v>12</v>
      </c>
      <c r="P70" s="2949" t="s">
        <v>1071</v>
      </c>
      <c r="Q70" s="2953">
        <v>10</v>
      </c>
      <c r="R70" s="2953">
        <v>10</v>
      </c>
      <c r="S70" s="2952">
        <f t="shared" si="9"/>
        <v>20</v>
      </c>
      <c r="T70" s="2952">
        <f t="shared" si="10"/>
        <v>6850</v>
      </c>
      <c r="U70" s="2952">
        <f t="shared" si="11"/>
        <v>6850</v>
      </c>
      <c r="V70" s="2952">
        <f t="shared" si="12"/>
        <v>13700</v>
      </c>
      <c r="W70" s="2954">
        <f t="shared" si="13"/>
        <v>3389.4</v>
      </c>
      <c r="X70" s="2954">
        <f t="shared" si="14"/>
        <v>3389.4</v>
      </c>
      <c r="Y70" s="2954">
        <f t="shared" si="15"/>
        <v>6778.8</v>
      </c>
      <c r="Z70" s="2949"/>
    </row>
    <row r="71" spans="1:27">
      <c r="H71" s="2948" t="s">
        <v>1390</v>
      </c>
      <c r="I71" s="2953">
        <v>601</v>
      </c>
      <c r="J71" s="2950" t="s">
        <v>120</v>
      </c>
      <c r="K71" s="2948" t="s">
        <v>909</v>
      </c>
      <c r="L71" s="2951">
        <v>162.39999999999998</v>
      </c>
      <c r="M71" s="2951">
        <v>146.16</v>
      </c>
      <c r="N71" s="2977">
        <v>4.8609800156295471E-2</v>
      </c>
      <c r="O71" s="2948">
        <v>12</v>
      </c>
      <c r="P71" s="2949" t="s">
        <v>1071</v>
      </c>
      <c r="Q71" s="2953">
        <v>250</v>
      </c>
      <c r="R71" s="2953">
        <v>250</v>
      </c>
      <c r="S71" s="2952">
        <f t="shared" si="9"/>
        <v>500</v>
      </c>
      <c r="T71" s="2952">
        <f t="shared" si="10"/>
        <v>150250</v>
      </c>
      <c r="U71" s="2952">
        <f t="shared" si="11"/>
        <v>150250</v>
      </c>
      <c r="V71" s="2952">
        <f t="shared" si="12"/>
        <v>300500</v>
      </c>
      <c r="W71" s="2954">
        <f t="shared" si="13"/>
        <v>36540</v>
      </c>
      <c r="X71" s="2954">
        <f t="shared" si="14"/>
        <v>36540</v>
      </c>
      <c r="Y71" s="2954">
        <f t="shared" si="15"/>
        <v>73080</v>
      </c>
      <c r="Z71" s="2949"/>
    </row>
    <row r="72" spans="1:27">
      <c r="H72" s="2948" t="s">
        <v>1529</v>
      </c>
      <c r="I72" s="2953">
        <v>190.21600000000001</v>
      </c>
      <c r="J72" s="2950" t="s">
        <v>120</v>
      </c>
      <c r="K72" s="2948" t="s">
        <v>909</v>
      </c>
      <c r="L72" s="2951">
        <v>88.199999999999989</v>
      </c>
      <c r="M72" s="2951">
        <v>79.38</v>
      </c>
      <c r="N72" s="2977">
        <v>1.5384961308701995E-2</v>
      </c>
      <c r="O72" s="2948">
        <v>12</v>
      </c>
      <c r="P72" s="2949" t="s">
        <v>1071</v>
      </c>
      <c r="Q72" s="2953">
        <v>250</v>
      </c>
      <c r="R72" s="2953">
        <v>250</v>
      </c>
      <c r="S72" s="2952">
        <f t="shared" si="9"/>
        <v>500</v>
      </c>
      <c r="T72" s="2952">
        <f t="shared" si="10"/>
        <v>47554</v>
      </c>
      <c r="U72" s="2952">
        <f t="shared" si="11"/>
        <v>47554</v>
      </c>
      <c r="V72" s="2952">
        <f t="shared" si="12"/>
        <v>95108</v>
      </c>
      <c r="W72" s="2954">
        <f t="shared" si="13"/>
        <v>19845</v>
      </c>
      <c r="X72" s="2954">
        <f t="shared" si="14"/>
        <v>19845</v>
      </c>
      <c r="Y72" s="2954">
        <f t="shared" si="15"/>
        <v>39690</v>
      </c>
      <c r="Z72" s="2949"/>
    </row>
    <row r="73" spans="1:27">
      <c r="H73" s="2948" t="s">
        <v>1392</v>
      </c>
      <c r="I73" s="2953">
        <v>157</v>
      </c>
      <c r="J73" s="2950" t="s">
        <v>120</v>
      </c>
      <c r="K73" s="2948" t="s">
        <v>909</v>
      </c>
      <c r="L73" s="2951">
        <v>15.75</v>
      </c>
      <c r="M73" s="2951">
        <v>14.175000000000001</v>
      </c>
      <c r="N73" s="2977">
        <v>2.5396800747215936E-2</v>
      </c>
      <c r="O73" s="2948">
        <v>3</v>
      </c>
      <c r="P73" s="2949" t="s">
        <v>1071</v>
      </c>
      <c r="Q73" s="2953">
        <v>500</v>
      </c>
      <c r="R73" s="2953">
        <v>500</v>
      </c>
      <c r="S73" s="2952">
        <f t="shared" si="9"/>
        <v>1000</v>
      </c>
      <c r="T73" s="2952">
        <f t="shared" si="10"/>
        <v>78500</v>
      </c>
      <c r="U73" s="2952">
        <f t="shared" si="11"/>
        <v>78500</v>
      </c>
      <c r="V73" s="2952">
        <f t="shared" si="12"/>
        <v>157000</v>
      </c>
      <c r="W73" s="2954">
        <f t="shared" si="13"/>
        <v>7087.5</v>
      </c>
      <c r="X73" s="2954">
        <f t="shared" si="14"/>
        <v>7087.5</v>
      </c>
      <c r="Y73" s="2954">
        <f t="shared" si="15"/>
        <v>14175</v>
      </c>
      <c r="Z73" s="2949"/>
    </row>
    <row r="74" spans="1:27">
      <c r="H74" s="2948" t="s">
        <v>1392</v>
      </c>
      <c r="I74" s="2953">
        <v>58</v>
      </c>
      <c r="J74" s="2950" t="s">
        <v>120</v>
      </c>
      <c r="K74" s="2948" t="s">
        <v>909</v>
      </c>
      <c r="L74" s="2951">
        <v>14.7</v>
      </c>
      <c r="M74" s="2951">
        <v>13.23</v>
      </c>
      <c r="N74" s="2977">
        <v>1.8764515201764641E-3</v>
      </c>
      <c r="O74" s="2948">
        <v>3</v>
      </c>
      <c r="P74" s="2949" t="s">
        <v>1071</v>
      </c>
      <c r="Q74" s="2953">
        <v>100</v>
      </c>
      <c r="R74" s="2953">
        <v>100</v>
      </c>
      <c r="S74" s="2952">
        <f t="shared" si="9"/>
        <v>200</v>
      </c>
      <c r="T74" s="2952">
        <f t="shared" si="10"/>
        <v>5800</v>
      </c>
      <c r="U74" s="2952">
        <f t="shared" si="11"/>
        <v>5800</v>
      </c>
      <c r="V74" s="2952">
        <f t="shared" si="12"/>
        <v>11600</v>
      </c>
      <c r="W74" s="2954">
        <f t="shared" si="13"/>
        <v>1323</v>
      </c>
      <c r="X74" s="2954">
        <f t="shared" si="14"/>
        <v>1323</v>
      </c>
      <c r="Y74" s="2954">
        <f t="shared" si="15"/>
        <v>2646</v>
      </c>
      <c r="Z74" s="2949"/>
    </row>
    <row r="75" spans="1:27">
      <c r="H75" s="2948" t="s">
        <v>1392</v>
      </c>
      <c r="I75" s="2953">
        <v>43</v>
      </c>
      <c r="J75" s="2950" t="s">
        <v>120</v>
      </c>
      <c r="K75" s="2948" t="s">
        <v>909</v>
      </c>
      <c r="L75" s="2951">
        <v>14.7</v>
      </c>
      <c r="M75" s="2951">
        <v>13.23</v>
      </c>
      <c r="N75" s="2977">
        <v>1.3911623339239303E-4</v>
      </c>
      <c r="O75" s="2948">
        <v>3</v>
      </c>
      <c r="P75" s="2949" t="s">
        <v>1071</v>
      </c>
      <c r="Q75" s="2953">
        <v>10</v>
      </c>
      <c r="R75" s="2953">
        <v>10</v>
      </c>
      <c r="S75" s="2952">
        <f t="shared" si="9"/>
        <v>20</v>
      </c>
      <c r="T75" s="2952">
        <f t="shared" si="10"/>
        <v>430</v>
      </c>
      <c r="U75" s="2952">
        <f t="shared" si="11"/>
        <v>430</v>
      </c>
      <c r="V75" s="2952">
        <f t="shared" si="12"/>
        <v>860</v>
      </c>
      <c r="W75" s="2954">
        <f t="shared" si="13"/>
        <v>132.30000000000001</v>
      </c>
      <c r="X75" s="2954">
        <f t="shared" si="14"/>
        <v>132.30000000000001</v>
      </c>
      <c r="Y75" s="2954">
        <f t="shared" si="15"/>
        <v>264.60000000000002</v>
      </c>
      <c r="Z75" s="2949"/>
    </row>
    <row r="76" spans="1:27">
      <c r="H76" s="2948" t="s">
        <v>1392</v>
      </c>
      <c r="I76" s="2953">
        <v>84</v>
      </c>
      <c r="J76" s="2950" t="s">
        <v>120</v>
      </c>
      <c r="K76" s="2948" t="s">
        <v>909</v>
      </c>
      <c r="L76" s="2951">
        <v>14.7</v>
      </c>
      <c r="M76" s="2951">
        <v>13.23</v>
      </c>
      <c r="N76" s="2977">
        <v>0</v>
      </c>
      <c r="O76" s="2948">
        <v>3</v>
      </c>
      <c r="P76" s="2949" t="s">
        <v>1071</v>
      </c>
      <c r="Q76" s="2953">
        <v>0</v>
      </c>
      <c r="R76" s="2953">
        <v>0</v>
      </c>
      <c r="S76" s="2952">
        <f t="shared" si="9"/>
        <v>0</v>
      </c>
      <c r="T76" s="2952">
        <f t="shared" si="10"/>
        <v>0</v>
      </c>
      <c r="U76" s="2952">
        <f t="shared" si="11"/>
        <v>0</v>
      </c>
      <c r="V76" s="2952">
        <f t="shared" si="12"/>
        <v>0</v>
      </c>
      <c r="W76" s="2954">
        <f t="shared" si="13"/>
        <v>0</v>
      </c>
      <c r="X76" s="2954">
        <f t="shared" si="14"/>
        <v>0</v>
      </c>
      <c r="Y76" s="2954">
        <f t="shared" si="15"/>
        <v>0</v>
      </c>
      <c r="Z76" s="2949"/>
    </row>
    <row r="77" spans="1:27">
      <c r="H77" s="2948" t="s">
        <v>1392</v>
      </c>
      <c r="I77" s="2953">
        <v>69</v>
      </c>
      <c r="J77" s="2950" t="s">
        <v>120</v>
      </c>
      <c r="K77" s="2948" t="s">
        <v>909</v>
      </c>
      <c r="L77" s="2951">
        <v>14.7</v>
      </c>
      <c r="M77" s="2951">
        <v>13.23</v>
      </c>
      <c r="N77" s="2977">
        <v>3.3484953851424834E-3</v>
      </c>
      <c r="O77" s="2948">
        <v>3</v>
      </c>
      <c r="P77" s="2949" t="s">
        <v>1071</v>
      </c>
      <c r="Q77" s="2953">
        <v>150</v>
      </c>
      <c r="R77" s="2953">
        <v>150</v>
      </c>
      <c r="S77" s="2952">
        <f t="shared" si="9"/>
        <v>300</v>
      </c>
      <c r="T77" s="2952">
        <f t="shared" si="10"/>
        <v>10350</v>
      </c>
      <c r="U77" s="2952">
        <f t="shared" si="11"/>
        <v>10350</v>
      </c>
      <c r="V77" s="2952">
        <f t="shared" si="12"/>
        <v>20700</v>
      </c>
      <c r="W77" s="2954">
        <f t="shared" si="13"/>
        <v>1984.5</v>
      </c>
      <c r="X77" s="2954">
        <f t="shared" si="14"/>
        <v>1984.5</v>
      </c>
      <c r="Y77" s="2954">
        <f t="shared" si="15"/>
        <v>3969</v>
      </c>
      <c r="Z77" s="2949"/>
    </row>
    <row r="78" spans="1:27">
      <c r="H78" s="2948" t="s">
        <v>1392</v>
      </c>
      <c r="I78" s="2953">
        <v>63</v>
      </c>
      <c r="J78" s="2950" t="s">
        <v>120</v>
      </c>
      <c r="K78" s="2948" t="s">
        <v>909</v>
      </c>
      <c r="L78" s="2951">
        <v>14.7</v>
      </c>
      <c r="M78" s="2951">
        <v>13.23</v>
      </c>
      <c r="N78" s="2977">
        <v>0</v>
      </c>
      <c r="O78" s="2948">
        <v>3</v>
      </c>
      <c r="P78" s="2949" t="s">
        <v>1071</v>
      </c>
      <c r="Q78" s="2953">
        <v>0</v>
      </c>
      <c r="R78" s="2953">
        <v>0</v>
      </c>
      <c r="S78" s="2952">
        <f t="shared" si="9"/>
        <v>0</v>
      </c>
      <c r="T78" s="2952">
        <f t="shared" si="10"/>
        <v>0</v>
      </c>
      <c r="U78" s="2952">
        <f t="shared" si="11"/>
        <v>0</v>
      </c>
      <c r="V78" s="2952">
        <f t="shared" si="12"/>
        <v>0</v>
      </c>
      <c r="W78" s="2954">
        <f t="shared" si="13"/>
        <v>0</v>
      </c>
      <c r="X78" s="2954">
        <f t="shared" si="14"/>
        <v>0</v>
      </c>
      <c r="Y78" s="2954">
        <f t="shared" si="15"/>
        <v>0</v>
      </c>
      <c r="Z78" s="2949"/>
    </row>
    <row r="79" spans="1:27">
      <c r="H79" s="2948" t="s">
        <v>1392</v>
      </c>
      <c r="I79" s="2953">
        <v>44</v>
      </c>
      <c r="J79" s="2950" t="s">
        <v>120</v>
      </c>
      <c r="K79" s="2948" t="s">
        <v>909</v>
      </c>
      <c r="L79" s="2951">
        <v>14.7</v>
      </c>
      <c r="M79" s="2951">
        <v>13.23</v>
      </c>
      <c r="N79" s="2977">
        <v>0</v>
      </c>
      <c r="O79" s="2948">
        <v>3</v>
      </c>
      <c r="P79" s="2949" t="s">
        <v>1071</v>
      </c>
      <c r="Q79" s="2953">
        <v>0</v>
      </c>
      <c r="R79" s="2953">
        <v>0</v>
      </c>
      <c r="S79" s="2952">
        <f t="shared" si="9"/>
        <v>0</v>
      </c>
      <c r="T79" s="2952">
        <f t="shared" si="10"/>
        <v>0</v>
      </c>
      <c r="U79" s="2952">
        <f t="shared" si="11"/>
        <v>0</v>
      </c>
      <c r="V79" s="2952">
        <f t="shared" si="12"/>
        <v>0</v>
      </c>
      <c r="W79" s="2954">
        <f t="shared" si="13"/>
        <v>0</v>
      </c>
      <c r="X79" s="2954">
        <f t="shared" si="14"/>
        <v>0</v>
      </c>
      <c r="Y79" s="2954">
        <f t="shared" si="15"/>
        <v>0</v>
      </c>
      <c r="Z79" s="2949"/>
    </row>
    <row r="80" spans="1:27">
      <c r="H80" s="2948" t="s">
        <v>1392</v>
      </c>
      <c r="I80" s="2953">
        <v>46</v>
      </c>
      <c r="J80" s="2950" t="s">
        <v>120</v>
      </c>
      <c r="K80" s="2948" t="s">
        <v>909</v>
      </c>
      <c r="L80" s="2951">
        <v>14.7</v>
      </c>
      <c r="M80" s="2951">
        <v>13.23</v>
      </c>
      <c r="N80" s="2977">
        <v>0</v>
      </c>
      <c r="O80" s="2948">
        <v>3</v>
      </c>
      <c r="P80" s="2949" t="s">
        <v>1071</v>
      </c>
      <c r="Q80" s="2953">
        <v>0</v>
      </c>
      <c r="R80" s="2953">
        <v>0</v>
      </c>
      <c r="S80" s="2952">
        <f t="shared" ref="S80:S111" si="16">Q80+R80</f>
        <v>0</v>
      </c>
      <c r="T80" s="2952">
        <f t="shared" ref="T80:T111" si="17">I80*Q80</f>
        <v>0</v>
      </c>
      <c r="U80" s="2952">
        <f t="shared" ref="U80:U111" si="18">I80*R80</f>
        <v>0</v>
      </c>
      <c r="V80" s="2952">
        <f t="shared" ref="V80:V111" si="19">T80+U80</f>
        <v>0</v>
      </c>
      <c r="W80" s="2954">
        <f t="shared" ref="W80:W111" si="20">M80*Q80</f>
        <v>0</v>
      </c>
      <c r="X80" s="2954">
        <f t="shared" ref="X80:X111" si="21">M80*R80</f>
        <v>0</v>
      </c>
      <c r="Y80" s="2954">
        <f t="shared" ref="Y80:Y111" si="22">W80+X80</f>
        <v>0</v>
      </c>
      <c r="Z80" s="2949"/>
    </row>
    <row r="81" spans="8:26">
      <c r="H81" s="2948" t="s">
        <v>1393</v>
      </c>
      <c r="I81" s="2953">
        <v>247</v>
      </c>
      <c r="J81" s="2950" t="s">
        <v>120</v>
      </c>
      <c r="K81" s="2948" t="s">
        <v>909</v>
      </c>
      <c r="L81" s="2951">
        <v>14.819999999999999</v>
      </c>
      <c r="M81" s="2951">
        <v>13.337999999999999</v>
      </c>
      <c r="N81" s="2977">
        <v>3.9955476334791948E-2</v>
      </c>
      <c r="O81" s="2948">
        <v>3</v>
      </c>
      <c r="P81" s="2949" t="s">
        <v>1071</v>
      </c>
      <c r="Q81" s="2953">
        <v>500</v>
      </c>
      <c r="R81" s="2953">
        <v>500</v>
      </c>
      <c r="S81" s="2952">
        <f t="shared" si="16"/>
        <v>1000</v>
      </c>
      <c r="T81" s="2952">
        <f t="shared" si="17"/>
        <v>123500</v>
      </c>
      <c r="U81" s="2952">
        <f t="shared" si="18"/>
        <v>123500</v>
      </c>
      <c r="V81" s="2952">
        <f t="shared" si="19"/>
        <v>247000</v>
      </c>
      <c r="W81" s="2954">
        <f t="shared" si="20"/>
        <v>6669</v>
      </c>
      <c r="X81" s="2954">
        <f t="shared" si="21"/>
        <v>6669</v>
      </c>
      <c r="Y81" s="2954">
        <f t="shared" si="22"/>
        <v>13338</v>
      </c>
      <c r="Z81" s="2949"/>
    </row>
    <row r="82" spans="8:26">
      <c r="H82" s="2948" t="s">
        <v>1393</v>
      </c>
      <c r="I82" s="2953">
        <v>90</v>
      </c>
      <c r="J82" s="2950" t="s">
        <v>120</v>
      </c>
      <c r="K82" s="2948" t="s">
        <v>909</v>
      </c>
      <c r="L82" s="2951">
        <v>13.831999999999997</v>
      </c>
      <c r="M82" s="2951">
        <v>12.448799999999999</v>
      </c>
      <c r="N82" s="2977">
        <v>2.9117351175152028E-3</v>
      </c>
      <c r="O82" s="2948">
        <v>3</v>
      </c>
      <c r="P82" s="2949" t="s">
        <v>1071</v>
      </c>
      <c r="Q82" s="2953">
        <v>100</v>
      </c>
      <c r="R82" s="2953">
        <v>100</v>
      </c>
      <c r="S82" s="2952">
        <f t="shared" si="16"/>
        <v>200</v>
      </c>
      <c r="T82" s="2952">
        <f t="shared" si="17"/>
        <v>9000</v>
      </c>
      <c r="U82" s="2952">
        <f t="shared" si="18"/>
        <v>9000</v>
      </c>
      <c r="V82" s="2952">
        <f t="shared" si="19"/>
        <v>18000</v>
      </c>
      <c r="W82" s="2954">
        <f t="shared" si="20"/>
        <v>1244.8799999999999</v>
      </c>
      <c r="X82" s="2954">
        <f t="shared" si="21"/>
        <v>1244.8799999999999</v>
      </c>
      <c r="Y82" s="2954">
        <f t="shared" si="22"/>
        <v>2489.7599999999998</v>
      </c>
      <c r="Z82" s="2949"/>
    </row>
    <row r="83" spans="8:26">
      <c r="H83" s="2948" t="s">
        <v>1393</v>
      </c>
      <c r="I83" s="2953">
        <v>68</v>
      </c>
      <c r="J83" s="2950" t="s">
        <v>120</v>
      </c>
      <c r="K83" s="2948" t="s">
        <v>909</v>
      </c>
      <c r="L83" s="2951">
        <v>13.831999999999997</v>
      </c>
      <c r="M83" s="2951">
        <v>12.448799999999999</v>
      </c>
      <c r="N83" s="2977">
        <v>2.7499720554310247E-4</v>
      </c>
      <c r="O83" s="2948">
        <v>3</v>
      </c>
      <c r="P83" s="2949" t="s">
        <v>1071</v>
      </c>
      <c r="Q83" s="2953">
        <v>12.5</v>
      </c>
      <c r="R83" s="2953">
        <v>12.5</v>
      </c>
      <c r="S83" s="2952">
        <f t="shared" si="16"/>
        <v>25</v>
      </c>
      <c r="T83" s="2952">
        <f t="shared" si="17"/>
        <v>850</v>
      </c>
      <c r="U83" s="2952">
        <f t="shared" si="18"/>
        <v>850</v>
      </c>
      <c r="V83" s="2952">
        <f t="shared" si="19"/>
        <v>1700</v>
      </c>
      <c r="W83" s="2954">
        <f t="shared" si="20"/>
        <v>155.60999999999999</v>
      </c>
      <c r="X83" s="2954">
        <f t="shared" si="21"/>
        <v>155.60999999999999</v>
      </c>
      <c r="Y83" s="2954">
        <f t="shared" si="22"/>
        <v>311.21999999999997</v>
      </c>
      <c r="Z83" s="2949"/>
    </row>
    <row r="84" spans="8:26">
      <c r="H84" s="2948" t="s">
        <v>1393</v>
      </c>
      <c r="I84" s="2953">
        <v>133</v>
      </c>
      <c r="J84" s="2950" t="s">
        <v>120</v>
      </c>
      <c r="K84" s="2948" t="s">
        <v>909</v>
      </c>
      <c r="L84" s="2951">
        <v>13.831999999999997</v>
      </c>
      <c r="M84" s="2951">
        <v>12.448799999999999</v>
      </c>
      <c r="N84" s="2977">
        <v>0</v>
      </c>
      <c r="O84" s="2948">
        <v>3</v>
      </c>
      <c r="P84" s="2949" t="s">
        <v>1071</v>
      </c>
      <c r="Q84" s="2953">
        <v>0</v>
      </c>
      <c r="R84" s="2953">
        <v>0</v>
      </c>
      <c r="S84" s="2952">
        <f t="shared" si="16"/>
        <v>0</v>
      </c>
      <c r="T84" s="2952">
        <f t="shared" si="17"/>
        <v>0</v>
      </c>
      <c r="U84" s="2952">
        <f t="shared" si="18"/>
        <v>0</v>
      </c>
      <c r="V84" s="2952">
        <f t="shared" si="19"/>
        <v>0</v>
      </c>
      <c r="W84" s="2954">
        <f t="shared" si="20"/>
        <v>0</v>
      </c>
      <c r="X84" s="2954">
        <f t="shared" si="21"/>
        <v>0</v>
      </c>
      <c r="Y84" s="2954">
        <f t="shared" si="22"/>
        <v>0</v>
      </c>
      <c r="Z84" s="2949"/>
    </row>
    <row r="85" spans="8:26">
      <c r="H85" s="2948" t="s">
        <v>1393</v>
      </c>
      <c r="I85" s="2953">
        <v>108</v>
      </c>
      <c r="J85" s="2950" t="s">
        <v>120</v>
      </c>
      <c r="K85" s="2948" t="s">
        <v>909</v>
      </c>
      <c r="L85" s="2951">
        <v>13.831999999999997</v>
      </c>
      <c r="M85" s="2951">
        <v>12.448799999999999</v>
      </c>
      <c r="N85" s="2977">
        <v>8.7352053525456084E-3</v>
      </c>
      <c r="O85" s="2948">
        <v>3</v>
      </c>
      <c r="P85" s="2949" t="s">
        <v>1071</v>
      </c>
      <c r="Q85" s="2953">
        <v>250</v>
      </c>
      <c r="R85" s="2953">
        <v>250</v>
      </c>
      <c r="S85" s="2952">
        <f t="shared" si="16"/>
        <v>500</v>
      </c>
      <c r="T85" s="2952">
        <f t="shared" si="17"/>
        <v>27000</v>
      </c>
      <c r="U85" s="2952">
        <f t="shared" si="18"/>
        <v>27000</v>
      </c>
      <c r="V85" s="2952">
        <f t="shared" si="19"/>
        <v>54000</v>
      </c>
      <c r="W85" s="2954">
        <f t="shared" si="20"/>
        <v>3112.2</v>
      </c>
      <c r="X85" s="2954">
        <f t="shared" si="21"/>
        <v>3112.2</v>
      </c>
      <c r="Y85" s="2954">
        <f t="shared" si="22"/>
        <v>6224.4</v>
      </c>
      <c r="Z85" s="2949"/>
    </row>
    <row r="86" spans="8:26">
      <c r="H86" s="2948" t="s">
        <v>1393</v>
      </c>
      <c r="I86" s="2953">
        <v>99</v>
      </c>
      <c r="J86" s="2950" t="s">
        <v>120</v>
      </c>
      <c r="K86" s="2948" t="s">
        <v>909</v>
      </c>
      <c r="L86" s="2951">
        <v>13.831999999999997</v>
      </c>
      <c r="M86" s="2951">
        <v>12.448799999999999</v>
      </c>
      <c r="N86" s="2977">
        <v>0</v>
      </c>
      <c r="O86" s="2948">
        <v>3</v>
      </c>
      <c r="P86" s="2949" t="s">
        <v>1071</v>
      </c>
      <c r="Q86" s="2953">
        <v>0</v>
      </c>
      <c r="R86" s="2953">
        <v>0</v>
      </c>
      <c r="S86" s="2952">
        <f t="shared" si="16"/>
        <v>0</v>
      </c>
      <c r="T86" s="2952">
        <f t="shared" si="17"/>
        <v>0</v>
      </c>
      <c r="U86" s="2952">
        <f t="shared" si="18"/>
        <v>0</v>
      </c>
      <c r="V86" s="2952">
        <f t="shared" si="19"/>
        <v>0</v>
      </c>
      <c r="W86" s="2954">
        <f t="shared" si="20"/>
        <v>0</v>
      </c>
      <c r="X86" s="2954">
        <f t="shared" si="21"/>
        <v>0</v>
      </c>
      <c r="Y86" s="2954">
        <f t="shared" si="22"/>
        <v>0</v>
      </c>
      <c r="Z86" s="2949"/>
    </row>
    <row r="87" spans="8:26">
      <c r="H87" s="2948" t="s">
        <v>1393</v>
      </c>
      <c r="I87" s="2953">
        <v>69</v>
      </c>
      <c r="J87" s="2950" t="s">
        <v>120</v>
      </c>
      <c r="K87" s="2948" t="s">
        <v>909</v>
      </c>
      <c r="L87" s="2951">
        <v>13.831999999999997</v>
      </c>
      <c r="M87" s="2951">
        <v>12.448799999999999</v>
      </c>
      <c r="N87" s="2977">
        <v>0</v>
      </c>
      <c r="O87" s="2948">
        <v>3</v>
      </c>
      <c r="P87" s="2949" t="s">
        <v>1071</v>
      </c>
      <c r="Q87" s="2953">
        <v>0</v>
      </c>
      <c r="R87" s="2953">
        <v>0</v>
      </c>
      <c r="S87" s="2952">
        <f t="shared" si="16"/>
        <v>0</v>
      </c>
      <c r="T87" s="2952">
        <f t="shared" si="17"/>
        <v>0</v>
      </c>
      <c r="U87" s="2952">
        <f t="shared" si="18"/>
        <v>0</v>
      </c>
      <c r="V87" s="2952">
        <f t="shared" si="19"/>
        <v>0</v>
      </c>
      <c r="W87" s="2954">
        <f t="shared" si="20"/>
        <v>0</v>
      </c>
      <c r="X87" s="2954">
        <f t="shared" si="21"/>
        <v>0</v>
      </c>
      <c r="Y87" s="2954">
        <f t="shared" si="22"/>
        <v>0</v>
      </c>
      <c r="Z87" s="2949"/>
    </row>
    <row r="88" spans="8:26">
      <c r="H88" s="2948" t="s">
        <v>1393</v>
      </c>
      <c r="I88" s="2953">
        <v>72</v>
      </c>
      <c r="J88" s="2950" t="s">
        <v>120</v>
      </c>
      <c r="K88" s="2948" t="s">
        <v>909</v>
      </c>
      <c r="L88" s="2951">
        <v>13.831999999999997</v>
      </c>
      <c r="M88" s="2951">
        <v>12.448799999999999</v>
      </c>
      <c r="N88" s="2977">
        <v>0</v>
      </c>
      <c r="O88" s="2948">
        <v>3</v>
      </c>
      <c r="P88" s="2949" t="s">
        <v>1071</v>
      </c>
      <c r="Q88" s="2953">
        <v>0</v>
      </c>
      <c r="R88" s="2953">
        <v>0</v>
      </c>
      <c r="S88" s="2952">
        <f t="shared" si="16"/>
        <v>0</v>
      </c>
      <c r="T88" s="2952">
        <f t="shared" si="17"/>
        <v>0</v>
      </c>
      <c r="U88" s="2952">
        <f t="shared" si="18"/>
        <v>0</v>
      </c>
      <c r="V88" s="2952">
        <f t="shared" si="19"/>
        <v>0</v>
      </c>
      <c r="W88" s="2954">
        <f t="shared" si="20"/>
        <v>0</v>
      </c>
      <c r="X88" s="2954">
        <f t="shared" si="21"/>
        <v>0</v>
      </c>
      <c r="Y88" s="2954">
        <f t="shared" si="22"/>
        <v>0</v>
      </c>
      <c r="Z88" s="2949"/>
    </row>
    <row r="89" spans="8:26">
      <c r="H89" s="2948" t="s">
        <v>1394</v>
      </c>
      <c r="I89" s="2953">
        <v>112</v>
      </c>
      <c r="J89" s="2950" t="s">
        <v>120</v>
      </c>
      <c r="K89" s="2948" t="s">
        <v>909</v>
      </c>
      <c r="L89" s="2951">
        <v>21.87</v>
      </c>
      <c r="M89" s="2951">
        <v>19.683</v>
      </c>
      <c r="N89" s="2977">
        <v>1.3588097215070948E-2</v>
      </c>
      <c r="O89" s="2948">
        <v>3</v>
      </c>
      <c r="P89" s="2949" t="s">
        <v>1071</v>
      </c>
      <c r="Q89" s="2953">
        <v>375</v>
      </c>
      <c r="R89" s="2953">
        <v>375</v>
      </c>
      <c r="S89" s="2952">
        <f t="shared" si="16"/>
        <v>750</v>
      </c>
      <c r="T89" s="2952">
        <f t="shared" si="17"/>
        <v>42000</v>
      </c>
      <c r="U89" s="2952">
        <f t="shared" si="18"/>
        <v>42000</v>
      </c>
      <c r="V89" s="2952">
        <f t="shared" si="19"/>
        <v>84000</v>
      </c>
      <c r="W89" s="2954">
        <f t="shared" si="20"/>
        <v>7381.125</v>
      </c>
      <c r="X89" s="2954">
        <f t="shared" si="21"/>
        <v>7381.125</v>
      </c>
      <c r="Y89" s="2954">
        <f t="shared" si="22"/>
        <v>14762.25</v>
      </c>
      <c r="Z89" s="2949"/>
    </row>
    <row r="90" spans="8:26">
      <c r="H90" s="2948" t="s">
        <v>1394</v>
      </c>
      <c r="I90" s="2953">
        <v>41</v>
      </c>
      <c r="J90" s="2950" t="s">
        <v>120</v>
      </c>
      <c r="K90" s="2948" t="s">
        <v>909</v>
      </c>
      <c r="L90" s="2951">
        <v>20.411999999999999</v>
      </c>
      <c r="M90" s="2951">
        <v>18.370799999999999</v>
      </c>
      <c r="N90" s="2977">
        <v>1.6580713863628238E-4</v>
      </c>
      <c r="O90" s="2948">
        <v>3</v>
      </c>
      <c r="P90" s="2949" t="s">
        <v>1071</v>
      </c>
      <c r="Q90" s="2953">
        <v>12.5</v>
      </c>
      <c r="R90" s="2953">
        <v>12.5</v>
      </c>
      <c r="S90" s="2952">
        <f t="shared" si="16"/>
        <v>25</v>
      </c>
      <c r="T90" s="2952">
        <f t="shared" si="17"/>
        <v>512.5</v>
      </c>
      <c r="U90" s="2952">
        <f t="shared" si="18"/>
        <v>512.5</v>
      </c>
      <c r="V90" s="2952">
        <f t="shared" si="19"/>
        <v>1025</v>
      </c>
      <c r="W90" s="2954">
        <f t="shared" si="20"/>
        <v>229.63499999999999</v>
      </c>
      <c r="X90" s="2954">
        <f t="shared" si="21"/>
        <v>229.63499999999999</v>
      </c>
      <c r="Y90" s="2954">
        <f t="shared" si="22"/>
        <v>459.27</v>
      </c>
      <c r="Z90" s="2949"/>
    </row>
    <row r="91" spans="8:26">
      <c r="H91" s="2948" t="s">
        <v>1394</v>
      </c>
      <c r="I91" s="2953">
        <v>31</v>
      </c>
      <c r="J91" s="2950" t="s">
        <v>120</v>
      </c>
      <c r="K91" s="2948" t="s">
        <v>909</v>
      </c>
      <c r="L91" s="2951">
        <v>20.411999999999999</v>
      </c>
      <c r="M91" s="2951">
        <v>18.370799999999999</v>
      </c>
      <c r="N91" s="2977">
        <v>2.5073274623047578E-4</v>
      </c>
      <c r="O91" s="2948">
        <v>3</v>
      </c>
      <c r="P91" s="2949" t="s">
        <v>1071</v>
      </c>
      <c r="Q91" s="2953">
        <v>25</v>
      </c>
      <c r="R91" s="2953">
        <v>25</v>
      </c>
      <c r="S91" s="2952">
        <f t="shared" si="16"/>
        <v>50</v>
      </c>
      <c r="T91" s="2952">
        <f t="shared" si="17"/>
        <v>775</v>
      </c>
      <c r="U91" s="2952">
        <f t="shared" si="18"/>
        <v>775</v>
      </c>
      <c r="V91" s="2952">
        <f t="shared" si="19"/>
        <v>1550</v>
      </c>
      <c r="W91" s="2954">
        <f t="shared" si="20"/>
        <v>459.27</v>
      </c>
      <c r="X91" s="2954">
        <f t="shared" si="21"/>
        <v>459.27</v>
      </c>
      <c r="Y91" s="2954">
        <f t="shared" si="22"/>
        <v>918.54</v>
      </c>
      <c r="Z91" s="2949"/>
    </row>
    <row r="92" spans="8:26">
      <c r="H92" s="2948" t="s">
        <v>1394</v>
      </c>
      <c r="I92" s="2953">
        <v>60</v>
      </c>
      <c r="J92" s="2950" t="s">
        <v>120</v>
      </c>
      <c r="K92" s="2948" t="s">
        <v>909</v>
      </c>
      <c r="L92" s="2951">
        <v>20.411999999999999</v>
      </c>
      <c r="M92" s="2951">
        <v>18.370799999999999</v>
      </c>
      <c r="N92" s="2977">
        <v>0</v>
      </c>
      <c r="O92" s="2948">
        <v>3</v>
      </c>
      <c r="P92" s="2949" t="s">
        <v>1071</v>
      </c>
      <c r="Q92" s="2953">
        <v>0</v>
      </c>
      <c r="R92" s="2953">
        <v>0</v>
      </c>
      <c r="S92" s="2952">
        <f t="shared" si="16"/>
        <v>0</v>
      </c>
      <c r="T92" s="2952">
        <f t="shared" si="17"/>
        <v>0</v>
      </c>
      <c r="U92" s="2952">
        <f t="shared" si="18"/>
        <v>0</v>
      </c>
      <c r="V92" s="2952">
        <f t="shared" si="19"/>
        <v>0</v>
      </c>
      <c r="W92" s="2954">
        <f t="shared" si="20"/>
        <v>0</v>
      </c>
      <c r="X92" s="2954">
        <f t="shared" si="21"/>
        <v>0</v>
      </c>
      <c r="Y92" s="2954">
        <f t="shared" si="22"/>
        <v>0</v>
      </c>
      <c r="Z92" s="2949"/>
    </row>
    <row r="93" spans="8:26">
      <c r="H93" s="2948" t="s">
        <v>1394</v>
      </c>
      <c r="I93" s="2953">
        <v>49</v>
      </c>
      <c r="J93" s="2950" t="s">
        <v>120</v>
      </c>
      <c r="K93" s="2948" t="s">
        <v>909</v>
      </c>
      <c r="L93" s="2951">
        <v>20.411999999999999</v>
      </c>
      <c r="M93" s="2951">
        <v>18.370799999999999</v>
      </c>
      <c r="N93" s="2977">
        <v>1.5852780084249438E-3</v>
      </c>
      <c r="O93" s="2948">
        <v>3</v>
      </c>
      <c r="P93" s="2949" t="s">
        <v>1071</v>
      </c>
      <c r="Q93" s="2953">
        <v>100</v>
      </c>
      <c r="R93" s="2953">
        <v>100</v>
      </c>
      <c r="S93" s="2952">
        <f t="shared" si="16"/>
        <v>200</v>
      </c>
      <c r="T93" s="2952">
        <f t="shared" si="17"/>
        <v>4900</v>
      </c>
      <c r="U93" s="2952">
        <f t="shared" si="18"/>
        <v>4900</v>
      </c>
      <c r="V93" s="2952">
        <f t="shared" si="19"/>
        <v>9800</v>
      </c>
      <c r="W93" s="2954">
        <f t="shared" si="20"/>
        <v>1837.08</v>
      </c>
      <c r="X93" s="2954">
        <f t="shared" si="21"/>
        <v>1837.08</v>
      </c>
      <c r="Y93" s="2954">
        <f t="shared" si="22"/>
        <v>3674.16</v>
      </c>
      <c r="Z93" s="2949"/>
    </row>
    <row r="94" spans="8:26">
      <c r="H94" s="2948" t="s">
        <v>1394</v>
      </c>
      <c r="I94" s="2953">
        <v>45</v>
      </c>
      <c r="J94" s="2950" t="s">
        <v>120</v>
      </c>
      <c r="K94" s="2948" t="s">
        <v>909</v>
      </c>
      <c r="L94" s="2951">
        <v>20.411999999999999</v>
      </c>
      <c r="M94" s="2951">
        <v>18.370799999999999</v>
      </c>
      <c r="N94" s="2977">
        <v>0</v>
      </c>
      <c r="O94" s="2948">
        <v>3</v>
      </c>
      <c r="P94" s="2949" t="s">
        <v>1071</v>
      </c>
      <c r="Q94" s="2953">
        <v>0</v>
      </c>
      <c r="R94" s="2953">
        <v>0</v>
      </c>
      <c r="S94" s="2952">
        <f t="shared" si="16"/>
        <v>0</v>
      </c>
      <c r="T94" s="2952">
        <f t="shared" si="17"/>
        <v>0</v>
      </c>
      <c r="U94" s="2952">
        <f t="shared" si="18"/>
        <v>0</v>
      </c>
      <c r="V94" s="2952">
        <f t="shared" si="19"/>
        <v>0</v>
      </c>
      <c r="W94" s="2954">
        <f t="shared" si="20"/>
        <v>0</v>
      </c>
      <c r="X94" s="2954">
        <f t="shared" si="21"/>
        <v>0</v>
      </c>
      <c r="Y94" s="2954">
        <f t="shared" si="22"/>
        <v>0</v>
      </c>
      <c r="Z94" s="2949"/>
    </row>
    <row r="95" spans="8:26">
      <c r="H95" s="2948" t="s">
        <v>1394</v>
      </c>
      <c r="I95" s="2953">
        <v>31</v>
      </c>
      <c r="J95" s="2950" t="s">
        <v>120</v>
      </c>
      <c r="K95" s="2948" t="s">
        <v>909</v>
      </c>
      <c r="L95" s="2951">
        <v>20.411999999999999</v>
      </c>
      <c r="M95" s="2951">
        <v>18.370799999999999</v>
      </c>
      <c r="N95" s="2977">
        <v>0</v>
      </c>
      <c r="O95" s="2948">
        <v>3</v>
      </c>
      <c r="P95" s="2949" t="s">
        <v>1071</v>
      </c>
      <c r="Q95" s="2953">
        <v>0</v>
      </c>
      <c r="R95" s="2953">
        <v>0</v>
      </c>
      <c r="S95" s="2952">
        <f t="shared" si="16"/>
        <v>0</v>
      </c>
      <c r="T95" s="2952">
        <f t="shared" si="17"/>
        <v>0</v>
      </c>
      <c r="U95" s="2952">
        <f t="shared" si="18"/>
        <v>0</v>
      </c>
      <c r="V95" s="2952">
        <f t="shared" si="19"/>
        <v>0</v>
      </c>
      <c r="W95" s="2954">
        <f t="shared" si="20"/>
        <v>0</v>
      </c>
      <c r="X95" s="2954">
        <f t="shared" si="21"/>
        <v>0</v>
      </c>
      <c r="Y95" s="2954">
        <f t="shared" si="22"/>
        <v>0</v>
      </c>
      <c r="Z95" s="2949"/>
    </row>
    <row r="96" spans="8:26">
      <c r="H96" s="2948" t="s">
        <v>1394</v>
      </c>
      <c r="I96" s="2953">
        <v>33</v>
      </c>
      <c r="J96" s="2950" t="s">
        <v>120</v>
      </c>
      <c r="K96" s="2948" t="s">
        <v>909</v>
      </c>
      <c r="L96" s="2951">
        <v>20.411999999999999</v>
      </c>
      <c r="M96" s="2951">
        <v>18.370799999999999</v>
      </c>
      <c r="N96" s="2977">
        <v>0</v>
      </c>
      <c r="O96" s="2948">
        <v>3</v>
      </c>
      <c r="P96" s="2949" t="s">
        <v>1071</v>
      </c>
      <c r="Q96" s="2953">
        <v>0</v>
      </c>
      <c r="R96" s="2953">
        <v>0</v>
      </c>
      <c r="S96" s="2952">
        <f t="shared" si="16"/>
        <v>0</v>
      </c>
      <c r="T96" s="2952">
        <f t="shared" si="17"/>
        <v>0</v>
      </c>
      <c r="U96" s="2952">
        <f t="shared" si="18"/>
        <v>0</v>
      </c>
      <c r="V96" s="2952">
        <f t="shared" si="19"/>
        <v>0</v>
      </c>
      <c r="W96" s="2954">
        <f t="shared" si="20"/>
        <v>0</v>
      </c>
      <c r="X96" s="2954">
        <f t="shared" si="21"/>
        <v>0</v>
      </c>
      <c r="Y96" s="2954">
        <f t="shared" si="22"/>
        <v>0</v>
      </c>
      <c r="Z96" s="2949"/>
    </row>
    <row r="97" spans="8:26">
      <c r="H97" s="2948" t="s">
        <v>1395</v>
      </c>
      <c r="I97" s="2953">
        <v>210</v>
      </c>
      <c r="J97" s="2950" t="s">
        <v>120</v>
      </c>
      <c r="K97" s="2948" t="s">
        <v>909</v>
      </c>
      <c r="L97" s="2951">
        <v>22.77</v>
      </c>
      <c r="M97" s="2951">
        <v>20.492999999999999</v>
      </c>
      <c r="N97" s="2977">
        <v>6.7940486075354731E-2</v>
      </c>
      <c r="O97" s="2948">
        <v>3</v>
      </c>
      <c r="P97" s="2949" t="s">
        <v>1071</v>
      </c>
      <c r="Q97" s="2953">
        <v>1000</v>
      </c>
      <c r="R97" s="2953">
        <v>1000</v>
      </c>
      <c r="S97" s="2952">
        <f t="shared" si="16"/>
        <v>2000</v>
      </c>
      <c r="T97" s="2952">
        <f t="shared" si="17"/>
        <v>210000</v>
      </c>
      <c r="U97" s="2952">
        <f t="shared" si="18"/>
        <v>210000</v>
      </c>
      <c r="V97" s="2952">
        <f t="shared" si="19"/>
        <v>420000</v>
      </c>
      <c r="W97" s="2954">
        <f t="shared" si="20"/>
        <v>20493</v>
      </c>
      <c r="X97" s="2954">
        <f t="shared" si="21"/>
        <v>20493</v>
      </c>
      <c r="Y97" s="2954">
        <f t="shared" si="22"/>
        <v>40986</v>
      </c>
      <c r="Z97" s="2949"/>
    </row>
    <row r="98" spans="8:26">
      <c r="H98" s="2948" t="s">
        <v>1395</v>
      </c>
      <c r="I98" s="2953">
        <v>77</v>
      </c>
      <c r="J98" s="2950" t="s">
        <v>120</v>
      </c>
      <c r="K98" s="2948" t="s">
        <v>909</v>
      </c>
      <c r="L98" s="2951">
        <v>21.251999999999999</v>
      </c>
      <c r="M98" s="2951">
        <v>19.126799999999999</v>
      </c>
      <c r="N98" s="2977">
        <v>2.4911511560963401E-4</v>
      </c>
      <c r="O98" s="2948">
        <v>3</v>
      </c>
      <c r="P98" s="2949" t="s">
        <v>1071</v>
      </c>
      <c r="Q98" s="2953">
        <v>10</v>
      </c>
      <c r="R98" s="2953">
        <v>10</v>
      </c>
      <c r="S98" s="2952">
        <f t="shared" si="16"/>
        <v>20</v>
      </c>
      <c r="T98" s="2952">
        <f t="shared" si="17"/>
        <v>770</v>
      </c>
      <c r="U98" s="2952">
        <f t="shared" si="18"/>
        <v>770</v>
      </c>
      <c r="V98" s="2952">
        <f t="shared" si="19"/>
        <v>1540</v>
      </c>
      <c r="W98" s="2954">
        <f t="shared" si="20"/>
        <v>191.268</v>
      </c>
      <c r="X98" s="2954">
        <f t="shared" si="21"/>
        <v>191.268</v>
      </c>
      <c r="Y98" s="2954">
        <f t="shared" si="22"/>
        <v>382.536</v>
      </c>
      <c r="Z98" s="2949"/>
    </row>
    <row r="99" spans="8:26">
      <c r="H99" s="2948" t="s">
        <v>1395</v>
      </c>
      <c r="I99" s="2953">
        <v>58</v>
      </c>
      <c r="J99" s="2950" t="s">
        <v>120</v>
      </c>
      <c r="K99" s="2948" t="s">
        <v>909</v>
      </c>
      <c r="L99" s="2951">
        <v>21.251999999999999</v>
      </c>
      <c r="M99" s="2951">
        <v>19.126799999999999</v>
      </c>
      <c r="N99" s="2977">
        <v>1.8764515201764642E-4</v>
      </c>
      <c r="O99" s="2948">
        <v>3</v>
      </c>
      <c r="P99" s="2949" t="s">
        <v>1071</v>
      </c>
      <c r="Q99" s="2953">
        <v>10</v>
      </c>
      <c r="R99" s="2953">
        <v>10</v>
      </c>
      <c r="S99" s="2952">
        <f t="shared" si="16"/>
        <v>20</v>
      </c>
      <c r="T99" s="2952">
        <f t="shared" si="17"/>
        <v>580</v>
      </c>
      <c r="U99" s="2952">
        <f t="shared" si="18"/>
        <v>580</v>
      </c>
      <c r="V99" s="2952">
        <f t="shared" si="19"/>
        <v>1160</v>
      </c>
      <c r="W99" s="2954">
        <f t="shared" si="20"/>
        <v>191.268</v>
      </c>
      <c r="X99" s="2954">
        <f t="shared" si="21"/>
        <v>191.268</v>
      </c>
      <c r="Y99" s="2954">
        <f t="shared" si="22"/>
        <v>382.536</v>
      </c>
      <c r="Z99" s="2949"/>
    </row>
    <row r="100" spans="8:26">
      <c r="H100" s="2948" t="s">
        <v>1395</v>
      </c>
      <c r="I100" s="2953">
        <v>113</v>
      </c>
      <c r="J100" s="2950" t="s">
        <v>120</v>
      </c>
      <c r="K100" s="2948" t="s">
        <v>909</v>
      </c>
      <c r="L100" s="2951">
        <v>21.251999999999999</v>
      </c>
      <c r="M100" s="2951">
        <v>19.126799999999999</v>
      </c>
      <c r="N100" s="2977">
        <v>0</v>
      </c>
      <c r="O100" s="2948">
        <v>3</v>
      </c>
      <c r="P100" s="2949" t="s">
        <v>1071</v>
      </c>
      <c r="Q100" s="2953">
        <v>0</v>
      </c>
      <c r="R100" s="2953">
        <v>0</v>
      </c>
      <c r="S100" s="2952">
        <f t="shared" si="16"/>
        <v>0</v>
      </c>
      <c r="T100" s="2952">
        <f t="shared" si="17"/>
        <v>0</v>
      </c>
      <c r="U100" s="2952">
        <f t="shared" si="18"/>
        <v>0</v>
      </c>
      <c r="V100" s="2952">
        <f t="shared" si="19"/>
        <v>0</v>
      </c>
      <c r="W100" s="2954">
        <f t="shared" si="20"/>
        <v>0</v>
      </c>
      <c r="X100" s="2954">
        <f t="shared" si="21"/>
        <v>0</v>
      </c>
      <c r="Y100" s="2954">
        <f t="shared" si="22"/>
        <v>0</v>
      </c>
      <c r="Z100" s="2949"/>
    </row>
    <row r="101" spans="8:26">
      <c r="H101" s="2948" t="s">
        <v>1395</v>
      </c>
      <c r="I101" s="2953">
        <v>92</v>
      </c>
      <c r="J101" s="2950" t="s">
        <v>120</v>
      </c>
      <c r="K101" s="2948" t="s">
        <v>909</v>
      </c>
      <c r="L101" s="2951">
        <v>21.251999999999999</v>
      </c>
      <c r="M101" s="2951">
        <v>19.126799999999999</v>
      </c>
      <c r="N101" s="2977">
        <v>7.4411008558721856E-3</v>
      </c>
      <c r="O101" s="2948">
        <v>3</v>
      </c>
      <c r="P101" s="2949" t="s">
        <v>1071</v>
      </c>
      <c r="Q101" s="2953">
        <v>250</v>
      </c>
      <c r="R101" s="2953">
        <v>250</v>
      </c>
      <c r="S101" s="2952">
        <f t="shared" si="16"/>
        <v>500</v>
      </c>
      <c r="T101" s="2952">
        <f t="shared" si="17"/>
        <v>23000</v>
      </c>
      <c r="U101" s="2952">
        <f t="shared" si="18"/>
        <v>23000</v>
      </c>
      <c r="V101" s="2952">
        <f t="shared" si="19"/>
        <v>46000</v>
      </c>
      <c r="W101" s="2954">
        <f t="shared" si="20"/>
        <v>4781.7</v>
      </c>
      <c r="X101" s="2954">
        <f t="shared" si="21"/>
        <v>4781.7</v>
      </c>
      <c r="Y101" s="2954">
        <f t="shared" si="22"/>
        <v>9563.4</v>
      </c>
      <c r="Z101" s="2949"/>
    </row>
    <row r="102" spans="8:26">
      <c r="H102" s="2948" t="s">
        <v>1395</v>
      </c>
      <c r="I102" s="2953">
        <v>84</v>
      </c>
      <c r="J102" s="2950" t="s">
        <v>120</v>
      </c>
      <c r="K102" s="2948" t="s">
        <v>909</v>
      </c>
      <c r="L102" s="2951">
        <v>21.251999999999999</v>
      </c>
      <c r="M102" s="2951">
        <v>19.126799999999999</v>
      </c>
      <c r="N102" s="2977">
        <v>0</v>
      </c>
      <c r="O102" s="2948">
        <v>3</v>
      </c>
      <c r="P102" s="2949" t="s">
        <v>1071</v>
      </c>
      <c r="Q102" s="2953">
        <v>0</v>
      </c>
      <c r="R102" s="2953">
        <v>0</v>
      </c>
      <c r="S102" s="2952">
        <f t="shared" si="16"/>
        <v>0</v>
      </c>
      <c r="T102" s="2952">
        <f t="shared" si="17"/>
        <v>0</v>
      </c>
      <c r="U102" s="2952">
        <f t="shared" si="18"/>
        <v>0</v>
      </c>
      <c r="V102" s="2952">
        <f t="shared" si="19"/>
        <v>0</v>
      </c>
      <c r="W102" s="2954">
        <f t="shared" si="20"/>
        <v>0</v>
      </c>
      <c r="X102" s="2954">
        <f t="shared" si="21"/>
        <v>0</v>
      </c>
      <c r="Y102" s="2954">
        <f t="shared" si="22"/>
        <v>0</v>
      </c>
      <c r="Z102" s="2949"/>
    </row>
    <row r="103" spans="8:26">
      <c r="H103" s="2948" t="s">
        <v>1395</v>
      </c>
      <c r="I103" s="2953">
        <v>59</v>
      </c>
      <c r="J103" s="2950" t="s">
        <v>120</v>
      </c>
      <c r="K103" s="2948" t="s">
        <v>909</v>
      </c>
      <c r="L103" s="2951">
        <v>21.251999999999999</v>
      </c>
      <c r="M103" s="2951">
        <v>19.126799999999999</v>
      </c>
      <c r="N103" s="2977">
        <v>0</v>
      </c>
      <c r="O103" s="2948">
        <v>3</v>
      </c>
      <c r="P103" s="2949" t="s">
        <v>1071</v>
      </c>
      <c r="Q103" s="2953">
        <v>0</v>
      </c>
      <c r="R103" s="2953">
        <v>0</v>
      </c>
      <c r="S103" s="2952">
        <f t="shared" si="16"/>
        <v>0</v>
      </c>
      <c r="T103" s="2952">
        <f t="shared" si="17"/>
        <v>0</v>
      </c>
      <c r="U103" s="2952">
        <f t="shared" si="18"/>
        <v>0</v>
      </c>
      <c r="V103" s="2952">
        <f t="shared" si="19"/>
        <v>0</v>
      </c>
      <c r="W103" s="2954">
        <f t="shared" si="20"/>
        <v>0</v>
      </c>
      <c r="X103" s="2954">
        <f t="shared" si="21"/>
        <v>0</v>
      </c>
      <c r="Y103" s="2954">
        <f t="shared" si="22"/>
        <v>0</v>
      </c>
      <c r="Z103" s="2949"/>
    </row>
    <row r="104" spans="8:26">
      <c r="H104" s="2948" t="s">
        <v>1395</v>
      </c>
      <c r="I104" s="2953">
        <v>61</v>
      </c>
      <c r="J104" s="2950" t="s">
        <v>120</v>
      </c>
      <c r="K104" s="2948" t="s">
        <v>909</v>
      </c>
      <c r="L104" s="2951">
        <v>21.251999999999999</v>
      </c>
      <c r="M104" s="2951">
        <v>19.126799999999999</v>
      </c>
      <c r="N104" s="2977">
        <v>0</v>
      </c>
      <c r="O104" s="2948">
        <v>3</v>
      </c>
      <c r="P104" s="2949" t="s">
        <v>1071</v>
      </c>
      <c r="Q104" s="2953">
        <v>0</v>
      </c>
      <c r="R104" s="2953">
        <v>0</v>
      </c>
      <c r="S104" s="2952">
        <f t="shared" si="16"/>
        <v>0</v>
      </c>
      <c r="T104" s="2952">
        <f t="shared" si="17"/>
        <v>0</v>
      </c>
      <c r="U104" s="2952">
        <f t="shared" si="18"/>
        <v>0</v>
      </c>
      <c r="V104" s="2952">
        <f t="shared" si="19"/>
        <v>0</v>
      </c>
      <c r="W104" s="2954">
        <f t="shared" si="20"/>
        <v>0</v>
      </c>
      <c r="X104" s="2954">
        <f t="shared" si="21"/>
        <v>0</v>
      </c>
      <c r="Y104" s="2954">
        <f t="shared" si="22"/>
        <v>0</v>
      </c>
      <c r="Z104" s="2949"/>
    </row>
    <row r="105" spans="8:26">
      <c r="H105" s="2948" t="s">
        <v>1396</v>
      </c>
      <c r="I105" s="2953">
        <v>299</v>
      </c>
      <c r="J105" s="2950" t="s">
        <v>120</v>
      </c>
      <c r="K105" s="2948" t="s">
        <v>909</v>
      </c>
      <c r="L105" s="2951">
        <v>29.655000000000001</v>
      </c>
      <c r="M105" s="2951">
        <v>26.689500000000002</v>
      </c>
      <c r="N105" s="2977">
        <v>4.8367155563169201E-2</v>
      </c>
      <c r="O105" s="2948">
        <v>3</v>
      </c>
      <c r="P105" s="2949" t="s">
        <v>1071</v>
      </c>
      <c r="Q105" s="2953">
        <v>500</v>
      </c>
      <c r="R105" s="2953">
        <v>500</v>
      </c>
      <c r="S105" s="2952">
        <f t="shared" si="16"/>
        <v>1000</v>
      </c>
      <c r="T105" s="2952">
        <f t="shared" si="17"/>
        <v>149500</v>
      </c>
      <c r="U105" s="2952">
        <f t="shared" si="18"/>
        <v>149500</v>
      </c>
      <c r="V105" s="2952">
        <f t="shared" si="19"/>
        <v>299000</v>
      </c>
      <c r="W105" s="2954">
        <f t="shared" si="20"/>
        <v>13344.750000000002</v>
      </c>
      <c r="X105" s="2954">
        <f t="shared" si="21"/>
        <v>13344.750000000002</v>
      </c>
      <c r="Y105" s="2954">
        <f t="shared" si="22"/>
        <v>26689.500000000004</v>
      </c>
      <c r="Z105" s="2949"/>
    </row>
    <row r="106" spans="8:26">
      <c r="H106" s="2948" t="s">
        <v>1396</v>
      </c>
      <c r="I106" s="2953">
        <v>110</v>
      </c>
      <c r="J106" s="2950" t="s">
        <v>120</v>
      </c>
      <c r="K106" s="2948" t="s">
        <v>909</v>
      </c>
      <c r="L106" s="2951">
        <v>27.677999999999997</v>
      </c>
      <c r="M106" s="2951">
        <v>24.9102</v>
      </c>
      <c r="N106" s="2977">
        <v>4.4484842073148933E-4</v>
      </c>
      <c r="O106" s="2948">
        <v>3</v>
      </c>
      <c r="P106" s="2949" t="s">
        <v>1071</v>
      </c>
      <c r="Q106" s="2953">
        <v>12.5</v>
      </c>
      <c r="R106" s="2953">
        <v>12.5</v>
      </c>
      <c r="S106" s="2952">
        <f t="shared" si="16"/>
        <v>25</v>
      </c>
      <c r="T106" s="2952">
        <f t="shared" si="17"/>
        <v>1375</v>
      </c>
      <c r="U106" s="2952">
        <f t="shared" si="18"/>
        <v>1375</v>
      </c>
      <c r="V106" s="2952">
        <f t="shared" si="19"/>
        <v>2750</v>
      </c>
      <c r="W106" s="2954">
        <f t="shared" si="20"/>
        <v>311.3775</v>
      </c>
      <c r="X106" s="2954">
        <f t="shared" si="21"/>
        <v>311.3775</v>
      </c>
      <c r="Y106" s="2954">
        <f t="shared" si="22"/>
        <v>622.755</v>
      </c>
      <c r="Z106" s="2949"/>
    </row>
    <row r="107" spans="8:26">
      <c r="H107" s="2948" t="s">
        <v>1396</v>
      </c>
      <c r="I107" s="2953">
        <v>82</v>
      </c>
      <c r="J107" s="2950" t="s">
        <v>120</v>
      </c>
      <c r="K107" s="2948" t="s">
        <v>909</v>
      </c>
      <c r="L107" s="2951">
        <v>27.677999999999997</v>
      </c>
      <c r="M107" s="2951">
        <v>24.9102</v>
      </c>
      <c r="N107" s="2977">
        <v>0</v>
      </c>
      <c r="O107" s="2948">
        <v>3</v>
      </c>
      <c r="P107" s="2949" t="s">
        <v>1071</v>
      </c>
      <c r="Q107" s="2953">
        <v>0</v>
      </c>
      <c r="R107" s="2953">
        <v>0</v>
      </c>
      <c r="S107" s="2952">
        <f t="shared" si="16"/>
        <v>0</v>
      </c>
      <c r="T107" s="2952">
        <f t="shared" si="17"/>
        <v>0</v>
      </c>
      <c r="U107" s="2952">
        <f t="shared" si="18"/>
        <v>0</v>
      </c>
      <c r="V107" s="2952">
        <f t="shared" si="19"/>
        <v>0</v>
      </c>
      <c r="W107" s="2954">
        <f t="shared" si="20"/>
        <v>0</v>
      </c>
      <c r="X107" s="2954">
        <f t="shared" si="21"/>
        <v>0</v>
      </c>
      <c r="Y107" s="2954">
        <f t="shared" si="22"/>
        <v>0</v>
      </c>
      <c r="Z107" s="2949"/>
    </row>
    <row r="108" spans="8:26">
      <c r="H108" s="2948" t="s">
        <v>1396</v>
      </c>
      <c r="I108" s="2953">
        <v>161</v>
      </c>
      <c r="J108" s="2950" t="s">
        <v>120</v>
      </c>
      <c r="K108" s="2948" t="s">
        <v>909</v>
      </c>
      <c r="L108" s="2951">
        <v>27.677999999999997</v>
      </c>
      <c r="M108" s="2951">
        <v>24.9102</v>
      </c>
      <c r="N108" s="2977">
        <v>0</v>
      </c>
      <c r="O108" s="2948">
        <v>3</v>
      </c>
      <c r="P108" s="2949" t="s">
        <v>1071</v>
      </c>
      <c r="Q108" s="2953">
        <v>0</v>
      </c>
      <c r="R108" s="2953">
        <v>0</v>
      </c>
      <c r="S108" s="2952">
        <f t="shared" si="16"/>
        <v>0</v>
      </c>
      <c r="T108" s="2952">
        <f t="shared" si="17"/>
        <v>0</v>
      </c>
      <c r="U108" s="2952">
        <f t="shared" si="18"/>
        <v>0</v>
      </c>
      <c r="V108" s="2952">
        <f t="shared" si="19"/>
        <v>0</v>
      </c>
      <c r="W108" s="2954">
        <f t="shared" si="20"/>
        <v>0</v>
      </c>
      <c r="X108" s="2954">
        <f t="shared" si="21"/>
        <v>0</v>
      </c>
      <c r="Y108" s="2954">
        <f t="shared" si="22"/>
        <v>0</v>
      </c>
      <c r="Z108" s="2949"/>
    </row>
    <row r="109" spans="8:26">
      <c r="H109" s="2948" t="s">
        <v>1396</v>
      </c>
      <c r="I109" s="2953">
        <v>131</v>
      </c>
      <c r="J109" s="2950" t="s">
        <v>120</v>
      </c>
      <c r="K109" s="2948" t="s">
        <v>909</v>
      </c>
      <c r="L109" s="2951">
        <v>27.677999999999997</v>
      </c>
      <c r="M109" s="2951">
        <v>24.9102</v>
      </c>
      <c r="N109" s="2977">
        <v>1.0595480566513655E-2</v>
      </c>
      <c r="O109" s="2948">
        <v>3</v>
      </c>
      <c r="P109" s="2949" t="s">
        <v>1071</v>
      </c>
      <c r="Q109" s="2953">
        <v>250</v>
      </c>
      <c r="R109" s="2953">
        <v>250</v>
      </c>
      <c r="S109" s="2952">
        <f t="shared" si="16"/>
        <v>500</v>
      </c>
      <c r="T109" s="2952">
        <f t="shared" si="17"/>
        <v>32750</v>
      </c>
      <c r="U109" s="2952">
        <f t="shared" si="18"/>
        <v>32750</v>
      </c>
      <c r="V109" s="2952">
        <f t="shared" si="19"/>
        <v>65500</v>
      </c>
      <c r="W109" s="2954">
        <f t="shared" si="20"/>
        <v>6227.55</v>
      </c>
      <c r="X109" s="2954">
        <f t="shared" si="21"/>
        <v>6227.55</v>
      </c>
      <c r="Y109" s="2954">
        <f t="shared" si="22"/>
        <v>12455.1</v>
      </c>
      <c r="Z109" s="2949"/>
    </row>
    <row r="110" spans="8:26">
      <c r="H110" s="2948" t="s">
        <v>1396</v>
      </c>
      <c r="I110" s="2953">
        <v>120</v>
      </c>
      <c r="J110" s="2950" t="s">
        <v>120</v>
      </c>
      <c r="K110" s="2948" t="s">
        <v>909</v>
      </c>
      <c r="L110" s="2951">
        <v>27.677999999999997</v>
      </c>
      <c r="M110" s="2951">
        <v>24.9102</v>
      </c>
      <c r="N110" s="2977">
        <v>0</v>
      </c>
      <c r="O110" s="2948">
        <v>3</v>
      </c>
      <c r="P110" s="2949" t="s">
        <v>1071</v>
      </c>
      <c r="Q110" s="2953">
        <v>0</v>
      </c>
      <c r="R110" s="2953">
        <v>0</v>
      </c>
      <c r="S110" s="2952">
        <f t="shared" si="16"/>
        <v>0</v>
      </c>
      <c r="T110" s="2952">
        <f t="shared" si="17"/>
        <v>0</v>
      </c>
      <c r="U110" s="2952">
        <f t="shared" si="18"/>
        <v>0</v>
      </c>
      <c r="V110" s="2952">
        <f t="shared" si="19"/>
        <v>0</v>
      </c>
      <c r="W110" s="2954">
        <f t="shared" si="20"/>
        <v>0</v>
      </c>
      <c r="X110" s="2954">
        <f t="shared" si="21"/>
        <v>0</v>
      </c>
      <c r="Y110" s="2954">
        <f t="shared" si="22"/>
        <v>0</v>
      </c>
      <c r="Z110" s="2949"/>
    </row>
    <row r="111" spans="8:26">
      <c r="H111" s="2948" t="s">
        <v>1396</v>
      </c>
      <c r="I111" s="2953">
        <v>84</v>
      </c>
      <c r="J111" s="2950" t="s">
        <v>120</v>
      </c>
      <c r="K111" s="2948" t="s">
        <v>909</v>
      </c>
      <c r="L111" s="2951">
        <v>27.677999999999997</v>
      </c>
      <c r="M111" s="2951">
        <v>24.9102</v>
      </c>
      <c r="N111" s="2977">
        <v>0</v>
      </c>
      <c r="O111" s="2948">
        <v>3</v>
      </c>
      <c r="P111" s="2949" t="s">
        <v>1071</v>
      </c>
      <c r="Q111" s="2953">
        <v>0</v>
      </c>
      <c r="R111" s="2953">
        <v>0</v>
      </c>
      <c r="S111" s="2952">
        <f t="shared" si="16"/>
        <v>0</v>
      </c>
      <c r="T111" s="2952">
        <f t="shared" si="17"/>
        <v>0</v>
      </c>
      <c r="U111" s="2952">
        <f t="shared" si="18"/>
        <v>0</v>
      </c>
      <c r="V111" s="2952">
        <f t="shared" si="19"/>
        <v>0</v>
      </c>
      <c r="W111" s="2954">
        <f t="shared" si="20"/>
        <v>0</v>
      </c>
      <c r="X111" s="2954">
        <f t="shared" si="21"/>
        <v>0</v>
      </c>
      <c r="Y111" s="2954">
        <f t="shared" si="22"/>
        <v>0</v>
      </c>
      <c r="Z111" s="2949"/>
    </row>
    <row r="112" spans="8:26">
      <c r="H112" s="2948" t="s">
        <v>1396</v>
      </c>
      <c r="I112" s="2953">
        <v>87</v>
      </c>
      <c r="J112" s="2950" t="s">
        <v>120</v>
      </c>
      <c r="K112" s="2948" t="s">
        <v>909</v>
      </c>
      <c r="L112" s="2951">
        <v>27.677999999999997</v>
      </c>
      <c r="M112" s="2951">
        <v>24.9102</v>
      </c>
      <c r="N112" s="2977">
        <v>0</v>
      </c>
      <c r="O112" s="2948">
        <v>3</v>
      </c>
      <c r="P112" s="2949" t="s">
        <v>1071</v>
      </c>
      <c r="Q112" s="2953">
        <v>0</v>
      </c>
      <c r="R112" s="2953">
        <v>0</v>
      </c>
      <c r="S112" s="2952">
        <f t="shared" ref="S112:S143" si="23">Q112+R112</f>
        <v>0</v>
      </c>
      <c r="T112" s="2952">
        <f t="shared" ref="T112:T143" si="24">I112*Q112</f>
        <v>0</v>
      </c>
      <c r="U112" s="2952">
        <f t="shared" ref="U112:U143" si="25">I112*R112</f>
        <v>0</v>
      </c>
      <c r="V112" s="2952">
        <f t="shared" ref="V112:V143" si="26">T112+U112</f>
        <v>0</v>
      </c>
      <c r="W112" s="2954">
        <f t="shared" ref="W112:W143" si="27">M112*Q112</f>
        <v>0</v>
      </c>
      <c r="X112" s="2954">
        <f t="shared" ref="X112:X143" si="28">M112*R112</f>
        <v>0</v>
      </c>
      <c r="Y112" s="2954">
        <f t="shared" ref="Y112:Y143" si="29">W112+X112</f>
        <v>0</v>
      </c>
      <c r="Z112" s="2949"/>
    </row>
    <row r="113" spans="8:26">
      <c r="H113" s="2948" t="s">
        <v>1397</v>
      </c>
      <c r="I113" s="2953">
        <v>255</v>
      </c>
      <c r="J113" s="2950" t="s">
        <v>120</v>
      </c>
      <c r="K113" s="2948" t="s">
        <v>909</v>
      </c>
      <c r="L113" s="2951">
        <v>33.480000000000004</v>
      </c>
      <c r="M113" s="2951">
        <v>30.132000000000005</v>
      </c>
      <c r="N113" s="2977">
        <v>6.1874371247198065E-2</v>
      </c>
      <c r="O113" s="2948">
        <v>3</v>
      </c>
      <c r="P113" s="2949" t="s">
        <v>1071</v>
      </c>
      <c r="Q113" s="2953">
        <v>750</v>
      </c>
      <c r="R113" s="2953">
        <v>750</v>
      </c>
      <c r="S113" s="2952">
        <f t="shared" si="23"/>
        <v>1500</v>
      </c>
      <c r="T113" s="2952">
        <f t="shared" si="24"/>
        <v>191250</v>
      </c>
      <c r="U113" s="2952">
        <f t="shared" si="25"/>
        <v>191250</v>
      </c>
      <c r="V113" s="2952">
        <f t="shared" si="26"/>
        <v>382500</v>
      </c>
      <c r="W113" s="2954">
        <f t="shared" si="27"/>
        <v>22599.000000000004</v>
      </c>
      <c r="X113" s="2954">
        <f t="shared" si="28"/>
        <v>22599.000000000004</v>
      </c>
      <c r="Y113" s="2954">
        <f t="shared" si="29"/>
        <v>45198.000000000007</v>
      </c>
      <c r="Z113" s="2949"/>
    </row>
    <row r="114" spans="8:26">
      <c r="H114" s="2948" t="s">
        <v>1397</v>
      </c>
      <c r="I114" s="2953">
        <v>93</v>
      </c>
      <c r="J114" s="2950" t="s">
        <v>120</v>
      </c>
      <c r="K114" s="2948" t="s">
        <v>909</v>
      </c>
      <c r="L114" s="2951">
        <v>31.247999999999998</v>
      </c>
      <c r="M114" s="2951">
        <v>28.123199999999997</v>
      </c>
      <c r="N114" s="2977">
        <v>3.7609911934571372E-4</v>
      </c>
      <c r="O114" s="2948">
        <v>3</v>
      </c>
      <c r="P114" s="2949" t="s">
        <v>1071</v>
      </c>
      <c r="Q114" s="2953">
        <v>12.5</v>
      </c>
      <c r="R114" s="2953">
        <v>12.5</v>
      </c>
      <c r="S114" s="2952">
        <f t="shared" si="23"/>
        <v>25</v>
      </c>
      <c r="T114" s="2952">
        <f t="shared" si="24"/>
        <v>1162.5</v>
      </c>
      <c r="U114" s="2952">
        <f t="shared" si="25"/>
        <v>1162.5</v>
      </c>
      <c r="V114" s="2952">
        <f t="shared" si="26"/>
        <v>2325</v>
      </c>
      <c r="W114" s="2954">
        <f t="shared" si="27"/>
        <v>351.53999999999996</v>
      </c>
      <c r="X114" s="2954">
        <f t="shared" si="28"/>
        <v>351.53999999999996</v>
      </c>
      <c r="Y114" s="2954">
        <f t="shared" si="29"/>
        <v>703.07999999999993</v>
      </c>
      <c r="Z114" s="2949"/>
    </row>
    <row r="115" spans="8:26">
      <c r="H115" s="2948" t="s">
        <v>1397</v>
      </c>
      <c r="I115" s="2953">
        <v>70</v>
      </c>
      <c r="J115" s="2950" t="s">
        <v>120</v>
      </c>
      <c r="K115" s="2948" t="s">
        <v>909</v>
      </c>
      <c r="L115" s="2951">
        <v>31.247999999999998</v>
      </c>
      <c r="M115" s="2951">
        <v>28.123199999999997</v>
      </c>
      <c r="N115" s="2977">
        <v>5.6617071729462274E-4</v>
      </c>
      <c r="O115" s="2948">
        <v>3</v>
      </c>
      <c r="P115" s="2949" t="s">
        <v>1071</v>
      </c>
      <c r="Q115" s="2953">
        <v>25</v>
      </c>
      <c r="R115" s="2953">
        <v>25</v>
      </c>
      <c r="S115" s="2952">
        <f t="shared" si="23"/>
        <v>50</v>
      </c>
      <c r="T115" s="2952">
        <f t="shared" si="24"/>
        <v>1750</v>
      </c>
      <c r="U115" s="2952">
        <f t="shared" si="25"/>
        <v>1750</v>
      </c>
      <c r="V115" s="2952">
        <f t="shared" si="26"/>
        <v>3500</v>
      </c>
      <c r="W115" s="2954">
        <f t="shared" si="27"/>
        <v>703.07999999999993</v>
      </c>
      <c r="X115" s="2954">
        <f t="shared" si="28"/>
        <v>703.07999999999993</v>
      </c>
      <c r="Y115" s="2954">
        <f t="shared" si="29"/>
        <v>1406.1599999999999</v>
      </c>
      <c r="Z115" s="2949"/>
    </row>
    <row r="116" spans="8:26">
      <c r="H116" s="2948" t="s">
        <v>1397</v>
      </c>
      <c r="I116" s="2953">
        <v>137</v>
      </c>
      <c r="J116" s="2950" t="s">
        <v>120</v>
      </c>
      <c r="K116" s="2948" t="s">
        <v>909</v>
      </c>
      <c r="L116" s="2951">
        <v>31.247999999999998</v>
      </c>
      <c r="M116" s="2951">
        <v>28.123199999999997</v>
      </c>
      <c r="N116" s="2977">
        <v>0</v>
      </c>
      <c r="O116" s="2948">
        <v>3</v>
      </c>
      <c r="P116" s="2949" t="s">
        <v>1071</v>
      </c>
      <c r="Q116" s="2953">
        <v>0</v>
      </c>
      <c r="R116" s="2953">
        <v>0</v>
      </c>
      <c r="S116" s="2952">
        <f t="shared" si="23"/>
        <v>0</v>
      </c>
      <c r="T116" s="2952">
        <f t="shared" si="24"/>
        <v>0</v>
      </c>
      <c r="U116" s="2952">
        <f t="shared" si="25"/>
        <v>0</v>
      </c>
      <c r="V116" s="2952">
        <f t="shared" si="26"/>
        <v>0</v>
      </c>
      <c r="W116" s="2954">
        <f t="shared" si="27"/>
        <v>0</v>
      </c>
      <c r="X116" s="2954">
        <f t="shared" si="28"/>
        <v>0</v>
      </c>
      <c r="Y116" s="2954">
        <f t="shared" si="29"/>
        <v>0</v>
      </c>
      <c r="Z116" s="2949"/>
    </row>
    <row r="117" spans="8:26">
      <c r="H117" s="2948" t="s">
        <v>1397</v>
      </c>
      <c r="I117" s="2953">
        <v>112</v>
      </c>
      <c r="J117" s="2950" t="s">
        <v>120</v>
      </c>
      <c r="K117" s="2948" t="s">
        <v>909</v>
      </c>
      <c r="L117" s="2951">
        <v>31.247999999999998</v>
      </c>
      <c r="M117" s="2951">
        <v>28.123199999999997</v>
      </c>
      <c r="N117" s="2977">
        <v>1.8117462953427928E-2</v>
      </c>
      <c r="O117" s="2948">
        <v>3</v>
      </c>
      <c r="P117" s="2949" t="s">
        <v>1071</v>
      </c>
      <c r="Q117" s="2953">
        <v>500</v>
      </c>
      <c r="R117" s="2953">
        <v>500</v>
      </c>
      <c r="S117" s="2952">
        <f t="shared" si="23"/>
        <v>1000</v>
      </c>
      <c r="T117" s="2952">
        <f t="shared" si="24"/>
        <v>56000</v>
      </c>
      <c r="U117" s="2952">
        <f t="shared" si="25"/>
        <v>56000</v>
      </c>
      <c r="V117" s="2952">
        <f t="shared" si="26"/>
        <v>112000</v>
      </c>
      <c r="W117" s="2954">
        <f t="shared" si="27"/>
        <v>14061.599999999999</v>
      </c>
      <c r="X117" s="2954">
        <f t="shared" si="28"/>
        <v>14061.599999999999</v>
      </c>
      <c r="Y117" s="2954">
        <f t="shared" si="29"/>
        <v>28123.199999999997</v>
      </c>
      <c r="Z117" s="2949"/>
    </row>
    <row r="118" spans="8:26">
      <c r="H118" s="2948" t="s">
        <v>1397</v>
      </c>
      <c r="I118" s="2953">
        <v>103</v>
      </c>
      <c r="J118" s="2950" t="s">
        <v>120</v>
      </c>
      <c r="K118" s="2948" t="s">
        <v>909</v>
      </c>
      <c r="L118" s="2951">
        <v>31.247999999999998</v>
      </c>
      <c r="M118" s="2951">
        <v>28.123199999999997</v>
      </c>
      <c r="N118" s="2977">
        <v>0</v>
      </c>
      <c r="O118" s="2948">
        <v>3</v>
      </c>
      <c r="P118" s="2949" t="s">
        <v>1071</v>
      </c>
      <c r="Q118" s="2953">
        <v>0</v>
      </c>
      <c r="R118" s="2953">
        <v>0</v>
      </c>
      <c r="S118" s="2952">
        <f t="shared" si="23"/>
        <v>0</v>
      </c>
      <c r="T118" s="2952">
        <f t="shared" si="24"/>
        <v>0</v>
      </c>
      <c r="U118" s="2952">
        <f t="shared" si="25"/>
        <v>0</v>
      </c>
      <c r="V118" s="2952">
        <f t="shared" si="26"/>
        <v>0</v>
      </c>
      <c r="W118" s="2954">
        <f t="shared" si="27"/>
        <v>0</v>
      </c>
      <c r="X118" s="2954">
        <f t="shared" si="28"/>
        <v>0</v>
      </c>
      <c r="Y118" s="2954">
        <f t="shared" si="29"/>
        <v>0</v>
      </c>
      <c r="Z118" s="2949"/>
    </row>
    <row r="119" spans="8:26">
      <c r="H119" s="2948" t="s">
        <v>1397</v>
      </c>
      <c r="I119" s="2953">
        <v>71</v>
      </c>
      <c r="J119" s="2950" t="s">
        <v>120</v>
      </c>
      <c r="K119" s="2948" t="s">
        <v>909</v>
      </c>
      <c r="L119" s="2951">
        <v>31.247999999999998</v>
      </c>
      <c r="M119" s="2951">
        <v>28.123199999999997</v>
      </c>
      <c r="N119" s="2977">
        <v>0</v>
      </c>
      <c r="O119" s="2948">
        <v>3</v>
      </c>
      <c r="P119" s="2949" t="s">
        <v>1071</v>
      </c>
      <c r="Q119" s="2953">
        <v>0</v>
      </c>
      <c r="R119" s="2953">
        <v>0</v>
      </c>
      <c r="S119" s="2952">
        <f t="shared" si="23"/>
        <v>0</v>
      </c>
      <c r="T119" s="2952">
        <f t="shared" si="24"/>
        <v>0</v>
      </c>
      <c r="U119" s="2952">
        <f t="shared" si="25"/>
        <v>0</v>
      </c>
      <c r="V119" s="2952">
        <f t="shared" si="26"/>
        <v>0</v>
      </c>
      <c r="W119" s="2954">
        <f t="shared" si="27"/>
        <v>0</v>
      </c>
      <c r="X119" s="2954">
        <f t="shared" si="28"/>
        <v>0</v>
      </c>
      <c r="Y119" s="2954">
        <f t="shared" si="29"/>
        <v>0</v>
      </c>
      <c r="Z119" s="2949"/>
    </row>
    <row r="120" spans="8:26">
      <c r="H120" s="2948" t="s">
        <v>1397</v>
      </c>
      <c r="I120" s="2953">
        <v>74</v>
      </c>
      <c r="J120" s="2950" t="s">
        <v>120</v>
      </c>
      <c r="K120" s="2948" t="s">
        <v>909</v>
      </c>
      <c r="L120" s="2951">
        <v>31.247999999999998</v>
      </c>
      <c r="M120" s="2951">
        <v>28.123199999999997</v>
      </c>
      <c r="N120" s="2977">
        <v>0</v>
      </c>
      <c r="O120" s="2948">
        <v>3</v>
      </c>
      <c r="P120" s="2949" t="s">
        <v>1071</v>
      </c>
      <c r="Q120" s="2953">
        <v>0</v>
      </c>
      <c r="R120" s="2953">
        <v>0</v>
      </c>
      <c r="S120" s="2952">
        <f t="shared" si="23"/>
        <v>0</v>
      </c>
      <c r="T120" s="2952">
        <f t="shared" si="24"/>
        <v>0</v>
      </c>
      <c r="U120" s="2952">
        <f t="shared" si="25"/>
        <v>0</v>
      </c>
      <c r="V120" s="2952">
        <f t="shared" si="26"/>
        <v>0</v>
      </c>
      <c r="W120" s="2954">
        <f t="shared" si="27"/>
        <v>0</v>
      </c>
      <c r="X120" s="2954">
        <f t="shared" si="28"/>
        <v>0</v>
      </c>
      <c r="Y120" s="2954">
        <f t="shared" si="29"/>
        <v>0</v>
      </c>
      <c r="Z120" s="2949"/>
    </row>
    <row r="121" spans="8:26">
      <c r="H121" s="2948" t="s">
        <v>1398</v>
      </c>
      <c r="I121" s="2953">
        <v>344</v>
      </c>
      <c r="J121" s="2950" t="s">
        <v>120</v>
      </c>
      <c r="K121" s="2948" t="s">
        <v>909</v>
      </c>
      <c r="L121" s="2951">
        <v>33.480000000000004</v>
      </c>
      <c r="M121" s="2951">
        <v>30.132000000000005</v>
      </c>
      <c r="N121" s="2977">
        <v>1.1129298671391442E-2</v>
      </c>
      <c r="O121" s="2948">
        <v>3</v>
      </c>
      <c r="P121" s="2949" t="s">
        <v>1071</v>
      </c>
      <c r="Q121" s="2953">
        <v>100</v>
      </c>
      <c r="R121" s="2953">
        <v>100</v>
      </c>
      <c r="S121" s="2952">
        <f t="shared" si="23"/>
        <v>200</v>
      </c>
      <c r="T121" s="2952">
        <f t="shared" si="24"/>
        <v>34400</v>
      </c>
      <c r="U121" s="2952">
        <f t="shared" si="25"/>
        <v>34400</v>
      </c>
      <c r="V121" s="2952">
        <f t="shared" si="26"/>
        <v>68800</v>
      </c>
      <c r="W121" s="2954">
        <f t="shared" si="27"/>
        <v>3013.2000000000007</v>
      </c>
      <c r="X121" s="2954">
        <f t="shared" si="28"/>
        <v>3013.2000000000007</v>
      </c>
      <c r="Y121" s="2954">
        <f t="shared" si="29"/>
        <v>6026.4000000000015</v>
      </c>
      <c r="Z121" s="2949"/>
    </row>
    <row r="122" spans="8:26">
      <c r="H122" s="2948" t="s">
        <v>1398</v>
      </c>
      <c r="I122" s="2953">
        <v>126</v>
      </c>
      <c r="J122" s="2950" t="s">
        <v>120</v>
      </c>
      <c r="K122" s="2948" t="s">
        <v>909</v>
      </c>
      <c r="L122" s="2951">
        <v>31.247999999999998</v>
      </c>
      <c r="M122" s="2951">
        <v>28.123199999999997</v>
      </c>
      <c r="N122" s="2977">
        <v>5.0955364556516051E-4</v>
      </c>
      <c r="O122" s="2948">
        <v>3</v>
      </c>
      <c r="P122" s="2949" t="s">
        <v>1071</v>
      </c>
      <c r="Q122" s="2953">
        <v>12.5</v>
      </c>
      <c r="R122" s="2953">
        <v>12.5</v>
      </c>
      <c r="S122" s="2952">
        <f t="shared" si="23"/>
        <v>25</v>
      </c>
      <c r="T122" s="2952">
        <f t="shared" si="24"/>
        <v>1575</v>
      </c>
      <c r="U122" s="2952">
        <f t="shared" si="25"/>
        <v>1575</v>
      </c>
      <c r="V122" s="2952">
        <f t="shared" si="26"/>
        <v>3150</v>
      </c>
      <c r="W122" s="2954">
        <f t="shared" si="27"/>
        <v>351.53999999999996</v>
      </c>
      <c r="X122" s="2954">
        <f t="shared" si="28"/>
        <v>351.53999999999996</v>
      </c>
      <c r="Y122" s="2954">
        <f t="shared" si="29"/>
        <v>703.07999999999993</v>
      </c>
      <c r="Z122" s="2949"/>
    </row>
    <row r="123" spans="8:26">
      <c r="H123" s="2948" t="s">
        <v>1398</v>
      </c>
      <c r="I123" s="2953">
        <v>95</v>
      </c>
      <c r="J123" s="2950" t="s">
        <v>120</v>
      </c>
      <c r="K123" s="2948" t="s">
        <v>909</v>
      </c>
      <c r="L123" s="2951">
        <v>31.247999999999998</v>
      </c>
      <c r="M123" s="2951">
        <v>28.123199999999997</v>
      </c>
      <c r="N123" s="2977">
        <v>3.0734981795993806E-4</v>
      </c>
      <c r="O123" s="2948">
        <v>3</v>
      </c>
      <c r="P123" s="2949" t="s">
        <v>1071</v>
      </c>
      <c r="Q123" s="2953">
        <v>10</v>
      </c>
      <c r="R123" s="2953">
        <v>10</v>
      </c>
      <c r="S123" s="2952">
        <f t="shared" si="23"/>
        <v>20</v>
      </c>
      <c r="T123" s="2952">
        <f t="shared" si="24"/>
        <v>950</v>
      </c>
      <c r="U123" s="2952">
        <f t="shared" si="25"/>
        <v>950</v>
      </c>
      <c r="V123" s="2952">
        <f t="shared" si="26"/>
        <v>1900</v>
      </c>
      <c r="W123" s="2954">
        <f t="shared" si="27"/>
        <v>281.23199999999997</v>
      </c>
      <c r="X123" s="2954">
        <f t="shared" si="28"/>
        <v>281.23199999999997</v>
      </c>
      <c r="Y123" s="2954">
        <f t="shared" si="29"/>
        <v>562.46399999999994</v>
      </c>
      <c r="Z123" s="2949"/>
    </row>
    <row r="124" spans="8:26">
      <c r="H124" s="2948" t="s">
        <v>1398</v>
      </c>
      <c r="I124" s="2953">
        <v>185</v>
      </c>
      <c r="J124" s="2950" t="s">
        <v>120</v>
      </c>
      <c r="K124" s="2948" t="s">
        <v>909</v>
      </c>
      <c r="L124" s="2951">
        <v>31.247999999999998</v>
      </c>
      <c r="M124" s="2951">
        <v>28.123199999999997</v>
      </c>
      <c r="N124" s="2977">
        <v>0</v>
      </c>
      <c r="O124" s="2948">
        <v>3</v>
      </c>
      <c r="P124" s="2949" t="s">
        <v>1071</v>
      </c>
      <c r="Q124" s="2953">
        <v>0</v>
      </c>
      <c r="R124" s="2953">
        <v>0</v>
      </c>
      <c r="S124" s="2952">
        <f t="shared" si="23"/>
        <v>0</v>
      </c>
      <c r="T124" s="2952">
        <f t="shared" si="24"/>
        <v>0</v>
      </c>
      <c r="U124" s="2952">
        <f t="shared" si="25"/>
        <v>0</v>
      </c>
      <c r="V124" s="2952">
        <f t="shared" si="26"/>
        <v>0</v>
      </c>
      <c r="W124" s="2954">
        <f t="shared" si="27"/>
        <v>0</v>
      </c>
      <c r="X124" s="2954">
        <f t="shared" si="28"/>
        <v>0</v>
      </c>
      <c r="Y124" s="2954">
        <f t="shared" si="29"/>
        <v>0</v>
      </c>
      <c r="Z124" s="2949"/>
    </row>
    <row r="125" spans="8:26">
      <c r="H125" s="2948" t="s">
        <v>1398</v>
      </c>
      <c r="I125" s="2953">
        <v>151</v>
      </c>
      <c r="J125" s="2950" t="s">
        <v>120</v>
      </c>
      <c r="K125" s="2948" t="s">
        <v>909</v>
      </c>
      <c r="L125" s="2951">
        <v>31.247999999999998</v>
      </c>
      <c r="M125" s="2951">
        <v>28.123199999999997</v>
      </c>
      <c r="N125" s="2977">
        <v>4.8852444749421737E-3</v>
      </c>
      <c r="O125" s="2948">
        <v>3</v>
      </c>
      <c r="P125" s="2949" t="s">
        <v>1071</v>
      </c>
      <c r="Q125" s="2953">
        <v>100</v>
      </c>
      <c r="R125" s="2953">
        <v>100</v>
      </c>
      <c r="S125" s="2952">
        <f t="shared" si="23"/>
        <v>200</v>
      </c>
      <c r="T125" s="2952">
        <f t="shared" si="24"/>
        <v>15100</v>
      </c>
      <c r="U125" s="2952">
        <f t="shared" si="25"/>
        <v>15100</v>
      </c>
      <c r="V125" s="2952">
        <f t="shared" si="26"/>
        <v>30200</v>
      </c>
      <c r="W125" s="2954">
        <f t="shared" si="27"/>
        <v>2812.3199999999997</v>
      </c>
      <c r="X125" s="2954">
        <f t="shared" si="28"/>
        <v>2812.3199999999997</v>
      </c>
      <c r="Y125" s="2954">
        <f t="shared" si="29"/>
        <v>5624.6399999999994</v>
      </c>
      <c r="Z125" s="2949"/>
    </row>
    <row r="126" spans="8:26">
      <c r="H126" s="2948" t="s">
        <v>1398</v>
      </c>
      <c r="I126" s="2953">
        <v>139</v>
      </c>
      <c r="J126" s="2950" t="s">
        <v>120</v>
      </c>
      <c r="K126" s="2948" t="s">
        <v>909</v>
      </c>
      <c r="L126" s="2951">
        <v>31.247999999999998</v>
      </c>
      <c r="M126" s="2951">
        <v>28.123199999999997</v>
      </c>
      <c r="N126" s="2977">
        <v>0</v>
      </c>
      <c r="O126" s="2948">
        <v>3</v>
      </c>
      <c r="P126" s="2949" t="s">
        <v>1071</v>
      </c>
      <c r="Q126" s="2953">
        <v>0</v>
      </c>
      <c r="R126" s="2953">
        <v>0</v>
      </c>
      <c r="S126" s="2952">
        <f t="shared" si="23"/>
        <v>0</v>
      </c>
      <c r="T126" s="2952">
        <f t="shared" si="24"/>
        <v>0</v>
      </c>
      <c r="U126" s="2952">
        <f t="shared" si="25"/>
        <v>0</v>
      </c>
      <c r="V126" s="2952">
        <f t="shared" si="26"/>
        <v>0</v>
      </c>
      <c r="W126" s="2954">
        <f t="shared" si="27"/>
        <v>0</v>
      </c>
      <c r="X126" s="2954">
        <f t="shared" si="28"/>
        <v>0</v>
      </c>
      <c r="Y126" s="2954">
        <f t="shared" si="29"/>
        <v>0</v>
      </c>
      <c r="Z126" s="2949"/>
    </row>
    <row r="127" spans="8:26">
      <c r="H127" s="2948" t="s">
        <v>1398</v>
      </c>
      <c r="I127" s="2953">
        <v>96</v>
      </c>
      <c r="J127" s="2950" t="s">
        <v>120</v>
      </c>
      <c r="K127" s="2948" t="s">
        <v>909</v>
      </c>
      <c r="L127" s="2951">
        <v>31.247999999999998</v>
      </c>
      <c r="M127" s="2951">
        <v>28.123199999999997</v>
      </c>
      <c r="N127" s="2977">
        <v>0</v>
      </c>
      <c r="O127" s="2948">
        <v>3</v>
      </c>
      <c r="P127" s="2949" t="s">
        <v>1071</v>
      </c>
      <c r="Q127" s="2953">
        <v>0</v>
      </c>
      <c r="R127" s="2953">
        <v>0</v>
      </c>
      <c r="S127" s="2952">
        <f t="shared" si="23"/>
        <v>0</v>
      </c>
      <c r="T127" s="2952">
        <f t="shared" si="24"/>
        <v>0</v>
      </c>
      <c r="U127" s="2952">
        <f t="shared" si="25"/>
        <v>0</v>
      </c>
      <c r="V127" s="2952">
        <f t="shared" si="26"/>
        <v>0</v>
      </c>
      <c r="W127" s="2954">
        <f t="shared" si="27"/>
        <v>0</v>
      </c>
      <c r="X127" s="2954">
        <f t="shared" si="28"/>
        <v>0</v>
      </c>
      <c r="Y127" s="2954">
        <f t="shared" si="29"/>
        <v>0</v>
      </c>
      <c r="Z127" s="2949"/>
    </row>
    <row r="128" spans="8:26">
      <c r="H128" s="2948" t="s">
        <v>1398</v>
      </c>
      <c r="I128" s="2953">
        <v>100</v>
      </c>
      <c r="J128" s="2950" t="s">
        <v>120</v>
      </c>
      <c r="K128" s="2948" t="s">
        <v>909</v>
      </c>
      <c r="L128" s="2951">
        <v>31.247999999999998</v>
      </c>
      <c r="M128" s="2951">
        <v>28.123199999999997</v>
      </c>
      <c r="N128" s="2977">
        <v>0</v>
      </c>
      <c r="O128" s="2948">
        <v>3</v>
      </c>
      <c r="P128" s="2949" t="s">
        <v>1071</v>
      </c>
      <c r="Q128" s="2953">
        <v>0</v>
      </c>
      <c r="R128" s="2953">
        <v>0</v>
      </c>
      <c r="S128" s="2952">
        <f t="shared" si="23"/>
        <v>0</v>
      </c>
      <c r="T128" s="2952">
        <f t="shared" si="24"/>
        <v>0</v>
      </c>
      <c r="U128" s="2952">
        <f t="shared" si="25"/>
        <v>0</v>
      </c>
      <c r="V128" s="2952">
        <f t="shared" si="26"/>
        <v>0</v>
      </c>
      <c r="W128" s="2954">
        <f t="shared" si="27"/>
        <v>0</v>
      </c>
      <c r="X128" s="2954">
        <f t="shared" si="28"/>
        <v>0</v>
      </c>
      <c r="Y128" s="2954">
        <f t="shared" si="29"/>
        <v>0</v>
      </c>
      <c r="Z128" s="2949"/>
    </row>
    <row r="129" spans="8:26">
      <c r="H129" s="2948" t="s">
        <v>1399</v>
      </c>
      <c r="I129" s="2953">
        <v>159</v>
      </c>
      <c r="J129" s="2950" t="s">
        <v>120</v>
      </c>
      <c r="K129" s="2948" t="s">
        <v>909</v>
      </c>
      <c r="L129" s="2951">
        <v>12.825000000000001</v>
      </c>
      <c r="M129" s="2951">
        <v>11.5425</v>
      </c>
      <c r="N129" s="2977">
        <v>2.5720326871384293E-2</v>
      </c>
      <c r="O129" s="2948">
        <v>3</v>
      </c>
      <c r="P129" s="2949" t="s">
        <v>1071</v>
      </c>
      <c r="Q129" s="2953">
        <v>500</v>
      </c>
      <c r="R129" s="2953">
        <v>500</v>
      </c>
      <c r="S129" s="2952">
        <f t="shared" si="23"/>
        <v>1000</v>
      </c>
      <c r="T129" s="2952">
        <f t="shared" si="24"/>
        <v>79500</v>
      </c>
      <c r="U129" s="2952">
        <f t="shared" si="25"/>
        <v>79500</v>
      </c>
      <c r="V129" s="2952">
        <f t="shared" si="26"/>
        <v>159000</v>
      </c>
      <c r="W129" s="2954">
        <f t="shared" si="27"/>
        <v>5771.25</v>
      </c>
      <c r="X129" s="2954">
        <f t="shared" si="28"/>
        <v>5771.25</v>
      </c>
      <c r="Y129" s="2954">
        <f t="shared" si="29"/>
        <v>11542.5</v>
      </c>
      <c r="Z129" s="2949"/>
    </row>
    <row r="130" spans="8:26">
      <c r="H130" s="2948" t="s">
        <v>1399</v>
      </c>
      <c r="I130" s="2953">
        <v>58</v>
      </c>
      <c r="J130" s="2950" t="s">
        <v>120</v>
      </c>
      <c r="K130" s="2948" t="s">
        <v>909</v>
      </c>
      <c r="L130" s="2951">
        <v>11.97</v>
      </c>
      <c r="M130" s="2951">
        <v>10.773000000000001</v>
      </c>
      <c r="N130" s="2977">
        <v>2.3455644002205801E-4</v>
      </c>
      <c r="O130" s="2948">
        <v>3</v>
      </c>
      <c r="P130" s="2949" t="s">
        <v>1071</v>
      </c>
      <c r="Q130" s="2953">
        <v>12.5</v>
      </c>
      <c r="R130" s="2953">
        <v>12.5</v>
      </c>
      <c r="S130" s="2952">
        <f t="shared" si="23"/>
        <v>25</v>
      </c>
      <c r="T130" s="2952">
        <f t="shared" si="24"/>
        <v>725</v>
      </c>
      <c r="U130" s="2952">
        <f t="shared" si="25"/>
        <v>725</v>
      </c>
      <c r="V130" s="2952">
        <f t="shared" si="26"/>
        <v>1450</v>
      </c>
      <c r="W130" s="2954">
        <f t="shared" si="27"/>
        <v>134.66250000000002</v>
      </c>
      <c r="X130" s="2954">
        <f t="shared" si="28"/>
        <v>134.66250000000002</v>
      </c>
      <c r="Y130" s="2954">
        <f t="shared" si="29"/>
        <v>269.32500000000005</v>
      </c>
      <c r="Z130" s="2949"/>
    </row>
    <row r="131" spans="8:26">
      <c r="H131" s="2948" t="s">
        <v>1399</v>
      </c>
      <c r="I131" s="2953">
        <v>44</v>
      </c>
      <c r="J131" s="2950" t="s">
        <v>120</v>
      </c>
      <c r="K131" s="2948" t="s">
        <v>909</v>
      </c>
      <c r="L131" s="2951">
        <v>11.97</v>
      </c>
      <c r="M131" s="2951">
        <v>10.773000000000001</v>
      </c>
      <c r="N131" s="2977">
        <v>1.4235149463407658E-3</v>
      </c>
      <c r="O131" s="2948">
        <v>3</v>
      </c>
      <c r="P131" s="2949" t="s">
        <v>1071</v>
      </c>
      <c r="Q131" s="2953">
        <v>100</v>
      </c>
      <c r="R131" s="2953">
        <v>100</v>
      </c>
      <c r="S131" s="2952">
        <f t="shared" si="23"/>
        <v>200</v>
      </c>
      <c r="T131" s="2952">
        <f t="shared" si="24"/>
        <v>4400</v>
      </c>
      <c r="U131" s="2952">
        <f t="shared" si="25"/>
        <v>4400</v>
      </c>
      <c r="V131" s="2952">
        <f t="shared" si="26"/>
        <v>8800</v>
      </c>
      <c r="W131" s="2954">
        <f t="shared" si="27"/>
        <v>1077.3000000000002</v>
      </c>
      <c r="X131" s="2954">
        <f t="shared" si="28"/>
        <v>1077.3000000000002</v>
      </c>
      <c r="Y131" s="2954">
        <f t="shared" si="29"/>
        <v>2154.6000000000004</v>
      </c>
      <c r="Z131" s="2949"/>
    </row>
    <row r="132" spans="8:26">
      <c r="H132" s="2948" t="s">
        <v>1399</v>
      </c>
      <c r="I132" s="2953">
        <v>86</v>
      </c>
      <c r="J132" s="2950" t="s">
        <v>120</v>
      </c>
      <c r="K132" s="2948" t="s">
        <v>909</v>
      </c>
      <c r="L132" s="2951">
        <v>11.97</v>
      </c>
      <c r="M132" s="2951">
        <v>10.773000000000001</v>
      </c>
      <c r="N132" s="2977">
        <v>0</v>
      </c>
      <c r="O132" s="2948">
        <v>3</v>
      </c>
      <c r="P132" s="2949" t="s">
        <v>1071</v>
      </c>
      <c r="Q132" s="2953">
        <v>0</v>
      </c>
      <c r="R132" s="2953">
        <v>0</v>
      </c>
      <c r="S132" s="2952">
        <f t="shared" si="23"/>
        <v>0</v>
      </c>
      <c r="T132" s="2952">
        <f t="shared" si="24"/>
        <v>0</v>
      </c>
      <c r="U132" s="2952">
        <f t="shared" si="25"/>
        <v>0</v>
      </c>
      <c r="V132" s="2952">
        <f t="shared" si="26"/>
        <v>0</v>
      </c>
      <c r="W132" s="2954">
        <f t="shared" si="27"/>
        <v>0</v>
      </c>
      <c r="X132" s="2954">
        <f t="shared" si="28"/>
        <v>0</v>
      </c>
      <c r="Y132" s="2954">
        <f t="shared" si="29"/>
        <v>0</v>
      </c>
      <c r="Z132" s="2949"/>
    </row>
    <row r="133" spans="8:26">
      <c r="H133" s="2948" t="s">
        <v>1399</v>
      </c>
      <c r="I133" s="2953">
        <v>70</v>
      </c>
      <c r="J133" s="2950" t="s">
        <v>120</v>
      </c>
      <c r="K133" s="2948" t="s">
        <v>909</v>
      </c>
      <c r="L133" s="2951">
        <v>11.97</v>
      </c>
      <c r="M133" s="2951">
        <v>10.773000000000001</v>
      </c>
      <c r="N133" s="2977">
        <v>5.6617071729462278E-3</v>
      </c>
      <c r="O133" s="2948">
        <v>3</v>
      </c>
      <c r="P133" s="2949" t="s">
        <v>1071</v>
      </c>
      <c r="Q133" s="2953">
        <v>250</v>
      </c>
      <c r="R133" s="2953">
        <v>250</v>
      </c>
      <c r="S133" s="2952">
        <f t="shared" si="23"/>
        <v>500</v>
      </c>
      <c r="T133" s="2952">
        <f t="shared" si="24"/>
        <v>17500</v>
      </c>
      <c r="U133" s="2952">
        <f t="shared" si="25"/>
        <v>17500</v>
      </c>
      <c r="V133" s="2952">
        <f t="shared" si="26"/>
        <v>35000</v>
      </c>
      <c r="W133" s="2954">
        <f t="shared" si="27"/>
        <v>2693.2500000000005</v>
      </c>
      <c r="X133" s="2954">
        <f t="shared" si="28"/>
        <v>2693.2500000000005</v>
      </c>
      <c r="Y133" s="2954">
        <f t="shared" si="29"/>
        <v>5386.5000000000009</v>
      </c>
      <c r="Z133" s="2949"/>
    </row>
    <row r="134" spans="8:26">
      <c r="H134" s="2948" t="s">
        <v>1399</v>
      </c>
      <c r="I134" s="2953">
        <v>64</v>
      </c>
      <c r="J134" s="2950" t="s">
        <v>120</v>
      </c>
      <c r="K134" s="2948" t="s">
        <v>909</v>
      </c>
      <c r="L134" s="2951">
        <v>11.97</v>
      </c>
      <c r="M134" s="2951">
        <v>10.773000000000001</v>
      </c>
      <c r="N134" s="2977">
        <v>0</v>
      </c>
      <c r="O134" s="2948">
        <v>3</v>
      </c>
      <c r="P134" s="2949" t="s">
        <v>1071</v>
      </c>
      <c r="Q134" s="2953">
        <v>0</v>
      </c>
      <c r="R134" s="2953">
        <v>0</v>
      </c>
      <c r="S134" s="2952">
        <f t="shared" si="23"/>
        <v>0</v>
      </c>
      <c r="T134" s="2952">
        <f t="shared" si="24"/>
        <v>0</v>
      </c>
      <c r="U134" s="2952">
        <f t="shared" si="25"/>
        <v>0</v>
      </c>
      <c r="V134" s="2952">
        <f t="shared" si="26"/>
        <v>0</v>
      </c>
      <c r="W134" s="2954">
        <f t="shared" si="27"/>
        <v>0</v>
      </c>
      <c r="X134" s="2954">
        <f t="shared" si="28"/>
        <v>0</v>
      </c>
      <c r="Y134" s="2954">
        <f t="shared" si="29"/>
        <v>0</v>
      </c>
      <c r="Z134" s="2949"/>
    </row>
    <row r="135" spans="8:26">
      <c r="H135" s="2948" t="s">
        <v>1399</v>
      </c>
      <c r="I135" s="2953">
        <v>45</v>
      </c>
      <c r="J135" s="2950" t="s">
        <v>120</v>
      </c>
      <c r="K135" s="2948" t="s">
        <v>909</v>
      </c>
      <c r="L135" s="2951">
        <v>11.97</v>
      </c>
      <c r="M135" s="2951">
        <v>10.773000000000001</v>
      </c>
      <c r="N135" s="2977">
        <v>0</v>
      </c>
      <c r="O135" s="2948">
        <v>3</v>
      </c>
      <c r="P135" s="2949" t="s">
        <v>1071</v>
      </c>
      <c r="Q135" s="2953">
        <v>0</v>
      </c>
      <c r="R135" s="2953">
        <v>0</v>
      </c>
      <c r="S135" s="2952">
        <f t="shared" si="23"/>
        <v>0</v>
      </c>
      <c r="T135" s="2952">
        <f t="shared" si="24"/>
        <v>0</v>
      </c>
      <c r="U135" s="2952">
        <f t="shared" si="25"/>
        <v>0</v>
      </c>
      <c r="V135" s="2952">
        <f t="shared" si="26"/>
        <v>0</v>
      </c>
      <c r="W135" s="2954">
        <f t="shared" si="27"/>
        <v>0</v>
      </c>
      <c r="X135" s="2954">
        <f t="shared" si="28"/>
        <v>0</v>
      </c>
      <c r="Y135" s="2954">
        <f t="shared" si="29"/>
        <v>0</v>
      </c>
      <c r="Z135" s="2949"/>
    </row>
    <row r="136" spans="8:26">
      <c r="H136" s="2948" t="s">
        <v>1399</v>
      </c>
      <c r="I136" s="2953">
        <v>46</v>
      </c>
      <c r="J136" s="2950" t="s">
        <v>120</v>
      </c>
      <c r="K136" s="2948" t="s">
        <v>909</v>
      </c>
      <c r="L136" s="2951">
        <v>11.97</v>
      </c>
      <c r="M136" s="2951">
        <v>10.773000000000001</v>
      </c>
      <c r="N136" s="2977">
        <v>0</v>
      </c>
      <c r="O136" s="2948">
        <v>3</v>
      </c>
      <c r="P136" s="2949" t="s">
        <v>1071</v>
      </c>
      <c r="Q136" s="2953">
        <v>0</v>
      </c>
      <c r="R136" s="2953">
        <v>0</v>
      </c>
      <c r="S136" s="2952">
        <f t="shared" si="23"/>
        <v>0</v>
      </c>
      <c r="T136" s="2952">
        <f t="shared" si="24"/>
        <v>0</v>
      </c>
      <c r="U136" s="2952">
        <f t="shared" si="25"/>
        <v>0</v>
      </c>
      <c r="V136" s="2952">
        <f t="shared" si="26"/>
        <v>0</v>
      </c>
      <c r="W136" s="2954">
        <f t="shared" si="27"/>
        <v>0</v>
      </c>
      <c r="X136" s="2954">
        <f t="shared" si="28"/>
        <v>0</v>
      </c>
      <c r="Y136" s="2954">
        <f t="shared" si="29"/>
        <v>0</v>
      </c>
      <c r="Z136" s="2949"/>
    </row>
    <row r="137" spans="8:26">
      <c r="H137" s="2948" t="s">
        <v>1400</v>
      </c>
      <c r="I137" s="2953">
        <v>712</v>
      </c>
      <c r="J137" s="2950" t="s">
        <v>120</v>
      </c>
      <c r="K137" s="2948" t="s">
        <v>909</v>
      </c>
      <c r="L137" s="2951">
        <v>11.787999999999998</v>
      </c>
      <c r="M137" s="2951">
        <v>10.6092</v>
      </c>
      <c r="N137" s="2977">
        <v>2.8793825050983674E-2</v>
      </c>
      <c r="O137" s="2948">
        <v>5</v>
      </c>
      <c r="P137" s="2949" t="s">
        <v>1072</v>
      </c>
      <c r="Q137" s="2953">
        <v>125</v>
      </c>
      <c r="R137" s="2953">
        <v>125</v>
      </c>
      <c r="S137" s="2952">
        <f t="shared" si="23"/>
        <v>250</v>
      </c>
      <c r="T137" s="2952">
        <f t="shared" si="24"/>
        <v>89000</v>
      </c>
      <c r="U137" s="2952">
        <f t="shared" si="25"/>
        <v>89000</v>
      </c>
      <c r="V137" s="2952">
        <f t="shared" si="26"/>
        <v>178000</v>
      </c>
      <c r="W137" s="2954">
        <f t="shared" si="27"/>
        <v>1326.1499999999999</v>
      </c>
      <c r="X137" s="2954">
        <f t="shared" si="28"/>
        <v>1326.1499999999999</v>
      </c>
      <c r="Y137" s="2954">
        <f t="shared" si="29"/>
        <v>2652.2999999999997</v>
      </c>
      <c r="Z137" s="2949"/>
    </row>
    <row r="138" spans="8:26">
      <c r="H138" s="2948"/>
      <c r="I138" s="2953"/>
      <c r="J138" s="2950" t="s">
        <v>120</v>
      </c>
      <c r="K138" s="2948" t="s">
        <v>909</v>
      </c>
      <c r="L138" s="2951"/>
      <c r="M138" s="2951">
        <v>0</v>
      </c>
      <c r="N138" s="2977" t="s">
        <v>241</v>
      </c>
      <c r="O138" s="2948"/>
      <c r="P138" s="2949"/>
      <c r="Q138" s="2953">
        <v>250</v>
      </c>
      <c r="R138" s="2953">
        <v>250</v>
      </c>
      <c r="S138" s="2952">
        <f t="shared" si="23"/>
        <v>500</v>
      </c>
      <c r="T138" s="2952">
        <f t="shared" si="24"/>
        <v>0</v>
      </c>
      <c r="U138" s="2952">
        <f t="shared" si="25"/>
        <v>0</v>
      </c>
      <c r="V138" s="2952">
        <f t="shared" si="26"/>
        <v>0</v>
      </c>
      <c r="W138" s="2954">
        <f t="shared" si="27"/>
        <v>0</v>
      </c>
      <c r="X138" s="2954">
        <f t="shared" si="28"/>
        <v>0</v>
      </c>
      <c r="Y138" s="2954">
        <f t="shared" si="29"/>
        <v>0</v>
      </c>
      <c r="Z138" s="2949"/>
    </row>
    <row r="139" spans="8:26">
      <c r="H139" s="2948" t="s">
        <v>1401</v>
      </c>
      <c r="I139" s="2953">
        <v>350</v>
      </c>
      <c r="J139" s="2950" t="s">
        <v>120</v>
      </c>
      <c r="K139" s="2948" t="s">
        <v>909</v>
      </c>
      <c r="L139" s="2951">
        <v>10.946</v>
      </c>
      <c r="M139" s="2951">
        <v>9.8513999999999999</v>
      </c>
      <c r="N139" s="2977">
        <v>2.8308535864731137E-4</v>
      </c>
      <c r="O139" s="2948">
        <v>5</v>
      </c>
      <c r="P139" s="2949" t="s">
        <v>1072</v>
      </c>
      <c r="Q139" s="2953">
        <v>2.5</v>
      </c>
      <c r="R139" s="2953">
        <v>2.5</v>
      </c>
      <c r="S139" s="2952">
        <f t="shared" si="23"/>
        <v>5</v>
      </c>
      <c r="T139" s="2952">
        <f t="shared" si="24"/>
        <v>875</v>
      </c>
      <c r="U139" s="2952">
        <f t="shared" si="25"/>
        <v>875</v>
      </c>
      <c r="V139" s="2952">
        <f t="shared" si="26"/>
        <v>1750</v>
      </c>
      <c r="W139" s="2954">
        <f t="shared" si="27"/>
        <v>24.628499999999999</v>
      </c>
      <c r="X139" s="2954">
        <f t="shared" si="28"/>
        <v>24.628499999999999</v>
      </c>
      <c r="Y139" s="2954">
        <f t="shared" si="29"/>
        <v>49.256999999999998</v>
      </c>
      <c r="Z139" s="2949"/>
    </row>
    <row r="140" spans="8:26">
      <c r="H140" s="2948"/>
      <c r="I140" s="2953"/>
      <c r="J140" s="2950" t="s">
        <v>120</v>
      </c>
      <c r="K140" s="2948" t="s">
        <v>909</v>
      </c>
      <c r="L140" s="2951"/>
      <c r="M140" s="2951">
        <v>0</v>
      </c>
      <c r="N140" s="2977" t="s">
        <v>241</v>
      </c>
      <c r="O140" s="2948"/>
      <c r="P140" s="2949"/>
      <c r="Q140" s="2953">
        <v>0</v>
      </c>
      <c r="R140" s="2953">
        <v>0</v>
      </c>
      <c r="S140" s="2952">
        <f t="shared" si="23"/>
        <v>0</v>
      </c>
      <c r="T140" s="2952">
        <f t="shared" si="24"/>
        <v>0</v>
      </c>
      <c r="U140" s="2952">
        <f t="shared" si="25"/>
        <v>0</v>
      </c>
      <c r="V140" s="2952">
        <f t="shared" si="26"/>
        <v>0</v>
      </c>
      <c r="W140" s="2954">
        <f t="shared" si="27"/>
        <v>0</v>
      </c>
      <c r="X140" s="2954">
        <f t="shared" si="28"/>
        <v>0</v>
      </c>
      <c r="Y140" s="2954">
        <f t="shared" si="29"/>
        <v>0</v>
      </c>
      <c r="Z140" s="2949"/>
    </row>
    <row r="141" spans="8:26">
      <c r="H141" s="2948" t="s">
        <v>1402</v>
      </c>
      <c r="I141" s="2953">
        <v>1208</v>
      </c>
      <c r="J141" s="2950" t="s">
        <v>120</v>
      </c>
      <c r="K141" s="2948" t="s">
        <v>909</v>
      </c>
      <c r="L141" s="2951">
        <v>70.421000000000006</v>
      </c>
      <c r="M141" s="2951">
        <v>63.378900000000009</v>
      </c>
      <c r="N141" s="2977">
        <v>1.9540977899768696E-3</v>
      </c>
      <c r="O141" s="2948">
        <v>5</v>
      </c>
      <c r="P141" s="2949" t="s">
        <v>1072</v>
      </c>
      <c r="Q141" s="2953">
        <v>5</v>
      </c>
      <c r="R141" s="2953">
        <v>5</v>
      </c>
      <c r="S141" s="2952">
        <f t="shared" si="23"/>
        <v>10</v>
      </c>
      <c r="T141" s="2952">
        <f t="shared" si="24"/>
        <v>6040</v>
      </c>
      <c r="U141" s="2952">
        <f t="shared" si="25"/>
        <v>6040</v>
      </c>
      <c r="V141" s="2952">
        <f t="shared" si="26"/>
        <v>12080</v>
      </c>
      <c r="W141" s="2954">
        <f t="shared" si="27"/>
        <v>316.89450000000005</v>
      </c>
      <c r="X141" s="2954">
        <f t="shared" si="28"/>
        <v>316.89450000000005</v>
      </c>
      <c r="Y141" s="2954">
        <f t="shared" si="29"/>
        <v>633.7890000000001</v>
      </c>
      <c r="Z141" s="2949"/>
    </row>
    <row r="142" spans="8:26">
      <c r="H142" s="2948" t="s">
        <v>1403</v>
      </c>
      <c r="I142" s="2953">
        <v>839</v>
      </c>
      <c r="J142" s="2950" t="s">
        <v>120</v>
      </c>
      <c r="K142" s="2948" t="s">
        <v>909</v>
      </c>
      <c r="L142" s="2951">
        <v>70.421000000000006</v>
      </c>
      <c r="M142" s="2951">
        <v>63.378900000000009</v>
      </c>
      <c r="N142" s="2977">
        <v>1.3571920908862529E-3</v>
      </c>
      <c r="O142" s="2948">
        <v>5</v>
      </c>
      <c r="P142" s="2949" t="s">
        <v>1072</v>
      </c>
      <c r="Q142" s="2953">
        <v>5</v>
      </c>
      <c r="R142" s="2953">
        <v>5</v>
      </c>
      <c r="S142" s="2952">
        <f t="shared" si="23"/>
        <v>10</v>
      </c>
      <c r="T142" s="2952">
        <f t="shared" si="24"/>
        <v>4195</v>
      </c>
      <c r="U142" s="2952">
        <f t="shared" si="25"/>
        <v>4195</v>
      </c>
      <c r="V142" s="2952">
        <f t="shared" si="26"/>
        <v>8390</v>
      </c>
      <c r="W142" s="2954">
        <f t="shared" si="27"/>
        <v>316.89450000000005</v>
      </c>
      <c r="X142" s="2954">
        <f t="shared" si="28"/>
        <v>316.89450000000005</v>
      </c>
      <c r="Y142" s="2954">
        <f t="shared" si="29"/>
        <v>633.7890000000001</v>
      </c>
      <c r="Z142" s="2949"/>
    </row>
    <row r="143" spans="8:26">
      <c r="H143" s="2948" t="s">
        <v>1404</v>
      </c>
      <c r="I143" s="2953">
        <v>1322</v>
      </c>
      <c r="J143" s="2950" t="s">
        <v>120</v>
      </c>
      <c r="K143" s="2948" t="s">
        <v>909</v>
      </c>
      <c r="L143" s="2951">
        <v>70.421000000000006</v>
      </c>
      <c r="M143" s="2951">
        <v>63.378900000000009</v>
      </c>
      <c r="N143" s="2977">
        <v>2.1385076807528321E-3</v>
      </c>
      <c r="O143" s="2948">
        <v>5</v>
      </c>
      <c r="P143" s="2949" t="s">
        <v>1072</v>
      </c>
      <c r="Q143" s="2953">
        <v>5</v>
      </c>
      <c r="R143" s="2953">
        <v>5</v>
      </c>
      <c r="S143" s="2952">
        <f t="shared" si="23"/>
        <v>10</v>
      </c>
      <c r="T143" s="2952">
        <f t="shared" si="24"/>
        <v>6610</v>
      </c>
      <c r="U143" s="2952">
        <f t="shared" si="25"/>
        <v>6610</v>
      </c>
      <c r="V143" s="2952">
        <f t="shared" si="26"/>
        <v>13220</v>
      </c>
      <c r="W143" s="2954">
        <f t="shared" si="27"/>
        <v>316.89450000000005</v>
      </c>
      <c r="X143" s="2954">
        <f t="shared" si="28"/>
        <v>316.89450000000005</v>
      </c>
      <c r="Y143" s="2954">
        <f t="shared" si="29"/>
        <v>633.7890000000001</v>
      </c>
      <c r="Z143" s="2949"/>
    </row>
    <row r="144" spans="8:26">
      <c r="H144" s="2948" t="s">
        <v>1405</v>
      </c>
      <c r="I144" s="2953">
        <v>2187</v>
      </c>
      <c r="J144" s="2950" t="s">
        <v>120</v>
      </c>
      <c r="K144" s="2948" t="s">
        <v>909</v>
      </c>
      <c r="L144" s="2951">
        <v>70.421000000000006</v>
      </c>
      <c r="M144" s="2951">
        <v>63.378900000000009</v>
      </c>
      <c r="N144" s="2977">
        <v>3.5377581677809716E-3</v>
      </c>
      <c r="O144" s="2948">
        <v>5</v>
      </c>
      <c r="P144" s="2949" t="s">
        <v>1072</v>
      </c>
      <c r="Q144" s="2953">
        <v>5</v>
      </c>
      <c r="R144" s="2953">
        <v>5</v>
      </c>
      <c r="S144" s="2952">
        <f t="shared" ref="S144:S150" si="30">Q144+R144</f>
        <v>10</v>
      </c>
      <c r="T144" s="2952">
        <f t="shared" ref="T144:T150" si="31">I144*Q144</f>
        <v>10935</v>
      </c>
      <c r="U144" s="2952">
        <f t="shared" ref="U144:U150" si="32">I144*R144</f>
        <v>10935</v>
      </c>
      <c r="V144" s="2952">
        <f t="shared" ref="V144:V150" si="33">T144+U144</f>
        <v>21870</v>
      </c>
      <c r="W144" s="2954">
        <f t="shared" ref="W144:W150" si="34">M144*Q144</f>
        <v>316.89450000000005</v>
      </c>
      <c r="X144" s="2954">
        <f t="shared" ref="X144:X150" si="35">M144*R144</f>
        <v>316.89450000000005</v>
      </c>
      <c r="Y144" s="2954">
        <f t="shared" ref="Y144:Y150" si="36">W144+X144</f>
        <v>633.7890000000001</v>
      </c>
      <c r="Z144" s="2949"/>
    </row>
    <row r="145" spans="8:26">
      <c r="H145" s="2948"/>
      <c r="I145" s="2953"/>
      <c r="J145" s="2950" t="s">
        <v>120</v>
      </c>
      <c r="K145" s="2948" t="s">
        <v>909</v>
      </c>
      <c r="L145" s="2951"/>
      <c r="M145" s="2951">
        <v>0</v>
      </c>
      <c r="N145" s="2977" t="s">
        <v>241</v>
      </c>
      <c r="O145" s="2948"/>
      <c r="P145" s="2949"/>
      <c r="Q145" s="2953">
        <v>0</v>
      </c>
      <c r="R145" s="2953">
        <v>0</v>
      </c>
      <c r="S145" s="2952">
        <f t="shared" si="30"/>
        <v>0</v>
      </c>
      <c r="T145" s="2952">
        <f t="shared" si="31"/>
        <v>0</v>
      </c>
      <c r="U145" s="2952">
        <f t="shared" si="32"/>
        <v>0</v>
      </c>
      <c r="V145" s="2952">
        <f t="shared" si="33"/>
        <v>0</v>
      </c>
      <c r="W145" s="2954">
        <f t="shared" si="34"/>
        <v>0</v>
      </c>
      <c r="X145" s="2954">
        <f t="shared" si="35"/>
        <v>0</v>
      </c>
      <c r="Y145" s="2954">
        <f t="shared" si="36"/>
        <v>0</v>
      </c>
      <c r="Z145" s="2949"/>
    </row>
    <row r="146" spans="8:26">
      <c r="H146" s="2948"/>
      <c r="I146" s="2953"/>
      <c r="J146" s="2950" t="s">
        <v>120</v>
      </c>
      <c r="K146" s="2948" t="s">
        <v>909</v>
      </c>
      <c r="L146" s="2951"/>
      <c r="M146" s="2951">
        <v>0</v>
      </c>
      <c r="N146" s="2977" t="s">
        <v>241</v>
      </c>
      <c r="O146" s="2948"/>
      <c r="P146" s="2949"/>
      <c r="Q146" s="2953">
        <v>0</v>
      </c>
      <c r="R146" s="2953">
        <v>0</v>
      </c>
      <c r="S146" s="2952">
        <f t="shared" si="30"/>
        <v>0</v>
      </c>
      <c r="T146" s="2952">
        <f t="shared" si="31"/>
        <v>0</v>
      </c>
      <c r="U146" s="2952">
        <f t="shared" si="32"/>
        <v>0</v>
      </c>
      <c r="V146" s="2952">
        <f t="shared" si="33"/>
        <v>0</v>
      </c>
      <c r="W146" s="2954">
        <f t="shared" si="34"/>
        <v>0</v>
      </c>
      <c r="X146" s="2954">
        <f t="shared" si="35"/>
        <v>0</v>
      </c>
      <c r="Y146" s="2954">
        <f t="shared" si="36"/>
        <v>0</v>
      </c>
      <c r="Z146" s="2949"/>
    </row>
    <row r="147" spans="8:26">
      <c r="H147" s="2948"/>
      <c r="I147" s="2953"/>
      <c r="J147" s="2950" t="s">
        <v>120</v>
      </c>
      <c r="K147" s="2948" t="s">
        <v>909</v>
      </c>
      <c r="L147" s="2951"/>
      <c r="M147" s="2951">
        <v>0</v>
      </c>
      <c r="N147" s="2977" t="s">
        <v>241</v>
      </c>
      <c r="O147" s="2948"/>
      <c r="P147" s="2949"/>
      <c r="Q147" s="2953">
        <v>0</v>
      </c>
      <c r="R147" s="2953">
        <v>0</v>
      </c>
      <c r="S147" s="2952">
        <f t="shared" si="30"/>
        <v>0</v>
      </c>
      <c r="T147" s="2952">
        <f t="shared" si="31"/>
        <v>0</v>
      </c>
      <c r="U147" s="2952">
        <f t="shared" si="32"/>
        <v>0</v>
      </c>
      <c r="V147" s="2952">
        <f t="shared" si="33"/>
        <v>0</v>
      </c>
      <c r="W147" s="2954">
        <f t="shared" si="34"/>
        <v>0</v>
      </c>
      <c r="X147" s="2954">
        <f t="shared" si="35"/>
        <v>0</v>
      </c>
      <c r="Y147" s="2954">
        <f t="shared" si="36"/>
        <v>0</v>
      </c>
      <c r="Z147" s="2949"/>
    </row>
    <row r="148" spans="8:26">
      <c r="H148" s="2948"/>
      <c r="I148" s="2953"/>
      <c r="J148" s="2950" t="s">
        <v>120</v>
      </c>
      <c r="K148" s="2948" t="s">
        <v>909</v>
      </c>
      <c r="L148" s="2951"/>
      <c r="M148" s="2951">
        <v>0</v>
      </c>
      <c r="N148" s="2977" t="s">
        <v>241</v>
      </c>
      <c r="O148" s="2948"/>
      <c r="P148" s="2949"/>
      <c r="Q148" s="2953">
        <v>0</v>
      </c>
      <c r="R148" s="2953">
        <v>0</v>
      </c>
      <c r="S148" s="2952">
        <f t="shared" si="30"/>
        <v>0</v>
      </c>
      <c r="T148" s="2952">
        <f t="shared" si="31"/>
        <v>0</v>
      </c>
      <c r="U148" s="2952">
        <f t="shared" si="32"/>
        <v>0</v>
      </c>
      <c r="V148" s="2952">
        <f t="shared" si="33"/>
        <v>0</v>
      </c>
      <c r="W148" s="2954">
        <f t="shared" si="34"/>
        <v>0</v>
      </c>
      <c r="X148" s="2954">
        <f t="shared" si="35"/>
        <v>0</v>
      </c>
      <c r="Y148" s="2954">
        <f t="shared" si="36"/>
        <v>0</v>
      </c>
      <c r="Z148" s="2949"/>
    </row>
    <row r="149" spans="8:26">
      <c r="H149" s="2948" t="s">
        <v>1406</v>
      </c>
      <c r="I149" s="2953">
        <v>228</v>
      </c>
      <c r="J149" s="2950" t="s">
        <v>120</v>
      </c>
      <c r="K149" s="2948" t="s">
        <v>909</v>
      </c>
      <c r="L149" s="2951">
        <v>21.671000000000003</v>
      </c>
      <c r="M149" s="2951">
        <v>19.503900000000002</v>
      </c>
      <c r="N149" s="2977">
        <v>3.688197815519257E-2</v>
      </c>
      <c r="O149" s="2948">
        <v>10</v>
      </c>
      <c r="P149" s="2949" t="s">
        <v>1072</v>
      </c>
      <c r="Q149" s="2953">
        <v>500</v>
      </c>
      <c r="R149" s="2953">
        <v>500</v>
      </c>
      <c r="S149" s="2952">
        <f t="shared" si="30"/>
        <v>1000</v>
      </c>
      <c r="T149" s="2952">
        <f t="shared" si="31"/>
        <v>114000</v>
      </c>
      <c r="U149" s="2952">
        <f t="shared" si="32"/>
        <v>114000</v>
      </c>
      <c r="V149" s="2952">
        <f t="shared" si="33"/>
        <v>228000</v>
      </c>
      <c r="W149" s="2954">
        <f t="shared" si="34"/>
        <v>9751.9500000000007</v>
      </c>
      <c r="X149" s="2954">
        <f t="shared" si="35"/>
        <v>9751.9500000000007</v>
      </c>
      <c r="Y149" s="2954">
        <f t="shared" si="36"/>
        <v>19503.900000000001</v>
      </c>
      <c r="Z149" s="2949"/>
    </row>
    <row r="150" spans="8:26">
      <c r="H150" s="2948" t="s">
        <v>1407</v>
      </c>
      <c r="I150" s="2953">
        <v>4288</v>
      </c>
      <c r="J150" s="2950" t="s">
        <v>120</v>
      </c>
      <c r="K150" s="2948" t="s">
        <v>909</v>
      </c>
      <c r="L150" s="2951">
        <v>21.671000000000003</v>
      </c>
      <c r="M150" s="2951">
        <v>19.503900000000002</v>
      </c>
      <c r="N150" s="2977">
        <v>0</v>
      </c>
      <c r="O150" s="2948">
        <v>10</v>
      </c>
      <c r="P150" s="2949" t="s">
        <v>1072</v>
      </c>
      <c r="Q150" s="2953">
        <v>0</v>
      </c>
      <c r="R150" s="2953">
        <v>0</v>
      </c>
      <c r="S150" s="2952">
        <f t="shared" si="30"/>
        <v>0</v>
      </c>
      <c r="T150" s="2952">
        <f t="shared" si="31"/>
        <v>0</v>
      </c>
      <c r="U150" s="2952">
        <f t="shared" si="32"/>
        <v>0</v>
      </c>
      <c r="V150" s="2952">
        <f t="shared" si="33"/>
        <v>0</v>
      </c>
      <c r="W150" s="2954">
        <f t="shared" si="34"/>
        <v>0</v>
      </c>
      <c r="X150" s="2954">
        <f t="shared" si="35"/>
        <v>0</v>
      </c>
      <c r="Y150" s="2954">
        <f t="shared" si="36"/>
        <v>0</v>
      </c>
      <c r="Z150" s="2949"/>
    </row>
    <row r="151" spans="8:26">
      <c r="H151" s="2948"/>
      <c r="I151" s="2953"/>
      <c r="J151" s="2950" t="s">
        <v>120</v>
      </c>
      <c r="K151" s="2948" t="s">
        <v>909</v>
      </c>
      <c r="L151" s="2951">
        <v>21.671000000000003</v>
      </c>
      <c r="M151" s="2951">
        <v>19.503900000000002</v>
      </c>
      <c r="N151" s="2977" t="s">
        <v>241</v>
      </c>
      <c r="O151" s="2948"/>
      <c r="P151" s="2949"/>
      <c r="Q151" s="2953">
        <v>0</v>
      </c>
      <c r="R151" s="2953">
        <v>0</v>
      </c>
      <c r="S151" s="2952">
        <f t="shared" ref="S151:S186" si="37">Q151+R151</f>
        <v>0</v>
      </c>
      <c r="T151" s="2952">
        <f t="shared" ref="T151:T186" si="38">I151*Q151</f>
        <v>0</v>
      </c>
      <c r="U151" s="2952">
        <f t="shared" ref="U151:U186" si="39">I151*R151</f>
        <v>0</v>
      </c>
      <c r="V151" s="2952">
        <f t="shared" ref="V151:V186" si="40">T151+U151</f>
        <v>0</v>
      </c>
      <c r="W151" s="2954">
        <f t="shared" ref="W151:W186" si="41">M151*Q151</f>
        <v>0</v>
      </c>
      <c r="X151" s="2954">
        <f t="shared" ref="X151:X186" si="42">M151*R151</f>
        <v>0</v>
      </c>
      <c r="Y151" s="2954">
        <f t="shared" ref="Y151:Y186" si="43">W151+X151</f>
        <v>0</v>
      </c>
      <c r="Z151" s="2949"/>
    </row>
    <row r="152" spans="8:26">
      <c r="H152" s="2948" t="s">
        <v>1530</v>
      </c>
      <c r="I152" s="2953">
        <v>164</v>
      </c>
      <c r="J152" s="2950" t="s">
        <v>120</v>
      </c>
      <c r="K152" s="2948" t="s">
        <v>909</v>
      </c>
      <c r="L152" s="2951">
        <v>14.95</v>
      </c>
      <c r="M152" s="2951">
        <v>13.455</v>
      </c>
      <c r="N152" s="2977">
        <v>2.6529142181805181E-3</v>
      </c>
      <c r="O152" s="2948">
        <v>5</v>
      </c>
      <c r="P152" s="2949" t="s">
        <v>1072</v>
      </c>
      <c r="Q152" s="2953">
        <v>50</v>
      </c>
      <c r="R152" s="2953">
        <v>50</v>
      </c>
      <c r="S152" s="2952">
        <f t="shared" si="37"/>
        <v>100</v>
      </c>
      <c r="T152" s="2952">
        <f t="shared" si="38"/>
        <v>8200</v>
      </c>
      <c r="U152" s="2952">
        <f t="shared" si="39"/>
        <v>8200</v>
      </c>
      <c r="V152" s="2952">
        <f t="shared" si="40"/>
        <v>16400</v>
      </c>
      <c r="W152" s="2954">
        <f t="shared" si="41"/>
        <v>672.75</v>
      </c>
      <c r="X152" s="2954">
        <f t="shared" si="42"/>
        <v>672.75</v>
      </c>
      <c r="Y152" s="2954">
        <f t="shared" si="43"/>
        <v>1345.5</v>
      </c>
      <c r="Z152" s="2949"/>
    </row>
    <row r="153" spans="8:26">
      <c r="H153" s="2948"/>
      <c r="I153" s="2953"/>
      <c r="J153" s="2950" t="s">
        <v>120</v>
      </c>
      <c r="K153" s="2948" t="s">
        <v>909</v>
      </c>
      <c r="L153" s="2951">
        <v>14.950000000000001</v>
      </c>
      <c r="M153" s="2951">
        <v>13.455000000000002</v>
      </c>
      <c r="N153" s="2977" t="s">
        <v>241</v>
      </c>
      <c r="O153" s="2948"/>
      <c r="P153" s="2949"/>
      <c r="Q153" s="2953">
        <v>0</v>
      </c>
      <c r="R153" s="2953">
        <v>0</v>
      </c>
      <c r="S153" s="2952">
        <f t="shared" si="37"/>
        <v>0</v>
      </c>
      <c r="T153" s="2952">
        <f t="shared" si="38"/>
        <v>0</v>
      </c>
      <c r="U153" s="2952">
        <f t="shared" si="39"/>
        <v>0</v>
      </c>
      <c r="V153" s="2952">
        <f t="shared" si="40"/>
        <v>0</v>
      </c>
      <c r="W153" s="2954">
        <f t="shared" si="41"/>
        <v>0</v>
      </c>
      <c r="X153" s="2954">
        <f t="shared" si="42"/>
        <v>0</v>
      </c>
      <c r="Y153" s="2954">
        <f t="shared" si="43"/>
        <v>0</v>
      </c>
      <c r="Z153" s="2949"/>
    </row>
    <row r="154" spans="8:26">
      <c r="H154" s="2948" t="s">
        <v>1408</v>
      </c>
      <c r="I154" s="2953">
        <v>340</v>
      </c>
      <c r="J154" s="2950" t="s">
        <v>120</v>
      </c>
      <c r="K154" s="2948" t="s">
        <v>909</v>
      </c>
      <c r="L154" s="2951">
        <v>198.43199999999999</v>
      </c>
      <c r="M154" s="2951">
        <v>178.58879999999999</v>
      </c>
      <c r="N154" s="2977">
        <v>5.4999441108620495E-4</v>
      </c>
      <c r="O154" s="2948">
        <v>12</v>
      </c>
      <c r="P154" s="2949" t="s">
        <v>1071</v>
      </c>
      <c r="Q154" s="2953">
        <v>5</v>
      </c>
      <c r="R154" s="2953">
        <v>5</v>
      </c>
      <c r="S154" s="2952">
        <f t="shared" si="37"/>
        <v>10</v>
      </c>
      <c r="T154" s="2952">
        <f t="shared" si="38"/>
        <v>1700</v>
      </c>
      <c r="U154" s="2952">
        <f t="shared" si="39"/>
        <v>1700</v>
      </c>
      <c r="V154" s="2952">
        <f t="shared" si="40"/>
        <v>3400</v>
      </c>
      <c r="W154" s="2954">
        <f t="shared" si="41"/>
        <v>892.94399999999996</v>
      </c>
      <c r="X154" s="2954">
        <f t="shared" si="42"/>
        <v>892.94399999999996</v>
      </c>
      <c r="Y154" s="2954">
        <f t="shared" si="43"/>
        <v>1785.8879999999999</v>
      </c>
      <c r="Z154" s="2949"/>
    </row>
    <row r="155" spans="8:26">
      <c r="H155" s="2948" t="s">
        <v>1409</v>
      </c>
      <c r="I155" s="2953">
        <v>263</v>
      </c>
      <c r="J155" s="2950" t="s">
        <v>120</v>
      </c>
      <c r="K155" s="2948" t="s">
        <v>909</v>
      </c>
      <c r="L155" s="2951">
        <v>198.43199999999999</v>
      </c>
      <c r="M155" s="2951">
        <v>178.58879999999999</v>
      </c>
      <c r="N155" s="2977">
        <v>4.2543685328138799E-4</v>
      </c>
      <c r="O155" s="2948">
        <v>12</v>
      </c>
      <c r="P155" s="2949" t="s">
        <v>1071</v>
      </c>
      <c r="Q155" s="2953">
        <v>5</v>
      </c>
      <c r="R155" s="2953">
        <v>5</v>
      </c>
      <c r="S155" s="2952">
        <f t="shared" si="37"/>
        <v>10</v>
      </c>
      <c r="T155" s="2952">
        <f t="shared" si="38"/>
        <v>1315</v>
      </c>
      <c r="U155" s="2952">
        <f t="shared" si="39"/>
        <v>1315</v>
      </c>
      <c r="V155" s="2952">
        <f t="shared" si="40"/>
        <v>2630</v>
      </c>
      <c r="W155" s="2954">
        <f t="shared" si="41"/>
        <v>892.94399999999996</v>
      </c>
      <c r="X155" s="2954">
        <f t="shared" si="42"/>
        <v>892.94399999999996</v>
      </c>
      <c r="Y155" s="2954">
        <f t="shared" si="43"/>
        <v>1785.8879999999999</v>
      </c>
      <c r="Z155" s="2949"/>
    </row>
    <row r="156" spans="8:26">
      <c r="H156" s="2948" t="s">
        <v>1410</v>
      </c>
      <c r="I156" s="2953">
        <v>408</v>
      </c>
      <c r="J156" s="2950" t="s">
        <v>120</v>
      </c>
      <c r="K156" s="2948" t="s">
        <v>909</v>
      </c>
      <c r="L156" s="2951">
        <v>204.93199999999999</v>
      </c>
      <c r="M156" s="2951">
        <v>184.43879999999999</v>
      </c>
      <c r="N156" s="2977">
        <v>6.5999329330344598E-4</v>
      </c>
      <c r="O156" s="2948">
        <v>12</v>
      </c>
      <c r="P156" s="2949" t="s">
        <v>1071</v>
      </c>
      <c r="Q156" s="2953">
        <v>5</v>
      </c>
      <c r="R156" s="2953">
        <v>5</v>
      </c>
      <c r="S156" s="2952">
        <f t="shared" si="37"/>
        <v>10</v>
      </c>
      <c r="T156" s="2952">
        <f t="shared" si="38"/>
        <v>2040</v>
      </c>
      <c r="U156" s="2952">
        <f t="shared" si="39"/>
        <v>2040</v>
      </c>
      <c r="V156" s="2952">
        <f t="shared" si="40"/>
        <v>4080</v>
      </c>
      <c r="W156" s="2954">
        <f t="shared" si="41"/>
        <v>922.19399999999996</v>
      </c>
      <c r="X156" s="2954">
        <f t="shared" si="42"/>
        <v>922.19399999999996</v>
      </c>
      <c r="Y156" s="2954">
        <f t="shared" si="43"/>
        <v>1844.3879999999999</v>
      </c>
      <c r="Z156" s="2949"/>
    </row>
    <row r="157" spans="8:26">
      <c r="H157" s="2948" t="s">
        <v>1411</v>
      </c>
      <c r="I157" s="2953">
        <v>315</v>
      </c>
      <c r="J157" s="2950" t="s">
        <v>120</v>
      </c>
      <c r="K157" s="2948" t="s">
        <v>909</v>
      </c>
      <c r="L157" s="2951">
        <v>204.93199999999999</v>
      </c>
      <c r="M157" s="2951">
        <v>184.43879999999999</v>
      </c>
      <c r="N157" s="2977">
        <v>1.2738841139129013E-3</v>
      </c>
      <c r="O157" s="2948">
        <v>12</v>
      </c>
      <c r="P157" s="2949" t="s">
        <v>1071</v>
      </c>
      <c r="Q157" s="2953">
        <v>12.5</v>
      </c>
      <c r="R157" s="2953">
        <v>12.5</v>
      </c>
      <c r="S157" s="2952">
        <f t="shared" si="37"/>
        <v>25</v>
      </c>
      <c r="T157" s="2952">
        <f t="shared" si="38"/>
        <v>3937.5</v>
      </c>
      <c r="U157" s="2952">
        <f t="shared" si="39"/>
        <v>3937.5</v>
      </c>
      <c r="V157" s="2952">
        <f t="shared" si="40"/>
        <v>7875</v>
      </c>
      <c r="W157" s="2954">
        <f t="shared" si="41"/>
        <v>2305.4849999999997</v>
      </c>
      <c r="X157" s="2954">
        <f t="shared" si="42"/>
        <v>2305.4849999999997</v>
      </c>
      <c r="Y157" s="2954">
        <f t="shared" si="43"/>
        <v>4610.9699999999993</v>
      </c>
      <c r="Z157" s="2949"/>
    </row>
    <row r="158" spans="8:26">
      <c r="H158" s="2948" t="s">
        <v>1412</v>
      </c>
      <c r="I158" s="2953">
        <v>235</v>
      </c>
      <c r="J158" s="2950" t="s">
        <v>120</v>
      </c>
      <c r="K158" s="2948" t="s">
        <v>909</v>
      </c>
      <c r="L158" s="2951">
        <v>6.5</v>
      </c>
      <c r="M158" s="2951">
        <v>5.8500000000000005</v>
      </c>
      <c r="N158" s="2977">
        <v>3.8014319589781818E-2</v>
      </c>
      <c r="O158" s="2948">
        <v>4</v>
      </c>
      <c r="P158" s="2949" t="s">
        <v>1345</v>
      </c>
      <c r="Q158" s="2953">
        <v>500</v>
      </c>
      <c r="R158" s="2953">
        <v>500</v>
      </c>
      <c r="S158" s="2952">
        <f t="shared" si="37"/>
        <v>1000</v>
      </c>
      <c r="T158" s="2952">
        <f t="shared" si="38"/>
        <v>117500</v>
      </c>
      <c r="U158" s="2952">
        <f t="shared" si="39"/>
        <v>117500</v>
      </c>
      <c r="V158" s="2952">
        <f t="shared" si="40"/>
        <v>235000</v>
      </c>
      <c r="W158" s="2954">
        <f t="shared" si="41"/>
        <v>2925.0000000000005</v>
      </c>
      <c r="X158" s="2954">
        <f t="shared" si="42"/>
        <v>2925.0000000000005</v>
      </c>
      <c r="Y158" s="2954">
        <f t="shared" si="43"/>
        <v>5850.0000000000009</v>
      </c>
      <c r="Z158" s="2949"/>
    </row>
    <row r="159" spans="8:26">
      <c r="H159" s="2948" t="s">
        <v>1413</v>
      </c>
      <c r="I159" s="2953">
        <v>40</v>
      </c>
      <c r="J159" s="2950" t="s">
        <v>120</v>
      </c>
      <c r="K159" s="2948" t="s">
        <v>909</v>
      </c>
      <c r="L159" s="2951">
        <v>6.5</v>
      </c>
      <c r="M159" s="2951">
        <v>5.8500000000000005</v>
      </c>
      <c r="N159" s="2977">
        <v>6.4705224833671174E-3</v>
      </c>
      <c r="O159" s="2948">
        <v>4</v>
      </c>
      <c r="P159" s="2949" t="s">
        <v>1345</v>
      </c>
      <c r="Q159" s="2953">
        <v>500</v>
      </c>
      <c r="R159" s="2953">
        <v>500</v>
      </c>
      <c r="S159" s="2952">
        <f t="shared" si="37"/>
        <v>1000</v>
      </c>
      <c r="T159" s="2952">
        <f t="shared" si="38"/>
        <v>20000</v>
      </c>
      <c r="U159" s="2952">
        <f t="shared" si="39"/>
        <v>20000</v>
      </c>
      <c r="V159" s="2952">
        <f t="shared" si="40"/>
        <v>40000</v>
      </c>
      <c r="W159" s="2954">
        <f t="shared" si="41"/>
        <v>2925.0000000000005</v>
      </c>
      <c r="X159" s="2954">
        <f t="shared" si="42"/>
        <v>2925.0000000000005</v>
      </c>
      <c r="Y159" s="2954">
        <f t="shared" si="43"/>
        <v>5850.0000000000009</v>
      </c>
      <c r="Z159" s="2949"/>
    </row>
    <row r="160" spans="8:26">
      <c r="H160" s="2948" t="s">
        <v>1414</v>
      </c>
      <c r="I160" s="2953">
        <v>1000</v>
      </c>
      <c r="J160" s="2950" t="s">
        <v>120</v>
      </c>
      <c r="K160" s="2948" t="s">
        <v>909</v>
      </c>
      <c r="L160" s="2951">
        <v>195</v>
      </c>
      <c r="M160" s="2951">
        <v>175.5</v>
      </c>
      <c r="N160" s="2977">
        <v>4.0440765521044482E-2</v>
      </c>
      <c r="O160" s="2948">
        <v>4</v>
      </c>
      <c r="P160" s="2949" t="s">
        <v>1522</v>
      </c>
      <c r="Q160" s="2953">
        <v>125</v>
      </c>
      <c r="R160" s="2953">
        <v>125</v>
      </c>
      <c r="S160" s="2952">
        <f t="shared" si="37"/>
        <v>250</v>
      </c>
      <c r="T160" s="2952">
        <f t="shared" si="38"/>
        <v>125000</v>
      </c>
      <c r="U160" s="2952">
        <f t="shared" si="39"/>
        <v>125000</v>
      </c>
      <c r="V160" s="2952">
        <f t="shared" si="40"/>
        <v>250000</v>
      </c>
      <c r="W160" s="2954">
        <f t="shared" si="41"/>
        <v>21937.5</v>
      </c>
      <c r="X160" s="2954">
        <f t="shared" si="42"/>
        <v>21937.5</v>
      </c>
      <c r="Y160" s="2954">
        <f t="shared" si="43"/>
        <v>43875</v>
      </c>
      <c r="Z160" s="2949"/>
    </row>
    <row r="161" spans="8:26">
      <c r="H161" s="2948" t="s">
        <v>1415</v>
      </c>
      <c r="I161" s="2953">
        <v>107</v>
      </c>
      <c r="J161" s="2950" t="s">
        <v>120</v>
      </c>
      <c r="K161" s="2948" t="s">
        <v>909</v>
      </c>
      <c r="L161" s="2951">
        <v>14.950000000000001</v>
      </c>
      <c r="M161" s="2951">
        <v>13.455000000000002</v>
      </c>
      <c r="N161" s="2977">
        <v>6.9234590572028161E-3</v>
      </c>
      <c r="O161" s="2948">
        <v>5</v>
      </c>
      <c r="P161" s="2949" t="s">
        <v>1345</v>
      </c>
      <c r="Q161" s="2953">
        <v>200</v>
      </c>
      <c r="R161" s="2953">
        <v>200</v>
      </c>
      <c r="S161" s="2952">
        <f t="shared" si="37"/>
        <v>400</v>
      </c>
      <c r="T161" s="2952">
        <f t="shared" si="38"/>
        <v>21400</v>
      </c>
      <c r="U161" s="2952">
        <f t="shared" si="39"/>
        <v>21400</v>
      </c>
      <c r="V161" s="2952">
        <f t="shared" si="40"/>
        <v>42800</v>
      </c>
      <c r="W161" s="2954">
        <f t="shared" si="41"/>
        <v>2691.0000000000005</v>
      </c>
      <c r="X161" s="2954">
        <f t="shared" si="42"/>
        <v>2691.0000000000005</v>
      </c>
      <c r="Y161" s="2954">
        <f t="shared" si="43"/>
        <v>5382.0000000000009</v>
      </c>
      <c r="Z161" s="2949"/>
    </row>
    <row r="162" spans="8:26">
      <c r="H162" s="2948" t="s">
        <v>1416</v>
      </c>
      <c r="I162" s="2953">
        <v>148</v>
      </c>
      <c r="J162" s="2950" t="s">
        <v>120</v>
      </c>
      <c r="K162" s="2948" t="s">
        <v>909</v>
      </c>
      <c r="L162" s="2951">
        <v>14.950000000000001</v>
      </c>
      <c r="M162" s="2951">
        <v>13.455000000000002</v>
      </c>
      <c r="N162" s="2977">
        <v>9.5763732753833333E-3</v>
      </c>
      <c r="O162" s="2948">
        <v>5</v>
      </c>
      <c r="P162" s="2949" t="s">
        <v>1345</v>
      </c>
      <c r="Q162" s="2953">
        <v>200</v>
      </c>
      <c r="R162" s="2953">
        <v>200</v>
      </c>
      <c r="S162" s="2952">
        <f t="shared" si="37"/>
        <v>400</v>
      </c>
      <c r="T162" s="2952">
        <f t="shared" si="38"/>
        <v>29600</v>
      </c>
      <c r="U162" s="2952">
        <f t="shared" si="39"/>
        <v>29600</v>
      </c>
      <c r="V162" s="2952">
        <f t="shared" si="40"/>
        <v>59200</v>
      </c>
      <c r="W162" s="2954">
        <f t="shared" si="41"/>
        <v>2691.0000000000005</v>
      </c>
      <c r="X162" s="2954">
        <f t="shared" si="42"/>
        <v>2691.0000000000005</v>
      </c>
      <c r="Y162" s="2954">
        <f t="shared" si="43"/>
        <v>5382.0000000000009</v>
      </c>
      <c r="Z162" s="2949"/>
    </row>
    <row r="163" spans="8:26">
      <c r="H163" s="2948" t="s">
        <v>1417</v>
      </c>
      <c r="I163" s="2953">
        <v>1075</v>
      </c>
      <c r="J163" s="2950" t="s">
        <v>120</v>
      </c>
      <c r="K163" s="2948" t="s">
        <v>909</v>
      </c>
      <c r="L163" s="2951">
        <v>169</v>
      </c>
      <c r="M163" s="2951">
        <v>152.1</v>
      </c>
      <c r="N163" s="2977">
        <v>1.7389529174049129E-3</v>
      </c>
      <c r="O163" s="2948">
        <v>10</v>
      </c>
      <c r="P163" s="2949" t="s">
        <v>1345</v>
      </c>
      <c r="Q163" s="2953">
        <v>5</v>
      </c>
      <c r="R163" s="2953">
        <v>5</v>
      </c>
      <c r="S163" s="2952">
        <f t="shared" si="37"/>
        <v>10</v>
      </c>
      <c r="T163" s="2952">
        <f t="shared" si="38"/>
        <v>5375</v>
      </c>
      <c r="U163" s="2952">
        <f t="shared" si="39"/>
        <v>5375</v>
      </c>
      <c r="V163" s="2952">
        <f t="shared" si="40"/>
        <v>10750</v>
      </c>
      <c r="W163" s="2954">
        <f t="shared" si="41"/>
        <v>760.5</v>
      </c>
      <c r="X163" s="2954">
        <f t="shared" si="42"/>
        <v>760.5</v>
      </c>
      <c r="Y163" s="2954">
        <f t="shared" si="43"/>
        <v>1521</v>
      </c>
      <c r="Z163" s="2949"/>
    </row>
    <row r="164" spans="8:26">
      <c r="H164" s="2948" t="s">
        <v>1418</v>
      </c>
      <c r="I164" s="2953">
        <v>2786</v>
      </c>
      <c r="J164" s="2950" t="s">
        <v>120</v>
      </c>
      <c r="K164" s="2948" t="s">
        <v>909</v>
      </c>
      <c r="L164" s="2951">
        <v>169</v>
      </c>
      <c r="M164" s="2951">
        <v>152.1</v>
      </c>
      <c r="N164" s="2977">
        <v>0</v>
      </c>
      <c r="O164" s="2948">
        <v>10</v>
      </c>
      <c r="P164" s="2949" t="s">
        <v>1345</v>
      </c>
      <c r="Q164" s="2953">
        <v>0</v>
      </c>
      <c r="R164" s="2953">
        <v>0</v>
      </c>
      <c r="S164" s="2952">
        <f t="shared" si="37"/>
        <v>0</v>
      </c>
      <c r="T164" s="2952">
        <f t="shared" si="38"/>
        <v>0</v>
      </c>
      <c r="U164" s="2952">
        <f t="shared" si="39"/>
        <v>0</v>
      </c>
      <c r="V164" s="2952">
        <f t="shared" si="40"/>
        <v>0</v>
      </c>
      <c r="W164" s="2954">
        <f t="shared" si="41"/>
        <v>0</v>
      </c>
      <c r="X164" s="2954">
        <f t="shared" si="42"/>
        <v>0</v>
      </c>
      <c r="Y164" s="2954">
        <f t="shared" si="43"/>
        <v>0</v>
      </c>
      <c r="Z164" s="2949"/>
    </row>
    <row r="165" spans="8:26">
      <c r="H165" s="2948" t="s">
        <v>1419</v>
      </c>
      <c r="I165" s="2953">
        <v>14</v>
      </c>
      <c r="J165" s="2950" t="s">
        <v>120</v>
      </c>
      <c r="K165" s="2948" t="s">
        <v>909</v>
      </c>
      <c r="L165" s="2951">
        <v>52</v>
      </c>
      <c r="M165" s="2951">
        <v>46.800000000000004</v>
      </c>
      <c r="N165" s="2977">
        <v>0</v>
      </c>
      <c r="O165" s="2948">
        <v>5</v>
      </c>
      <c r="P165" s="2949" t="s">
        <v>1345</v>
      </c>
      <c r="Q165" s="2953">
        <v>0</v>
      </c>
      <c r="R165" s="2953">
        <v>0</v>
      </c>
      <c r="S165" s="2952">
        <f t="shared" si="37"/>
        <v>0</v>
      </c>
      <c r="T165" s="2952">
        <f t="shared" si="38"/>
        <v>0</v>
      </c>
      <c r="U165" s="2952">
        <f t="shared" si="39"/>
        <v>0</v>
      </c>
      <c r="V165" s="2952">
        <f t="shared" si="40"/>
        <v>0</v>
      </c>
      <c r="W165" s="2954">
        <f t="shared" si="41"/>
        <v>0</v>
      </c>
      <c r="X165" s="2954">
        <f t="shared" si="42"/>
        <v>0</v>
      </c>
      <c r="Y165" s="2954">
        <f t="shared" si="43"/>
        <v>0</v>
      </c>
      <c r="Z165" s="2949"/>
    </row>
    <row r="166" spans="8:26">
      <c r="H166" s="2948" t="s">
        <v>1420</v>
      </c>
      <c r="I166" s="2953">
        <v>535</v>
      </c>
      <c r="J166" s="2950" t="s">
        <v>120</v>
      </c>
      <c r="K166" s="2948" t="s">
        <v>909</v>
      </c>
      <c r="L166" s="2951">
        <v>9.1</v>
      </c>
      <c r="M166" s="2951">
        <v>8.19</v>
      </c>
      <c r="N166" s="2977">
        <v>0</v>
      </c>
      <c r="O166" s="2948">
        <v>2</v>
      </c>
      <c r="P166" s="2949" t="s">
        <v>1345</v>
      </c>
      <c r="Q166" s="2953">
        <v>0</v>
      </c>
      <c r="R166" s="2953">
        <v>0</v>
      </c>
      <c r="S166" s="2952">
        <f t="shared" si="37"/>
        <v>0</v>
      </c>
      <c r="T166" s="2952">
        <f t="shared" si="38"/>
        <v>0</v>
      </c>
      <c r="U166" s="2952">
        <f t="shared" si="39"/>
        <v>0</v>
      </c>
      <c r="V166" s="2952">
        <f t="shared" si="40"/>
        <v>0</v>
      </c>
      <c r="W166" s="2954">
        <f t="shared" si="41"/>
        <v>0</v>
      </c>
      <c r="X166" s="2954">
        <f t="shared" si="42"/>
        <v>0</v>
      </c>
      <c r="Y166" s="2954">
        <f t="shared" si="43"/>
        <v>0</v>
      </c>
      <c r="Z166" s="2949"/>
    </row>
    <row r="167" spans="8:26">
      <c r="H167" s="2948" t="s">
        <v>1421</v>
      </c>
      <c r="I167" s="2953">
        <v>123</v>
      </c>
      <c r="J167" s="2950" t="s">
        <v>120</v>
      </c>
      <c r="K167" s="2948" t="s">
        <v>909</v>
      </c>
      <c r="L167" s="2951">
        <v>9.1</v>
      </c>
      <c r="M167" s="2951">
        <v>8.19</v>
      </c>
      <c r="N167" s="2977">
        <v>0</v>
      </c>
      <c r="O167" s="2948">
        <v>2</v>
      </c>
      <c r="P167" s="2949" t="s">
        <v>1345</v>
      </c>
      <c r="Q167" s="2953">
        <v>0</v>
      </c>
      <c r="R167" s="2953">
        <v>0</v>
      </c>
      <c r="S167" s="2952">
        <f t="shared" si="37"/>
        <v>0</v>
      </c>
      <c r="T167" s="2952">
        <f t="shared" si="38"/>
        <v>0</v>
      </c>
      <c r="U167" s="2952">
        <f t="shared" si="39"/>
        <v>0</v>
      </c>
      <c r="V167" s="2952">
        <f t="shared" si="40"/>
        <v>0</v>
      </c>
      <c r="W167" s="2954">
        <f t="shared" si="41"/>
        <v>0</v>
      </c>
      <c r="X167" s="2954">
        <f t="shared" si="42"/>
        <v>0</v>
      </c>
      <c r="Y167" s="2954">
        <f t="shared" si="43"/>
        <v>0</v>
      </c>
      <c r="Z167" s="2949"/>
    </row>
    <row r="168" spans="8:26">
      <c r="H168" s="2948" t="s">
        <v>1422</v>
      </c>
      <c r="I168" s="2953">
        <v>31</v>
      </c>
      <c r="J168" s="2950" t="s">
        <v>120</v>
      </c>
      <c r="K168" s="2948" t="s">
        <v>909</v>
      </c>
      <c r="L168" s="2951">
        <v>9.1</v>
      </c>
      <c r="M168" s="2951">
        <v>8.19</v>
      </c>
      <c r="N168" s="2977">
        <v>0</v>
      </c>
      <c r="O168" s="2948">
        <v>2</v>
      </c>
      <c r="P168" s="2949" t="s">
        <v>1345</v>
      </c>
      <c r="Q168" s="2953">
        <v>0</v>
      </c>
      <c r="R168" s="2953">
        <v>0</v>
      </c>
      <c r="S168" s="2952">
        <f t="shared" si="37"/>
        <v>0</v>
      </c>
      <c r="T168" s="2952">
        <f t="shared" si="38"/>
        <v>0</v>
      </c>
      <c r="U168" s="2952">
        <f t="shared" si="39"/>
        <v>0</v>
      </c>
      <c r="V168" s="2952">
        <f t="shared" si="40"/>
        <v>0</v>
      </c>
      <c r="W168" s="2954">
        <f t="shared" si="41"/>
        <v>0</v>
      </c>
      <c r="X168" s="2954">
        <f t="shared" si="42"/>
        <v>0</v>
      </c>
      <c r="Y168" s="2954">
        <f t="shared" si="43"/>
        <v>0</v>
      </c>
      <c r="Z168" s="2949"/>
    </row>
    <row r="169" spans="8:26">
      <c r="H169" s="2948" t="s">
        <v>1423</v>
      </c>
      <c r="I169" s="2953">
        <v>129</v>
      </c>
      <c r="J169" s="2950" t="s">
        <v>120</v>
      </c>
      <c r="K169" s="2948" t="s">
        <v>909</v>
      </c>
      <c r="L169" s="2951">
        <v>9.1</v>
      </c>
      <c r="M169" s="2951">
        <v>8.19</v>
      </c>
      <c r="N169" s="2977">
        <v>0</v>
      </c>
      <c r="O169" s="2948">
        <v>2</v>
      </c>
      <c r="P169" s="2949" t="s">
        <v>1345</v>
      </c>
      <c r="Q169" s="2953">
        <v>0</v>
      </c>
      <c r="R169" s="2953">
        <v>0</v>
      </c>
      <c r="S169" s="2952">
        <f t="shared" si="37"/>
        <v>0</v>
      </c>
      <c r="T169" s="2952">
        <f t="shared" si="38"/>
        <v>0</v>
      </c>
      <c r="U169" s="2952">
        <f t="shared" si="39"/>
        <v>0</v>
      </c>
      <c r="V169" s="2952">
        <f t="shared" si="40"/>
        <v>0</v>
      </c>
      <c r="W169" s="2954">
        <f t="shared" si="41"/>
        <v>0</v>
      </c>
      <c r="X169" s="2954">
        <f t="shared" si="42"/>
        <v>0</v>
      </c>
      <c r="Y169" s="2954">
        <f t="shared" si="43"/>
        <v>0</v>
      </c>
      <c r="Z169" s="2949"/>
    </row>
    <row r="170" spans="8:26">
      <c r="H170" s="2948" t="s">
        <v>1424</v>
      </c>
      <c r="I170" s="2953">
        <v>477</v>
      </c>
      <c r="J170" s="2950" t="s">
        <v>120</v>
      </c>
      <c r="K170" s="2948" t="s">
        <v>909</v>
      </c>
      <c r="L170" s="2951">
        <v>172.25</v>
      </c>
      <c r="M170" s="2951">
        <v>155.02500000000001</v>
      </c>
      <c r="N170" s="2977">
        <v>0</v>
      </c>
      <c r="O170" s="2948">
        <v>15</v>
      </c>
      <c r="P170" s="2949" t="s">
        <v>1345</v>
      </c>
      <c r="Q170" s="2953">
        <v>0</v>
      </c>
      <c r="R170" s="2953">
        <v>0</v>
      </c>
      <c r="S170" s="2952">
        <f t="shared" si="37"/>
        <v>0</v>
      </c>
      <c r="T170" s="2952">
        <f t="shared" si="38"/>
        <v>0</v>
      </c>
      <c r="U170" s="2952">
        <f t="shared" si="39"/>
        <v>0</v>
      </c>
      <c r="V170" s="2952">
        <f t="shared" si="40"/>
        <v>0</v>
      </c>
      <c r="W170" s="2954">
        <f t="shared" si="41"/>
        <v>0</v>
      </c>
      <c r="X170" s="2954">
        <f t="shared" si="42"/>
        <v>0</v>
      </c>
      <c r="Y170" s="2954">
        <f t="shared" si="43"/>
        <v>0</v>
      </c>
      <c r="Z170" s="2949"/>
    </row>
    <row r="171" spans="8:26">
      <c r="H171" s="2948" t="s">
        <v>1425</v>
      </c>
      <c r="I171" s="2953">
        <v>1199</v>
      </c>
      <c r="J171" s="2950" t="s">
        <v>120</v>
      </c>
      <c r="K171" s="2948" t="s">
        <v>909</v>
      </c>
      <c r="L171" s="2951">
        <v>204.75</v>
      </c>
      <c r="M171" s="2951">
        <v>184.27500000000001</v>
      </c>
      <c r="N171" s="2977">
        <v>0</v>
      </c>
      <c r="O171" s="2948">
        <v>15</v>
      </c>
      <c r="P171" s="2949" t="s">
        <v>1345</v>
      </c>
      <c r="Q171" s="2953">
        <v>0</v>
      </c>
      <c r="R171" s="2953">
        <v>0</v>
      </c>
      <c r="S171" s="2952">
        <f t="shared" si="37"/>
        <v>0</v>
      </c>
      <c r="T171" s="2952">
        <f t="shared" si="38"/>
        <v>0</v>
      </c>
      <c r="U171" s="2952">
        <f t="shared" si="39"/>
        <v>0</v>
      </c>
      <c r="V171" s="2952">
        <f t="shared" si="40"/>
        <v>0</v>
      </c>
      <c r="W171" s="2954">
        <f t="shared" si="41"/>
        <v>0</v>
      </c>
      <c r="X171" s="2954">
        <f t="shared" si="42"/>
        <v>0</v>
      </c>
      <c r="Y171" s="2954">
        <f t="shared" si="43"/>
        <v>0</v>
      </c>
      <c r="Z171" s="2949"/>
    </row>
    <row r="172" spans="8:26">
      <c r="H172" s="2948" t="s">
        <v>1426</v>
      </c>
      <c r="I172" s="2953">
        <v>9.59</v>
      </c>
      <c r="J172" s="2950" t="s">
        <v>120</v>
      </c>
      <c r="K172" s="2948" t="s">
        <v>909</v>
      </c>
      <c r="L172" s="2951">
        <v>4.29</v>
      </c>
      <c r="M172" s="2951">
        <v>3.8610000000000002</v>
      </c>
      <c r="N172" s="2977">
        <v>0</v>
      </c>
      <c r="O172" s="2948">
        <v>8</v>
      </c>
      <c r="P172" s="2949" t="s">
        <v>1071</v>
      </c>
      <c r="Q172" s="2953">
        <v>0</v>
      </c>
      <c r="R172" s="2953">
        <v>0</v>
      </c>
      <c r="S172" s="2952">
        <f t="shared" si="37"/>
        <v>0</v>
      </c>
      <c r="T172" s="2952">
        <f t="shared" si="38"/>
        <v>0</v>
      </c>
      <c r="U172" s="2952">
        <f t="shared" si="39"/>
        <v>0</v>
      </c>
      <c r="V172" s="2952">
        <f t="shared" si="40"/>
        <v>0</v>
      </c>
      <c r="W172" s="2954">
        <f t="shared" si="41"/>
        <v>0</v>
      </c>
      <c r="X172" s="2954">
        <f t="shared" si="42"/>
        <v>0</v>
      </c>
      <c r="Y172" s="2954">
        <f t="shared" si="43"/>
        <v>0</v>
      </c>
      <c r="Z172" s="2949"/>
    </row>
    <row r="173" spans="8:26">
      <c r="H173" s="2948" t="s">
        <v>1427</v>
      </c>
      <c r="I173" s="2953">
        <v>369</v>
      </c>
      <c r="J173" s="2950" t="s">
        <v>120</v>
      </c>
      <c r="K173" s="2948" t="s">
        <v>909</v>
      </c>
      <c r="L173" s="2951">
        <v>42.25</v>
      </c>
      <c r="M173" s="2951">
        <v>38.024999999999999</v>
      </c>
      <c r="N173" s="2977">
        <v>0</v>
      </c>
      <c r="O173" s="2948">
        <v>8</v>
      </c>
      <c r="P173" s="2949" t="s">
        <v>1345</v>
      </c>
      <c r="Q173" s="2953">
        <v>0</v>
      </c>
      <c r="R173" s="2953">
        <v>0</v>
      </c>
      <c r="S173" s="2952">
        <f t="shared" si="37"/>
        <v>0</v>
      </c>
      <c r="T173" s="2952">
        <f t="shared" si="38"/>
        <v>0</v>
      </c>
      <c r="U173" s="2952">
        <f t="shared" si="39"/>
        <v>0</v>
      </c>
      <c r="V173" s="2952">
        <f t="shared" si="40"/>
        <v>0</v>
      </c>
      <c r="W173" s="2954">
        <f t="shared" si="41"/>
        <v>0</v>
      </c>
      <c r="X173" s="2954">
        <f t="shared" si="42"/>
        <v>0</v>
      </c>
      <c r="Y173" s="2954">
        <f t="shared" si="43"/>
        <v>0</v>
      </c>
      <c r="Z173" s="2949"/>
    </row>
    <row r="174" spans="8:26">
      <c r="H174" s="2948" t="s">
        <v>1428</v>
      </c>
      <c r="I174" s="2953">
        <v>230</v>
      </c>
      <c r="J174" s="2950" t="s">
        <v>120</v>
      </c>
      <c r="K174" s="2948" t="s">
        <v>909</v>
      </c>
      <c r="L174" s="2951">
        <v>42.25</v>
      </c>
      <c r="M174" s="2951">
        <v>38.024999999999999</v>
      </c>
      <c r="N174" s="2977">
        <v>0</v>
      </c>
      <c r="O174" s="2948">
        <v>8</v>
      </c>
      <c r="P174" s="2949" t="s">
        <v>1345</v>
      </c>
      <c r="Q174" s="2953">
        <v>0</v>
      </c>
      <c r="R174" s="2953">
        <v>0</v>
      </c>
      <c r="S174" s="2952">
        <f t="shared" si="37"/>
        <v>0</v>
      </c>
      <c r="T174" s="2952">
        <f t="shared" si="38"/>
        <v>0</v>
      </c>
      <c r="U174" s="2952">
        <f t="shared" si="39"/>
        <v>0</v>
      </c>
      <c r="V174" s="2952">
        <f t="shared" si="40"/>
        <v>0</v>
      </c>
      <c r="W174" s="2954">
        <f t="shared" si="41"/>
        <v>0</v>
      </c>
      <c r="X174" s="2954">
        <f t="shared" si="42"/>
        <v>0</v>
      </c>
      <c r="Y174" s="2954">
        <f t="shared" si="43"/>
        <v>0</v>
      </c>
      <c r="Z174" s="2949"/>
    </row>
    <row r="175" spans="8:26">
      <c r="H175" s="2948" t="s">
        <v>1432</v>
      </c>
      <c r="I175" s="2953">
        <v>757</v>
      </c>
      <c r="J175" s="2950" t="s">
        <v>120</v>
      </c>
      <c r="K175" s="2948" t="s">
        <v>909</v>
      </c>
      <c r="L175" s="2951">
        <v>364</v>
      </c>
      <c r="M175" s="2951">
        <v>327.60000000000002</v>
      </c>
      <c r="N175" s="2977">
        <v>0</v>
      </c>
      <c r="O175" s="2948">
        <v>15</v>
      </c>
      <c r="P175" s="2949" t="s">
        <v>1345</v>
      </c>
      <c r="Q175" s="2953">
        <v>0</v>
      </c>
      <c r="R175" s="2953">
        <v>0</v>
      </c>
      <c r="S175" s="2952">
        <f t="shared" si="37"/>
        <v>0</v>
      </c>
      <c r="T175" s="2952">
        <f t="shared" si="38"/>
        <v>0</v>
      </c>
      <c r="U175" s="2952">
        <f t="shared" si="39"/>
        <v>0</v>
      </c>
      <c r="V175" s="2952">
        <f t="shared" si="40"/>
        <v>0</v>
      </c>
      <c r="W175" s="2954">
        <f t="shared" si="41"/>
        <v>0</v>
      </c>
      <c r="X175" s="2954">
        <f t="shared" si="42"/>
        <v>0</v>
      </c>
      <c r="Y175" s="2954">
        <f t="shared" si="43"/>
        <v>0</v>
      </c>
      <c r="Z175" s="2949"/>
    </row>
    <row r="176" spans="8:26">
      <c r="H176" s="2948" t="s">
        <v>1433</v>
      </c>
      <c r="I176" s="2953">
        <v>855</v>
      </c>
      <c r="J176" s="2950" t="s">
        <v>120</v>
      </c>
      <c r="K176" s="2948" t="s">
        <v>909</v>
      </c>
      <c r="L176" s="2951">
        <v>364</v>
      </c>
      <c r="M176" s="2951">
        <v>327.60000000000002</v>
      </c>
      <c r="N176" s="2977">
        <v>0</v>
      </c>
      <c r="O176" s="2948">
        <v>15</v>
      </c>
      <c r="P176" s="2949" t="s">
        <v>1345</v>
      </c>
      <c r="Q176" s="2953">
        <v>0</v>
      </c>
      <c r="R176" s="2953">
        <v>0</v>
      </c>
      <c r="S176" s="2952">
        <f t="shared" si="37"/>
        <v>0</v>
      </c>
      <c r="T176" s="2952">
        <f t="shared" si="38"/>
        <v>0</v>
      </c>
      <c r="U176" s="2952">
        <f t="shared" si="39"/>
        <v>0</v>
      </c>
      <c r="V176" s="2952">
        <f t="shared" si="40"/>
        <v>0</v>
      </c>
      <c r="W176" s="2954">
        <f t="shared" si="41"/>
        <v>0</v>
      </c>
      <c r="X176" s="2954">
        <f t="shared" si="42"/>
        <v>0</v>
      </c>
      <c r="Y176" s="2954">
        <f t="shared" si="43"/>
        <v>0</v>
      </c>
      <c r="Z176" s="2949"/>
    </row>
    <row r="177" spans="8:26">
      <c r="H177" s="2948" t="s">
        <v>1435</v>
      </c>
      <c r="I177" s="2953">
        <v>212</v>
      </c>
      <c r="J177" s="2950" t="s">
        <v>120</v>
      </c>
      <c r="K177" s="2948" t="s">
        <v>909</v>
      </c>
      <c r="L177" s="2951">
        <v>57.6</v>
      </c>
      <c r="M177" s="2951">
        <v>51.84</v>
      </c>
      <c r="N177" s="2977">
        <v>6.8587538323691445E-3</v>
      </c>
      <c r="O177" s="2948">
        <v>10</v>
      </c>
      <c r="P177" s="2949" t="s">
        <v>1249</v>
      </c>
      <c r="Q177" s="2953">
        <v>100</v>
      </c>
      <c r="R177" s="2953">
        <v>100</v>
      </c>
      <c r="S177" s="2952">
        <f t="shared" si="37"/>
        <v>200</v>
      </c>
      <c r="T177" s="2952">
        <f t="shared" si="38"/>
        <v>21200</v>
      </c>
      <c r="U177" s="2952">
        <f t="shared" si="39"/>
        <v>21200</v>
      </c>
      <c r="V177" s="2952">
        <f t="shared" si="40"/>
        <v>42400</v>
      </c>
      <c r="W177" s="2954">
        <f t="shared" si="41"/>
        <v>5184</v>
      </c>
      <c r="X177" s="2954">
        <f t="shared" si="42"/>
        <v>5184</v>
      </c>
      <c r="Y177" s="2954">
        <f t="shared" si="43"/>
        <v>10368</v>
      </c>
      <c r="Z177" s="2949"/>
    </row>
    <row r="178" spans="8:26">
      <c r="H178" s="2948" t="s">
        <v>1436</v>
      </c>
      <c r="I178" s="2953">
        <v>212</v>
      </c>
      <c r="J178" s="2950" t="s">
        <v>120</v>
      </c>
      <c r="K178" s="2948" t="s">
        <v>909</v>
      </c>
      <c r="L178" s="2951">
        <v>65.600000000000009</v>
      </c>
      <c r="M178" s="2951">
        <v>59.040000000000006</v>
      </c>
      <c r="N178" s="2977">
        <v>6.8587538323691445E-3</v>
      </c>
      <c r="O178" s="2948">
        <v>10</v>
      </c>
      <c r="P178" s="2949" t="s">
        <v>1249</v>
      </c>
      <c r="Q178" s="2953">
        <v>100</v>
      </c>
      <c r="R178" s="2953">
        <v>100</v>
      </c>
      <c r="S178" s="2952">
        <f t="shared" si="37"/>
        <v>200</v>
      </c>
      <c r="T178" s="2952">
        <f t="shared" si="38"/>
        <v>21200</v>
      </c>
      <c r="U178" s="2952">
        <f t="shared" si="39"/>
        <v>21200</v>
      </c>
      <c r="V178" s="2952">
        <f t="shared" si="40"/>
        <v>42400</v>
      </c>
      <c r="W178" s="2954">
        <f t="shared" si="41"/>
        <v>5904.0000000000009</v>
      </c>
      <c r="X178" s="2954">
        <f t="shared" si="42"/>
        <v>5904.0000000000009</v>
      </c>
      <c r="Y178" s="2954">
        <f t="shared" si="43"/>
        <v>11808.000000000002</v>
      </c>
      <c r="Z178" s="2949"/>
    </row>
    <row r="179" spans="8:26">
      <c r="H179" s="2948" t="s">
        <v>1437</v>
      </c>
      <c r="I179" s="2953">
        <v>212</v>
      </c>
      <c r="J179" s="2950" t="s">
        <v>120</v>
      </c>
      <c r="K179" s="2948" t="s">
        <v>909</v>
      </c>
      <c r="L179" s="2951">
        <v>48</v>
      </c>
      <c r="M179" s="2951">
        <v>43.2</v>
      </c>
      <c r="N179" s="2977">
        <v>6.8587538323691445E-3</v>
      </c>
      <c r="O179" s="2948">
        <v>10</v>
      </c>
      <c r="P179" s="2949" t="s">
        <v>1249</v>
      </c>
      <c r="Q179" s="2953">
        <v>100</v>
      </c>
      <c r="R179" s="2953">
        <v>100</v>
      </c>
      <c r="S179" s="2952">
        <f t="shared" si="37"/>
        <v>200</v>
      </c>
      <c r="T179" s="2952">
        <f t="shared" si="38"/>
        <v>21200</v>
      </c>
      <c r="U179" s="2952">
        <f t="shared" si="39"/>
        <v>21200</v>
      </c>
      <c r="V179" s="2952">
        <f t="shared" si="40"/>
        <v>42400</v>
      </c>
      <c r="W179" s="2954">
        <f t="shared" si="41"/>
        <v>4320</v>
      </c>
      <c r="X179" s="2954">
        <f t="shared" si="42"/>
        <v>4320</v>
      </c>
      <c r="Y179" s="2954">
        <f t="shared" si="43"/>
        <v>8640</v>
      </c>
      <c r="Z179" s="2949"/>
    </row>
    <row r="180" spans="8:26">
      <c r="H180" s="2948" t="s">
        <v>1438</v>
      </c>
      <c r="I180" s="2953">
        <v>212</v>
      </c>
      <c r="J180" s="2950" t="s">
        <v>120</v>
      </c>
      <c r="K180" s="2948" t="s">
        <v>909</v>
      </c>
      <c r="L180" s="2951">
        <v>48</v>
      </c>
      <c r="M180" s="2951">
        <v>43.2</v>
      </c>
      <c r="N180" s="2977">
        <v>6.8587538323691445E-3</v>
      </c>
      <c r="O180" s="2948">
        <v>10</v>
      </c>
      <c r="P180" s="2949" t="s">
        <v>1249</v>
      </c>
      <c r="Q180" s="2953">
        <v>100</v>
      </c>
      <c r="R180" s="2953">
        <v>100</v>
      </c>
      <c r="S180" s="2952">
        <f t="shared" si="37"/>
        <v>200</v>
      </c>
      <c r="T180" s="2952">
        <f t="shared" si="38"/>
        <v>21200</v>
      </c>
      <c r="U180" s="2952">
        <f t="shared" si="39"/>
        <v>21200</v>
      </c>
      <c r="V180" s="2952">
        <f t="shared" si="40"/>
        <v>42400</v>
      </c>
      <c r="W180" s="2954">
        <f t="shared" si="41"/>
        <v>4320</v>
      </c>
      <c r="X180" s="2954">
        <f t="shared" si="42"/>
        <v>4320</v>
      </c>
      <c r="Y180" s="2954">
        <f t="shared" si="43"/>
        <v>8640</v>
      </c>
      <c r="Z180" s="2949"/>
    </row>
    <row r="181" spans="8:26">
      <c r="H181" s="2948" t="s">
        <v>1439</v>
      </c>
      <c r="I181" s="2953">
        <v>212</v>
      </c>
      <c r="J181" s="2950" t="s">
        <v>120</v>
      </c>
      <c r="K181" s="2948" t="s">
        <v>909</v>
      </c>
      <c r="L181" s="2951">
        <v>255.49999999999997</v>
      </c>
      <c r="M181" s="2951">
        <v>229.95</v>
      </c>
      <c r="N181" s="2977">
        <v>5.1440653742768584E-3</v>
      </c>
      <c r="O181" s="2948">
        <v>10</v>
      </c>
      <c r="P181" s="2949" t="s">
        <v>1249</v>
      </c>
      <c r="Q181" s="2953">
        <v>75</v>
      </c>
      <c r="R181" s="2953">
        <v>75</v>
      </c>
      <c r="S181" s="2952">
        <f t="shared" si="37"/>
        <v>150</v>
      </c>
      <c r="T181" s="2952">
        <f t="shared" si="38"/>
        <v>15900</v>
      </c>
      <c r="U181" s="2952">
        <f t="shared" si="39"/>
        <v>15900</v>
      </c>
      <c r="V181" s="2952">
        <f t="shared" si="40"/>
        <v>31800</v>
      </c>
      <c r="W181" s="2954">
        <f t="shared" si="41"/>
        <v>17246.25</v>
      </c>
      <c r="X181" s="2954">
        <f t="shared" si="42"/>
        <v>17246.25</v>
      </c>
      <c r="Y181" s="2954">
        <f t="shared" si="43"/>
        <v>34492.5</v>
      </c>
      <c r="Z181" s="2949"/>
    </row>
    <row r="182" spans="8:26">
      <c r="H182" s="2948"/>
      <c r="I182" s="2953"/>
      <c r="J182" s="2950" t="s">
        <v>120</v>
      </c>
      <c r="K182" s="2948" t="s">
        <v>909</v>
      </c>
      <c r="L182" s="2951"/>
      <c r="M182" s="2951">
        <v>0</v>
      </c>
      <c r="N182" s="2977" t="s">
        <v>241</v>
      </c>
      <c r="O182" s="2948"/>
      <c r="P182" s="2949"/>
      <c r="Q182" s="2953">
        <v>0</v>
      </c>
      <c r="R182" s="2953">
        <v>0</v>
      </c>
      <c r="S182" s="2952">
        <f t="shared" si="37"/>
        <v>0</v>
      </c>
      <c r="T182" s="2952">
        <f t="shared" si="38"/>
        <v>0</v>
      </c>
      <c r="U182" s="2952">
        <f t="shared" si="39"/>
        <v>0</v>
      </c>
      <c r="V182" s="2952">
        <f t="shared" si="40"/>
        <v>0</v>
      </c>
      <c r="W182" s="2954">
        <f t="shared" si="41"/>
        <v>0</v>
      </c>
      <c r="X182" s="2954">
        <f t="shared" si="42"/>
        <v>0</v>
      </c>
      <c r="Y182" s="2954">
        <f t="shared" si="43"/>
        <v>0</v>
      </c>
      <c r="Z182" s="2949"/>
    </row>
    <row r="183" spans="8:26">
      <c r="H183" s="2948" t="s">
        <v>1531</v>
      </c>
      <c r="I183" s="2953">
        <v>600</v>
      </c>
      <c r="J183" s="2950" t="s">
        <v>120</v>
      </c>
      <c r="K183" s="2948" t="s">
        <v>909</v>
      </c>
      <c r="L183" s="2951">
        <v>1155</v>
      </c>
      <c r="M183" s="2951">
        <v>1039.5</v>
      </c>
      <c r="N183" s="2977">
        <v>9.7057837250506766E-3</v>
      </c>
      <c r="O183" s="2948">
        <v>10</v>
      </c>
      <c r="P183" s="2949" t="s">
        <v>1249</v>
      </c>
      <c r="Q183" s="2953">
        <v>50</v>
      </c>
      <c r="R183" s="2953">
        <v>50</v>
      </c>
      <c r="S183" s="2952">
        <f t="shared" si="37"/>
        <v>100</v>
      </c>
      <c r="T183" s="2952">
        <f t="shared" si="38"/>
        <v>30000</v>
      </c>
      <c r="U183" s="2952">
        <f t="shared" si="39"/>
        <v>30000</v>
      </c>
      <c r="V183" s="2952">
        <f t="shared" si="40"/>
        <v>60000</v>
      </c>
      <c r="W183" s="2954">
        <f t="shared" si="41"/>
        <v>51975</v>
      </c>
      <c r="X183" s="2954">
        <f t="shared" si="42"/>
        <v>51975</v>
      </c>
      <c r="Y183" s="2954">
        <f t="shared" si="43"/>
        <v>103950</v>
      </c>
      <c r="Z183" s="2949"/>
    </row>
    <row r="184" spans="8:26">
      <c r="H184" s="2948" t="s">
        <v>1532</v>
      </c>
      <c r="I184" s="2953">
        <v>4486</v>
      </c>
      <c r="J184" s="2950" t="s">
        <v>120</v>
      </c>
      <c r="K184" s="2948" t="s">
        <v>909</v>
      </c>
      <c r="L184" s="2951">
        <v>1653.6000000000001</v>
      </c>
      <c r="M184" s="2951">
        <v>1488.2400000000002</v>
      </c>
      <c r="N184" s="2977">
        <v>0</v>
      </c>
      <c r="O184" s="2948">
        <v>8</v>
      </c>
      <c r="P184" s="2949" t="s">
        <v>1249</v>
      </c>
      <c r="Q184" s="2953">
        <v>0</v>
      </c>
      <c r="R184" s="2953">
        <v>0</v>
      </c>
      <c r="S184" s="2952">
        <f t="shared" si="37"/>
        <v>0</v>
      </c>
      <c r="T184" s="2952">
        <f t="shared" si="38"/>
        <v>0</v>
      </c>
      <c r="U184" s="2952">
        <f t="shared" si="39"/>
        <v>0</v>
      </c>
      <c r="V184" s="2952">
        <f t="shared" si="40"/>
        <v>0</v>
      </c>
      <c r="W184" s="2954">
        <f t="shared" si="41"/>
        <v>0</v>
      </c>
      <c r="X184" s="2954">
        <f t="shared" si="42"/>
        <v>0</v>
      </c>
      <c r="Y184" s="2954">
        <f t="shared" si="43"/>
        <v>0</v>
      </c>
      <c r="Z184" s="2949"/>
    </row>
    <row r="185" spans="8:26">
      <c r="H185" s="2948" t="s">
        <v>1533</v>
      </c>
      <c r="I185" s="2953">
        <v>222</v>
      </c>
      <c r="J185" s="2950" t="s">
        <v>120</v>
      </c>
      <c r="K185" s="2948" t="s">
        <v>909</v>
      </c>
      <c r="L185" s="2951">
        <v>284</v>
      </c>
      <c r="M185" s="2951">
        <v>255.6</v>
      </c>
      <c r="N185" s="2977">
        <v>3.5911399782687502E-2</v>
      </c>
      <c r="O185" s="2948">
        <v>10</v>
      </c>
      <c r="P185" s="2949" t="s">
        <v>1249</v>
      </c>
      <c r="Q185" s="2953">
        <v>500</v>
      </c>
      <c r="R185" s="2953">
        <v>500</v>
      </c>
      <c r="S185" s="2952">
        <f t="shared" si="37"/>
        <v>1000</v>
      </c>
      <c r="T185" s="2952">
        <f t="shared" si="38"/>
        <v>111000</v>
      </c>
      <c r="U185" s="2952">
        <f t="shared" si="39"/>
        <v>111000</v>
      </c>
      <c r="V185" s="2952">
        <f t="shared" si="40"/>
        <v>222000</v>
      </c>
      <c r="W185" s="2954">
        <f t="shared" si="41"/>
        <v>127800</v>
      </c>
      <c r="X185" s="2954">
        <f t="shared" si="42"/>
        <v>127800</v>
      </c>
      <c r="Y185" s="2954">
        <f t="shared" si="43"/>
        <v>255600</v>
      </c>
      <c r="Z185" s="2949"/>
    </row>
    <row r="186" spans="8:26">
      <c r="H186" s="2948" t="s">
        <v>1534</v>
      </c>
      <c r="I186" s="2953">
        <v>1000</v>
      </c>
      <c r="J186" s="2950" t="s">
        <v>120</v>
      </c>
      <c r="K186" s="2948" t="s">
        <v>909</v>
      </c>
      <c r="L186" s="2951">
        <v>1628.25</v>
      </c>
      <c r="M186" s="2951">
        <v>1465.425</v>
      </c>
      <c r="N186" s="2977">
        <v>8.0881531042088974E-3</v>
      </c>
      <c r="O186" s="2948">
        <v>10</v>
      </c>
      <c r="P186" s="2949" t="s">
        <v>1522</v>
      </c>
      <c r="Q186" s="2953">
        <v>25</v>
      </c>
      <c r="R186" s="2953">
        <v>25</v>
      </c>
      <c r="S186" s="2952">
        <f t="shared" si="37"/>
        <v>50</v>
      </c>
      <c r="T186" s="2952">
        <f t="shared" si="38"/>
        <v>25000</v>
      </c>
      <c r="U186" s="2952">
        <f t="shared" si="39"/>
        <v>25000</v>
      </c>
      <c r="V186" s="2952">
        <f t="shared" si="40"/>
        <v>50000</v>
      </c>
      <c r="W186" s="2954">
        <f t="shared" si="41"/>
        <v>36635.625</v>
      </c>
      <c r="X186" s="2954">
        <f t="shared" si="42"/>
        <v>36635.625</v>
      </c>
      <c r="Y186" s="2954">
        <f t="shared" si="43"/>
        <v>73271.25</v>
      </c>
      <c r="Z186" s="2949"/>
    </row>
  </sheetData>
  <customSheetViews>
    <customSheetView guid="{074EB09C-6289-46D7-9513-012B68BCA7BF}" showGridLines="0">
      <pane xSplit="1" ySplit="1" topLeftCell="T133" activePane="bottomRight" state="frozen"/>
      <selection pane="bottomRight" activeCell="AB180" sqref="AB180"/>
      <pageMargins left="0.7" right="0.7" top="0.75" bottom="0.75" header="0.3" footer="0.3"/>
      <pageSetup paperSize="17" scale="70" orientation="landscape" r:id="rId1"/>
    </customSheetView>
    <customSheetView guid="{D9EFFE19-D14B-4C6F-BDF4-FF696F73968D}" showGridLines="0">
      <pane xSplit="1" ySplit="1" topLeftCell="B2" activePane="bottomRight" state="frozen"/>
      <selection pane="bottomRight" activeCell="F12" sqref="F12"/>
      <pageMargins left="0.7" right="0.7" top="0.75" bottom="0.75" header="0.3" footer="0.3"/>
    </customSheetView>
  </customSheetViews>
  <mergeCells count="5">
    <mergeCell ref="H12:P12"/>
    <mergeCell ref="Q12:S12"/>
    <mergeCell ref="T12:V12"/>
    <mergeCell ref="W12:Y12"/>
    <mergeCell ref="H10:P10"/>
  </mergeCells>
  <pageMargins left="0.7" right="0.7" top="0.75" bottom="0.75" header="0.3" footer="0.3"/>
  <pageSetup paperSize="17" scale="70" orientation="landscape"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3"/>
  </sheetPr>
  <dimension ref="A1:AA179"/>
  <sheetViews>
    <sheetView showGridLines="0" workbookViewId="0">
      <pane xSplit="1" ySplit="1" topLeftCell="B24" activePane="bottomRight" state="frozen"/>
      <selection pane="topRight" activeCell="B1" sqref="B1"/>
      <selection pane="bottomLeft" activeCell="A2" sqref="A2"/>
      <selection pane="bottomRight" activeCell="L16" sqref="L16:L177"/>
    </sheetView>
  </sheetViews>
  <sheetFormatPr defaultRowHeight="12.75"/>
  <cols>
    <col min="1" max="1" width="18.710937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41.5703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3.42578125" style="2177" bestFit="1" customWidth="1"/>
    <col min="25" max="25" width="16.85546875" style="2177" customWidth="1"/>
    <col min="26" max="26" width="12.5703125" style="2177" bestFit="1" customWidth="1"/>
    <col min="27" max="249" width="9.140625" style="2177"/>
    <col min="250" max="250" width="24" style="2177" bestFit="1" customWidth="1"/>
    <col min="251" max="251" width="43.85546875" style="2177" customWidth="1"/>
    <col min="252" max="252" width="19.7109375" style="2177" bestFit="1" customWidth="1"/>
    <col min="253" max="253" width="15.28515625" style="2177" bestFit="1" customWidth="1"/>
    <col min="254" max="254" width="17.5703125" style="2177" bestFit="1" customWidth="1"/>
    <col min="255" max="255" width="13.42578125" style="2177" customWidth="1"/>
    <col min="256" max="256" width="15.28515625" style="2177" bestFit="1" customWidth="1"/>
    <col min="257" max="257" width="14.140625" style="2177" bestFit="1" customWidth="1"/>
    <col min="258" max="258" width="15.28515625" style="2177" customWidth="1"/>
    <col min="259" max="259" width="15.85546875" style="2177" customWidth="1"/>
    <col min="260" max="260" width="17" style="2177" bestFit="1" customWidth="1"/>
    <col min="261" max="261" width="12.7109375" style="2177" customWidth="1"/>
    <col min="262" max="262" width="13.7109375" style="2177" customWidth="1"/>
    <col min="263" max="263" width="13.85546875" style="2177" bestFit="1" customWidth="1"/>
    <col min="264" max="264" width="16.5703125" style="2177" customWidth="1"/>
    <col min="265" max="265" width="16.140625" style="2177" customWidth="1"/>
    <col min="266" max="266" width="16.7109375" style="2177" bestFit="1" customWidth="1"/>
    <col min="267" max="267" width="15.5703125" style="2177" bestFit="1" customWidth="1"/>
    <col min="268" max="268" width="18" style="2177" customWidth="1"/>
    <col min="269" max="269" width="16.42578125" style="2177" bestFit="1" customWidth="1"/>
    <col min="270" max="270" width="14.28515625" style="2177" customWidth="1"/>
    <col min="271" max="271" width="12.85546875" style="2177" bestFit="1" customWidth="1"/>
    <col min="272" max="272" width="11.28515625" style="2177" bestFit="1" customWidth="1"/>
    <col min="273" max="273" width="12.5703125" style="2177" bestFit="1" customWidth="1"/>
    <col min="274" max="274" width="14" style="2177" bestFit="1" customWidth="1"/>
    <col min="275" max="275" width="6" style="2177" bestFit="1" customWidth="1"/>
    <col min="276" max="276" width="15" style="2177" customWidth="1"/>
    <col min="277" max="277" width="14.85546875" style="2177" bestFit="1" customWidth="1"/>
    <col min="278" max="278" width="16.140625" style="2177" bestFit="1" customWidth="1"/>
    <col min="279" max="505" width="9.140625" style="2177"/>
    <col min="506" max="506" width="24" style="2177" bestFit="1" customWidth="1"/>
    <col min="507" max="507" width="43.85546875" style="2177" customWidth="1"/>
    <col min="508" max="508" width="19.7109375" style="2177" bestFit="1" customWidth="1"/>
    <col min="509" max="509" width="15.28515625" style="2177" bestFit="1" customWidth="1"/>
    <col min="510" max="510" width="17.5703125" style="2177" bestFit="1" customWidth="1"/>
    <col min="511" max="511" width="13.42578125" style="2177" customWidth="1"/>
    <col min="512" max="512" width="15.28515625" style="2177" bestFit="1" customWidth="1"/>
    <col min="513" max="513" width="14.140625" style="2177" bestFit="1" customWidth="1"/>
    <col min="514" max="514" width="15.28515625" style="2177" customWidth="1"/>
    <col min="515" max="515" width="15.85546875" style="2177" customWidth="1"/>
    <col min="516" max="516" width="17" style="2177" bestFit="1" customWidth="1"/>
    <col min="517" max="517" width="12.7109375" style="2177" customWidth="1"/>
    <col min="518" max="518" width="13.7109375" style="2177" customWidth="1"/>
    <col min="519" max="519" width="13.85546875" style="2177" bestFit="1" customWidth="1"/>
    <col min="520" max="520" width="16.5703125" style="2177" customWidth="1"/>
    <col min="521" max="521" width="16.140625" style="2177" customWidth="1"/>
    <col min="522" max="522" width="16.7109375" style="2177" bestFit="1" customWidth="1"/>
    <col min="523" max="523" width="15.5703125" style="2177" bestFit="1" customWidth="1"/>
    <col min="524" max="524" width="18" style="2177" customWidth="1"/>
    <col min="525" max="525" width="16.42578125" style="2177" bestFit="1" customWidth="1"/>
    <col min="526" max="526" width="14.28515625" style="2177" customWidth="1"/>
    <col min="527" max="527" width="12.85546875" style="2177" bestFit="1" customWidth="1"/>
    <col min="528" max="528" width="11.28515625" style="2177" bestFit="1" customWidth="1"/>
    <col min="529" max="529" width="12.5703125" style="2177" bestFit="1" customWidth="1"/>
    <col min="530" max="530" width="14" style="2177" bestFit="1" customWidth="1"/>
    <col min="531" max="531" width="6" style="2177" bestFit="1" customWidth="1"/>
    <col min="532" max="532" width="15" style="2177" customWidth="1"/>
    <col min="533" max="533" width="14.85546875" style="2177" bestFit="1" customWidth="1"/>
    <col min="534" max="534" width="16.140625" style="2177" bestFit="1" customWidth="1"/>
    <col min="535" max="761" width="9.140625" style="2177"/>
    <col min="762" max="762" width="24" style="2177" bestFit="1" customWidth="1"/>
    <col min="763" max="763" width="43.85546875" style="2177" customWidth="1"/>
    <col min="764" max="764" width="19.7109375" style="2177" bestFit="1" customWidth="1"/>
    <col min="765" max="765" width="15.28515625" style="2177" bestFit="1" customWidth="1"/>
    <col min="766" max="766" width="17.5703125" style="2177" bestFit="1" customWidth="1"/>
    <col min="767" max="767" width="13.42578125" style="2177" customWidth="1"/>
    <col min="768" max="768" width="15.28515625" style="2177" bestFit="1" customWidth="1"/>
    <col min="769" max="769" width="14.140625" style="2177" bestFit="1" customWidth="1"/>
    <col min="770" max="770" width="15.28515625" style="2177" customWidth="1"/>
    <col min="771" max="771" width="15.85546875" style="2177" customWidth="1"/>
    <col min="772" max="772" width="17" style="2177" bestFit="1" customWidth="1"/>
    <col min="773" max="773" width="12.7109375" style="2177" customWidth="1"/>
    <col min="774" max="774" width="13.7109375" style="2177" customWidth="1"/>
    <col min="775" max="775" width="13.85546875" style="2177" bestFit="1" customWidth="1"/>
    <col min="776" max="776" width="16.5703125" style="2177" customWidth="1"/>
    <col min="777" max="777" width="16.140625" style="2177" customWidth="1"/>
    <col min="778" max="778" width="16.7109375" style="2177" bestFit="1" customWidth="1"/>
    <col min="779" max="779" width="15.5703125" style="2177" bestFit="1" customWidth="1"/>
    <col min="780" max="780" width="18" style="2177" customWidth="1"/>
    <col min="781" max="781" width="16.42578125" style="2177" bestFit="1" customWidth="1"/>
    <col min="782" max="782" width="14.28515625" style="2177" customWidth="1"/>
    <col min="783" max="783" width="12.85546875" style="2177" bestFit="1" customWidth="1"/>
    <col min="784" max="784" width="11.28515625" style="2177" bestFit="1" customWidth="1"/>
    <col min="785" max="785" width="12.5703125" style="2177" bestFit="1" customWidth="1"/>
    <col min="786" max="786" width="14" style="2177" bestFit="1" customWidth="1"/>
    <col min="787" max="787" width="6" style="2177" bestFit="1" customWidth="1"/>
    <col min="788" max="788" width="15" style="2177" customWidth="1"/>
    <col min="789" max="789" width="14.85546875" style="2177" bestFit="1" customWidth="1"/>
    <col min="790" max="790" width="16.140625" style="2177" bestFit="1" customWidth="1"/>
    <col min="791" max="1017" width="9.140625" style="2177"/>
    <col min="1018" max="1018" width="24" style="2177" bestFit="1" customWidth="1"/>
    <col min="1019" max="1019" width="43.85546875" style="2177" customWidth="1"/>
    <col min="1020" max="1020" width="19.7109375" style="2177" bestFit="1" customWidth="1"/>
    <col min="1021" max="1021" width="15.28515625" style="2177" bestFit="1" customWidth="1"/>
    <col min="1022" max="1022" width="17.5703125" style="2177" bestFit="1" customWidth="1"/>
    <col min="1023" max="1023" width="13.42578125" style="2177" customWidth="1"/>
    <col min="1024" max="1024" width="15.28515625" style="2177" bestFit="1" customWidth="1"/>
    <col min="1025" max="1025" width="14.140625" style="2177" bestFit="1" customWidth="1"/>
    <col min="1026" max="1026" width="15.28515625" style="2177" customWidth="1"/>
    <col min="1027" max="1027" width="15.85546875" style="2177" customWidth="1"/>
    <col min="1028" max="1028" width="17" style="2177" bestFit="1" customWidth="1"/>
    <col min="1029" max="1029" width="12.7109375" style="2177" customWidth="1"/>
    <col min="1030" max="1030" width="13.7109375" style="2177" customWidth="1"/>
    <col min="1031" max="1031" width="13.85546875" style="2177" bestFit="1" customWidth="1"/>
    <col min="1032" max="1032" width="16.5703125" style="2177" customWidth="1"/>
    <col min="1033" max="1033" width="16.140625" style="2177" customWidth="1"/>
    <col min="1034" max="1034" width="16.7109375" style="2177" bestFit="1" customWidth="1"/>
    <col min="1035" max="1035" width="15.5703125" style="2177" bestFit="1" customWidth="1"/>
    <col min="1036" max="1036" width="18" style="2177" customWidth="1"/>
    <col min="1037" max="1037" width="16.42578125" style="2177" bestFit="1" customWidth="1"/>
    <col min="1038" max="1038" width="14.28515625" style="2177" customWidth="1"/>
    <col min="1039" max="1039" width="12.85546875" style="2177" bestFit="1" customWidth="1"/>
    <col min="1040" max="1040" width="11.28515625" style="2177" bestFit="1" customWidth="1"/>
    <col min="1041" max="1041" width="12.5703125" style="2177" bestFit="1" customWidth="1"/>
    <col min="1042" max="1042" width="14" style="2177" bestFit="1" customWidth="1"/>
    <col min="1043" max="1043" width="6" style="2177" bestFit="1" customWidth="1"/>
    <col min="1044" max="1044" width="15" style="2177" customWidth="1"/>
    <col min="1045" max="1045" width="14.85546875" style="2177" bestFit="1" customWidth="1"/>
    <col min="1046" max="1046" width="16.140625" style="2177" bestFit="1" customWidth="1"/>
    <col min="1047" max="1273" width="9.140625" style="2177"/>
    <col min="1274" max="1274" width="24" style="2177" bestFit="1" customWidth="1"/>
    <col min="1275" max="1275" width="43.85546875" style="2177" customWidth="1"/>
    <col min="1276" max="1276" width="19.7109375" style="2177" bestFit="1" customWidth="1"/>
    <col min="1277" max="1277" width="15.28515625" style="2177" bestFit="1" customWidth="1"/>
    <col min="1278" max="1278" width="17.5703125" style="2177" bestFit="1" customWidth="1"/>
    <col min="1279" max="1279" width="13.42578125" style="2177" customWidth="1"/>
    <col min="1280" max="1280" width="15.28515625" style="2177" bestFit="1" customWidth="1"/>
    <col min="1281" max="1281" width="14.140625" style="2177" bestFit="1" customWidth="1"/>
    <col min="1282" max="1282" width="15.28515625" style="2177" customWidth="1"/>
    <col min="1283" max="1283" width="15.85546875" style="2177" customWidth="1"/>
    <col min="1284" max="1284" width="17" style="2177" bestFit="1" customWidth="1"/>
    <col min="1285" max="1285" width="12.7109375" style="2177" customWidth="1"/>
    <col min="1286" max="1286" width="13.7109375" style="2177" customWidth="1"/>
    <col min="1287" max="1287" width="13.85546875" style="2177" bestFit="1" customWidth="1"/>
    <col min="1288" max="1288" width="16.5703125" style="2177" customWidth="1"/>
    <col min="1289" max="1289" width="16.140625" style="2177" customWidth="1"/>
    <col min="1290" max="1290" width="16.7109375" style="2177" bestFit="1" customWidth="1"/>
    <col min="1291" max="1291" width="15.5703125" style="2177" bestFit="1" customWidth="1"/>
    <col min="1292" max="1292" width="18" style="2177" customWidth="1"/>
    <col min="1293" max="1293" width="16.42578125" style="2177" bestFit="1" customWidth="1"/>
    <col min="1294" max="1294" width="14.28515625" style="2177" customWidth="1"/>
    <col min="1295" max="1295" width="12.85546875" style="2177" bestFit="1" customWidth="1"/>
    <col min="1296" max="1296" width="11.28515625" style="2177" bestFit="1" customWidth="1"/>
    <col min="1297" max="1297" width="12.5703125" style="2177" bestFit="1" customWidth="1"/>
    <col min="1298" max="1298" width="14" style="2177" bestFit="1" customWidth="1"/>
    <col min="1299" max="1299" width="6" style="2177" bestFit="1" customWidth="1"/>
    <col min="1300" max="1300" width="15" style="2177" customWidth="1"/>
    <col min="1301" max="1301" width="14.85546875" style="2177" bestFit="1" customWidth="1"/>
    <col min="1302" max="1302" width="16.140625" style="2177" bestFit="1" customWidth="1"/>
    <col min="1303" max="1529" width="9.140625" style="2177"/>
    <col min="1530" max="1530" width="24" style="2177" bestFit="1" customWidth="1"/>
    <col min="1531" max="1531" width="43.85546875" style="2177" customWidth="1"/>
    <col min="1532" max="1532" width="19.7109375" style="2177" bestFit="1" customWidth="1"/>
    <col min="1533" max="1533" width="15.28515625" style="2177" bestFit="1" customWidth="1"/>
    <col min="1534" max="1534" width="17.5703125" style="2177" bestFit="1" customWidth="1"/>
    <col min="1535" max="1535" width="13.42578125" style="2177" customWidth="1"/>
    <col min="1536" max="1536" width="15.28515625" style="2177" bestFit="1" customWidth="1"/>
    <col min="1537" max="1537" width="14.140625" style="2177" bestFit="1" customWidth="1"/>
    <col min="1538" max="1538" width="15.28515625" style="2177" customWidth="1"/>
    <col min="1539" max="1539" width="15.85546875" style="2177" customWidth="1"/>
    <col min="1540" max="1540" width="17" style="2177" bestFit="1" customWidth="1"/>
    <col min="1541" max="1541" width="12.7109375" style="2177" customWidth="1"/>
    <col min="1542" max="1542" width="13.7109375" style="2177" customWidth="1"/>
    <col min="1543" max="1543" width="13.85546875" style="2177" bestFit="1" customWidth="1"/>
    <col min="1544" max="1544" width="16.5703125" style="2177" customWidth="1"/>
    <col min="1545" max="1545" width="16.140625" style="2177" customWidth="1"/>
    <col min="1546" max="1546" width="16.7109375" style="2177" bestFit="1" customWidth="1"/>
    <col min="1547" max="1547" width="15.5703125" style="2177" bestFit="1" customWidth="1"/>
    <col min="1548" max="1548" width="18" style="2177" customWidth="1"/>
    <col min="1549" max="1549" width="16.42578125" style="2177" bestFit="1" customWidth="1"/>
    <col min="1550" max="1550" width="14.28515625" style="2177" customWidth="1"/>
    <col min="1551" max="1551" width="12.85546875" style="2177" bestFit="1" customWidth="1"/>
    <col min="1552" max="1552" width="11.28515625" style="2177" bestFit="1" customWidth="1"/>
    <col min="1553" max="1553" width="12.5703125" style="2177" bestFit="1" customWidth="1"/>
    <col min="1554" max="1554" width="14" style="2177" bestFit="1" customWidth="1"/>
    <col min="1555" max="1555" width="6" style="2177" bestFit="1" customWidth="1"/>
    <col min="1556" max="1556" width="15" style="2177" customWidth="1"/>
    <col min="1557" max="1557" width="14.85546875" style="2177" bestFit="1" customWidth="1"/>
    <col min="1558" max="1558" width="16.140625" style="2177" bestFit="1" customWidth="1"/>
    <col min="1559" max="1785" width="9.140625" style="2177"/>
    <col min="1786" max="1786" width="24" style="2177" bestFit="1" customWidth="1"/>
    <col min="1787" max="1787" width="43.85546875" style="2177" customWidth="1"/>
    <col min="1788" max="1788" width="19.7109375" style="2177" bestFit="1" customWidth="1"/>
    <col min="1789" max="1789" width="15.28515625" style="2177" bestFit="1" customWidth="1"/>
    <col min="1790" max="1790" width="17.5703125" style="2177" bestFit="1" customWidth="1"/>
    <col min="1791" max="1791" width="13.42578125" style="2177" customWidth="1"/>
    <col min="1792" max="1792" width="15.28515625" style="2177" bestFit="1" customWidth="1"/>
    <col min="1793" max="1793" width="14.140625" style="2177" bestFit="1" customWidth="1"/>
    <col min="1794" max="1794" width="15.28515625" style="2177" customWidth="1"/>
    <col min="1795" max="1795" width="15.85546875" style="2177" customWidth="1"/>
    <col min="1796" max="1796" width="17" style="2177" bestFit="1" customWidth="1"/>
    <col min="1797" max="1797" width="12.7109375" style="2177" customWidth="1"/>
    <col min="1798" max="1798" width="13.7109375" style="2177" customWidth="1"/>
    <col min="1799" max="1799" width="13.85546875" style="2177" bestFit="1" customWidth="1"/>
    <col min="1800" max="1800" width="16.5703125" style="2177" customWidth="1"/>
    <col min="1801" max="1801" width="16.140625" style="2177" customWidth="1"/>
    <col min="1802" max="1802" width="16.7109375" style="2177" bestFit="1" customWidth="1"/>
    <col min="1803" max="1803" width="15.5703125" style="2177" bestFit="1" customWidth="1"/>
    <col min="1804" max="1804" width="18" style="2177" customWidth="1"/>
    <col min="1805" max="1805" width="16.42578125" style="2177" bestFit="1" customWidth="1"/>
    <col min="1806" max="1806" width="14.28515625" style="2177" customWidth="1"/>
    <col min="1807" max="1807" width="12.85546875" style="2177" bestFit="1" customWidth="1"/>
    <col min="1808" max="1808" width="11.28515625" style="2177" bestFit="1" customWidth="1"/>
    <col min="1809" max="1809" width="12.5703125" style="2177" bestFit="1" customWidth="1"/>
    <col min="1810" max="1810" width="14" style="2177" bestFit="1" customWidth="1"/>
    <col min="1811" max="1811" width="6" style="2177" bestFit="1" customWidth="1"/>
    <col min="1812" max="1812" width="15" style="2177" customWidth="1"/>
    <col min="1813" max="1813" width="14.85546875" style="2177" bestFit="1" customWidth="1"/>
    <col min="1814" max="1814" width="16.140625" style="2177" bestFit="1" customWidth="1"/>
    <col min="1815" max="2041" width="9.140625" style="2177"/>
    <col min="2042" max="2042" width="24" style="2177" bestFit="1" customWidth="1"/>
    <col min="2043" max="2043" width="43.85546875" style="2177" customWidth="1"/>
    <col min="2044" max="2044" width="19.7109375" style="2177" bestFit="1" customWidth="1"/>
    <col min="2045" max="2045" width="15.28515625" style="2177" bestFit="1" customWidth="1"/>
    <col min="2046" max="2046" width="17.5703125" style="2177" bestFit="1" customWidth="1"/>
    <col min="2047" max="2047" width="13.42578125" style="2177" customWidth="1"/>
    <col min="2048" max="2048" width="15.28515625" style="2177" bestFit="1" customWidth="1"/>
    <col min="2049" max="2049" width="14.140625" style="2177" bestFit="1" customWidth="1"/>
    <col min="2050" max="2050" width="15.28515625" style="2177" customWidth="1"/>
    <col min="2051" max="2051" width="15.85546875" style="2177" customWidth="1"/>
    <col min="2052" max="2052" width="17" style="2177" bestFit="1" customWidth="1"/>
    <col min="2053" max="2053" width="12.7109375" style="2177" customWidth="1"/>
    <col min="2054" max="2054" width="13.7109375" style="2177" customWidth="1"/>
    <col min="2055" max="2055" width="13.85546875" style="2177" bestFit="1" customWidth="1"/>
    <col min="2056" max="2056" width="16.5703125" style="2177" customWidth="1"/>
    <col min="2057" max="2057" width="16.140625" style="2177" customWidth="1"/>
    <col min="2058" max="2058" width="16.7109375" style="2177" bestFit="1" customWidth="1"/>
    <col min="2059" max="2059" width="15.5703125" style="2177" bestFit="1" customWidth="1"/>
    <col min="2060" max="2060" width="18" style="2177" customWidth="1"/>
    <col min="2061" max="2061" width="16.42578125" style="2177" bestFit="1" customWidth="1"/>
    <col min="2062" max="2062" width="14.28515625" style="2177" customWidth="1"/>
    <col min="2063" max="2063" width="12.85546875" style="2177" bestFit="1" customWidth="1"/>
    <col min="2064" max="2064" width="11.28515625" style="2177" bestFit="1" customWidth="1"/>
    <col min="2065" max="2065" width="12.5703125" style="2177" bestFit="1" customWidth="1"/>
    <col min="2066" max="2066" width="14" style="2177" bestFit="1" customWidth="1"/>
    <col min="2067" max="2067" width="6" style="2177" bestFit="1" customWidth="1"/>
    <col min="2068" max="2068" width="15" style="2177" customWidth="1"/>
    <col min="2069" max="2069" width="14.85546875" style="2177" bestFit="1" customWidth="1"/>
    <col min="2070" max="2070" width="16.140625" style="2177" bestFit="1" customWidth="1"/>
    <col min="2071" max="2297" width="9.140625" style="2177"/>
    <col min="2298" max="2298" width="24" style="2177" bestFit="1" customWidth="1"/>
    <col min="2299" max="2299" width="43.85546875" style="2177" customWidth="1"/>
    <col min="2300" max="2300" width="19.7109375" style="2177" bestFit="1" customWidth="1"/>
    <col min="2301" max="2301" width="15.28515625" style="2177" bestFit="1" customWidth="1"/>
    <col min="2302" max="2302" width="17.5703125" style="2177" bestFit="1" customWidth="1"/>
    <col min="2303" max="2303" width="13.42578125" style="2177" customWidth="1"/>
    <col min="2304" max="2304" width="15.28515625" style="2177" bestFit="1" customWidth="1"/>
    <col min="2305" max="2305" width="14.140625" style="2177" bestFit="1" customWidth="1"/>
    <col min="2306" max="2306" width="15.28515625" style="2177" customWidth="1"/>
    <col min="2307" max="2307" width="15.85546875" style="2177" customWidth="1"/>
    <col min="2308" max="2308" width="17" style="2177" bestFit="1" customWidth="1"/>
    <col min="2309" max="2309" width="12.7109375" style="2177" customWidth="1"/>
    <col min="2310" max="2310" width="13.7109375" style="2177" customWidth="1"/>
    <col min="2311" max="2311" width="13.85546875" style="2177" bestFit="1" customWidth="1"/>
    <col min="2312" max="2312" width="16.5703125" style="2177" customWidth="1"/>
    <col min="2313" max="2313" width="16.140625" style="2177" customWidth="1"/>
    <col min="2314" max="2314" width="16.7109375" style="2177" bestFit="1" customWidth="1"/>
    <col min="2315" max="2315" width="15.5703125" style="2177" bestFit="1" customWidth="1"/>
    <col min="2316" max="2316" width="18" style="2177" customWidth="1"/>
    <col min="2317" max="2317" width="16.42578125" style="2177" bestFit="1" customWidth="1"/>
    <col min="2318" max="2318" width="14.28515625" style="2177" customWidth="1"/>
    <col min="2319" max="2319" width="12.85546875" style="2177" bestFit="1" customWidth="1"/>
    <col min="2320" max="2320" width="11.28515625" style="2177" bestFit="1" customWidth="1"/>
    <col min="2321" max="2321" width="12.5703125" style="2177" bestFit="1" customWidth="1"/>
    <col min="2322" max="2322" width="14" style="2177" bestFit="1" customWidth="1"/>
    <col min="2323" max="2323" width="6" style="2177" bestFit="1" customWidth="1"/>
    <col min="2324" max="2324" width="15" style="2177" customWidth="1"/>
    <col min="2325" max="2325" width="14.85546875" style="2177" bestFit="1" customWidth="1"/>
    <col min="2326" max="2326" width="16.140625" style="2177" bestFit="1" customWidth="1"/>
    <col min="2327" max="2553" width="9.140625" style="2177"/>
    <col min="2554" max="2554" width="24" style="2177" bestFit="1" customWidth="1"/>
    <col min="2555" max="2555" width="43.85546875" style="2177" customWidth="1"/>
    <col min="2556" max="2556" width="19.7109375" style="2177" bestFit="1" customWidth="1"/>
    <col min="2557" max="2557" width="15.28515625" style="2177" bestFit="1" customWidth="1"/>
    <col min="2558" max="2558" width="17.5703125" style="2177" bestFit="1" customWidth="1"/>
    <col min="2559" max="2559" width="13.42578125" style="2177" customWidth="1"/>
    <col min="2560" max="2560" width="15.28515625" style="2177" bestFit="1" customWidth="1"/>
    <col min="2561" max="2561" width="14.140625" style="2177" bestFit="1" customWidth="1"/>
    <col min="2562" max="2562" width="15.28515625" style="2177" customWidth="1"/>
    <col min="2563" max="2563" width="15.85546875" style="2177" customWidth="1"/>
    <col min="2564" max="2564" width="17" style="2177" bestFit="1" customWidth="1"/>
    <col min="2565" max="2565" width="12.7109375" style="2177" customWidth="1"/>
    <col min="2566" max="2566" width="13.7109375" style="2177" customWidth="1"/>
    <col min="2567" max="2567" width="13.85546875" style="2177" bestFit="1" customWidth="1"/>
    <col min="2568" max="2568" width="16.5703125" style="2177" customWidth="1"/>
    <col min="2569" max="2569" width="16.140625" style="2177" customWidth="1"/>
    <col min="2570" max="2570" width="16.7109375" style="2177" bestFit="1" customWidth="1"/>
    <col min="2571" max="2571" width="15.5703125" style="2177" bestFit="1" customWidth="1"/>
    <col min="2572" max="2572" width="18" style="2177" customWidth="1"/>
    <col min="2573" max="2573" width="16.42578125" style="2177" bestFit="1" customWidth="1"/>
    <col min="2574" max="2574" width="14.28515625" style="2177" customWidth="1"/>
    <col min="2575" max="2575" width="12.85546875" style="2177" bestFit="1" customWidth="1"/>
    <col min="2576" max="2576" width="11.28515625" style="2177" bestFit="1" customWidth="1"/>
    <col min="2577" max="2577" width="12.5703125" style="2177" bestFit="1" customWidth="1"/>
    <col min="2578" max="2578" width="14" style="2177" bestFit="1" customWidth="1"/>
    <col min="2579" max="2579" width="6" style="2177" bestFit="1" customWidth="1"/>
    <col min="2580" max="2580" width="15" style="2177" customWidth="1"/>
    <col min="2581" max="2581" width="14.85546875" style="2177" bestFit="1" customWidth="1"/>
    <col min="2582" max="2582" width="16.140625" style="2177" bestFit="1" customWidth="1"/>
    <col min="2583" max="2809" width="9.140625" style="2177"/>
    <col min="2810" max="2810" width="24" style="2177" bestFit="1" customWidth="1"/>
    <col min="2811" max="2811" width="43.85546875" style="2177" customWidth="1"/>
    <col min="2812" max="2812" width="19.7109375" style="2177" bestFit="1" customWidth="1"/>
    <col min="2813" max="2813" width="15.28515625" style="2177" bestFit="1" customWidth="1"/>
    <col min="2814" max="2814" width="17.5703125" style="2177" bestFit="1" customWidth="1"/>
    <col min="2815" max="2815" width="13.42578125" style="2177" customWidth="1"/>
    <col min="2816" max="2816" width="15.28515625" style="2177" bestFit="1" customWidth="1"/>
    <col min="2817" max="2817" width="14.140625" style="2177" bestFit="1" customWidth="1"/>
    <col min="2818" max="2818" width="15.28515625" style="2177" customWidth="1"/>
    <col min="2819" max="2819" width="15.85546875" style="2177" customWidth="1"/>
    <col min="2820" max="2820" width="17" style="2177" bestFit="1" customWidth="1"/>
    <col min="2821" max="2821" width="12.7109375" style="2177" customWidth="1"/>
    <col min="2822" max="2822" width="13.7109375" style="2177" customWidth="1"/>
    <col min="2823" max="2823" width="13.85546875" style="2177" bestFit="1" customWidth="1"/>
    <col min="2824" max="2824" width="16.5703125" style="2177" customWidth="1"/>
    <col min="2825" max="2825" width="16.140625" style="2177" customWidth="1"/>
    <col min="2826" max="2826" width="16.7109375" style="2177" bestFit="1" customWidth="1"/>
    <col min="2827" max="2827" width="15.5703125" style="2177" bestFit="1" customWidth="1"/>
    <col min="2828" max="2828" width="18" style="2177" customWidth="1"/>
    <col min="2829" max="2829" width="16.42578125" style="2177" bestFit="1" customWidth="1"/>
    <col min="2830" max="2830" width="14.28515625" style="2177" customWidth="1"/>
    <col min="2831" max="2831" width="12.85546875" style="2177" bestFit="1" customWidth="1"/>
    <col min="2832" max="2832" width="11.28515625" style="2177" bestFit="1" customWidth="1"/>
    <col min="2833" max="2833" width="12.5703125" style="2177" bestFit="1" customWidth="1"/>
    <col min="2834" max="2834" width="14" style="2177" bestFit="1" customWidth="1"/>
    <col min="2835" max="2835" width="6" style="2177" bestFit="1" customWidth="1"/>
    <col min="2836" max="2836" width="15" style="2177" customWidth="1"/>
    <col min="2837" max="2837" width="14.85546875" style="2177" bestFit="1" customWidth="1"/>
    <col min="2838" max="2838" width="16.140625" style="2177" bestFit="1" customWidth="1"/>
    <col min="2839" max="3065" width="9.140625" style="2177"/>
    <col min="3066" max="3066" width="24" style="2177" bestFit="1" customWidth="1"/>
    <col min="3067" max="3067" width="43.85546875" style="2177" customWidth="1"/>
    <col min="3068" max="3068" width="19.7109375" style="2177" bestFit="1" customWidth="1"/>
    <col min="3069" max="3069" width="15.28515625" style="2177" bestFit="1" customWidth="1"/>
    <col min="3070" max="3070" width="17.5703125" style="2177" bestFit="1" customWidth="1"/>
    <col min="3071" max="3071" width="13.42578125" style="2177" customWidth="1"/>
    <col min="3072" max="3072" width="15.28515625" style="2177" bestFit="1" customWidth="1"/>
    <col min="3073" max="3073" width="14.140625" style="2177" bestFit="1" customWidth="1"/>
    <col min="3074" max="3074" width="15.28515625" style="2177" customWidth="1"/>
    <col min="3075" max="3075" width="15.85546875" style="2177" customWidth="1"/>
    <col min="3076" max="3076" width="17" style="2177" bestFit="1" customWidth="1"/>
    <col min="3077" max="3077" width="12.7109375" style="2177" customWidth="1"/>
    <col min="3078" max="3078" width="13.7109375" style="2177" customWidth="1"/>
    <col min="3079" max="3079" width="13.85546875" style="2177" bestFit="1" customWidth="1"/>
    <col min="3080" max="3080" width="16.5703125" style="2177" customWidth="1"/>
    <col min="3081" max="3081" width="16.140625" style="2177" customWidth="1"/>
    <col min="3082" max="3082" width="16.7109375" style="2177" bestFit="1" customWidth="1"/>
    <col min="3083" max="3083" width="15.5703125" style="2177" bestFit="1" customWidth="1"/>
    <col min="3084" max="3084" width="18" style="2177" customWidth="1"/>
    <col min="3085" max="3085" width="16.42578125" style="2177" bestFit="1" customWidth="1"/>
    <col min="3086" max="3086" width="14.28515625" style="2177" customWidth="1"/>
    <col min="3087" max="3087" width="12.85546875" style="2177" bestFit="1" customWidth="1"/>
    <col min="3088" max="3088" width="11.28515625" style="2177" bestFit="1" customWidth="1"/>
    <col min="3089" max="3089" width="12.5703125" style="2177" bestFit="1" customWidth="1"/>
    <col min="3090" max="3090" width="14" style="2177" bestFit="1" customWidth="1"/>
    <col min="3091" max="3091" width="6" style="2177" bestFit="1" customWidth="1"/>
    <col min="3092" max="3092" width="15" style="2177" customWidth="1"/>
    <col min="3093" max="3093" width="14.85546875" style="2177" bestFit="1" customWidth="1"/>
    <col min="3094" max="3094" width="16.140625" style="2177" bestFit="1" customWidth="1"/>
    <col min="3095" max="3321" width="9.140625" style="2177"/>
    <col min="3322" max="3322" width="24" style="2177" bestFit="1" customWidth="1"/>
    <col min="3323" max="3323" width="43.85546875" style="2177" customWidth="1"/>
    <col min="3324" max="3324" width="19.7109375" style="2177" bestFit="1" customWidth="1"/>
    <col min="3325" max="3325" width="15.28515625" style="2177" bestFit="1" customWidth="1"/>
    <col min="3326" max="3326" width="17.5703125" style="2177" bestFit="1" customWidth="1"/>
    <col min="3327" max="3327" width="13.42578125" style="2177" customWidth="1"/>
    <col min="3328" max="3328" width="15.28515625" style="2177" bestFit="1" customWidth="1"/>
    <col min="3329" max="3329" width="14.140625" style="2177" bestFit="1" customWidth="1"/>
    <col min="3330" max="3330" width="15.28515625" style="2177" customWidth="1"/>
    <col min="3331" max="3331" width="15.85546875" style="2177" customWidth="1"/>
    <col min="3332" max="3332" width="17" style="2177" bestFit="1" customWidth="1"/>
    <col min="3333" max="3333" width="12.7109375" style="2177" customWidth="1"/>
    <col min="3334" max="3334" width="13.7109375" style="2177" customWidth="1"/>
    <col min="3335" max="3335" width="13.85546875" style="2177" bestFit="1" customWidth="1"/>
    <col min="3336" max="3336" width="16.5703125" style="2177" customWidth="1"/>
    <col min="3337" max="3337" width="16.140625" style="2177" customWidth="1"/>
    <col min="3338" max="3338" width="16.7109375" style="2177" bestFit="1" customWidth="1"/>
    <col min="3339" max="3339" width="15.5703125" style="2177" bestFit="1" customWidth="1"/>
    <col min="3340" max="3340" width="18" style="2177" customWidth="1"/>
    <col min="3341" max="3341" width="16.42578125" style="2177" bestFit="1" customWidth="1"/>
    <col min="3342" max="3342" width="14.28515625" style="2177" customWidth="1"/>
    <col min="3343" max="3343" width="12.85546875" style="2177" bestFit="1" customWidth="1"/>
    <col min="3344" max="3344" width="11.28515625" style="2177" bestFit="1" customWidth="1"/>
    <col min="3345" max="3345" width="12.5703125" style="2177" bestFit="1" customWidth="1"/>
    <col min="3346" max="3346" width="14" style="2177" bestFit="1" customWidth="1"/>
    <col min="3347" max="3347" width="6" style="2177" bestFit="1" customWidth="1"/>
    <col min="3348" max="3348" width="15" style="2177" customWidth="1"/>
    <col min="3349" max="3349" width="14.85546875" style="2177" bestFit="1" customWidth="1"/>
    <col min="3350" max="3350" width="16.140625" style="2177" bestFit="1" customWidth="1"/>
    <col min="3351" max="3577" width="9.140625" style="2177"/>
    <col min="3578" max="3578" width="24" style="2177" bestFit="1" customWidth="1"/>
    <col min="3579" max="3579" width="43.85546875" style="2177" customWidth="1"/>
    <col min="3580" max="3580" width="19.7109375" style="2177" bestFit="1" customWidth="1"/>
    <col min="3581" max="3581" width="15.28515625" style="2177" bestFit="1" customWidth="1"/>
    <col min="3582" max="3582" width="17.5703125" style="2177" bestFit="1" customWidth="1"/>
    <col min="3583" max="3583" width="13.42578125" style="2177" customWidth="1"/>
    <col min="3584" max="3584" width="15.28515625" style="2177" bestFit="1" customWidth="1"/>
    <col min="3585" max="3585" width="14.140625" style="2177" bestFit="1" customWidth="1"/>
    <col min="3586" max="3586" width="15.28515625" style="2177" customWidth="1"/>
    <col min="3587" max="3587" width="15.85546875" style="2177" customWidth="1"/>
    <col min="3588" max="3588" width="17" style="2177" bestFit="1" customWidth="1"/>
    <col min="3589" max="3589" width="12.7109375" style="2177" customWidth="1"/>
    <col min="3590" max="3590" width="13.7109375" style="2177" customWidth="1"/>
    <col min="3591" max="3591" width="13.85546875" style="2177" bestFit="1" customWidth="1"/>
    <col min="3592" max="3592" width="16.5703125" style="2177" customWidth="1"/>
    <col min="3593" max="3593" width="16.140625" style="2177" customWidth="1"/>
    <col min="3594" max="3594" width="16.7109375" style="2177" bestFit="1" customWidth="1"/>
    <col min="3595" max="3595" width="15.5703125" style="2177" bestFit="1" customWidth="1"/>
    <col min="3596" max="3596" width="18" style="2177" customWidth="1"/>
    <col min="3597" max="3597" width="16.42578125" style="2177" bestFit="1" customWidth="1"/>
    <col min="3598" max="3598" width="14.28515625" style="2177" customWidth="1"/>
    <col min="3599" max="3599" width="12.85546875" style="2177" bestFit="1" customWidth="1"/>
    <col min="3600" max="3600" width="11.28515625" style="2177" bestFit="1" customWidth="1"/>
    <col min="3601" max="3601" width="12.5703125" style="2177" bestFit="1" customWidth="1"/>
    <col min="3602" max="3602" width="14" style="2177" bestFit="1" customWidth="1"/>
    <col min="3603" max="3603" width="6" style="2177" bestFit="1" customWidth="1"/>
    <col min="3604" max="3604" width="15" style="2177" customWidth="1"/>
    <col min="3605" max="3605" width="14.85546875" style="2177" bestFit="1" customWidth="1"/>
    <col min="3606" max="3606" width="16.140625" style="2177" bestFit="1" customWidth="1"/>
    <col min="3607" max="3833" width="9.140625" style="2177"/>
    <col min="3834" max="3834" width="24" style="2177" bestFit="1" customWidth="1"/>
    <col min="3835" max="3835" width="43.85546875" style="2177" customWidth="1"/>
    <col min="3836" max="3836" width="19.7109375" style="2177" bestFit="1" customWidth="1"/>
    <col min="3837" max="3837" width="15.28515625" style="2177" bestFit="1" customWidth="1"/>
    <col min="3838" max="3838" width="17.5703125" style="2177" bestFit="1" customWidth="1"/>
    <col min="3839" max="3839" width="13.42578125" style="2177" customWidth="1"/>
    <col min="3840" max="3840" width="15.28515625" style="2177" bestFit="1" customWidth="1"/>
    <col min="3841" max="3841" width="14.140625" style="2177" bestFit="1" customWidth="1"/>
    <col min="3842" max="3842" width="15.28515625" style="2177" customWidth="1"/>
    <col min="3843" max="3843" width="15.85546875" style="2177" customWidth="1"/>
    <col min="3844" max="3844" width="17" style="2177" bestFit="1" customWidth="1"/>
    <col min="3845" max="3845" width="12.7109375" style="2177" customWidth="1"/>
    <col min="3846" max="3846" width="13.7109375" style="2177" customWidth="1"/>
    <col min="3847" max="3847" width="13.85546875" style="2177" bestFit="1" customWidth="1"/>
    <col min="3848" max="3848" width="16.5703125" style="2177" customWidth="1"/>
    <col min="3849" max="3849" width="16.140625" style="2177" customWidth="1"/>
    <col min="3850" max="3850" width="16.7109375" style="2177" bestFit="1" customWidth="1"/>
    <col min="3851" max="3851" width="15.5703125" style="2177" bestFit="1" customWidth="1"/>
    <col min="3852" max="3852" width="18" style="2177" customWidth="1"/>
    <col min="3853" max="3853" width="16.42578125" style="2177" bestFit="1" customWidth="1"/>
    <col min="3854" max="3854" width="14.28515625" style="2177" customWidth="1"/>
    <col min="3855" max="3855" width="12.85546875" style="2177" bestFit="1" customWidth="1"/>
    <col min="3856" max="3856" width="11.28515625" style="2177" bestFit="1" customWidth="1"/>
    <col min="3857" max="3857" width="12.5703125" style="2177" bestFit="1" customWidth="1"/>
    <col min="3858" max="3858" width="14" style="2177" bestFit="1" customWidth="1"/>
    <col min="3859" max="3859" width="6" style="2177" bestFit="1" customWidth="1"/>
    <col min="3860" max="3860" width="15" style="2177" customWidth="1"/>
    <col min="3861" max="3861" width="14.85546875" style="2177" bestFit="1" customWidth="1"/>
    <col min="3862" max="3862" width="16.140625" style="2177" bestFit="1" customWidth="1"/>
    <col min="3863" max="4089" width="9.140625" style="2177"/>
    <col min="4090" max="4090" width="24" style="2177" bestFit="1" customWidth="1"/>
    <col min="4091" max="4091" width="43.85546875" style="2177" customWidth="1"/>
    <col min="4092" max="4092" width="19.7109375" style="2177" bestFit="1" customWidth="1"/>
    <col min="4093" max="4093" width="15.28515625" style="2177" bestFit="1" customWidth="1"/>
    <col min="4094" max="4094" width="17.5703125" style="2177" bestFit="1" customWidth="1"/>
    <col min="4095" max="4095" width="13.42578125" style="2177" customWidth="1"/>
    <col min="4096" max="4096" width="15.28515625" style="2177" bestFit="1" customWidth="1"/>
    <col min="4097" max="4097" width="14.140625" style="2177" bestFit="1" customWidth="1"/>
    <col min="4098" max="4098" width="15.28515625" style="2177" customWidth="1"/>
    <col min="4099" max="4099" width="15.85546875" style="2177" customWidth="1"/>
    <col min="4100" max="4100" width="17" style="2177" bestFit="1" customWidth="1"/>
    <col min="4101" max="4101" width="12.7109375" style="2177" customWidth="1"/>
    <col min="4102" max="4102" width="13.7109375" style="2177" customWidth="1"/>
    <col min="4103" max="4103" width="13.85546875" style="2177" bestFit="1" customWidth="1"/>
    <col min="4104" max="4104" width="16.5703125" style="2177" customWidth="1"/>
    <col min="4105" max="4105" width="16.140625" style="2177" customWidth="1"/>
    <col min="4106" max="4106" width="16.7109375" style="2177" bestFit="1" customWidth="1"/>
    <col min="4107" max="4107" width="15.5703125" style="2177" bestFit="1" customWidth="1"/>
    <col min="4108" max="4108" width="18" style="2177" customWidth="1"/>
    <col min="4109" max="4109" width="16.42578125" style="2177" bestFit="1" customWidth="1"/>
    <col min="4110" max="4110" width="14.28515625" style="2177" customWidth="1"/>
    <col min="4111" max="4111" width="12.85546875" style="2177" bestFit="1" customWidth="1"/>
    <col min="4112" max="4112" width="11.28515625" style="2177" bestFit="1" customWidth="1"/>
    <col min="4113" max="4113" width="12.5703125" style="2177" bestFit="1" customWidth="1"/>
    <col min="4114" max="4114" width="14" style="2177" bestFit="1" customWidth="1"/>
    <col min="4115" max="4115" width="6" style="2177" bestFit="1" customWidth="1"/>
    <col min="4116" max="4116" width="15" style="2177" customWidth="1"/>
    <col min="4117" max="4117" width="14.85546875" style="2177" bestFit="1" customWidth="1"/>
    <col min="4118" max="4118" width="16.140625" style="2177" bestFit="1" customWidth="1"/>
    <col min="4119" max="4345" width="9.140625" style="2177"/>
    <col min="4346" max="4346" width="24" style="2177" bestFit="1" customWidth="1"/>
    <col min="4347" max="4347" width="43.85546875" style="2177" customWidth="1"/>
    <col min="4348" max="4348" width="19.7109375" style="2177" bestFit="1" customWidth="1"/>
    <col min="4349" max="4349" width="15.28515625" style="2177" bestFit="1" customWidth="1"/>
    <col min="4350" max="4350" width="17.5703125" style="2177" bestFit="1" customWidth="1"/>
    <col min="4351" max="4351" width="13.42578125" style="2177" customWidth="1"/>
    <col min="4352" max="4352" width="15.28515625" style="2177" bestFit="1" customWidth="1"/>
    <col min="4353" max="4353" width="14.140625" style="2177" bestFit="1" customWidth="1"/>
    <col min="4354" max="4354" width="15.28515625" style="2177" customWidth="1"/>
    <col min="4355" max="4355" width="15.85546875" style="2177" customWidth="1"/>
    <col min="4356" max="4356" width="17" style="2177" bestFit="1" customWidth="1"/>
    <col min="4357" max="4357" width="12.7109375" style="2177" customWidth="1"/>
    <col min="4358" max="4358" width="13.7109375" style="2177" customWidth="1"/>
    <col min="4359" max="4359" width="13.85546875" style="2177" bestFit="1" customWidth="1"/>
    <col min="4360" max="4360" width="16.5703125" style="2177" customWidth="1"/>
    <col min="4361" max="4361" width="16.140625" style="2177" customWidth="1"/>
    <col min="4362" max="4362" width="16.7109375" style="2177" bestFit="1" customWidth="1"/>
    <col min="4363" max="4363" width="15.5703125" style="2177" bestFit="1" customWidth="1"/>
    <col min="4364" max="4364" width="18" style="2177" customWidth="1"/>
    <col min="4365" max="4365" width="16.42578125" style="2177" bestFit="1" customWidth="1"/>
    <col min="4366" max="4366" width="14.28515625" style="2177" customWidth="1"/>
    <col min="4367" max="4367" width="12.85546875" style="2177" bestFit="1" customWidth="1"/>
    <col min="4368" max="4368" width="11.28515625" style="2177" bestFit="1" customWidth="1"/>
    <col min="4369" max="4369" width="12.5703125" style="2177" bestFit="1" customWidth="1"/>
    <col min="4370" max="4370" width="14" style="2177" bestFit="1" customWidth="1"/>
    <col min="4371" max="4371" width="6" style="2177" bestFit="1" customWidth="1"/>
    <col min="4372" max="4372" width="15" style="2177" customWidth="1"/>
    <col min="4373" max="4373" width="14.85546875" style="2177" bestFit="1" customWidth="1"/>
    <col min="4374" max="4374" width="16.140625" style="2177" bestFit="1" customWidth="1"/>
    <col min="4375" max="4601" width="9.140625" style="2177"/>
    <col min="4602" max="4602" width="24" style="2177" bestFit="1" customWidth="1"/>
    <col min="4603" max="4603" width="43.85546875" style="2177" customWidth="1"/>
    <col min="4604" max="4604" width="19.7109375" style="2177" bestFit="1" customWidth="1"/>
    <col min="4605" max="4605" width="15.28515625" style="2177" bestFit="1" customWidth="1"/>
    <col min="4606" max="4606" width="17.5703125" style="2177" bestFit="1" customWidth="1"/>
    <col min="4607" max="4607" width="13.42578125" style="2177" customWidth="1"/>
    <col min="4608" max="4608" width="15.28515625" style="2177" bestFit="1" customWidth="1"/>
    <col min="4609" max="4609" width="14.140625" style="2177" bestFit="1" customWidth="1"/>
    <col min="4610" max="4610" width="15.28515625" style="2177" customWidth="1"/>
    <col min="4611" max="4611" width="15.85546875" style="2177" customWidth="1"/>
    <col min="4612" max="4612" width="17" style="2177" bestFit="1" customWidth="1"/>
    <col min="4613" max="4613" width="12.7109375" style="2177" customWidth="1"/>
    <col min="4614" max="4614" width="13.7109375" style="2177" customWidth="1"/>
    <col min="4615" max="4615" width="13.85546875" style="2177" bestFit="1" customWidth="1"/>
    <col min="4616" max="4616" width="16.5703125" style="2177" customWidth="1"/>
    <col min="4617" max="4617" width="16.140625" style="2177" customWidth="1"/>
    <col min="4618" max="4618" width="16.7109375" style="2177" bestFit="1" customWidth="1"/>
    <col min="4619" max="4619" width="15.5703125" style="2177" bestFit="1" customWidth="1"/>
    <col min="4620" max="4620" width="18" style="2177" customWidth="1"/>
    <col min="4621" max="4621" width="16.42578125" style="2177" bestFit="1" customWidth="1"/>
    <col min="4622" max="4622" width="14.28515625" style="2177" customWidth="1"/>
    <col min="4623" max="4623" width="12.85546875" style="2177" bestFit="1" customWidth="1"/>
    <col min="4624" max="4624" width="11.28515625" style="2177" bestFit="1" customWidth="1"/>
    <col min="4625" max="4625" width="12.5703125" style="2177" bestFit="1" customWidth="1"/>
    <col min="4626" max="4626" width="14" style="2177" bestFit="1" customWidth="1"/>
    <col min="4627" max="4627" width="6" style="2177" bestFit="1" customWidth="1"/>
    <col min="4628" max="4628" width="15" style="2177" customWidth="1"/>
    <col min="4629" max="4629" width="14.85546875" style="2177" bestFit="1" customWidth="1"/>
    <col min="4630" max="4630" width="16.140625" style="2177" bestFit="1" customWidth="1"/>
    <col min="4631" max="4857" width="9.140625" style="2177"/>
    <col min="4858" max="4858" width="24" style="2177" bestFit="1" customWidth="1"/>
    <col min="4859" max="4859" width="43.85546875" style="2177" customWidth="1"/>
    <col min="4860" max="4860" width="19.7109375" style="2177" bestFit="1" customWidth="1"/>
    <col min="4861" max="4861" width="15.28515625" style="2177" bestFit="1" customWidth="1"/>
    <col min="4862" max="4862" width="17.5703125" style="2177" bestFit="1" customWidth="1"/>
    <col min="4863" max="4863" width="13.42578125" style="2177" customWidth="1"/>
    <col min="4864" max="4864" width="15.28515625" style="2177" bestFit="1" customWidth="1"/>
    <col min="4865" max="4865" width="14.140625" style="2177" bestFit="1" customWidth="1"/>
    <col min="4866" max="4866" width="15.28515625" style="2177" customWidth="1"/>
    <col min="4867" max="4867" width="15.85546875" style="2177" customWidth="1"/>
    <col min="4868" max="4868" width="17" style="2177" bestFit="1" customWidth="1"/>
    <col min="4869" max="4869" width="12.7109375" style="2177" customWidth="1"/>
    <col min="4870" max="4870" width="13.7109375" style="2177" customWidth="1"/>
    <col min="4871" max="4871" width="13.85546875" style="2177" bestFit="1" customWidth="1"/>
    <col min="4872" max="4872" width="16.5703125" style="2177" customWidth="1"/>
    <col min="4873" max="4873" width="16.140625" style="2177" customWidth="1"/>
    <col min="4874" max="4874" width="16.7109375" style="2177" bestFit="1" customWidth="1"/>
    <col min="4875" max="4875" width="15.5703125" style="2177" bestFit="1" customWidth="1"/>
    <col min="4876" max="4876" width="18" style="2177" customWidth="1"/>
    <col min="4877" max="4877" width="16.42578125" style="2177" bestFit="1" customWidth="1"/>
    <col min="4878" max="4878" width="14.28515625" style="2177" customWidth="1"/>
    <col min="4879" max="4879" width="12.85546875" style="2177" bestFit="1" customWidth="1"/>
    <col min="4880" max="4880" width="11.28515625" style="2177" bestFit="1" customWidth="1"/>
    <col min="4881" max="4881" width="12.5703125" style="2177" bestFit="1" customWidth="1"/>
    <col min="4882" max="4882" width="14" style="2177" bestFit="1" customWidth="1"/>
    <col min="4883" max="4883" width="6" style="2177" bestFit="1" customWidth="1"/>
    <col min="4884" max="4884" width="15" style="2177" customWidth="1"/>
    <col min="4885" max="4885" width="14.85546875" style="2177" bestFit="1" customWidth="1"/>
    <col min="4886" max="4886" width="16.140625" style="2177" bestFit="1" customWidth="1"/>
    <col min="4887" max="5113" width="9.140625" style="2177"/>
    <col min="5114" max="5114" width="24" style="2177" bestFit="1" customWidth="1"/>
    <col min="5115" max="5115" width="43.85546875" style="2177" customWidth="1"/>
    <col min="5116" max="5116" width="19.7109375" style="2177" bestFit="1" customWidth="1"/>
    <col min="5117" max="5117" width="15.28515625" style="2177" bestFit="1" customWidth="1"/>
    <col min="5118" max="5118" width="17.5703125" style="2177" bestFit="1" customWidth="1"/>
    <col min="5119" max="5119" width="13.42578125" style="2177" customWidth="1"/>
    <col min="5120" max="5120" width="15.28515625" style="2177" bestFit="1" customWidth="1"/>
    <col min="5121" max="5121" width="14.140625" style="2177" bestFit="1" customWidth="1"/>
    <col min="5122" max="5122" width="15.28515625" style="2177" customWidth="1"/>
    <col min="5123" max="5123" width="15.85546875" style="2177" customWidth="1"/>
    <col min="5124" max="5124" width="17" style="2177" bestFit="1" customWidth="1"/>
    <col min="5125" max="5125" width="12.7109375" style="2177" customWidth="1"/>
    <col min="5126" max="5126" width="13.7109375" style="2177" customWidth="1"/>
    <col min="5127" max="5127" width="13.85546875" style="2177" bestFit="1" customWidth="1"/>
    <col min="5128" max="5128" width="16.5703125" style="2177" customWidth="1"/>
    <col min="5129" max="5129" width="16.140625" style="2177" customWidth="1"/>
    <col min="5130" max="5130" width="16.7109375" style="2177" bestFit="1" customWidth="1"/>
    <col min="5131" max="5131" width="15.5703125" style="2177" bestFit="1" customWidth="1"/>
    <col min="5132" max="5132" width="18" style="2177" customWidth="1"/>
    <col min="5133" max="5133" width="16.42578125" style="2177" bestFit="1" customWidth="1"/>
    <col min="5134" max="5134" width="14.28515625" style="2177" customWidth="1"/>
    <col min="5135" max="5135" width="12.85546875" style="2177" bestFit="1" customWidth="1"/>
    <col min="5136" max="5136" width="11.28515625" style="2177" bestFit="1" customWidth="1"/>
    <col min="5137" max="5137" width="12.5703125" style="2177" bestFit="1" customWidth="1"/>
    <col min="5138" max="5138" width="14" style="2177" bestFit="1" customWidth="1"/>
    <col min="5139" max="5139" width="6" style="2177" bestFit="1" customWidth="1"/>
    <col min="5140" max="5140" width="15" style="2177" customWidth="1"/>
    <col min="5141" max="5141" width="14.85546875" style="2177" bestFit="1" customWidth="1"/>
    <col min="5142" max="5142" width="16.140625" style="2177" bestFit="1" customWidth="1"/>
    <col min="5143" max="5369" width="9.140625" style="2177"/>
    <col min="5370" max="5370" width="24" style="2177" bestFit="1" customWidth="1"/>
    <col min="5371" max="5371" width="43.85546875" style="2177" customWidth="1"/>
    <col min="5372" max="5372" width="19.7109375" style="2177" bestFit="1" customWidth="1"/>
    <col min="5373" max="5373" width="15.28515625" style="2177" bestFit="1" customWidth="1"/>
    <col min="5374" max="5374" width="17.5703125" style="2177" bestFit="1" customWidth="1"/>
    <col min="5375" max="5375" width="13.42578125" style="2177" customWidth="1"/>
    <col min="5376" max="5376" width="15.28515625" style="2177" bestFit="1" customWidth="1"/>
    <col min="5377" max="5377" width="14.140625" style="2177" bestFit="1" customWidth="1"/>
    <col min="5378" max="5378" width="15.28515625" style="2177" customWidth="1"/>
    <col min="5379" max="5379" width="15.85546875" style="2177" customWidth="1"/>
    <col min="5380" max="5380" width="17" style="2177" bestFit="1" customWidth="1"/>
    <col min="5381" max="5381" width="12.7109375" style="2177" customWidth="1"/>
    <col min="5382" max="5382" width="13.7109375" style="2177" customWidth="1"/>
    <col min="5383" max="5383" width="13.85546875" style="2177" bestFit="1" customWidth="1"/>
    <col min="5384" max="5384" width="16.5703125" style="2177" customWidth="1"/>
    <col min="5385" max="5385" width="16.140625" style="2177" customWidth="1"/>
    <col min="5386" max="5386" width="16.7109375" style="2177" bestFit="1" customWidth="1"/>
    <col min="5387" max="5387" width="15.5703125" style="2177" bestFit="1" customWidth="1"/>
    <col min="5388" max="5388" width="18" style="2177" customWidth="1"/>
    <col min="5389" max="5389" width="16.42578125" style="2177" bestFit="1" customWidth="1"/>
    <col min="5390" max="5390" width="14.28515625" style="2177" customWidth="1"/>
    <col min="5391" max="5391" width="12.85546875" style="2177" bestFit="1" customWidth="1"/>
    <col min="5392" max="5392" width="11.28515625" style="2177" bestFit="1" customWidth="1"/>
    <col min="5393" max="5393" width="12.5703125" style="2177" bestFit="1" customWidth="1"/>
    <col min="5394" max="5394" width="14" style="2177" bestFit="1" customWidth="1"/>
    <col min="5395" max="5395" width="6" style="2177" bestFit="1" customWidth="1"/>
    <col min="5396" max="5396" width="15" style="2177" customWidth="1"/>
    <col min="5397" max="5397" width="14.85546875" style="2177" bestFit="1" customWidth="1"/>
    <col min="5398" max="5398" width="16.140625" style="2177" bestFit="1" customWidth="1"/>
    <col min="5399" max="5625" width="9.140625" style="2177"/>
    <col min="5626" max="5626" width="24" style="2177" bestFit="1" customWidth="1"/>
    <col min="5627" max="5627" width="43.85546875" style="2177" customWidth="1"/>
    <col min="5628" max="5628" width="19.7109375" style="2177" bestFit="1" customWidth="1"/>
    <col min="5629" max="5629" width="15.28515625" style="2177" bestFit="1" customWidth="1"/>
    <col min="5630" max="5630" width="17.5703125" style="2177" bestFit="1" customWidth="1"/>
    <col min="5631" max="5631" width="13.42578125" style="2177" customWidth="1"/>
    <col min="5632" max="5632" width="15.28515625" style="2177" bestFit="1" customWidth="1"/>
    <col min="5633" max="5633" width="14.140625" style="2177" bestFit="1" customWidth="1"/>
    <col min="5634" max="5634" width="15.28515625" style="2177" customWidth="1"/>
    <col min="5635" max="5635" width="15.85546875" style="2177" customWidth="1"/>
    <col min="5636" max="5636" width="17" style="2177" bestFit="1" customWidth="1"/>
    <col min="5637" max="5637" width="12.7109375" style="2177" customWidth="1"/>
    <col min="5638" max="5638" width="13.7109375" style="2177" customWidth="1"/>
    <col min="5639" max="5639" width="13.85546875" style="2177" bestFit="1" customWidth="1"/>
    <col min="5640" max="5640" width="16.5703125" style="2177" customWidth="1"/>
    <col min="5641" max="5641" width="16.140625" style="2177" customWidth="1"/>
    <col min="5642" max="5642" width="16.7109375" style="2177" bestFit="1" customWidth="1"/>
    <col min="5643" max="5643" width="15.5703125" style="2177" bestFit="1" customWidth="1"/>
    <col min="5644" max="5644" width="18" style="2177" customWidth="1"/>
    <col min="5645" max="5645" width="16.42578125" style="2177" bestFit="1" customWidth="1"/>
    <col min="5646" max="5646" width="14.28515625" style="2177" customWidth="1"/>
    <col min="5647" max="5647" width="12.85546875" style="2177" bestFit="1" customWidth="1"/>
    <col min="5648" max="5648" width="11.28515625" style="2177" bestFit="1" customWidth="1"/>
    <col min="5649" max="5649" width="12.5703125" style="2177" bestFit="1" customWidth="1"/>
    <col min="5650" max="5650" width="14" style="2177" bestFit="1" customWidth="1"/>
    <col min="5651" max="5651" width="6" style="2177" bestFit="1" customWidth="1"/>
    <col min="5652" max="5652" width="15" style="2177" customWidth="1"/>
    <col min="5653" max="5653" width="14.85546875" style="2177" bestFit="1" customWidth="1"/>
    <col min="5654" max="5654" width="16.140625" style="2177" bestFit="1" customWidth="1"/>
    <col min="5655" max="5881" width="9.140625" style="2177"/>
    <col min="5882" max="5882" width="24" style="2177" bestFit="1" customWidth="1"/>
    <col min="5883" max="5883" width="43.85546875" style="2177" customWidth="1"/>
    <col min="5884" max="5884" width="19.7109375" style="2177" bestFit="1" customWidth="1"/>
    <col min="5885" max="5885" width="15.28515625" style="2177" bestFit="1" customWidth="1"/>
    <col min="5886" max="5886" width="17.5703125" style="2177" bestFit="1" customWidth="1"/>
    <col min="5887" max="5887" width="13.42578125" style="2177" customWidth="1"/>
    <col min="5888" max="5888" width="15.28515625" style="2177" bestFit="1" customWidth="1"/>
    <col min="5889" max="5889" width="14.140625" style="2177" bestFit="1" customWidth="1"/>
    <col min="5890" max="5890" width="15.28515625" style="2177" customWidth="1"/>
    <col min="5891" max="5891" width="15.85546875" style="2177" customWidth="1"/>
    <col min="5892" max="5892" width="17" style="2177" bestFit="1" customWidth="1"/>
    <col min="5893" max="5893" width="12.7109375" style="2177" customWidth="1"/>
    <col min="5894" max="5894" width="13.7109375" style="2177" customWidth="1"/>
    <col min="5895" max="5895" width="13.85546875" style="2177" bestFit="1" customWidth="1"/>
    <col min="5896" max="5896" width="16.5703125" style="2177" customWidth="1"/>
    <col min="5897" max="5897" width="16.140625" style="2177" customWidth="1"/>
    <col min="5898" max="5898" width="16.7109375" style="2177" bestFit="1" customWidth="1"/>
    <col min="5899" max="5899" width="15.5703125" style="2177" bestFit="1" customWidth="1"/>
    <col min="5900" max="5900" width="18" style="2177" customWidth="1"/>
    <col min="5901" max="5901" width="16.42578125" style="2177" bestFit="1" customWidth="1"/>
    <col min="5902" max="5902" width="14.28515625" style="2177" customWidth="1"/>
    <col min="5903" max="5903" width="12.85546875" style="2177" bestFit="1" customWidth="1"/>
    <col min="5904" max="5904" width="11.28515625" style="2177" bestFit="1" customWidth="1"/>
    <col min="5905" max="5905" width="12.5703125" style="2177" bestFit="1" customWidth="1"/>
    <col min="5906" max="5906" width="14" style="2177" bestFit="1" customWidth="1"/>
    <col min="5907" max="5907" width="6" style="2177" bestFit="1" customWidth="1"/>
    <col min="5908" max="5908" width="15" style="2177" customWidth="1"/>
    <col min="5909" max="5909" width="14.85546875" style="2177" bestFit="1" customWidth="1"/>
    <col min="5910" max="5910" width="16.140625" style="2177" bestFit="1" customWidth="1"/>
    <col min="5911" max="6137" width="9.140625" style="2177"/>
    <col min="6138" max="6138" width="24" style="2177" bestFit="1" customWidth="1"/>
    <col min="6139" max="6139" width="43.85546875" style="2177" customWidth="1"/>
    <col min="6140" max="6140" width="19.7109375" style="2177" bestFit="1" customWidth="1"/>
    <col min="6141" max="6141" width="15.28515625" style="2177" bestFit="1" customWidth="1"/>
    <col min="6142" max="6142" width="17.5703125" style="2177" bestFit="1" customWidth="1"/>
    <col min="6143" max="6143" width="13.42578125" style="2177" customWidth="1"/>
    <col min="6144" max="6144" width="15.28515625" style="2177" bestFit="1" customWidth="1"/>
    <col min="6145" max="6145" width="14.140625" style="2177" bestFit="1" customWidth="1"/>
    <col min="6146" max="6146" width="15.28515625" style="2177" customWidth="1"/>
    <col min="6147" max="6147" width="15.85546875" style="2177" customWidth="1"/>
    <col min="6148" max="6148" width="17" style="2177" bestFit="1" customWidth="1"/>
    <col min="6149" max="6149" width="12.7109375" style="2177" customWidth="1"/>
    <col min="6150" max="6150" width="13.7109375" style="2177" customWidth="1"/>
    <col min="6151" max="6151" width="13.85546875" style="2177" bestFit="1" customWidth="1"/>
    <col min="6152" max="6152" width="16.5703125" style="2177" customWidth="1"/>
    <col min="6153" max="6153" width="16.140625" style="2177" customWidth="1"/>
    <col min="6154" max="6154" width="16.7109375" style="2177" bestFit="1" customWidth="1"/>
    <col min="6155" max="6155" width="15.5703125" style="2177" bestFit="1" customWidth="1"/>
    <col min="6156" max="6156" width="18" style="2177" customWidth="1"/>
    <col min="6157" max="6157" width="16.42578125" style="2177" bestFit="1" customWidth="1"/>
    <col min="6158" max="6158" width="14.28515625" style="2177" customWidth="1"/>
    <col min="6159" max="6159" width="12.85546875" style="2177" bestFit="1" customWidth="1"/>
    <col min="6160" max="6160" width="11.28515625" style="2177" bestFit="1" customWidth="1"/>
    <col min="6161" max="6161" width="12.5703125" style="2177" bestFit="1" customWidth="1"/>
    <col min="6162" max="6162" width="14" style="2177" bestFit="1" customWidth="1"/>
    <col min="6163" max="6163" width="6" style="2177" bestFit="1" customWidth="1"/>
    <col min="6164" max="6164" width="15" style="2177" customWidth="1"/>
    <col min="6165" max="6165" width="14.85546875" style="2177" bestFit="1" customWidth="1"/>
    <col min="6166" max="6166" width="16.140625" style="2177" bestFit="1" customWidth="1"/>
    <col min="6167" max="6393" width="9.140625" style="2177"/>
    <col min="6394" max="6394" width="24" style="2177" bestFit="1" customWidth="1"/>
    <col min="6395" max="6395" width="43.85546875" style="2177" customWidth="1"/>
    <col min="6396" max="6396" width="19.7109375" style="2177" bestFit="1" customWidth="1"/>
    <col min="6397" max="6397" width="15.28515625" style="2177" bestFit="1" customWidth="1"/>
    <col min="6398" max="6398" width="17.5703125" style="2177" bestFit="1" customWidth="1"/>
    <col min="6399" max="6399" width="13.42578125" style="2177" customWidth="1"/>
    <col min="6400" max="6400" width="15.28515625" style="2177" bestFit="1" customWidth="1"/>
    <col min="6401" max="6401" width="14.140625" style="2177" bestFit="1" customWidth="1"/>
    <col min="6402" max="6402" width="15.28515625" style="2177" customWidth="1"/>
    <col min="6403" max="6403" width="15.85546875" style="2177" customWidth="1"/>
    <col min="6404" max="6404" width="17" style="2177" bestFit="1" customWidth="1"/>
    <col min="6405" max="6405" width="12.7109375" style="2177" customWidth="1"/>
    <col min="6406" max="6406" width="13.7109375" style="2177" customWidth="1"/>
    <col min="6407" max="6407" width="13.85546875" style="2177" bestFit="1" customWidth="1"/>
    <col min="6408" max="6408" width="16.5703125" style="2177" customWidth="1"/>
    <col min="6409" max="6409" width="16.140625" style="2177" customWidth="1"/>
    <col min="6410" max="6410" width="16.7109375" style="2177" bestFit="1" customWidth="1"/>
    <col min="6411" max="6411" width="15.5703125" style="2177" bestFit="1" customWidth="1"/>
    <col min="6412" max="6412" width="18" style="2177" customWidth="1"/>
    <col min="6413" max="6413" width="16.42578125" style="2177" bestFit="1" customWidth="1"/>
    <col min="6414" max="6414" width="14.28515625" style="2177" customWidth="1"/>
    <col min="6415" max="6415" width="12.85546875" style="2177" bestFit="1" customWidth="1"/>
    <col min="6416" max="6416" width="11.28515625" style="2177" bestFit="1" customWidth="1"/>
    <col min="6417" max="6417" width="12.5703125" style="2177" bestFit="1" customWidth="1"/>
    <col min="6418" max="6418" width="14" style="2177" bestFit="1" customWidth="1"/>
    <col min="6419" max="6419" width="6" style="2177" bestFit="1" customWidth="1"/>
    <col min="6420" max="6420" width="15" style="2177" customWidth="1"/>
    <col min="6421" max="6421" width="14.85546875" style="2177" bestFit="1" customWidth="1"/>
    <col min="6422" max="6422" width="16.140625" style="2177" bestFit="1" customWidth="1"/>
    <col min="6423" max="6649" width="9.140625" style="2177"/>
    <col min="6650" max="6650" width="24" style="2177" bestFit="1" customWidth="1"/>
    <col min="6651" max="6651" width="43.85546875" style="2177" customWidth="1"/>
    <col min="6652" max="6652" width="19.7109375" style="2177" bestFit="1" customWidth="1"/>
    <col min="6653" max="6653" width="15.28515625" style="2177" bestFit="1" customWidth="1"/>
    <col min="6654" max="6654" width="17.5703125" style="2177" bestFit="1" customWidth="1"/>
    <col min="6655" max="6655" width="13.42578125" style="2177" customWidth="1"/>
    <col min="6656" max="6656" width="15.28515625" style="2177" bestFit="1" customWidth="1"/>
    <col min="6657" max="6657" width="14.140625" style="2177" bestFit="1" customWidth="1"/>
    <col min="6658" max="6658" width="15.28515625" style="2177" customWidth="1"/>
    <col min="6659" max="6659" width="15.85546875" style="2177" customWidth="1"/>
    <col min="6660" max="6660" width="17" style="2177" bestFit="1" customWidth="1"/>
    <col min="6661" max="6661" width="12.7109375" style="2177" customWidth="1"/>
    <col min="6662" max="6662" width="13.7109375" style="2177" customWidth="1"/>
    <col min="6663" max="6663" width="13.85546875" style="2177" bestFit="1" customWidth="1"/>
    <col min="6664" max="6664" width="16.5703125" style="2177" customWidth="1"/>
    <col min="6665" max="6665" width="16.140625" style="2177" customWidth="1"/>
    <col min="6666" max="6666" width="16.7109375" style="2177" bestFit="1" customWidth="1"/>
    <col min="6667" max="6667" width="15.5703125" style="2177" bestFit="1" customWidth="1"/>
    <col min="6668" max="6668" width="18" style="2177" customWidth="1"/>
    <col min="6669" max="6669" width="16.42578125" style="2177" bestFit="1" customWidth="1"/>
    <col min="6670" max="6670" width="14.28515625" style="2177" customWidth="1"/>
    <col min="6671" max="6671" width="12.85546875" style="2177" bestFit="1" customWidth="1"/>
    <col min="6672" max="6672" width="11.28515625" style="2177" bestFit="1" customWidth="1"/>
    <col min="6673" max="6673" width="12.5703125" style="2177" bestFit="1" customWidth="1"/>
    <col min="6674" max="6674" width="14" style="2177" bestFit="1" customWidth="1"/>
    <col min="6675" max="6675" width="6" style="2177" bestFit="1" customWidth="1"/>
    <col min="6676" max="6676" width="15" style="2177" customWidth="1"/>
    <col min="6677" max="6677" width="14.85546875" style="2177" bestFit="1" customWidth="1"/>
    <col min="6678" max="6678" width="16.140625" style="2177" bestFit="1" customWidth="1"/>
    <col min="6679" max="6905" width="9.140625" style="2177"/>
    <col min="6906" max="6906" width="24" style="2177" bestFit="1" customWidth="1"/>
    <col min="6907" max="6907" width="43.85546875" style="2177" customWidth="1"/>
    <col min="6908" max="6908" width="19.7109375" style="2177" bestFit="1" customWidth="1"/>
    <col min="6909" max="6909" width="15.28515625" style="2177" bestFit="1" customWidth="1"/>
    <col min="6910" max="6910" width="17.5703125" style="2177" bestFit="1" customWidth="1"/>
    <col min="6911" max="6911" width="13.42578125" style="2177" customWidth="1"/>
    <col min="6912" max="6912" width="15.28515625" style="2177" bestFit="1" customWidth="1"/>
    <col min="6913" max="6913" width="14.140625" style="2177" bestFit="1" customWidth="1"/>
    <col min="6914" max="6914" width="15.28515625" style="2177" customWidth="1"/>
    <col min="6915" max="6915" width="15.85546875" style="2177" customWidth="1"/>
    <col min="6916" max="6916" width="17" style="2177" bestFit="1" customWidth="1"/>
    <col min="6917" max="6917" width="12.7109375" style="2177" customWidth="1"/>
    <col min="6918" max="6918" width="13.7109375" style="2177" customWidth="1"/>
    <col min="6919" max="6919" width="13.85546875" style="2177" bestFit="1" customWidth="1"/>
    <col min="6920" max="6920" width="16.5703125" style="2177" customWidth="1"/>
    <col min="6921" max="6921" width="16.140625" style="2177" customWidth="1"/>
    <col min="6922" max="6922" width="16.7109375" style="2177" bestFit="1" customWidth="1"/>
    <col min="6923" max="6923" width="15.5703125" style="2177" bestFit="1" customWidth="1"/>
    <col min="6924" max="6924" width="18" style="2177" customWidth="1"/>
    <col min="6925" max="6925" width="16.42578125" style="2177" bestFit="1" customWidth="1"/>
    <col min="6926" max="6926" width="14.28515625" style="2177" customWidth="1"/>
    <col min="6927" max="6927" width="12.85546875" style="2177" bestFit="1" customWidth="1"/>
    <col min="6928" max="6928" width="11.28515625" style="2177" bestFit="1" customWidth="1"/>
    <col min="6929" max="6929" width="12.5703125" style="2177" bestFit="1" customWidth="1"/>
    <col min="6930" max="6930" width="14" style="2177" bestFit="1" customWidth="1"/>
    <col min="6931" max="6931" width="6" style="2177" bestFit="1" customWidth="1"/>
    <col min="6932" max="6932" width="15" style="2177" customWidth="1"/>
    <col min="6933" max="6933" width="14.85546875" style="2177" bestFit="1" customWidth="1"/>
    <col min="6934" max="6934" width="16.140625" style="2177" bestFit="1" customWidth="1"/>
    <col min="6935" max="7161" width="9.140625" style="2177"/>
    <col min="7162" max="7162" width="24" style="2177" bestFit="1" customWidth="1"/>
    <col min="7163" max="7163" width="43.85546875" style="2177" customWidth="1"/>
    <col min="7164" max="7164" width="19.7109375" style="2177" bestFit="1" customWidth="1"/>
    <col min="7165" max="7165" width="15.28515625" style="2177" bestFit="1" customWidth="1"/>
    <col min="7166" max="7166" width="17.5703125" style="2177" bestFit="1" customWidth="1"/>
    <col min="7167" max="7167" width="13.42578125" style="2177" customWidth="1"/>
    <col min="7168" max="7168" width="15.28515625" style="2177" bestFit="1" customWidth="1"/>
    <col min="7169" max="7169" width="14.140625" style="2177" bestFit="1" customWidth="1"/>
    <col min="7170" max="7170" width="15.28515625" style="2177" customWidth="1"/>
    <col min="7171" max="7171" width="15.85546875" style="2177" customWidth="1"/>
    <col min="7172" max="7172" width="17" style="2177" bestFit="1" customWidth="1"/>
    <col min="7173" max="7173" width="12.7109375" style="2177" customWidth="1"/>
    <col min="7174" max="7174" width="13.7109375" style="2177" customWidth="1"/>
    <col min="7175" max="7175" width="13.85546875" style="2177" bestFit="1" customWidth="1"/>
    <col min="7176" max="7176" width="16.5703125" style="2177" customWidth="1"/>
    <col min="7177" max="7177" width="16.140625" style="2177" customWidth="1"/>
    <col min="7178" max="7178" width="16.7109375" style="2177" bestFit="1" customWidth="1"/>
    <col min="7179" max="7179" width="15.5703125" style="2177" bestFit="1" customWidth="1"/>
    <col min="7180" max="7180" width="18" style="2177" customWidth="1"/>
    <col min="7181" max="7181" width="16.42578125" style="2177" bestFit="1" customWidth="1"/>
    <col min="7182" max="7182" width="14.28515625" style="2177" customWidth="1"/>
    <col min="7183" max="7183" width="12.85546875" style="2177" bestFit="1" customWidth="1"/>
    <col min="7184" max="7184" width="11.28515625" style="2177" bestFit="1" customWidth="1"/>
    <col min="7185" max="7185" width="12.5703125" style="2177" bestFit="1" customWidth="1"/>
    <col min="7186" max="7186" width="14" style="2177" bestFit="1" customWidth="1"/>
    <col min="7187" max="7187" width="6" style="2177" bestFit="1" customWidth="1"/>
    <col min="7188" max="7188" width="15" style="2177" customWidth="1"/>
    <col min="7189" max="7189" width="14.85546875" style="2177" bestFit="1" customWidth="1"/>
    <col min="7190" max="7190" width="16.140625" style="2177" bestFit="1" customWidth="1"/>
    <col min="7191" max="7417" width="9.140625" style="2177"/>
    <col min="7418" max="7418" width="24" style="2177" bestFit="1" customWidth="1"/>
    <col min="7419" max="7419" width="43.85546875" style="2177" customWidth="1"/>
    <col min="7420" max="7420" width="19.7109375" style="2177" bestFit="1" customWidth="1"/>
    <col min="7421" max="7421" width="15.28515625" style="2177" bestFit="1" customWidth="1"/>
    <col min="7422" max="7422" width="17.5703125" style="2177" bestFit="1" customWidth="1"/>
    <col min="7423" max="7423" width="13.42578125" style="2177" customWidth="1"/>
    <col min="7424" max="7424" width="15.28515625" style="2177" bestFit="1" customWidth="1"/>
    <col min="7425" max="7425" width="14.140625" style="2177" bestFit="1" customWidth="1"/>
    <col min="7426" max="7426" width="15.28515625" style="2177" customWidth="1"/>
    <col min="7427" max="7427" width="15.85546875" style="2177" customWidth="1"/>
    <col min="7428" max="7428" width="17" style="2177" bestFit="1" customWidth="1"/>
    <col min="7429" max="7429" width="12.7109375" style="2177" customWidth="1"/>
    <col min="7430" max="7430" width="13.7109375" style="2177" customWidth="1"/>
    <col min="7431" max="7431" width="13.85546875" style="2177" bestFit="1" customWidth="1"/>
    <col min="7432" max="7432" width="16.5703125" style="2177" customWidth="1"/>
    <col min="7433" max="7433" width="16.140625" style="2177" customWidth="1"/>
    <col min="7434" max="7434" width="16.7109375" style="2177" bestFit="1" customWidth="1"/>
    <col min="7435" max="7435" width="15.5703125" style="2177" bestFit="1" customWidth="1"/>
    <col min="7436" max="7436" width="18" style="2177" customWidth="1"/>
    <col min="7437" max="7437" width="16.42578125" style="2177" bestFit="1" customWidth="1"/>
    <col min="7438" max="7438" width="14.28515625" style="2177" customWidth="1"/>
    <col min="7439" max="7439" width="12.85546875" style="2177" bestFit="1" customWidth="1"/>
    <col min="7440" max="7440" width="11.28515625" style="2177" bestFit="1" customWidth="1"/>
    <col min="7441" max="7441" width="12.5703125" style="2177" bestFit="1" customWidth="1"/>
    <col min="7442" max="7442" width="14" style="2177" bestFit="1" customWidth="1"/>
    <col min="7443" max="7443" width="6" style="2177" bestFit="1" customWidth="1"/>
    <col min="7444" max="7444" width="15" style="2177" customWidth="1"/>
    <col min="7445" max="7445" width="14.85546875" style="2177" bestFit="1" customWidth="1"/>
    <col min="7446" max="7446" width="16.140625" style="2177" bestFit="1" customWidth="1"/>
    <col min="7447" max="7673" width="9.140625" style="2177"/>
    <col min="7674" max="7674" width="24" style="2177" bestFit="1" customWidth="1"/>
    <col min="7675" max="7675" width="43.85546875" style="2177" customWidth="1"/>
    <col min="7676" max="7676" width="19.7109375" style="2177" bestFit="1" customWidth="1"/>
    <col min="7677" max="7677" width="15.28515625" style="2177" bestFit="1" customWidth="1"/>
    <col min="7678" max="7678" width="17.5703125" style="2177" bestFit="1" customWidth="1"/>
    <col min="7679" max="7679" width="13.42578125" style="2177" customWidth="1"/>
    <col min="7680" max="7680" width="15.28515625" style="2177" bestFit="1" customWidth="1"/>
    <col min="7681" max="7681" width="14.140625" style="2177" bestFit="1" customWidth="1"/>
    <col min="7682" max="7682" width="15.28515625" style="2177" customWidth="1"/>
    <col min="7683" max="7683" width="15.85546875" style="2177" customWidth="1"/>
    <col min="7684" max="7684" width="17" style="2177" bestFit="1" customWidth="1"/>
    <col min="7685" max="7685" width="12.7109375" style="2177" customWidth="1"/>
    <col min="7686" max="7686" width="13.7109375" style="2177" customWidth="1"/>
    <col min="7687" max="7687" width="13.85546875" style="2177" bestFit="1" customWidth="1"/>
    <col min="7688" max="7688" width="16.5703125" style="2177" customWidth="1"/>
    <col min="7689" max="7689" width="16.140625" style="2177" customWidth="1"/>
    <col min="7690" max="7690" width="16.7109375" style="2177" bestFit="1" customWidth="1"/>
    <col min="7691" max="7691" width="15.5703125" style="2177" bestFit="1" customWidth="1"/>
    <col min="7692" max="7692" width="18" style="2177" customWidth="1"/>
    <col min="7693" max="7693" width="16.42578125" style="2177" bestFit="1" customWidth="1"/>
    <col min="7694" max="7694" width="14.28515625" style="2177" customWidth="1"/>
    <col min="7695" max="7695" width="12.85546875" style="2177" bestFit="1" customWidth="1"/>
    <col min="7696" max="7696" width="11.28515625" style="2177" bestFit="1" customWidth="1"/>
    <col min="7697" max="7697" width="12.5703125" style="2177" bestFit="1" customWidth="1"/>
    <col min="7698" max="7698" width="14" style="2177" bestFit="1" customWidth="1"/>
    <col min="7699" max="7699" width="6" style="2177" bestFit="1" customWidth="1"/>
    <col min="7700" max="7700" width="15" style="2177" customWidth="1"/>
    <col min="7701" max="7701" width="14.85546875" style="2177" bestFit="1" customWidth="1"/>
    <col min="7702" max="7702" width="16.140625" style="2177" bestFit="1" customWidth="1"/>
    <col min="7703" max="7929" width="9.140625" style="2177"/>
    <col min="7930" max="7930" width="24" style="2177" bestFit="1" customWidth="1"/>
    <col min="7931" max="7931" width="43.85546875" style="2177" customWidth="1"/>
    <col min="7932" max="7932" width="19.7109375" style="2177" bestFit="1" customWidth="1"/>
    <col min="7933" max="7933" width="15.28515625" style="2177" bestFit="1" customWidth="1"/>
    <col min="7934" max="7934" width="17.5703125" style="2177" bestFit="1" customWidth="1"/>
    <col min="7935" max="7935" width="13.42578125" style="2177" customWidth="1"/>
    <col min="7936" max="7936" width="15.28515625" style="2177" bestFit="1" customWidth="1"/>
    <col min="7937" max="7937" width="14.140625" style="2177" bestFit="1" customWidth="1"/>
    <col min="7938" max="7938" width="15.28515625" style="2177" customWidth="1"/>
    <col min="7939" max="7939" width="15.85546875" style="2177" customWidth="1"/>
    <col min="7940" max="7940" width="17" style="2177" bestFit="1" customWidth="1"/>
    <col min="7941" max="7941" width="12.7109375" style="2177" customWidth="1"/>
    <col min="7942" max="7942" width="13.7109375" style="2177" customWidth="1"/>
    <col min="7943" max="7943" width="13.85546875" style="2177" bestFit="1" customWidth="1"/>
    <col min="7944" max="7944" width="16.5703125" style="2177" customWidth="1"/>
    <col min="7945" max="7945" width="16.140625" style="2177" customWidth="1"/>
    <col min="7946" max="7946" width="16.7109375" style="2177" bestFit="1" customWidth="1"/>
    <col min="7947" max="7947" width="15.5703125" style="2177" bestFit="1" customWidth="1"/>
    <col min="7948" max="7948" width="18" style="2177" customWidth="1"/>
    <col min="7949" max="7949" width="16.42578125" style="2177" bestFit="1" customWidth="1"/>
    <col min="7950" max="7950" width="14.28515625" style="2177" customWidth="1"/>
    <col min="7951" max="7951" width="12.85546875" style="2177" bestFit="1" customWidth="1"/>
    <col min="7952" max="7952" width="11.28515625" style="2177" bestFit="1" customWidth="1"/>
    <col min="7953" max="7953" width="12.5703125" style="2177" bestFit="1" customWidth="1"/>
    <col min="7954" max="7954" width="14" style="2177" bestFit="1" customWidth="1"/>
    <col min="7955" max="7955" width="6" style="2177" bestFit="1" customWidth="1"/>
    <col min="7956" max="7956" width="15" style="2177" customWidth="1"/>
    <col min="7957" max="7957" width="14.85546875" style="2177" bestFit="1" customWidth="1"/>
    <col min="7958" max="7958" width="16.140625" style="2177" bestFit="1" customWidth="1"/>
    <col min="7959" max="8185" width="9.140625" style="2177"/>
    <col min="8186" max="8186" width="24" style="2177" bestFit="1" customWidth="1"/>
    <col min="8187" max="8187" width="43.85546875" style="2177" customWidth="1"/>
    <col min="8188" max="8188" width="19.7109375" style="2177" bestFit="1" customWidth="1"/>
    <col min="8189" max="8189" width="15.28515625" style="2177" bestFit="1" customWidth="1"/>
    <col min="8190" max="8190" width="17.5703125" style="2177" bestFit="1" customWidth="1"/>
    <col min="8191" max="8191" width="13.42578125" style="2177" customWidth="1"/>
    <col min="8192" max="8192" width="15.28515625" style="2177" bestFit="1" customWidth="1"/>
    <col min="8193" max="8193" width="14.140625" style="2177" bestFit="1" customWidth="1"/>
    <col min="8194" max="8194" width="15.28515625" style="2177" customWidth="1"/>
    <col min="8195" max="8195" width="15.85546875" style="2177" customWidth="1"/>
    <col min="8196" max="8196" width="17" style="2177" bestFit="1" customWidth="1"/>
    <col min="8197" max="8197" width="12.7109375" style="2177" customWidth="1"/>
    <col min="8198" max="8198" width="13.7109375" style="2177" customWidth="1"/>
    <col min="8199" max="8199" width="13.85546875" style="2177" bestFit="1" customWidth="1"/>
    <col min="8200" max="8200" width="16.5703125" style="2177" customWidth="1"/>
    <col min="8201" max="8201" width="16.140625" style="2177" customWidth="1"/>
    <col min="8202" max="8202" width="16.7109375" style="2177" bestFit="1" customWidth="1"/>
    <col min="8203" max="8203" width="15.5703125" style="2177" bestFit="1" customWidth="1"/>
    <col min="8204" max="8204" width="18" style="2177" customWidth="1"/>
    <col min="8205" max="8205" width="16.42578125" style="2177" bestFit="1" customWidth="1"/>
    <col min="8206" max="8206" width="14.28515625" style="2177" customWidth="1"/>
    <col min="8207" max="8207" width="12.85546875" style="2177" bestFit="1" customWidth="1"/>
    <col min="8208" max="8208" width="11.28515625" style="2177" bestFit="1" customWidth="1"/>
    <col min="8209" max="8209" width="12.5703125" style="2177" bestFit="1" customWidth="1"/>
    <col min="8210" max="8210" width="14" style="2177" bestFit="1" customWidth="1"/>
    <col min="8211" max="8211" width="6" style="2177" bestFit="1" customWidth="1"/>
    <col min="8212" max="8212" width="15" style="2177" customWidth="1"/>
    <col min="8213" max="8213" width="14.85546875" style="2177" bestFit="1" customWidth="1"/>
    <col min="8214" max="8214" width="16.140625" style="2177" bestFit="1" customWidth="1"/>
    <col min="8215" max="8441" width="9.140625" style="2177"/>
    <col min="8442" max="8442" width="24" style="2177" bestFit="1" customWidth="1"/>
    <col min="8443" max="8443" width="43.85546875" style="2177" customWidth="1"/>
    <col min="8444" max="8444" width="19.7109375" style="2177" bestFit="1" customWidth="1"/>
    <col min="8445" max="8445" width="15.28515625" style="2177" bestFit="1" customWidth="1"/>
    <col min="8446" max="8446" width="17.5703125" style="2177" bestFit="1" customWidth="1"/>
    <col min="8447" max="8447" width="13.42578125" style="2177" customWidth="1"/>
    <col min="8448" max="8448" width="15.28515625" style="2177" bestFit="1" customWidth="1"/>
    <col min="8449" max="8449" width="14.140625" style="2177" bestFit="1" customWidth="1"/>
    <col min="8450" max="8450" width="15.28515625" style="2177" customWidth="1"/>
    <col min="8451" max="8451" width="15.85546875" style="2177" customWidth="1"/>
    <col min="8452" max="8452" width="17" style="2177" bestFit="1" customWidth="1"/>
    <col min="8453" max="8453" width="12.7109375" style="2177" customWidth="1"/>
    <col min="8454" max="8454" width="13.7109375" style="2177" customWidth="1"/>
    <col min="8455" max="8455" width="13.85546875" style="2177" bestFit="1" customWidth="1"/>
    <col min="8456" max="8456" width="16.5703125" style="2177" customWidth="1"/>
    <col min="8457" max="8457" width="16.140625" style="2177" customWidth="1"/>
    <col min="8458" max="8458" width="16.7109375" style="2177" bestFit="1" customWidth="1"/>
    <col min="8459" max="8459" width="15.5703125" style="2177" bestFit="1" customWidth="1"/>
    <col min="8460" max="8460" width="18" style="2177" customWidth="1"/>
    <col min="8461" max="8461" width="16.42578125" style="2177" bestFit="1" customWidth="1"/>
    <col min="8462" max="8462" width="14.28515625" style="2177" customWidth="1"/>
    <col min="8463" max="8463" width="12.85546875" style="2177" bestFit="1" customWidth="1"/>
    <col min="8464" max="8464" width="11.28515625" style="2177" bestFit="1" customWidth="1"/>
    <col min="8465" max="8465" width="12.5703125" style="2177" bestFit="1" customWidth="1"/>
    <col min="8466" max="8466" width="14" style="2177" bestFit="1" customWidth="1"/>
    <col min="8467" max="8467" width="6" style="2177" bestFit="1" customWidth="1"/>
    <col min="8468" max="8468" width="15" style="2177" customWidth="1"/>
    <col min="8469" max="8469" width="14.85546875" style="2177" bestFit="1" customWidth="1"/>
    <col min="8470" max="8470" width="16.140625" style="2177" bestFit="1" customWidth="1"/>
    <col min="8471" max="8697" width="9.140625" style="2177"/>
    <col min="8698" max="8698" width="24" style="2177" bestFit="1" customWidth="1"/>
    <col min="8699" max="8699" width="43.85546875" style="2177" customWidth="1"/>
    <col min="8700" max="8700" width="19.7109375" style="2177" bestFit="1" customWidth="1"/>
    <col min="8701" max="8701" width="15.28515625" style="2177" bestFit="1" customWidth="1"/>
    <col min="8702" max="8702" width="17.5703125" style="2177" bestFit="1" customWidth="1"/>
    <col min="8703" max="8703" width="13.42578125" style="2177" customWidth="1"/>
    <col min="8704" max="8704" width="15.28515625" style="2177" bestFit="1" customWidth="1"/>
    <col min="8705" max="8705" width="14.140625" style="2177" bestFit="1" customWidth="1"/>
    <col min="8706" max="8706" width="15.28515625" style="2177" customWidth="1"/>
    <col min="8707" max="8707" width="15.85546875" style="2177" customWidth="1"/>
    <col min="8708" max="8708" width="17" style="2177" bestFit="1" customWidth="1"/>
    <col min="8709" max="8709" width="12.7109375" style="2177" customWidth="1"/>
    <col min="8710" max="8710" width="13.7109375" style="2177" customWidth="1"/>
    <col min="8711" max="8711" width="13.85546875" style="2177" bestFit="1" customWidth="1"/>
    <col min="8712" max="8712" width="16.5703125" style="2177" customWidth="1"/>
    <col min="8713" max="8713" width="16.140625" style="2177" customWidth="1"/>
    <col min="8714" max="8714" width="16.7109375" style="2177" bestFit="1" customWidth="1"/>
    <col min="8715" max="8715" width="15.5703125" style="2177" bestFit="1" customWidth="1"/>
    <col min="8716" max="8716" width="18" style="2177" customWidth="1"/>
    <col min="8717" max="8717" width="16.42578125" style="2177" bestFit="1" customWidth="1"/>
    <col min="8718" max="8718" width="14.28515625" style="2177" customWidth="1"/>
    <col min="8719" max="8719" width="12.85546875" style="2177" bestFit="1" customWidth="1"/>
    <col min="8720" max="8720" width="11.28515625" style="2177" bestFit="1" customWidth="1"/>
    <col min="8721" max="8721" width="12.5703125" style="2177" bestFit="1" customWidth="1"/>
    <col min="8722" max="8722" width="14" style="2177" bestFit="1" customWidth="1"/>
    <col min="8723" max="8723" width="6" style="2177" bestFit="1" customWidth="1"/>
    <col min="8724" max="8724" width="15" style="2177" customWidth="1"/>
    <col min="8725" max="8725" width="14.85546875" style="2177" bestFit="1" customWidth="1"/>
    <col min="8726" max="8726" width="16.140625" style="2177" bestFit="1" customWidth="1"/>
    <col min="8727" max="8953" width="9.140625" style="2177"/>
    <col min="8954" max="8954" width="24" style="2177" bestFit="1" customWidth="1"/>
    <col min="8955" max="8955" width="43.85546875" style="2177" customWidth="1"/>
    <col min="8956" max="8956" width="19.7109375" style="2177" bestFit="1" customWidth="1"/>
    <col min="8957" max="8957" width="15.28515625" style="2177" bestFit="1" customWidth="1"/>
    <col min="8958" max="8958" width="17.5703125" style="2177" bestFit="1" customWidth="1"/>
    <col min="8959" max="8959" width="13.42578125" style="2177" customWidth="1"/>
    <col min="8960" max="8960" width="15.28515625" style="2177" bestFit="1" customWidth="1"/>
    <col min="8961" max="8961" width="14.140625" style="2177" bestFit="1" customWidth="1"/>
    <col min="8962" max="8962" width="15.28515625" style="2177" customWidth="1"/>
    <col min="8963" max="8963" width="15.85546875" style="2177" customWidth="1"/>
    <col min="8964" max="8964" width="17" style="2177" bestFit="1" customWidth="1"/>
    <col min="8965" max="8965" width="12.7109375" style="2177" customWidth="1"/>
    <col min="8966" max="8966" width="13.7109375" style="2177" customWidth="1"/>
    <col min="8967" max="8967" width="13.85546875" style="2177" bestFit="1" customWidth="1"/>
    <col min="8968" max="8968" width="16.5703125" style="2177" customWidth="1"/>
    <col min="8969" max="8969" width="16.140625" style="2177" customWidth="1"/>
    <col min="8970" max="8970" width="16.7109375" style="2177" bestFit="1" customWidth="1"/>
    <col min="8971" max="8971" width="15.5703125" style="2177" bestFit="1" customWidth="1"/>
    <col min="8972" max="8972" width="18" style="2177" customWidth="1"/>
    <col min="8973" max="8973" width="16.42578125" style="2177" bestFit="1" customWidth="1"/>
    <col min="8974" max="8974" width="14.28515625" style="2177" customWidth="1"/>
    <col min="8975" max="8975" width="12.85546875" style="2177" bestFit="1" customWidth="1"/>
    <col min="8976" max="8976" width="11.28515625" style="2177" bestFit="1" customWidth="1"/>
    <col min="8977" max="8977" width="12.5703125" style="2177" bestFit="1" customWidth="1"/>
    <col min="8978" max="8978" width="14" style="2177" bestFit="1" customWidth="1"/>
    <col min="8979" max="8979" width="6" style="2177" bestFit="1" customWidth="1"/>
    <col min="8980" max="8980" width="15" style="2177" customWidth="1"/>
    <col min="8981" max="8981" width="14.85546875" style="2177" bestFit="1" customWidth="1"/>
    <col min="8982" max="8982" width="16.140625" style="2177" bestFit="1" customWidth="1"/>
    <col min="8983" max="9209" width="9.140625" style="2177"/>
    <col min="9210" max="9210" width="24" style="2177" bestFit="1" customWidth="1"/>
    <col min="9211" max="9211" width="43.85546875" style="2177" customWidth="1"/>
    <col min="9212" max="9212" width="19.7109375" style="2177" bestFit="1" customWidth="1"/>
    <col min="9213" max="9213" width="15.28515625" style="2177" bestFit="1" customWidth="1"/>
    <col min="9214" max="9214" width="17.5703125" style="2177" bestFit="1" customWidth="1"/>
    <col min="9215" max="9215" width="13.42578125" style="2177" customWidth="1"/>
    <col min="9216" max="9216" width="15.28515625" style="2177" bestFit="1" customWidth="1"/>
    <col min="9217" max="9217" width="14.140625" style="2177" bestFit="1" customWidth="1"/>
    <col min="9218" max="9218" width="15.28515625" style="2177" customWidth="1"/>
    <col min="9219" max="9219" width="15.85546875" style="2177" customWidth="1"/>
    <col min="9220" max="9220" width="17" style="2177" bestFit="1" customWidth="1"/>
    <col min="9221" max="9221" width="12.7109375" style="2177" customWidth="1"/>
    <col min="9222" max="9222" width="13.7109375" style="2177" customWidth="1"/>
    <col min="9223" max="9223" width="13.85546875" style="2177" bestFit="1" customWidth="1"/>
    <col min="9224" max="9224" width="16.5703125" style="2177" customWidth="1"/>
    <col min="9225" max="9225" width="16.140625" style="2177" customWidth="1"/>
    <col min="9226" max="9226" width="16.7109375" style="2177" bestFit="1" customWidth="1"/>
    <col min="9227" max="9227" width="15.5703125" style="2177" bestFit="1" customWidth="1"/>
    <col min="9228" max="9228" width="18" style="2177" customWidth="1"/>
    <col min="9229" max="9229" width="16.42578125" style="2177" bestFit="1" customWidth="1"/>
    <col min="9230" max="9230" width="14.28515625" style="2177" customWidth="1"/>
    <col min="9231" max="9231" width="12.85546875" style="2177" bestFit="1" customWidth="1"/>
    <col min="9232" max="9232" width="11.28515625" style="2177" bestFit="1" customWidth="1"/>
    <col min="9233" max="9233" width="12.5703125" style="2177" bestFit="1" customWidth="1"/>
    <col min="9234" max="9234" width="14" style="2177" bestFit="1" customWidth="1"/>
    <col min="9235" max="9235" width="6" style="2177" bestFit="1" customWidth="1"/>
    <col min="9236" max="9236" width="15" style="2177" customWidth="1"/>
    <col min="9237" max="9237" width="14.85546875" style="2177" bestFit="1" customWidth="1"/>
    <col min="9238" max="9238" width="16.140625" style="2177" bestFit="1" customWidth="1"/>
    <col min="9239" max="9465" width="9.140625" style="2177"/>
    <col min="9466" max="9466" width="24" style="2177" bestFit="1" customWidth="1"/>
    <col min="9467" max="9467" width="43.85546875" style="2177" customWidth="1"/>
    <col min="9468" max="9468" width="19.7109375" style="2177" bestFit="1" customWidth="1"/>
    <col min="9469" max="9469" width="15.28515625" style="2177" bestFit="1" customWidth="1"/>
    <col min="9470" max="9470" width="17.5703125" style="2177" bestFit="1" customWidth="1"/>
    <col min="9471" max="9471" width="13.42578125" style="2177" customWidth="1"/>
    <col min="9472" max="9472" width="15.28515625" style="2177" bestFit="1" customWidth="1"/>
    <col min="9473" max="9473" width="14.140625" style="2177" bestFit="1" customWidth="1"/>
    <col min="9474" max="9474" width="15.28515625" style="2177" customWidth="1"/>
    <col min="9475" max="9475" width="15.85546875" style="2177" customWidth="1"/>
    <col min="9476" max="9476" width="17" style="2177" bestFit="1" customWidth="1"/>
    <col min="9477" max="9477" width="12.7109375" style="2177" customWidth="1"/>
    <col min="9478" max="9478" width="13.7109375" style="2177" customWidth="1"/>
    <col min="9479" max="9479" width="13.85546875" style="2177" bestFit="1" customWidth="1"/>
    <col min="9480" max="9480" width="16.5703125" style="2177" customWidth="1"/>
    <col min="9481" max="9481" width="16.140625" style="2177" customWidth="1"/>
    <col min="9482" max="9482" width="16.7109375" style="2177" bestFit="1" customWidth="1"/>
    <col min="9483" max="9483" width="15.5703125" style="2177" bestFit="1" customWidth="1"/>
    <col min="9484" max="9484" width="18" style="2177" customWidth="1"/>
    <col min="9485" max="9485" width="16.42578125" style="2177" bestFit="1" customWidth="1"/>
    <col min="9486" max="9486" width="14.28515625" style="2177" customWidth="1"/>
    <col min="9487" max="9487" width="12.85546875" style="2177" bestFit="1" customWidth="1"/>
    <col min="9488" max="9488" width="11.28515625" style="2177" bestFit="1" customWidth="1"/>
    <col min="9489" max="9489" width="12.5703125" style="2177" bestFit="1" customWidth="1"/>
    <col min="9490" max="9490" width="14" style="2177" bestFit="1" customWidth="1"/>
    <col min="9491" max="9491" width="6" style="2177" bestFit="1" customWidth="1"/>
    <col min="9492" max="9492" width="15" style="2177" customWidth="1"/>
    <col min="9493" max="9493" width="14.85546875" style="2177" bestFit="1" customWidth="1"/>
    <col min="9494" max="9494" width="16.140625" style="2177" bestFit="1" customWidth="1"/>
    <col min="9495" max="9721" width="9.140625" style="2177"/>
    <col min="9722" max="9722" width="24" style="2177" bestFit="1" customWidth="1"/>
    <col min="9723" max="9723" width="43.85546875" style="2177" customWidth="1"/>
    <col min="9724" max="9724" width="19.7109375" style="2177" bestFit="1" customWidth="1"/>
    <col min="9725" max="9725" width="15.28515625" style="2177" bestFit="1" customWidth="1"/>
    <col min="9726" max="9726" width="17.5703125" style="2177" bestFit="1" customWidth="1"/>
    <col min="9727" max="9727" width="13.42578125" style="2177" customWidth="1"/>
    <col min="9728" max="9728" width="15.28515625" style="2177" bestFit="1" customWidth="1"/>
    <col min="9729" max="9729" width="14.140625" style="2177" bestFit="1" customWidth="1"/>
    <col min="9730" max="9730" width="15.28515625" style="2177" customWidth="1"/>
    <col min="9731" max="9731" width="15.85546875" style="2177" customWidth="1"/>
    <col min="9732" max="9732" width="17" style="2177" bestFit="1" customWidth="1"/>
    <col min="9733" max="9733" width="12.7109375" style="2177" customWidth="1"/>
    <col min="9734" max="9734" width="13.7109375" style="2177" customWidth="1"/>
    <col min="9735" max="9735" width="13.85546875" style="2177" bestFit="1" customWidth="1"/>
    <col min="9736" max="9736" width="16.5703125" style="2177" customWidth="1"/>
    <col min="9737" max="9737" width="16.140625" style="2177" customWidth="1"/>
    <col min="9738" max="9738" width="16.7109375" style="2177" bestFit="1" customWidth="1"/>
    <col min="9739" max="9739" width="15.5703125" style="2177" bestFit="1" customWidth="1"/>
    <col min="9740" max="9740" width="18" style="2177" customWidth="1"/>
    <col min="9741" max="9741" width="16.42578125" style="2177" bestFit="1" customWidth="1"/>
    <col min="9742" max="9742" width="14.28515625" style="2177" customWidth="1"/>
    <col min="9743" max="9743" width="12.85546875" style="2177" bestFit="1" customWidth="1"/>
    <col min="9744" max="9744" width="11.28515625" style="2177" bestFit="1" customWidth="1"/>
    <col min="9745" max="9745" width="12.5703125" style="2177" bestFit="1" customWidth="1"/>
    <col min="9746" max="9746" width="14" style="2177" bestFit="1" customWidth="1"/>
    <col min="9747" max="9747" width="6" style="2177" bestFit="1" customWidth="1"/>
    <col min="9748" max="9748" width="15" style="2177" customWidth="1"/>
    <col min="9749" max="9749" width="14.85546875" style="2177" bestFit="1" customWidth="1"/>
    <col min="9750" max="9750" width="16.140625" style="2177" bestFit="1" customWidth="1"/>
    <col min="9751" max="9977" width="9.140625" style="2177"/>
    <col min="9978" max="9978" width="24" style="2177" bestFit="1" customWidth="1"/>
    <col min="9979" max="9979" width="43.85546875" style="2177" customWidth="1"/>
    <col min="9980" max="9980" width="19.7109375" style="2177" bestFit="1" customWidth="1"/>
    <col min="9981" max="9981" width="15.28515625" style="2177" bestFit="1" customWidth="1"/>
    <col min="9982" max="9982" width="17.5703125" style="2177" bestFit="1" customWidth="1"/>
    <col min="9983" max="9983" width="13.42578125" style="2177" customWidth="1"/>
    <col min="9984" max="9984" width="15.28515625" style="2177" bestFit="1" customWidth="1"/>
    <col min="9985" max="9985" width="14.140625" style="2177" bestFit="1" customWidth="1"/>
    <col min="9986" max="9986" width="15.28515625" style="2177" customWidth="1"/>
    <col min="9987" max="9987" width="15.85546875" style="2177" customWidth="1"/>
    <col min="9988" max="9988" width="17" style="2177" bestFit="1" customWidth="1"/>
    <col min="9989" max="9989" width="12.7109375" style="2177" customWidth="1"/>
    <col min="9990" max="9990" width="13.7109375" style="2177" customWidth="1"/>
    <col min="9991" max="9991" width="13.85546875" style="2177" bestFit="1" customWidth="1"/>
    <col min="9992" max="9992" width="16.5703125" style="2177" customWidth="1"/>
    <col min="9993" max="9993" width="16.140625" style="2177" customWidth="1"/>
    <col min="9994" max="9994" width="16.7109375" style="2177" bestFit="1" customWidth="1"/>
    <col min="9995" max="9995" width="15.5703125" style="2177" bestFit="1" customWidth="1"/>
    <col min="9996" max="9996" width="18" style="2177" customWidth="1"/>
    <col min="9997" max="9997" width="16.42578125" style="2177" bestFit="1" customWidth="1"/>
    <col min="9998" max="9998" width="14.28515625" style="2177" customWidth="1"/>
    <col min="9999" max="9999" width="12.85546875" style="2177" bestFit="1" customWidth="1"/>
    <col min="10000" max="10000" width="11.28515625" style="2177" bestFit="1" customWidth="1"/>
    <col min="10001" max="10001" width="12.5703125" style="2177" bestFit="1" customWidth="1"/>
    <col min="10002" max="10002" width="14" style="2177" bestFit="1" customWidth="1"/>
    <col min="10003" max="10003" width="6" style="2177" bestFit="1" customWidth="1"/>
    <col min="10004" max="10004" width="15" style="2177" customWidth="1"/>
    <col min="10005" max="10005" width="14.85546875" style="2177" bestFit="1" customWidth="1"/>
    <col min="10006" max="10006" width="16.140625" style="2177" bestFit="1" customWidth="1"/>
    <col min="10007" max="10233" width="9.140625" style="2177"/>
    <col min="10234" max="10234" width="24" style="2177" bestFit="1" customWidth="1"/>
    <col min="10235" max="10235" width="43.85546875" style="2177" customWidth="1"/>
    <col min="10236" max="10236" width="19.7109375" style="2177" bestFit="1" customWidth="1"/>
    <col min="10237" max="10237" width="15.28515625" style="2177" bestFit="1" customWidth="1"/>
    <col min="10238" max="10238" width="17.5703125" style="2177" bestFit="1" customWidth="1"/>
    <col min="10239" max="10239" width="13.42578125" style="2177" customWidth="1"/>
    <col min="10240" max="10240" width="15.28515625" style="2177" bestFit="1" customWidth="1"/>
    <col min="10241" max="10241" width="14.140625" style="2177" bestFit="1" customWidth="1"/>
    <col min="10242" max="10242" width="15.28515625" style="2177" customWidth="1"/>
    <col min="10243" max="10243" width="15.85546875" style="2177" customWidth="1"/>
    <col min="10244" max="10244" width="17" style="2177" bestFit="1" customWidth="1"/>
    <col min="10245" max="10245" width="12.7109375" style="2177" customWidth="1"/>
    <col min="10246" max="10246" width="13.7109375" style="2177" customWidth="1"/>
    <col min="10247" max="10247" width="13.85546875" style="2177" bestFit="1" customWidth="1"/>
    <col min="10248" max="10248" width="16.5703125" style="2177" customWidth="1"/>
    <col min="10249" max="10249" width="16.140625" style="2177" customWidth="1"/>
    <col min="10250" max="10250" width="16.7109375" style="2177" bestFit="1" customWidth="1"/>
    <col min="10251" max="10251" width="15.5703125" style="2177" bestFit="1" customWidth="1"/>
    <col min="10252" max="10252" width="18" style="2177" customWidth="1"/>
    <col min="10253" max="10253" width="16.42578125" style="2177" bestFit="1" customWidth="1"/>
    <col min="10254" max="10254" width="14.28515625" style="2177" customWidth="1"/>
    <col min="10255" max="10255" width="12.85546875" style="2177" bestFit="1" customWidth="1"/>
    <col min="10256" max="10256" width="11.28515625" style="2177" bestFit="1" customWidth="1"/>
    <col min="10257" max="10257" width="12.5703125" style="2177" bestFit="1" customWidth="1"/>
    <col min="10258" max="10258" width="14" style="2177" bestFit="1" customWidth="1"/>
    <col min="10259" max="10259" width="6" style="2177" bestFit="1" customWidth="1"/>
    <col min="10260" max="10260" width="15" style="2177" customWidth="1"/>
    <col min="10261" max="10261" width="14.85546875" style="2177" bestFit="1" customWidth="1"/>
    <col min="10262" max="10262" width="16.140625" style="2177" bestFit="1" customWidth="1"/>
    <col min="10263" max="10489" width="9.140625" style="2177"/>
    <col min="10490" max="10490" width="24" style="2177" bestFit="1" customWidth="1"/>
    <col min="10491" max="10491" width="43.85546875" style="2177" customWidth="1"/>
    <col min="10492" max="10492" width="19.7109375" style="2177" bestFit="1" customWidth="1"/>
    <col min="10493" max="10493" width="15.28515625" style="2177" bestFit="1" customWidth="1"/>
    <col min="10494" max="10494" width="17.5703125" style="2177" bestFit="1" customWidth="1"/>
    <col min="10495" max="10495" width="13.42578125" style="2177" customWidth="1"/>
    <col min="10496" max="10496" width="15.28515625" style="2177" bestFit="1" customWidth="1"/>
    <col min="10497" max="10497" width="14.140625" style="2177" bestFit="1" customWidth="1"/>
    <col min="10498" max="10498" width="15.28515625" style="2177" customWidth="1"/>
    <col min="10499" max="10499" width="15.85546875" style="2177" customWidth="1"/>
    <col min="10500" max="10500" width="17" style="2177" bestFit="1" customWidth="1"/>
    <col min="10501" max="10501" width="12.7109375" style="2177" customWidth="1"/>
    <col min="10502" max="10502" width="13.7109375" style="2177" customWidth="1"/>
    <col min="10503" max="10503" width="13.85546875" style="2177" bestFit="1" customWidth="1"/>
    <col min="10504" max="10504" width="16.5703125" style="2177" customWidth="1"/>
    <col min="10505" max="10505" width="16.140625" style="2177" customWidth="1"/>
    <col min="10506" max="10506" width="16.7109375" style="2177" bestFit="1" customWidth="1"/>
    <col min="10507" max="10507" width="15.5703125" style="2177" bestFit="1" customWidth="1"/>
    <col min="10508" max="10508" width="18" style="2177" customWidth="1"/>
    <col min="10509" max="10509" width="16.42578125" style="2177" bestFit="1" customWidth="1"/>
    <col min="10510" max="10510" width="14.28515625" style="2177" customWidth="1"/>
    <col min="10511" max="10511" width="12.85546875" style="2177" bestFit="1" customWidth="1"/>
    <col min="10512" max="10512" width="11.28515625" style="2177" bestFit="1" customWidth="1"/>
    <col min="10513" max="10513" width="12.5703125" style="2177" bestFit="1" customWidth="1"/>
    <col min="10514" max="10514" width="14" style="2177" bestFit="1" customWidth="1"/>
    <col min="10515" max="10515" width="6" style="2177" bestFit="1" customWidth="1"/>
    <col min="10516" max="10516" width="15" style="2177" customWidth="1"/>
    <col min="10517" max="10517" width="14.85546875" style="2177" bestFit="1" customWidth="1"/>
    <col min="10518" max="10518" width="16.140625" style="2177" bestFit="1" customWidth="1"/>
    <col min="10519" max="10745" width="9.140625" style="2177"/>
    <col min="10746" max="10746" width="24" style="2177" bestFit="1" customWidth="1"/>
    <col min="10747" max="10747" width="43.85546875" style="2177" customWidth="1"/>
    <col min="10748" max="10748" width="19.7109375" style="2177" bestFit="1" customWidth="1"/>
    <col min="10749" max="10749" width="15.28515625" style="2177" bestFit="1" customWidth="1"/>
    <col min="10750" max="10750" width="17.5703125" style="2177" bestFit="1" customWidth="1"/>
    <col min="10751" max="10751" width="13.42578125" style="2177" customWidth="1"/>
    <col min="10752" max="10752" width="15.28515625" style="2177" bestFit="1" customWidth="1"/>
    <col min="10753" max="10753" width="14.140625" style="2177" bestFit="1" customWidth="1"/>
    <col min="10754" max="10754" width="15.28515625" style="2177" customWidth="1"/>
    <col min="10755" max="10755" width="15.85546875" style="2177" customWidth="1"/>
    <col min="10756" max="10756" width="17" style="2177" bestFit="1" customWidth="1"/>
    <col min="10757" max="10757" width="12.7109375" style="2177" customWidth="1"/>
    <col min="10758" max="10758" width="13.7109375" style="2177" customWidth="1"/>
    <col min="10759" max="10759" width="13.85546875" style="2177" bestFit="1" customWidth="1"/>
    <col min="10760" max="10760" width="16.5703125" style="2177" customWidth="1"/>
    <col min="10761" max="10761" width="16.140625" style="2177" customWidth="1"/>
    <col min="10762" max="10762" width="16.7109375" style="2177" bestFit="1" customWidth="1"/>
    <col min="10763" max="10763" width="15.5703125" style="2177" bestFit="1" customWidth="1"/>
    <col min="10764" max="10764" width="18" style="2177" customWidth="1"/>
    <col min="10765" max="10765" width="16.42578125" style="2177" bestFit="1" customWidth="1"/>
    <col min="10766" max="10766" width="14.28515625" style="2177" customWidth="1"/>
    <col min="10767" max="10767" width="12.85546875" style="2177" bestFit="1" customWidth="1"/>
    <col min="10768" max="10768" width="11.28515625" style="2177" bestFit="1" customWidth="1"/>
    <col min="10769" max="10769" width="12.5703125" style="2177" bestFit="1" customWidth="1"/>
    <col min="10770" max="10770" width="14" style="2177" bestFit="1" customWidth="1"/>
    <col min="10771" max="10771" width="6" style="2177" bestFit="1" customWidth="1"/>
    <col min="10772" max="10772" width="15" style="2177" customWidth="1"/>
    <col min="10773" max="10773" width="14.85546875" style="2177" bestFit="1" customWidth="1"/>
    <col min="10774" max="10774" width="16.140625" style="2177" bestFit="1" customWidth="1"/>
    <col min="10775" max="11001" width="9.140625" style="2177"/>
    <col min="11002" max="11002" width="24" style="2177" bestFit="1" customWidth="1"/>
    <col min="11003" max="11003" width="43.85546875" style="2177" customWidth="1"/>
    <col min="11004" max="11004" width="19.7109375" style="2177" bestFit="1" customWidth="1"/>
    <col min="11005" max="11005" width="15.28515625" style="2177" bestFit="1" customWidth="1"/>
    <col min="11006" max="11006" width="17.5703125" style="2177" bestFit="1" customWidth="1"/>
    <col min="11007" max="11007" width="13.42578125" style="2177" customWidth="1"/>
    <col min="11008" max="11008" width="15.28515625" style="2177" bestFit="1" customWidth="1"/>
    <col min="11009" max="11009" width="14.140625" style="2177" bestFit="1" customWidth="1"/>
    <col min="11010" max="11010" width="15.28515625" style="2177" customWidth="1"/>
    <col min="11011" max="11011" width="15.85546875" style="2177" customWidth="1"/>
    <col min="11012" max="11012" width="17" style="2177" bestFit="1" customWidth="1"/>
    <col min="11013" max="11013" width="12.7109375" style="2177" customWidth="1"/>
    <col min="11014" max="11014" width="13.7109375" style="2177" customWidth="1"/>
    <col min="11015" max="11015" width="13.85546875" style="2177" bestFit="1" customWidth="1"/>
    <col min="11016" max="11016" width="16.5703125" style="2177" customWidth="1"/>
    <col min="11017" max="11017" width="16.140625" style="2177" customWidth="1"/>
    <col min="11018" max="11018" width="16.7109375" style="2177" bestFit="1" customWidth="1"/>
    <col min="11019" max="11019" width="15.5703125" style="2177" bestFit="1" customWidth="1"/>
    <col min="11020" max="11020" width="18" style="2177" customWidth="1"/>
    <col min="11021" max="11021" width="16.42578125" style="2177" bestFit="1" customWidth="1"/>
    <col min="11022" max="11022" width="14.28515625" style="2177" customWidth="1"/>
    <col min="11023" max="11023" width="12.85546875" style="2177" bestFit="1" customWidth="1"/>
    <col min="11024" max="11024" width="11.28515625" style="2177" bestFit="1" customWidth="1"/>
    <col min="11025" max="11025" width="12.5703125" style="2177" bestFit="1" customWidth="1"/>
    <col min="11026" max="11026" width="14" style="2177" bestFit="1" customWidth="1"/>
    <col min="11027" max="11027" width="6" style="2177" bestFit="1" customWidth="1"/>
    <col min="11028" max="11028" width="15" style="2177" customWidth="1"/>
    <col min="11029" max="11029" width="14.85546875" style="2177" bestFit="1" customWidth="1"/>
    <col min="11030" max="11030" width="16.140625" style="2177" bestFit="1" customWidth="1"/>
    <col min="11031" max="11257" width="9.140625" style="2177"/>
    <col min="11258" max="11258" width="24" style="2177" bestFit="1" customWidth="1"/>
    <col min="11259" max="11259" width="43.85546875" style="2177" customWidth="1"/>
    <col min="11260" max="11260" width="19.7109375" style="2177" bestFit="1" customWidth="1"/>
    <col min="11261" max="11261" width="15.28515625" style="2177" bestFit="1" customWidth="1"/>
    <col min="11262" max="11262" width="17.5703125" style="2177" bestFit="1" customWidth="1"/>
    <col min="11263" max="11263" width="13.42578125" style="2177" customWidth="1"/>
    <col min="11264" max="11264" width="15.28515625" style="2177" bestFit="1" customWidth="1"/>
    <col min="11265" max="11265" width="14.140625" style="2177" bestFit="1" customWidth="1"/>
    <col min="11266" max="11266" width="15.28515625" style="2177" customWidth="1"/>
    <col min="11267" max="11267" width="15.85546875" style="2177" customWidth="1"/>
    <col min="11268" max="11268" width="17" style="2177" bestFit="1" customWidth="1"/>
    <col min="11269" max="11269" width="12.7109375" style="2177" customWidth="1"/>
    <col min="11270" max="11270" width="13.7109375" style="2177" customWidth="1"/>
    <col min="11271" max="11271" width="13.85546875" style="2177" bestFit="1" customWidth="1"/>
    <col min="11272" max="11272" width="16.5703125" style="2177" customWidth="1"/>
    <col min="11273" max="11273" width="16.140625" style="2177" customWidth="1"/>
    <col min="11274" max="11274" width="16.7109375" style="2177" bestFit="1" customWidth="1"/>
    <col min="11275" max="11275" width="15.5703125" style="2177" bestFit="1" customWidth="1"/>
    <col min="11276" max="11276" width="18" style="2177" customWidth="1"/>
    <col min="11277" max="11277" width="16.42578125" style="2177" bestFit="1" customWidth="1"/>
    <col min="11278" max="11278" width="14.28515625" style="2177" customWidth="1"/>
    <col min="11279" max="11279" width="12.85546875" style="2177" bestFit="1" customWidth="1"/>
    <col min="11280" max="11280" width="11.28515625" style="2177" bestFit="1" customWidth="1"/>
    <col min="11281" max="11281" width="12.5703125" style="2177" bestFit="1" customWidth="1"/>
    <col min="11282" max="11282" width="14" style="2177" bestFit="1" customWidth="1"/>
    <col min="11283" max="11283" width="6" style="2177" bestFit="1" customWidth="1"/>
    <col min="11284" max="11284" width="15" style="2177" customWidth="1"/>
    <col min="11285" max="11285" width="14.85546875" style="2177" bestFit="1" customWidth="1"/>
    <col min="11286" max="11286" width="16.140625" style="2177" bestFit="1" customWidth="1"/>
    <col min="11287" max="11513" width="9.140625" style="2177"/>
    <col min="11514" max="11514" width="24" style="2177" bestFit="1" customWidth="1"/>
    <col min="11515" max="11515" width="43.85546875" style="2177" customWidth="1"/>
    <col min="11516" max="11516" width="19.7109375" style="2177" bestFit="1" customWidth="1"/>
    <col min="11517" max="11517" width="15.28515625" style="2177" bestFit="1" customWidth="1"/>
    <col min="11518" max="11518" width="17.5703125" style="2177" bestFit="1" customWidth="1"/>
    <col min="11519" max="11519" width="13.42578125" style="2177" customWidth="1"/>
    <col min="11520" max="11520" width="15.28515625" style="2177" bestFit="1" customWidth="1"/>
    <col min="11521" max="11521" width="14.140625" style="2177" bestFit="1" customWidth="1"/>
    <col min="11522" max="11522" width="15.28515625" style="2177" customWidth="1"/>
    <col min="11523" max="11523" width="15.85546875" style="2177" customWidth="1"/>
    <col min="11524" max="11524" width="17" style="2177" bestFit="1" customWidth="1"/>
    <col min="11525" max="11525" width="12.7109375" style="2177" customWidth="1"/>
    <col min="11526" max="11526" width="13.7109375" style="2177" customWidth="1"/>
    <col min="11527" max="11527" width="13.85546875" style="2177" bestFit="1" customWidth="1"/>
    <col min="11528" max="11528" width="16.5703125" style="2177" customWidth="1"/>
    <col min="11529" max="11529" width="16.140625" style="2177" customWidth="1"/>
    <col min="11530" max="11530" width="16.7109375" style="2177" bestFit="1" customWidth="1"/>
    <col min="11531" max="11531" width="15.5703125" style="2177" bestFit="1" customWidth="1"/>
    <col min="11532" max="11532" width="18" style="2177" customWidth="1"/>
    <col min="11533" max="11533" width="16.42578125" style="2177" bestFit="1" customWidth="1"/>
    <col min="11534" max="11534" width="14.28515625" style="2177" customWidth="1"/>
    <col min="11535" max="11535" width="12.85546875" style="2177" bestFit="1" customWidth="1"/>
    <col min="11536" max="11536" width="11.28515625" style="2177" bestFit="1" customWidth="1"/>
    <col min="11537" max="11537" width="12.5703125" style="2177" bestFit="1" customWidth="1"/>
    <col min="11538" max="11538" width="14" style="2177" bestFit="1" customWidth="1"/>
    <col min="11539" max="11539" width="6" style="2177" bestFit="1" customWidth="1"/>
    <col min="11540" max="11540" width="15" style="2177" customWidth="1"/>
    <col min="11541" max="11541" width="14.85546875" style="2177" bestFit="1" customWidth="1"/>
    <col min="11542" max="11542" width="16.140625" style="2177" bestFit="1" customWidth="1"/>
    <col min="11543" max="11769" width="9.140625" style="2177"/>
    <col min="11770" max="11770" width="24" style="2177" bestFit="1" customWidth="1"/>
    <col min="11771" max="11771" width="43.85546875" style="2177" customWidth="1"/>
    <col min="11772" max="11772" width="19.7109375" style="2177" bestFit="1" customWidth="1"/>
    <col min="11773" max="11773" width="15.28515625" style="2177" bestFit="1" customWidth="1"/>
    <col min="11774" max="11774" width="17.5703125" style="2177" bestFit="1" customWidth="1"/>
    <col min="11775" max="11775" width="13.42578125" style="2177" customWidth="1"/>
    <col min="11776" max="11776" width="15.28515625" style="2177" bestFit="1" customWidth="1"/>
    <col min="11777" max="11777" width="14.140625" style="2177" bestFit="1" customWidth="1"/>
    <col min="11778" max="11778" width="15.28515625" style="2177" customWidth="1"/>
    <col min="11779" max="11779" width="15.85546875" style="2177" customWidth="1"/>
    <col min="11780" max="11780" width="17" style="2177" bestFit="1" customWidth="1"/>
    <col min="11781" max="11781" width="12.7109375" style="2177" customWidth="1"/>
    <col min="11782" max="11782" width="13.7109375" style="2177" customWidth="1"/>
    <col min="11783" max="11783" width="13.85546875" style="2177" bestFit="1" customWidth="1"/>
    <col min="11784" max="11784" width="16.5703125" style="2177" customWidth="1"/>
    <col min="11785" max="11785" width="16.140625" style="2177" customWidth="1"/>
    <col min="11786" max="11786" width="16.7109375" style="2177" bestFit="1" customWidth="1"/>
    <col min="11787" max="11787" width="15.5703125" style="2177" bestFit="1" customWidth="1"/>
    <col min="11788" max="11788" width="18" style="2177" customWidth="1"/>
    <col min="11789" max="11789" width="16.42578125" style="2177" bestFit="1" customWidth="1"/>
    <col min="11790" max="11790" width="14.28515625" style="2177" customWidth="1"/>
    <col min="11791" max="11791" width="12.85546875" style="2177" bestFit="1" customWidth="1"/>
    <col min="11792" max="11792" width="11.28515625" style="2177" bestFit="1" customWidth="1"/>
    <col min="11793" max="11793" width="12.5703125" style="2177" bestFit="1" customWidth="1"/>
    <col min="11794" max="11794" width="14" style="2177" bestFit="1" customWidth="1"/>
    <col min="11795" max="11795" width="6" style="2177" bestFit="1" customWidth="1"/>
    <col min="11796" max="11796" width="15" style="2177" customWidth="1"/>
    <col min="11797" max="11797" width="14.85546875" style="2177" bestFit="1" customWidth="1"/>
    <col min="11798" max="11798" width="16.140625" style="2177" bestFit="1" customWidth="1"/>
    <col min="11799" max="12025" width="9.140625" style="2177"/>
    <col min="12026" max="12026" width="24" style="2177" bestFit="1" customWidth="1"/>
    <col min="12027" max="12027" width="43.85546875" style="2177" customWidth="1"/>
    <col min="12028" max="12028" width="19.7109375" style="2177" bestFit="1" customWidth="1"/>
    <col min="12029" max="12029" width="15.28515625" style="2177" bestFit="1" customWidth="1"/>
    <col min="12030" max="12030" width="17.5703125" style="2177" bestFit="1" customWidth="1"/>
    <col min="12031" max="12031" width="13.42578125" style="2177" customWidth="1"/>
    <col min="12032" max="12032" width="15.28515625" style="2177" bestFit="1" customWidth="1"/>
    <col min="12033" max="12033" width="14.140625" style="2177" bestFit="1" customWidth="1"/>
    <col min="12034" max="12034" width="15.28515625" style="2177" customWidth="1"/>
    <col min="12035" max="12035" width="15.85546875" style="2177" customWidth="1"/>
    <col min="12036" max="12036" width="17" style="2177" bestFit="1" customWidth="1"/>
    <col min="12037" max="12037" width="12.7109375" style="2177" customWidth="1"/>
    <col min="12038" max="12038" width="13.7109375" style="2177" customWidth="1"/>
    <col min="12039" max="12039" width="13.85546875" style="2177" bestFit="1" customWidth="1"/>
    <col min="12040" max="12040" width="16.5703125" style="2177" customWidth="1"/>
    <col min="12041" max="12041" width="16.140625" style="2177" customWidth="1"/>
    <col min="12042" max="12042" width="16.7109375" style="2177" bestFit="1" customWidth="1"/>
    <col min="12043" max="12043" width="15.5703125" style="2177" bestFit="1" customWidth="1"/>
    <col min="12044" max="12044" width="18" style="2177" customWidth="1"/>
    <col min="12045" max="12045" width="16.42578125" style="2177" bestFit="1" customWidth="1"/>
    <col min="12046" max="12046" width="14.28515625" style="2177" customWidth="1"/>
    <col min="12047" max="12047" width="12.85546875" style="2177" bestFit="1" customWidth="1"/>
    <col min="12048" max="12048" width="11.28515625" style="2177" bestFit="1" customWidth="1"/>
    <col min="12049" max="12049" width="12.5703125" style="2177" bestFit="1" customWidth="1"/>
    <col min="12050" max="12050" width="14" style="2177" bestFit="1" customWidth="1"/>
    <col min="12051" max="12051" width="6" style="2177" bestFit="1" customWidth="1"/>
    <col min="12052" max="12052" width="15" style="2177" customWidth="1"/>
    <col min="12053" max="12053" width="14.85546875" style="2177" bestFit="1" customWidth="1"/>
    <col min="12054" max="12054" width="16.140625" style="2177" bestFit="1" customWidth="1"/>
    <col min="12055" max="12281" width="9.140625" style="2177"/>
    <col min="12282" max="12282" width="24" style="2177" bestFit="1" customWidth="1"/>
    <col min="12283" max="12283" width="43.85546875" style="2177" customWidth="1"/>
    <col min="12284" max="12284" width="19.7109375" style="2177" bestFit="1" customWidth="1"/>
    <col min="12285" max="12285" width="15.28515625" style="2177" bestFit="1" customWidth="1"/>
    <col min="12286" max="12286" width="17.5703125" style="2177" bestFit="1" customWidth="1"/>
    <col min="12287" max="12287" width="13.42578125" style="2177" customWidth="1"/>
    <col min="12288" max="12288" width="15.28515625" style="2177" bestFit="1" customWidth="1"/>
    <col min="12289" max="12289" width="14.140625" style="2177" bestFit="1" customWidth="1"/>
    <col min="12290" max="12290" width="15.28515625" style="2177" customWidth="1"/>
    <col min="12291" max="12291" width="15.85546875" style="2177" customWidth="1"/>
    <col min="12292" max="12292" width="17" style="2177" bestFit="1" customWidth="1"/>
    <col min="12293" max="12293" width="12.7109375" style="2177" customWidth="1"/>
    <col min="12294" max="12294" width="13.7109375" style="2177" customWidth="1"/>
    <col min="12295" max="12295" width="13.85546875" style="2177" bestFit="1" customWidth="1"/>
    <col min="12296" max="12296" width="16.5703125" style="2177" customWidth="1"/>
    <col min="12297" max="12297" width="16.140625" style="2177" customWidth="1"/>
    <col min="12298" max="12298" width="16.7109375" style="2177" bestFit="1" customWidth="1"/>
    <col min="12299" max="12299" width="15.5703125" style="2177" bestFit="1" customWidth="1"/>
    <col min="12300" max="12300" width="18" style="2177" customWidth="1"/>
    <col min="12301" max="12301" width="16.42578125" style="2177" bestFit="1" customWidth="1"/>
    <col min="12302" max="12302" width="14.28515625" style="2177" customWidth="1"/>
    <col min="12303" max="12303" width="12.85546875" style="2177" bestFit="1" customWidth="1"/>
    <col min="12304" max="12304" width="11.28515625" style="2177" bestFit="1" customWidth="1"/>
    <col min="12305" max="12305" width="12.5703125" style="2177" bestFit="1" customWidth="1"/>
    <col min="12306" max="12306" width="14" style="2177" bestFit="1" customWidth="1"/>
    <col min="12307" max="12307" width="6" style="2177" bestFit="1" customWidth="1"/>
    <col min="12308" max="12308" width="15" style="2177" customWidth="1"/>
    <col min="12309" max="12309" width="14.85546875" style="2177" bestFit="1" customWidth="1"/>
    <col min="12310" max="12310" width="16.140625" style="2177" bestFit="1" customWidth="1"/>
    <col min="12311" max="12537" width="9.140625" style="2177"/>
    <col min="12538" max="12538" width="24" style="2177" bestFit="1" customWidth="1"/>
    <col min="12539" max="12539" width="43.85546875" style="2177" customWidth="1"/>
    <col min="12540" max="12540" width="19.7109375" style="2177" bestFit="1" customWidth="1"/>
    <col min="12541" max="12541" width="15.28515625" style="2177" bestFit="1" customWidth="1"/>
    <col min="12542" max="12542" width="17.5703125" style="2177" bestFit="1" customWidth="1"/>
    <col min="12543" max="12543" width="13.42578125" style="2177" customWidth="1"/>
    <col min="12544" max="12544" width="15.28515625" style="2177" bestFit="1" customWidth="1"/>
    <col min="12545" max="12545" width="14.140625" style="2177" bestFit="1" customWidth="1"/>
    <col min="12546" max="12546" width="15.28515625" style="2177" customWidth="1"/>
    <col min="12547" max="12547" width="15.85546875" style="2177" customWidth="1"/>
    <col min="12548" max="12548" width="17" style="2177" bestFit="1" customWidth="1"/>
    <col min="12549" max="12549" width="12.7109375" style="2177" customWidth="1"/>
    <col min="12550" max="12550" width="13.7109375" style="2177" customWidth="1"/>
    <col min="12551" max="12551" width="13.85546875" style="2177" bestFit="1" customWidth="1"/>
    <col min="12552" max="12552" width="16.5703125" style="2177" customWidth="1"/>
    <col min="12553" max="12553" width="16.140625" style="2177" customWidth="1"/>
    <col min="12554" max="12554" width="16.7109375" style="2177" bestFit="1" customWidth="1"/>
    <col min="12555" max="12555" width="15.5703125" style="2177" bestFit="1" customWidth="1"/>
    <col min="12556" max="12556" width="18" style="2177" customWidth="1"/>
    <col min="12557" max="12557" width="16.42578125" style="2177" bestFit="1" customWidth="1"/>
    <col min="12558" max="12558" width="14.28515625" style="2177" customWidth="1"/>
    <col min="12559" max="12559" width="12.85546875" style="2177" bestFit="1" customWidth="1"/>
    <col min="12560" max="12560" width="11.28515625" style="2177" bestFit="1" customWidth="1"/>
    <col min="12561" max="12561" width="12.5703125" style="2177" bestFit="1" customWidth="1"/>
    <col min="12562" max="12562" width="14" style="2177" bestFit="1" customWidth="1"/>
    <col min="12563" max="12563" width="6" style="2177" bestFit="1" customWidth="1"/>
    <col min="12564" max="12564" width="15" style="2177" customWidth="1"/>
    <col min="12565" max="12565" width="14.85546875" style="2177" bestFit="1" customWidth="1"/>
    <col min="12566" max="12566" width="16.140625" style="2177" bestFit="1" customWidth="1"/>
    <col min="12567" max="12793" width="9.140625" style="2177"/>
    <col min="12794" max="12794" width="24" style="2177" bestFit="1" customWidth="1"/>
    <col min="12795" max="12795" width="43.85546875" style="2177" customWidth="1"/>
    <col min="12796" max="12796" width="19.7109375" style="2177" bestFit="1" customWidth="1"/>
    <col min="12797" max="12797" width="15.28515625" style="2177" bestFit="1" customWidth="1"/>
    <col min="12798" max="12798" width="17.5703125" style="2177" bestFit="1" customWidth="1"/>
    <col min="12799" max="12799" width="13.42578125" style="2177" customWidth="1"/>
    <col min="12800" max="12800" width="15.28515625" style="2177" bestFit="1" customWidth="1"/>
    <col min="12801" max="12801" width="14.140625" style="2177" bestFit="1" customWidth="1"/>
    <col min="12802" max="12802" width="15.28515625" style="2177" customWidth="1"/>
    <col min="12803" max="12803" width="15.85546875" style="2177" customWidth="1"/>
    <col min="12804" max="12804" width="17" style="2177" bestFit="1" customWidth="1"/>
    <col min="12805" max="12805" width="12.7109375" style="2177" customWidth="1"/>
    <col min="12806" max="12806" width="13.7109375" style="2177" customWidth="1"/>
    <col min="12807" max="12807" width="13.85546875" style="2177" bestFit="1" customWidth="1"/>
    <col min="12808" max="12808" width="16.5703125" style="2177" customWidth="1"/>
    <col min="12809" max="12809" width="16.140625" style="2177" customWidth="1"/>
    <col min="12810" max="12810" width="16.7109375" style="2177" bestFit="1" customWidth="1"/>
    <col min="12811" max="12811" width="15.5703125" style="2177" bestFit="1" customWidth="1"/>
    <col min="12812" max="12812" width="18" style="2177" customWidth="1"/>
    <col min="12813" max="12813" width="16.42578125" style="2177" bestFit="1" customWidth="1"/>
    <col min="12814" max="12814" width="14.28515625" style="2177" customWidth="1"/>
    <col min="12815" max="12815" width="12.85546875" style="2177" bestFit="1" customWidth="1"/>
    <col min="12816" max="12816" width="11.28515625" style="2177" bestFit="1" customWidth="1"/>
    <col min="12817" max="12817" width="12.5703125" style="2177" bestFit="1" customWidth="1"/>
    <col min="12818" max="12818" width="14" style="2177" bestFit="1" customWidth="1"/>
    <col min="12819" max="12819" width="6" style="2177" bestFit="1" customWidth="1"/>
    <col min="12820" max="12820" width="15" style="2177" customWidth="1"/>
    <col min="12821" max="12821" width="14.85546875" style="2177" bestFit="1" customWidth="1"/>
    <col min="12822" max="12822" width="16.140625" style="2177" bestFit="1" customWidth="1"/>
    <col min="12823" max="13049" width="9.140625" style="2177"/>
    <col min="13050" max="13050" width="24" style="2177" bestFit="1" customWidth="1"/>
    <col min="13051" max="13051" width="43.85546875" style="2177" customWidth="1"/>
    <col min="13052" max="13052" width="19.7109375" style="2177" bestFit="1" customWidth="1"/>
    <col min="13053" max="13053" width="15.28515625" style="2177" bestFit="1" customWidth="1"/>
    <col min="13054" max="13054" width="17.5703125" style="2177" bestFit="1" customWidth="1"/>
    <col min="13055" max="13055" width="13.42578125" style="2177" customWidth="1"/>
    <col min="13056" max="13056" width="15.28515625" style="2177" bestFit="1" customWidth="1"/>
    <col min="13057" max="13057" width="14.140625" style="2177" bestFit="1" customWidth="1"/>
    <col min="13058" max="13058" width="15.28515625" style="2177" customWidth="1"/>
    <col min="13059" max="13059" width="15.85546875" style="2177" customWidth="1"/>
    <col min="13060" max="13060" width="17" style="2177" bestFit="1" customWidth="1"/>
    <col min="13061" max="13061" width="12.7109375" style="2177" customWidth="1"/>
    <col min="13062" max="13062" width="13.7109375" style="2177" customWidth="1"/>
    <col min="13063" max="13063" width="13.85546875" style="2177" bestFit="1" customWidth="1"/>
    <col min="13064" max="13064" width="16.5703125" style="2177" customWidth="1"/>
    <col min="13065" max="13065" width="16.140625" style="2177" customWidth="1"/>
    <col min="13066" max="13066" width="16.7109375" style="2177" bestFit="1" customWidth="1"/>
    <col min="13067" max="13067" width="15.5703125" style="2177" bestFit="1" customWidth="1"/>
    <col min="13068" max="13068" width="18" style="2177" customWidth="1"/>
    <col min="13069" max="13069" width="16.42578125" style="2177" bestFit="1" customWidth="1"/>
    <col min="13070" max="13070" width="14.28515625" style="2177" customWidth="1"/>
    <col min="13071" max="13071" width="12.85546875" style="2177" bestFit="1" customWidth="1"/>
    <col min="13072" max="13072" width="11.28515625" style="2177" bestFit="1" customWidth="1"/>
    <col min="13073" max="13073" width="12.5703125" style="2177" bestFit="1" customWidth="1"/>
    <col min="13074" max="13074" width="14" style="2177" bestFit="1" customWidth="1"/>
    <col min="13075" max="13075" width="6" style="2177" bestFit="1" customWidth="1"/>
    <col min="13076" max="13076" width="15" style="2177" customWidth="1"/>
    <col min="13077" max="13077" width="14.85546875" style="2177" bestFit="1" customWidth="1"/>
    <col min="13078" max="13078" width="16.140625" style="2177" bestFit="1" customWidth="1"/>
    <col min="13079" max="13305" width="9.140625" style="2177"/>
    <col min="13306" max="13306" width="24" style="2177" bestFit="1" customWidth="1"/>
    <col min="13307" max="13307" width="43.85546875" style="2177" customWidth="1"/>
    <col min="13308" max="13308" width="19.7109375" style="2177" bestFit="1" customWidth="1"/>
    <col min="13309" max="13309" width="15.28515625" style="2177" bestFit="1" customWidth="1"/>
    <col min="13310" max="13310" width="17.5703125" style="2177" bestFit="1" customWidth="1"/>
    <col min="13311" max="13311" width="13.42578125" style="2177" customWidth="1"/>
    <col min="13312" max="13312" width="15.28515625" style="2177" bestFit="1" customWidth="1"/>
    <col min="13313" max="13313" width="14.140625" style="2177" bestFit="1" customWidth="1"/>
    <col min="13314" max="13314" width="15.28515625" style="2177" customWidth="1"/>
    <col min="13315" max="13315" width="15.85546875" style="2177" customWidth="1"/>
    <col min="13316" max="13316" width="17" style="2177" bestFit="1" customWidth="1"/>
    <col min="13317" max="13317" width="12.7109375" style="2177" customWidth="1"/>
    <col min="13318" max="13318" width="13.7109375" style="2177" customWidth="1"/>
    <col min="13319" max="13319" width="13.85546875" style="2177" bestFit="1" customWidth="1"/>
    <col min="13320" max="13320" width="16.5703125" style="2177" customWidth="1"/>
    <col min="13321" max="13321" width="16.140625" style="2177" customWidth="1"/>
    <col min="13322" max="13322" width="16.7109375" style="2177" bestFit="1" customWidth="1"/>
    <col min="13323" max="13323" width="15.5703125" style="2177" bestFit="1" customWidth="1"/>
    <col min="13324" max="13324" width="18" style="2177" customWidth="1"/>
    <col min="13325" max="13325" width="16.42578125" style="2177" bestFit="1" customWidth="1"/>
    <col min="13326" max="13326" width="14.28515625" style="2177" customWidth="1"/>
    <col min="13327" max="13327" width="12.85546875" style="2177" bestFit="1" customWidth="1"/>
    <col min="13328" max="13328" width="11.28515625" style="2177" bestFit="1" customWidth="1"/>
    <col min="13329" max="13329" width="12.5703125" style="2177" bestFit="1" customWidth="1"/>
    <col min="13330" max="13330" width="14" style="2177" bestFit="1" customWidth="1"/>
    <col min="13331" max="13331" width="6" style="2177" bestFit="1" customWidth="1"/>
    <col min="13332" max="13332" width="15" style="2177" customWidth="1"/>
    <col min="13333" max="13333" width="14.85546875" style="2177" bestFit="1" customWidth="1"/>
    <col min="13334" max="13334" width="16.140625" style="2177" bestFit="1" customWidth="1"/>
    <col min="13335" max="13561" width="9.140625" style="2177"/>
    <col min="13562" max="13562" width="24" style="2177" bestFit="1" customWidth="1"/>
    <col min="13563" max="13563" width="43.85546875" style="2177" customWidth="1"/>
    <col min="13564" max="13564" width="19.7109375" style="2177" bestFit="1" customWidth="1"/>
    <col min="13565" max="13565" width="15.28515625" style="2177" bestFit="1" customWidth="1"/>
    <col min="13566" max="13566" width="17.5703125" style="2177" bestFit="1" customWidth="1"/>
    <col min="13567" max="13567" width="13.42578125" style="2177" customWidth="1"/>
    <col min="13568" max="13568" width="15.28515625" style="2177" bestFit="1" customWidth="1"/>
    <col min="13569" max="13569" width="14.140625" style="2177" bestFit="1" customWidth="1"/>
    <col min="13570" max="13570" width="15.28515625" style="2177" customWidth="1"/>
    <col min="13571" max="13571" width="15.85546875" style="2177" customWidth="1"/>
    <col min="13572" max="13572" width="17" style="2177" bestFit="1" customWidth="1"/>
    <col min="13573" max="13573" width="12.7109375" style="2177" customWidth="1"/>
    <col min="13574" max="13574" width="13.7109375" style="2177" customWidth="1"/>
    <col min="13575" max="13575" width="13.85546875" style="2177" bestFit="1" customWidth="1"/>
    <col min="13576" max="13576" width="16.5703125" style="2177" customWidth="1"/>
    <col min="13577" max="13577" width="16.140625" style="2177" customWidth="1"/>
    <col min="13578" max="13578" width="16.7109375" style="2177" bestFit="1" customWidth="1"/>
    <col min="13579" max="13579" width="15.5703125" style="2177" bestFit="1" customWidth="1"/>
    <col min="13580" max="13580" width="18" style="2177" customWidth="1"/>
    <col min="13581" max="13581" width="16.42578125" style="2177" bestFit="1" customWidth="1"/>
    <col min="13582" max="13582" width="14.28515625" style="2177" customWidth="1"/>
    <col min="13583" max="13583" width="12.85546875" style="2177" bestFit="1" customWidth="1"/>
    <col min="13584" max="13584" width="11.28515625" style="2177" bestFit="1" customWidth="1"/>
    <col min="13585" max="13585" width="12.5703125" style="2177" bestFit="1" customWidth="1"/>
    <col min="13586" max="13586" width="14" style="2177" bestFit="1" customWidth="1"/>
    <col min="13587" max="13587" width="6" style="2177" bestFit="1" customWidth="1"/>
    <col min="13588" max="13588" width="15" style="2177" customWidth="1"/>
    <col min="13589" max="13589" width="14.85546875" style="2177" bestFit="1" customWidth="1"/>
    <col min="13590" max="13590" width="16.140625" style="2177" bestFit="1" customWidth="1"/>
    <col min="13591" max="13817" width="9.140625" style="2177"/>
    <col min="13818" max="13818" width="24" style="2177" bestFit="1" customWidth="1"/>
    <col min="13819" max="13819" width="43.85546875" style="2177" customWidth="1"/>
    <col min="13820" max="13820" width="19.7109375" style="2177" bestFit="1" customWidth="1"/>
    <col min="13821" max="13821" width="15.28515625" style="2177" bestFit="1" customWidth="1"/>
    <col min="13822" max="13822" width="17.5703125" style="2177" bestFit="1" customWidth="1"/>
    <col min="13823" max="13823" width="13.42578125" style="2177" customWidth="1"/>
    <col min="13824" max="13824" width="15.28515625" style="2177" bestFit="1" customWidth="1"/>
    <col min="13825" max="13825" width="14.140625" style="2177" bestFit="1" customWidth="1"/>
    <col min="13826" max="13826" width="15.28515625" style="2177" customWidth="1"/>
    <col min="13827" max="13827" width="15.85546875" style="2177" customWidth="1"/>
    <col min="13828" max="13828" width="17" style="2177" bestFit="1" customWidth="1"/>
    <col min="13829" max="13829" width="12.7109375" style="2177" customWidth="1"/>
    <col min="13830" max="13830" width="13.7109375" style="2177" customWidth="1"/>
    <col min="13831" max="13831" width="13.85546875" style="2177" bestFit="1" customWidth="1"/>
    <col min="13832" max="13832" width="16.5703125" style="2177" customWidth="1"/>
    <col min="13833" max="13833" width="16.140625" style="2177" customWidth="1"/>
    <col min="13834" max="13834" width="16.7109375" style="2177" bestFit="1" customWidth="1"/>
    <col min="13835" max="13835" width="15.5703125" style="2177" bestFit="1" customWidth="1"/>
    <col min="13836" max="13836" width="18" style="2177" customWidth="1"/>
    <col min="13837" max="13837" width="16.42578125" style="2177" bestFit="1" customWidth="1"/>
    <col min="13838" max="13838" width="14.28515625" style="2177" customWidth="1"/>
    <col min="13839" max="13839" width="12.85546875" style="2177" bestFit="1" customWidth="1"/>
    <col min="13840" max="13840" width="11.28515625" style="2177" bestFit="1" customWidth="1"/>
    <col min="13841" max="13841" width="12.5703125" style="2177" bestFit="1" customWidth="1"/>
    <col min="13842" max="13842" width="14" style="2177" bestFit="1" customWidth="1"/>
    <col min="13843" max="13843" width="6" style="2177" bestFit="1" customWidth="1"/>
    <col min="13844" max="13844" width="15" style="2177" customWidth="1"/>
    <col min="13845" max="13845" width="14.85546875" style="2177" bestFit="1" customWidth="1"/>
    <col min="13846" max="13846" width="16.140625" style="2177" bestFit="1" customWidth="1"/>
    <col min="13847" max="14073" width="9.140625" style="2177"/>
    <col min="14074" max="14074" width="24" style="2177" bestFit="1" customWidth="1"/>
    <col min="14075" max="14075" width="43.85546875" style="2177" customWidth="1"/>
    <col min="14076" max="14076" width="19.7109375" style="2177" bestFit="1" customWidth="1"/>
    <col min="14077" max="14077" width="15.28515625" style="2177" bestFit="1" customWidth="1"/>
    <col min="14078" max="14078" width="17.5703125" style="2177" bestFit="1" customWidth="1"/>
    <col min="14079" max="14079" width="13.42578125" style="2177" customWidth="1"/>
    <col min="14080" max="14080" width="15.28515625" style="2177" bestFit="1" customWidth="1"/>
    <col min="14081" max="14081" width="14.140625" style="2177" bestFit="1" customWidth="1"/>
    <col min="14082" max="14082" width="15.28515625" style="2177" customWidth="1"/>
    <col min="14083" max="14083" width="15.85546875" style="2177" customWidth="1"/>
    <col min="14084" max="14084" width="17" style="2177" bestFit="1" customWidth="1"/>
    <col min="14085" max="14085" width="12.7109375" style="2177" customWidth="1"/>
    <col min="14086" max="14086" width="13.7109375" style="2177" customWidth="1"/>
    <col min="14087" max="14087" width="13.85546875" style="2177" bestFit="1" customWidth="1"/>
    <col min="14088" max="14088" width="16.5703125" style="2177" customWidth="1"/>
    <col min="14089" max="14089" width="16.140625" style="2177" customWidth="1"/>
    <col min="14090" max="14090" width="16.7109375" style="2177" bestFit="1" customWidth="1"/>
    <col min="14091" max="14091" width="15.5703125" style="2177" bestFit="1" customWidth="1"/>
    <col min="14092" max="14092" width="18" style="2177" customWidth="1"/>
    <col min="14093" max="14093" width="16.42578125" style="2177" bestFit="1" customWidth="1"/>
    <col min="14094" max="14094" width="14.28515625" style="2177" customWidth="1"/>
    <col min="14095" max="14095" width="12.85546875" style="2177" bestFit="1" customWidth="1"/>
    <col min="14096" max="14096" width="11.28515625" style="2177" bestFit="1" customWidth="1"/>
    <col min="14097" max="14097" width="12.5703125" style="2177" bestFit="1" customWidth="1"/>
    <col min="14098" max="14098" width="14" style="2177" bestFit="1" customWidth="1"/>
    <col min="14099" max="14099" width="6" style="2177" bestFit="1" customWidth="1"/>
    <col min="14100" max="14100" width="15" style="2177" customWidth="1"/>
    <col min="14101" max="14101" width="14.85546875" style="2177" bestFit="1" customWidth="1"/>
    <col min="14102" max="14102" width="16.140625" style="2177" bestFit="1" customWidth="1"/>
    <col min="14103" max="14329" width="9.140625" style="2177"/>
    <col min="14330" max="14330" width="24" style="2177" bestFit="1" customWidth="1"/>
    <col min="14331" max="14331" width="43.85546875" style="2177" customWidth="1"/>
    <col min="14332" max="14332" width="19.7109375" style="2177" bestFit="1" customWidth="1"/>
    <col min="14333" max="14333" width="15.28515625" style="2177" bestFit="1" customWidth="1"/>
    <col min="14334" max="14334" width="17.5703125" style="2177" bestFit="1" customWidth="1"/>
    <col min="14335" max="14335" width="13.42578125" style="2177" customWidth="1"/>
    <col min="14336" max="14336" width="15.28515625" style="2177" bestFit="1" customWidth="1"/>
    <col min="14337" max="14337" width="14.140625" style="2177" bestFit="1" customWidth="1"/>
    <col min="14338" max="14338" width="15.28515625" style="2177" customWidth="1"/>
    <col min="14339" max="14339" width="15.85546875" style="2177" customWidth="1"/>
    <col min="14340" max="14340" width="17" style="2177" bestFit="1" customWidth="1"/>
    <col min="14341" max="14341" width="12.7109375" style="2177" customWidth="1"/>
    <col min="14342" max="14342" width="13.7109375" style="2177" customWidth="1"/>
    <col min="14343" max="14343" width="13.85546875" style="2177" bestFit="1" customWidth="1"/>
    <col min="14344" max="14344" width="16.5703125" style="2177" customWidth="1"/>
    <col min="14345" max="14345" width="16.140625" style="2177" customWidth="1"/>
    <col min="14346" max="14346" width="16.7109375" style="2177" bestFit="1" customWidth="1"/>
    <col min="14347" max="14347" width="15.5703125" style="2177" bestFit="1" customWidth="1"/>
    <col min="14348" max="14348" width="18" style="2177" customWidth="1"/>
    <col min="14349" max="14349" width="16.42578125" style="2177" bestFit="1" customWidth="1"/>
    <col min="14350" max="14350" width="14.28515625" style="2177" customWidth="1"/>
    <col min="14351" max="14351" width="12.85546875" style="2177" bestFit="1" customWidth="1"/>
    <col min="14352" max="14352" width="11.28515625" style="2177" bestFit="1" customWidth="1"/>
    <col min="14353" max="14353" width="12.5703125" style="2177" bestFit="1" customWidth="1"/>
    <col min="14354" max="14354" width="14" style="2177" bestFit="1" customWidth="1"/>
    <col min="14355" max="14355" width="6" style="2177" bestFit="1" customWidth="1"/>
    <col min="14356" max="14356" width="15" style="2177" customWidth="1"/>
    <col min="14357" max="14357" width="14.85546875" style="2177" bestFit="1" customWidth="1"/>
    <col min="14358" max="14358" width="16.140625" style="2177" bestFit="1" customWidth="1"/>
    <col min="14359" max="14585" width="9.140625" style="2177"/>
    <col min="14586" max="14586" width="24" style="2177" bestFit="1" customWidth="1"/>
    <col min="14587" max="14587" width="43.85546875" style="2177" customWidth="1"/>
    <col min="14588" max="14588" width="19.7109375" style="2177" bestFit="1" customWidth="1"/>
    <col min="14589" max="14589" width="15.28515625" style="2177" bestFit="1" customWidth="1"/>
    <col min="14590" max="14590" width="17.5703125" style="2177" bestFit="1" customWidth="1"/>
    <col min="14591" max="14591" width="13.42578125" style="2177" customWidth="1"/>
    <col min="14592" max="14592" width="15.28515625" style="2177" bestFit="1" customWidth="1"/>
    <col min="14593" max="14593" width="14.140625" style="2177" bestFit="1" customWidth="1"/>
    <col min="14594" max="14594" width="15.28515625" style="2177" customWidth="1"/>
    <col min="14595" max="14595" width="15.85546875" style="2177" customWidth="1"/>
    <col min="14596" max="14596" width="17" style="2177" bestFit="1" customWidth="1"/>
    <col min="14597" max="14597" width="12.7109375" style="2177" customWidth="1"/>
    <col min="14598" max="14598" width="13.7109375" style="2177" customWidth="1"/>
    <col min="14599" max="14599" width="13.85546875" style="2177" bestFit="1" customWidth="1"/>
    <col min="14600" max="14600" width="16.5703125" style="2177" customWidth="1"/>
    <col min="14601" max="14601" width="16.140625" style="2177" customWidth="1"/>
    <col min="14602" max="14602" width="16.7109375" style="2177" bestFit="1" customWidth="1"/>
    <col min="14603" max="14603" width="15.5703125" style="2177" bestFit="1" customWidth="1"/>
    <col min="14604" max="14604" width="18" style="2177" customWidth="1"/>
    <col min="14605" max="14605" width="16.42578125" style="2177" bestFit="1" customWidth="1"/>
    <col min="14606" max="14606" width="14.28515625" style="2177" customWidth="1"/>
    <col min="14607" max="14607" width="12.85546875" style="2177" bestFit="1" customWidth="1"/>
    <col min="14608" max="14608" width="11.28515625" style="2177" bestFit="1" customWidth="1"/>
    <col min="14609" max="14609" width="12.5703125" style="2177" bestFit="1" customWidth="1"/>
    <col min="14610" max="14610" width="14" style="2177" bestFit="1" customWidth="1"/>
    <col min="14611" max="14611" width="6" style="2177" bestFit="1" customWidth="1"/>
    <col min="14612" max="14612" width="15" style="2177" customWidth="1"/>
    <col min="14613" max="14613" width="14.85546875" style="2177" bestFit="1" customWidth="1"/>
    <col min="14614" max="14614" width="16.140625" style="2177" bestFit="1" customWidth="1"/>
    <col min="14615" max="14841" width="9.140625" style="2177"/>
    <col min="14842" max="14842" width="24" style="2177" bestFit="1" customWidth="1"/>
    <col min="14843" max="14843" width="43.85546875" style="2177" customWidth="1"/>
    <col min="14844" max="14844" width="19.7109375" style="2177" bestFit="1" customWidth="1"/>
    <col min="14845" max="14845" width="15.28515625" style="2177" bestFit="1" customWidth="1"/>
    <col min="14846" max="14846" width="17.5703125" style="2177" bestFit="1" customWidth="1"/>
    <col min="14847" max="14847" width="13.42578125" style="2177" customWidth="1"/>
    <col min="14848" max="14848" width="15.28515625" style="2177" bestFit="1" customWidth="1"/>
    <col min="14849" max="14849" width="14.140625" style="2177" bestFit="1" customWidth="1"/>
    <col min="14850" max="14850" width="15.28515625" style="2177" customWidth="1"/>
    <col min="14851" max="14851" width="15.85546875" style="2177" customWidth="1"/>
    <col min="14852" max="14852" width="17" style="2177" bestFit="1" customWidth="1"/>
    <col min="14853" max="14853" width="12.7109375" style="2177" customWidth="1"/>
    <col min="14854" max="14854" width="13.7109375" style="2177" customWidth="1"/>
    <col min="14855" max="14855" width="13.85546875" style="2177" bestFit="1" customWidth="1"/>
    <col min="14856" max="14856" width="16.5703125" style="2177" customWidth="1"/>
    <col min="14857" max="14857" width="16.140625" style="2177" customWidth="1"/>
    <col min="14858" max="14858" width="16.7109375" style="2177" bestFit="1" customWidth="1"/>
    <col min="14859" max="14859" width="15.5703125" style="2177" bestFit="1" customWidth="1"/>
    <col min="14860" max="14860" width="18" style="2177" customWidth="1"/>
    <col min="14861" max="14861" width="16.42578125" style="2177" bestFit="1" customWidth="1"/>
    <col min="14862" max="14862" width="14.28515625" style="2177" customWidth="1"/>
    <col min="14863" max="14863" width="12.85546875" style="2177" bestFit="1" customWidth="1"/>
    <col min="14864" max="14864" width="11.28515625" style="2177" bestFit="1" customWidth="1"/>
    <col min="14865" max="14865" width="12.5703125" style="2177" bestFit="1" customWidth="1"/>
    <col min="14866" max="14866" width="14" style="2177" bestFit="1" customWidth="1"/>
    <col min="14867" max="14867" width="6" style="2177" bestFit="1" customWidth="1"/>
    <col min="14868" max="14868" width="15" style="2177" customWidth="1"/>
    <col min="14869" max="14869" width="14.85546875" style="2177" bestFit="1" customWidth="1"/>
    <col min="14870" max="14870" width="16.140625" style="2177" bestFit="1" customWidth="1"/>
    <col min="14871" max="15097" width="9.140625" style="2177"/>
    <col min="15098" max="15098" width="24" style="2177" bestFit="1" customWidth="1"/>
    <col min="15099" max="15099" width="43.85546875" style="2177" customWidth="1"/>
    <col min="15100" max="15100" width="19.7109375" style="2177" bestFit="1" customWidth="1"/>
    <col min="15101" max="15101" width="15.28515625" style="2177" bestFit="1" customWidth="1"/>
    <col min="15102" max="15102" width="17.5703125" style="2177" bestFit="1" customWidth="1"/>
    <col min="15103" max="15103" width="13.42578125" style="2177" customWidth="1"/>
    <col min="15104" max="15104" width="15.28515625" style="2177" bestFit="1" customWidth="1"/>
    <col min="15105" max="15105" width="14.140625" style="2177" bestFit="1" customWidth="1"/>
    <col min="15106" max="15106" width="15.28515625" style="2177" customWidth="1"/>
    <col min="15107" max="15107" width="15.85546875" style="2177" customWidth="1"/>
    <col min="15108" max="15108" width="17" style="2177" bestFit="1" customWidth="1"/>
    <col min="15109" max="15109" width="12.7109375" style="2177" customWidth="1"/>
    <col min="15110" max="15110" width="13.7109375" style="2177" customWidth="1"/>
    <col min="15111" max="15111" width="13.85546875" style="2177" bestFit="1" customWidth="1"/>
    <col min="15112" max="15112" width="16.5703125" style="2177" customWidth="1"/>
    <col min="15113" max="15113" width="16.140625" style="2177" customWidth="1"/>
    <col min="15114" max="15114" width="16.7109375" style="2177" bestFit="1" customWidth="1"/>
    <col min="15115" max="15115" width="15.5703125" style="2177" bestFit="1" customWidth="1"/>
    <col min="15116" max="15116" width="18" style="2177" customWidth="1"/>
    <col min="15117" max="15117" width="16.42578125" style="2177" bestFit="1" customWidth="1"/>
    <col min="15118" max="15118" width="14.28515625" style="2177" customWidth="1"/>
    <col min="15119" max="15119" width="12.85546875" style="2177" bestFit="1" customWidth="1"/>
    <col min="15120" max="15120" width="11.28515625" style="2177" bestFit="1" customWidth="1"/>
    <col min="15121" max="15121" width="12.5703125" style="2177" bestFit="1" customWidth="1"/>
    <col min="15122" max="15122" width="14" style="2177" bestFit="1" customWidth="1"/>
    <col min="15123" max="15123" width="6" style="2177" bestFit="1" customWidth="1"/>
    <col min="15124" max="15124" width="15" style="2177" customWidth="1"/>
    <col min="15125" max="15125" width="14.85546875" style="2177" bestFit="1" customWidth="1"/>
    <col min="15126" max="15126" width="16.140625" style="2177" bestFit="1" customWidth="1"/>
    <col min="15127" max="15353" width="9.140625" style="2177"/>
    <col min="15354" max="15354" width="24" style="2177" bestFit="1" customWidth="1"/>
    <col min="15355" max="15355" width="43.85546875" style="2177" customWidth="1"/>
    <col min="15356" max="15356" width="19.7109375" style="2177" bestFit="1" customWidth="1"/>
    <col min="15357" max="15357" width="15.28515625" style="2177" bestFit="1" customWidth="1"/>
    <col min="15358" max="15358" width="17.5703125" style="2177" bestFit="1" customWidth="1"/>
    <col min="15359" max="15359" width="13.42578125" style="2177" customWidth="1"/>
    <col min="15360" max="15360" width="15.28515625" style="2177" bestFit="1" customWidth="1"/>
    <col min="15361" max="15361" width="14.140625" style="2177" bestFit="1" customWidth="1"/>
    <col min="15362" max="15362" width="15.28515625" style="2177" customWidth="1"/>
    <col min="15363" max="15363" width="15.85546875" style="2177" customWidth="1"/>
    <col min="15364" max="15364" width="17" style="2177" bestFit="1" customWidth="1"/>
    <col min="15365" max="15365" width="12.7109375" style="2177" customWidth="1"/>
    <col min="15366" max="15366" width="13.7109375" style="2177" customWidth="1"/>
    <col min="15367" max="15367" width="13.85546875" style="2177" bestFit="1" customWidth="1"/>
    <col min="15368" max="15368" width="16.5703125" style="2177" customWidth="1"/>
    <col min="15369" max="15369" width="16.140625" style="2177" customWidth="1"/>
    <col min="15370" max="15370" width="16.7109375" style="2177" bestFit="1" customWidth="1"/>
    <col min="15371" max="15371" width="15.5703125" style="2177" bestFit="1" customWidth="1"/>
    <col min="15372" max="15372" width="18" style="2177" customWidth="1"/>
    <col min="15373" max="15373" width="16.42578125" style="2177" bestFit="1" customWidth="1"/>
    <col min="15374" max="15374" width="14.28515625" style="2177" customWidth="1"/>
    <col min="15375" max="15375" width="12.85546875" style="2177" bestFit="1" customWidth="1"/>
    <col min="15376" max="15376" width="11.28515625" style="2177" bestFit="1" customWidth="1"/>
    <col min="15377" max="15377" width="12.5703125" style="2177" bestFit="1" customWidth="1"/>
    <col min="15378" max="15378" width="14" style="2177" bestFit="1" customWidth="1"/>
    <col min="15379" max="15379" width="6" style="2177" bestFit="1" customWidth="1"/>
    <col min="15380" max="15380" width="15" style="2177" customWidth="1"/>
    <col min="15381" max="15381" width="14.85546875" style="2177" bestFit="1" customWidth="1"/>
    <col min="15382" max="15382" width="16.140625" style="2177" bestFit="1" customWidth="1"/>
    <col min="15383" max="15609" width="9.140625" style="2177"/>
    <col min="15610" max="15610" width="24" style="2177" bestFit="1" customWidth="1"/>
    <col min="15611" max="15611" width="43.85546875" style="2177" customWidth="1"/>
    <col min="15612" max="15612" width="19.7109375" style="2177" bestFit="1" customWidth="1"/>
    <col min="15613" max="15613" width="15.28515625" style="2177" bestFit="1" customWidth="1"/>
    <col min="15614" max="15614" width="17.5703125" style="2177" bestFit="1" customWidth="1"/>
    <col min="15615" max="15615" width="13.42578125" style="2177" customWidth="1"/>
    <col min="15616" max="15616" width="15.28515625" style="2177" bestFit="1" customWidth="1"/>
    <col min="15617" max="15617" width="14.140625" style="2177" bestFit="1" customWidth="1"/>
    <col min="15618" max="15618" width="15.28515625" style="2177" customWidth="1"/>
    <col min="15619" max="15619" width="15.85546875" style="2177" customWidth="1"/>
    <col min="15620" max="15620" width="17" style="2177" bestFit="1" customWidth="1"/>
    <col min="15621" max="15621" width="12.7109375" style="2177" customWidth="1"/>
    <col min="15622" max="15622" width="13.7109375" style="2177" customWidth="1"/>
    <col min="15623" max="15623" width="13.85546875" style="2177" bestFit="1" customWidth="1"/>
    <col min="15624" max="15624" width="16.5703125" style="2177" customWidth="1"/>
    <col min="15625" max="15625" width="16.140625" style="2177" customWidth="1"/>
    <col min="15626" max="15626" width="16.7109375" style="2177" bestFit="1" customWidth="1"/>
    <col min="15627" max="15627" width="15.5703125" style="2177" bestFit="1" customWidth="1"/>
    <col min="15628" max="15628" width="18" style="2177" customWidth="1"/>
    <col min="15629" max="15629" width="16.42578125" style="2177" bestFit="1" customWidth="1"/>
    <col min="15630" max="15630" width="14.28515625" style="2177" customWidth="1"/>
    <col min="15631" max="15631" width="12.85546875" style="2177" bestFit="1" customWidth="1"/>
    <col min="15632" max="15632" width="11.28515625" style="2177" bestFit="1" customWidth="1"/>
    <col min="15633" max="15633" width="12.5703125" style="2177" bestFit="1" customWidth="1"/>
    <col min="15634" max="15634" width="14" style="2177" bestFit="1" customWidth="1"/>
    <col min="15635" max="15635" width="6" style="2177" bestFit="1" customWidth="1"/>
    <col min="15636" max="15636" width="15" style="2177" customWidth="1"/>
    <col min="15637" max="15637" width="14.85546875" style="2177" bestFit="1" customWidth="1"/>
    <col min="15638" max="15638" width="16.140625" style="2177" bestFit="1" customWidth="1"/>
    <col min="15639" max="15865" width="9.140625" style="2177"/>
    <col min="15866" max="15866" width="24" style="2177" bestFit="1" customWidth="1"/>
    <col min="15867" max="15867" width="43.85546875" style="2177" customWidth="1"/>
    <col min="15868" max="15868" width="19.7109375" style="2177" bestFit="1" customWidth="1"/>
    <col min="15869" max="15869" width="15.28515625" style="2177" bestFit="1" customWidth="1"/>
    <col min="15870" max="15870" width="17.5703125" style="2177" bestFit="1" customWidth="1"/>
    <col min="15871" max="15871" width="13.42578125" style="2177" customWidth="1"/>
    <col min="15872" max="15872" width="15.28515625" style="2177" bestFit="1" customWidth="1"/>
    <col min="15873" max="15873" width="14.140625" style="2177" bestFit="1" customWidth="1"/>
    <col min="15874" max="15874" width="15.28515625" style="2177" customWidth="1"/>
    <col min="15875" max="15875" width="15.85546875" style="2177" customWidth="1"/>
    <col min="15876" max="15876" width="17" style="2177" bestFit="1" customWidth="1"/>
    <col min="15877" max="15877" width="12.7109375" style="2177" customWidth="1"/>
    <col min="15878" max="15878" width="13.7109375" style="2177" customWidth="1"/>
    <col min="15879" max="15879" width="13.85546875" style="2177" bestFit="1" customWidth="1"/>
    <col min="15880" max="15880" width="16.5703125" style="2177" customWidth="1"/>
    <col min="15881" max="15881" width="16.140625" style="2177" customWidth="1"/>
    <col min="15882" max="15882" width="16.7109375" style="2177" bestFit="1" customWidth="1"/>
    <col min="15883" max="15883" width="15.5703125" style="2177" bestFit="1" customWidth="1"/>
    <col min="15884" max="15884" width="18" style="2177" customWidth="1"/>
    <col min="15885" max="15885" width="16.42578125" style="2177" bestFit="1" customWidth="1"/>
    <col min="15886" max="15886" width="14.28515625" style="2177" customWidth="1"/>
    <col min="15887" max="15887" width="12.85546875" style="2177" bestFit="1" customWidth="1"/>
    <col min="15888" max="15888" width="11.28515625" style="2177" bestFit="1" customWidth="1"/>
    <col min="15889" max="15889" width="12.5703125" style="2177" bestFit="1" customWidth="1"/>
    <col min="15890" max="15890" width="14" style="2177" bestFit="1" customWidth="1"/>
    <col min="15891" max="15891" width="6" style="2177" bestFit="1" customWidth="1"/>
    <col min="15892" max="15892" width="15" style="2177" customWidth="1"/>
    <col min="15893" max="15893" width="14.85546875" style="2177" bestFit="1" customWidth="1"/>
    <col min="15894" max="15894" width="16.140625" style="2177" bestFit="1" customWidth="1"/>
    <col min="15895" max="16121" width="9.140625" style="2177"/>
    <col min="16122" max="16122" width="24" style="2177" bestFit="1" customWidth="1"/>
    <col min="16123" max="16123" width="43.85546875" style="2177" customWidth="1"/>
    <col min="16124" max="16124" width="19.7109375" style="2177" bestFit="1" customWidth="1"/>
    <col min="16125" max="16125" width="15.28515625" style="2177" bestFit="1" customWidth="1"/>
    <col min="16126" max="16126" width="17.5703125" style="2177" bestFit="1" customWidth="1"/>
    <col min="16127" max="16127" width="13.42578125" style="2177" customWidth="1"/>
    <col min="16128" max="16128" width="15.28515625" style="2177" bestFit="1" customWidth="1"/>
    <col min="16129" max="16129" width="14.140625" style="2177" bestFit="1" customWidth="1"/>
    <col min="16130" max="16130" width="15.28515625" style="2177" customWidth="1"/>
    <col min="16131" max="16131" width="15.85546875" style="2177" customWidth="1"/>
    <col min="16132" max="16132" width="17" style="2177" bestFit="1" customWidth="1"/>
    <col min="16133" max="16133" width="12.7109375" style="2177" customWidth="1"/>
    <col min="16134" max="16134" width="13.7109375" style="2177" customWidth="1"/>
    <col min="16135" max="16135" width="13.85546875" style="2177" bestFit="1" customWidth="1"/>
    <col min="16136" max="16136" width="16.5703125" style="2177" customWidth="1"/>
    <col min="16137" max="16137" width="16.140625" style="2177" customWidth="1"/>
    <col min="16138" max="16138" width="16.7109375" style="2177" bestFit="1" customWidth="1"/>
    <col min="16139" max="16139" width="15.5703125" style="2177" bestFit="1" customWidth="1"/>
    <col min="16140" max="16140" width="18" style="2177" customWidth="1"/>
    <col min="16141" max="16141" width="16.42578125" style="2177" bestFit="1" customWidth="1"/>
    <col min="16142" max="16142" width="14.28515625" style="2177" customWidth="1"/>
    <col min="16143" max="16143" width="12.85546875" style="2177" bestFit="1" customWidth="1"/>
    <col min="16144" max="16144" width="11.28515625" style="2177" bestFit="1" customWidth="1"/>
    <col min="16145" max="16145" width="12.5703125" style="2177" bestFit="1" customWidth="1"/>
    <col min="16146" max="16146" width="14" style="2177" bestFit="1" customWidth="1"/>
    <col min="16147" max="16147" width="6" style="2177" bestFit="1" customWidth="1"/>
    <col min="16148" max="16148" width="15" style="2177" customWidth="1"/>
    <col min="16149" max="16149" width="14.85546875" style="2177" bestFit="1" customWidth="1"/>
    <col min="16150" max="16150" width="16.140625" style="2177" bestFit="1" customWidth="1"/>
    <col min="16151" max="16384" width="9.140625" style="2177"/>
  </cols>
  <sheetData>
    <row r="1" spans="1:27" ht="57" customHeight="1" thickBot="1">
      <c r="C1" s="1812" t="s">
        <v>553</v>
      </c>
      <c r="D1" s="1812" t="s">
        <v>278</v>
      </c>
      <c r="E1" s="1812" t="s">
        <v>6</v>
      </c>
      <c r="F1" s="1812">
        <v>18231134</v>
      </c>
      <c r="G1" s="1812" t="s">
        <v>5</v>
      </c>
      <c r="J1" s="1592"/>
      <c r="M1" s="1812" t="s">
        <v>553</v>
      </c>
      <c r="N1" s="1812" t="s">
        <v>278</v>
      </c>
      <c r="O1" s="1812" t="s">
        <v>6</v>
      </c>
      <c r="P1" s="1812">
        <v>18231134</v>
      </c>
      <c r="Q1" s="1812" t="s">
        <v>5</v>
      </c>
      <c r="V1" s="1812" t="s">
        <v>553</v>
      </c>
      <c r="W1" s="1812" t="s">
        <v>278</v>
      </c>
      <c r="X1" s="1812" t="s">
        <v>6</v>
      </c>
      <c r="Y1" s="1812">
        <v>18231134</v>
      </c>
      <c r="Z1" s="1812" t="s">
        <v>5</v>
      </c>
    </row>
    <row r="2" spans="1:27" ht="16.5" thickBot="1">
      <c r="C2" s="1592"/>
      <c r="D2" s="1575"/>
      <c r="H2" s="1576" t="s">
        <v>674</v>
      </c>
      <c r="R2" s="3596"/>
      <c r="S2" s="3596"/>
      <c r="T2" s="3597" t="s">
        <v>36</v>
      </c>
      <c r="U2" s="3598"/>
      <c r="V2" s="3599"/>
      <c r="W2" s="3594" t="s">
        <v>37</v>
      </c>
    </row>
    <row r="3" spans="1:27" ht="26.25" thickBot="1">
      <c r="A3" s="2802" t="s">
        <v>553</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7" ht="16.5" thickBot="1">
      <c r="A4" s="2802" t="s">
        <v>278</v>
      </c>
      <c r="B4" s="2802"/>
      <c r="C4" s="1575"/>
      <c r="G4" s="1804" t="s">
        <v>668</v>
      </c>
      <c r="H4" s="2003">
        <v>127416</v>
      </c>
      <c r="I4" s="2002">
        <v>12073</v>
      </c>
      <c r="J4" s="2002">
        <v>98619</v>
      </c>
      <c r="K4" s="2002">
        <v>40000</v>
      </c>
      <c r="L4" s="2002">
        <v>2500</v>
      </c>
      <c r="M4" s="2002">
        <v>65000</v>
      </c>
      <c r="N4" s="2002">
        <v>5400</v>
      </c>
      <c r="O4" s="2002">
        <v>350</v>
      </c>
      <c r="P4" s="2002">
        <v>1722788</v>
      </c>
      <c r="Q4" s="2002">
        <v>0</v>
      </c>
      <c r="R4" s="2000">
        <v>2074146</v>
      </c>
      <c r="S4" s="1998">
        <v>6050414</v>
      </c>
      <c r="T4" s="1541">
        <f>P4/R4</f>
        <v>0.83060112451100354</v>
      </c>
      <c r="U4" s="1541">
        <f>(K4+(I4*1.63))/R4</f>
        <v>2.8772800950367043E-2</v>
      </c>
      <c r="V4" s="1541">
        <f>M4/R4</f>
        <v>3.133819895031497E-2</v>
      </c>
      <c r="W4" s="1539">
        <f>R4/S4</f>
        <v>0.34281059114301932</v>
      </c>
    </row>
    <row r="5" spans="1:27" ht="16.5" thickBot="1">
      <c r="A5" s="2802" t="s">
        <v>6</v>
      </c>
      <c r="B5" s="2802"/>
      <c r="C5" s="1592"/>
      <c r="G5" s="1592">
        <v>2016</v>
      </c>
      <c r="H5" s="1582">
        <f>D15</f>
        <v>79757.040000000008</v>
      </c>
      <c r="I5" s="1549">
        <f>D21</f>
        <v>4800</v>
      </c>
      <c r="J5" s="1549">
        <f>D27</f>
        <v>56399.54568000001</v>
      </c>
      <c r="K5" s="1549">
        <f>D34</f>
        <v>40000</v>
      </c>
      <c r="L5" s="1549">
        <f>D40</f>
        <v>3500</v>
      </c>
      <c r="M5" s="1549">
        <f>D46</f>
        <v>54000</v>
      </c>
      <c r="N5" s="1549">
        <f>D52</f>
        <v>2500</v>
      </c>
      <c r="O5" s="1549">
        <f>D58</f>
        <v>610420.5</v>
      </c>
      <c r="P5" s="1549">
        <f>D64</f>
        <v>2342693.7400000002</v>
      </c>
      <c r="Q5" s="1549">
        <f>D65</f>
        <v>0</v>
      </c>
      <c r="R5" s="2001">
        <f>SUM(H5:Q5)</f>
        <v>3194070.8256800002</v>
      </c>
      <c r="S5" s="1999">
        <f>T15</f>
        <v>11021091.5</v>
      </c>
      <c r="T5" s="1542">
        <f>P5/R5</f>
        <v>0.73345078047893741</v>
      </c>
      <c r="U5" s="1542">
        <f>(K5+(I5*1.63))/R5</f>
        <v>1.4972742500103621E-2</v>
      </c>
      <c r="V5" s="1542">
        <f>M5/R5</f>
        <v>1.6906325171579029E-2</v>
      </c>
      <c r="W5" s="1540">
        <f>R5/S5</f>
        <v>0.28981438233046158</v>
      </c>
    </row>
    <row r="6" spans="1:27" ht="16.5" thickBot="1">
      <c r="A6" s="2802">
        <v>18231134</v>
      </c>
      <c r="B6" s="2802"/>
      <c r="D6" s="1592"/>
      <c r="G6" s="1592">
        <v>2017</v>
      </c>
      <c r="H6" s="57">
        <f>E15</f>
        <v>81751.12</v>
      </c>
      <c r="I6" s="1990">
        <f>E21</f>
        <v>4920</v>
      </c>
      <c r="J6" s="1989">
        <f>E27</f>
        <v>58936.361599999997</v>
      </c>
      <c r="K6" s="58">
        <f>E34</f>
        <v>30000</v>
      </c>
      <c r="L6" s="58">
        <f>E40</f>
        <v>3500</v>
      </c>
      <c r="M6" s="58">
        <f>E46</f>
        <v>54000</v>
      </c>
      <c r="N6" s="58">
        <f>E52</f>
        <v>2500</v>
      </c>
      <c r="O6" s="58">
        <f>E58</f>
        <v>610420.5</v>
      </c>
      <c r="P6" s="58">
        <f>E64</f>
        <v>2419231.3600000003</v>
      </c>
      <c r="Q6" s="58">
        <f>E65</f>
        <v>0</v>
      </c>
      <c r="R6" s="1997">
        <f>SUM(H6:Q6)</f>
        <v>3265259.3416000004</v>
      </c>
      <c r="S6" s="1996">
        <f>U15</f>
        <v>11332748.5</v>
      </c>
      <c r="T6" s="1542">
        <f>P6/R6</f>
        <v>0.74090021860700339</v>
      </c>
      <c r="U6" s="1542">
        <f>(K6+(I6*1.63))/R6</f>
        <v>1.1643669314600329E-2</v>
      </c>
      <c r="V6" s="1542">
        <f>M6/R6</f>
        <v>1.6537736930120721E-2</v>
      </c>
      <c r="W6" s="1540">
        <f>R6/S6</f>
        <v>0.2881259865248047</v>
      </c>
    </row>
    <row r="7" spans="1:27" ht="16.5" thickBot="1">
      <c r="A7" s="2802" t="s">
        <v>5</v>
      </c>
      <c r="B7" s="2802"/>
      <c r="D7" s="1592"/>
      <c r="G7" s="1608" t="s">
        <v>23</v>
      </c>
      <c r="H7" s="1564">
        <f>SUM(H5:H6)</f>
        <v>161508.16</v>
      </c>
      <c r="I7" s="1991">
        <f t="shared" ref="I7:Q7" si="0">SUM(I5:I6)</f>
        <v>9720</v>
      </c>
      <c r="J7" s="1992">
        <f t="shared" si="0"/>
        <v>115335.90728000001</v>
      </c>
      <c r="K7" s="1993">
        <f t="shared" si="0"/>
        <v>70000</v>
      </c>
      <c r="L7" s="1991">
        <f t="shared" si="0"/>
        <v>7000</v>
      </c>
      <c r="M7" s="1992">
        <f t="shared" si="0"/>
        <v>108000</v>
      </c>
      <c r="N7" s="1991">
        <f t="shared" si="0"/>
        <v>5000</v>
      </c>
      <c r="O7" s="1992">
        <f t="shared" si="0"/>
        <v>1220841</v>
      </c>
      <c r="P7" s="1993">
        <f t="shared" si="0"/>
        <v>4761925.1000000006</v>
      </c>
      <c r="Q7" s="1991">
        <f t="shared" si="0"/>
        <v>0</v>
      </c>
      <c r="R7" s="1993">
        <f>SUM(H7:Q7)</f>
        <v>6459330.1672800006</v>
      </c>
      <c r="S7" s="1994">
        <f>SUM(S5:S6)</f>
        <v>22353840</v>
      </c>
      <c r="T7" s="1542">
        <f>P7/R7</f>
        <v>0.73721654980910023</v>
      </c>
      <c r="U7" s="1542">
        <f>(K7+(I7*1.63))/R7</f>
        <v>1.328986098819414E-2</v>
      </c>
      <c r="V7" s="1542">
        <f>M7/R7</f>
        <v>1.6719999938550653E-2</v>
      </c>
      <c r="W7" s="1540">
        <f>R7/S7</f>
        <v>0.28895841462943284</v>
      </c>
    </row>
    <row r="8" spans="1:27" ht="15.75">
      <c r="A8" s="2193"/>
      <c r="B8" s="2802"/>
      <c r="D8" s="1592"/>
    </row>
    <row r="9" spans="1:27" ht="20.25" customHeight="1">
      <c r="A9" s="2802"/>
      <c r="B9" s="2802"/>
      <c r="D9" s="1592"/>
    </row>
    <row r="10" spans="1:27">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2929" t="s">
        <v>317</v>
      </c>
      <c r="AA10" s="1927"/>
    </row>
    <row r="11" spans="1:27">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row>
    <row r="12" spans="1:27">
      <c r="A12" s="2802"/>
      <c r="B12" s="2802"/>
      <c r="C12" s="1887" t="s">
        <v>314</v>
      </c>
      <c r="D12" s="2157">
        <f>D15+D21+D27+D34+D40+D46+D52+D58+D64</f>
        <v>3194070.8256800002</v>
      </c>
      <c r="E12" s="1948">
        <f>E15+E21+E27+E34+E40+E46+E52+E58+E64</f>
        <v>3265259.3416000004</v>
      </c>
      <c r="F12" s="2157">
        <f>D12+E12</f>
        <v>6459330.1672800006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30" t="s">
        <v>319</v>
      </c>
      <c r="AA12" s="1917"/>
    </row>
    <row r="13" spans="1:27">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70" t="s">
        <v>1118</v>
      </c>
      <c r="AA13" s="1917"/>
    </row>
    <row r="14" spans="1:27"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70" t="s">
        <v>1131</v>
      </c>
      <c r="AA14" s="1917"/>
    </row>
    <row r="15" spans="1:27">
      <c r="B15" s="1886" t="s">
        <v>312</v>
      </c>
      <c r="C15" s="2106" t="s">
        <v>46</v>
      </c>
      <c r="D15" s="2158">
        <f>SUM(D16:D19)</f>
        <v>79757.040000000008</v>
      </c>
      <c r="E15" s="1926">
        <f>SUM(E16:E19)</f>
        <v>81751.12</v>
      </c>
      <c r="F15" s="2157">
        <f>D15+E15</f>
        <v>161508.16</v>
      </c>
      <c r="H15" s="1938" t="s">
        <v>327</v>
      </c>
      <c r="I15" s="1939"/>
      <c r="J15" s="1939"/>
      <c r="K15" s="1940"/>
      <c r="L15" s="1941">
        <f>SUMPRODUCT(L16:L179,S16:S179)</f>
        <v>6603664.3999999994</v>
      </c>
      <c r="M15" s="1941">
        <f>SUM(M16:M179)</f>
        <v>11415.882000000001</v>
      </c>
      <c r="N15" s="1942" t="s">
        <v>241</v>
      </c>
      <c r="O15" s="1940">
        <v>10</v>
      </c>
      <c r="P15" s="1940"/>
      <c r="Q15" s="1940"/>
      <c r="R15" s="1940"/>
      <c r="S15" s="1940"/>
      <c r="T15" s="1943">
        <f t="shared" ref="T15:Y15" si="1">SUM(T16:T179)</f>
        <v>11021091.5</v>
      </c>
      <c r="U15" s="1943">
        <f t="shared" si="1"/>
        <v>11332748.5</v>
      </c>
      <c r="V15" s="1943">
        <f t="shared" si="1"/>
        <v>22353840</v>
      </c>
      <c r="W15" s="3284">
        <f t="shared" si="1"/>
        <v>2342693.7400000002</v>
      </c>
      <c r="X15" s="3284">
        <f t="shared" si="1"/>
        <v>2419231.3600000003</v>
      </c>
      <c r="Y15" s="3284">
        <f t="shared" si="1"/>
        <v>4761925.0999999996</v>
      </c>
      <c r="Z15" s="1945">
        <v>0</v>
      </c>
      <c r="AA15" s="1917"/>
    </row>
    <row r="16" spans="1:27">
      <c r="B16" s="2610">
        <v>0.65</v>
      </c>
      <c r="C16" s="2197" t="s">
        <v>792</v>
      </c>
      <c r="D16" s="2201">
        <v>72506.400000000009</v>
      </c>
      <c r="E16" s="2200">
        <v>74319.199999999997</v>
      </c>
      <c r="F16" s="1879">
        <f>SUM(D16:E16)</f>
        <v>146825.60000000001</v>
      </c>
      <c r="H16" s="2948" t="s">
        <v>1348</v>
      </c>
      <c r="I16" s="2953">
        <v>158</v>
      </c>
      <c r="J16" s="1932" t="s">
        <v>120</v>
      </c>
      <c r="K16" s="1922" t="s">
        <v>909</v>
      </c>
      <c r="L16" s="1929">
        <v>165</v>
      </c>
      <c r="M16" s="1929">
        <v>165</v>
      </c>
      <c r="N16" s="1923">
        <v>1.6347523518318152E-2</v>
      </c>
      <c r="O16" s="1922">
        <v>12</v>
      </c>
      <c r="P16" s="1925" t="s">
        <v>1071</v>
      </c>
      <c r="Q16" s="1928">
        <v>1250</v>
      </c>
      <c r="R16" s="1928">
        <v>1250</v>
      </c>
      <c r="S16" s="1931">
        <f t="shared" ref="S16:S47" si="2">Q16+R16</f>
        <v>2500</v>
      </c>
      <c r="T16" s="1931">
        <f t="shared" ref="T16:T47" si="3">I16*Q16</f>
        <v>197500</v>
      </c>
      <c r="U16" s="1931">
        <f t="shared" ref="U16:U47" si="4">I16*R16</f>
        <v>197500</v>
      </c>
      <c r="V16" s="1931">
        <f t="shared" ref="V16:V47" si="5">T16+U16</f>
        <v>395000</v>
      </c>
      <c r="W16" s="1921">
        <f t="shared" ref="W16:W47" si="6">M16*Q16</f>
        <v>206250</v>
      </c>
      <c r="X16" s="1921">
        <f t="shared" ref="X16:X47" si="7">M16*R16</f>
        <v>206250</v>
      </c>
      <c r="Y16" s="1921">
        <f t="shared" ref="Y16:Y47" si="8">W16+X16</f>
        <v>412500</v>
      </c>
      <c r="Z16" s="1946"/>
      <c r="AA16" s="1917"/>
    </row>
    <row r="17" spans="2:27">
      <c r="B17" s="2610">
        <v>0.1</v>
      </c>
      <c r="C17" s="2197" t="s">
        <v>791</v>
      </c>
      <c r="D17" s="2199">
        <v>7250.64</v>
      </c>
      <c r="E17" s="2198">
        <v>7431.92</v>
      </c>
      <c r="F17" s="2191">
        <f t="shared" ref="F17:F30" si="9">SUM(D17:E17)</f>
        <v>14682.560000000001</v>
      </c>
      <c r="H17" s="2948" t="s">
        <v>1349</v>
      </c>
      <c r="I17" s="2953">
        <v>100</v>
      </c>
      <c r="J17" s="1932" t="s">
        <v>120</v>
      </c>
      <c r="K17" s="1922" t="s">
        <v>909</v>
      </c>
      <c r="L17" s="1929">
        <v>54.6</v>
      </c>
      <c r="M17" s="1929">
        <v>54.6</v>
      </c>
      <c r="N17" s="1923">
        <v>2.069306774470652E-3</v>
      </c>
      <c r="O17" s="1922">
        <v>5</v>
      </c>
      <c r="P17" s="1925" t="s">
        <v>1071</v>
      </c>
      <c r="Q17" s="1928">
        <v>250</v>
      </c>
      <c r="R17" s="1928">
        <v>250</v>
      </c>
      <c r="S17" s="1931">
        <f t="shared" si="2"/>
        <v>500</v>
      </c>
      <c r="T17" s="1931">
        <f t="shared" si="3"/>
        <v>25000</v>
      </c>
      <c r="U17" s="1931">
        <f t="shared" si="4"/>
        <v>25000</v>
      </c>
      <c r="V17" s="1931">
        <f t="shared" si="5"/>
        <v>50000</v>
      </c>
      <c r="W17" s="1921">
        <f t="shared" si="6"/>
        <v>13650</v>
      </c>
      <c r="X17" s="1921">
        <f t="shared" si="7"/>
        <v>13650</v>
      </c>
      <c r="Y17" s="1921">
        <f t="shared" si="8"/>
        <v>27300</v>
      </c>
      <c r="Z17" s="1946"/>
      <c r="AA17" s="1917"/>
    </row>
    <row r="18" spans="2:27">
      <c r="B18" s="2610"/>
      <c r="C18" s="2197"/>
      <c r="D18" s="2199"/>
      <c r="E18" s="2198"/>
      <c r="F18" s="2191">
        <f t="shared" si="9"/>
        <v>0</v>
      </c>
      <c r="H18" s="2948" t="s">
        <v>1350</v>
      </c>
      <c r="I18" s="2953">
        <v>300</v>
      </c>
      <c r="J18" s="1932" t="s">
        <v>120</v>
      </c>
      <c r="K18" s="1922" t="s">
        <v>909</v>
      </c>
      <c r="L18" s="1929">
        <v>65</v>
      </c>
      <c r="M18" s="1929">
        <v>65</v>
      </c>
      <c r="N18" s="1923">
        <v>1.2415840646823911E-2</v>
      </c>
      <c r="O18" s="1922">
        <v>5</v>
      </c>
      <c r="P18" s="1925" t="s">
        <v>1071</v>
      </c>
      <c r="Q18" s="1928">
        <v>1500</v>
      </c>
      <c r="R18" s="1928">
        <v>1500</v>
      </c>
      <c r="S18" s="1931">
        <f t="shared" si="2"/>
        <v>3000</v>
      </c>
      <c r="T18" s="1931">
        <f t="shared" si="3"/>
        <v>450000</v>
      </c>
      <c r="U18" s="1931">
        <f t="shared" si="4"/>
        <v>450000</v>
      </c>
      <c r="V18" s="1931">
        <f t="shared" si="5"/>
        <v>900000</v>
      </c>
      <c r="W18" s="1921">
        <f t="shared" si="6"/>
        <v>97500</v>
      </c>
      <c r="X18" s="1921">
        <f t="shared" si="7"/>
        <v>97500</v>
      </c>
      <c r="Y18" s="1921">
        <f t="shared" si="8"/>
        <v>195000</v>
      </c>
      <c r="Z18" s="1946"/>
      <c r="AA18" s="1917"/>
    </row>
    <row r="19" spans="2:27">
      <c r="B19" s="2610"/>
      <c r="C19" s="2197"/>
      <c r="D19" s="1903"/>
      <c r="E19" s="1902"/>
      <c r="F19" s="2191">
        <f t="shared" si="9"/>
        <v>0</v>
      </c>
      <c r="H19" s="2948" t="s">
        <v>1351</v>
      </c>
      <c r="I19" s="2953">
        <v>46</v>
      </c>
      <c r="J19" s="1932" t="s">
        <v>120</v>
      </c>
      <c r="K19" s="1922" t="s">
        <v>909</v>
      </c>
      <c r="L19" s="1929">
        <v>82</v>
      </c>
      <c r="M19" s="1929">
        <v>82</v>
      </c>
      <c r="N19" s="1923">
        <v>4.7594055812824991E-3</v>
      </c>
      <c r="O19" s="1922">
        <v>10</v>
      </c>
      <c r="P19" s="1925" t="s">
        <v>1071</v>
      </c>
      <c r="Q19" s="1928">
        <v>1200</v>
      </c>
      <c r="R19" s="1928">
        <v>1256</v>
      </c>
      <c r="S19" s="1931">
        <f t="shared" si="2"/>
        <v>2456</v>
      </c>
      <c r="T19" s="1931">
        <f t="shared" si="3"/>
        <v>55200</v>
      </c>
      <c r="U19" s="1931">
        <f t="shared" si="4"/>
        <v>57776</v>
      </c>
      <c r="V19" s="1931">
        <f t="shared" si="5"/>
        <v>112976</v>
      </c>
      <c r="W19" s="1921">
        <f t="shared" si="6"/>
        <v>98400</v>
      </c>
      <c r="X19" s="1921">
        <f t="shared" si="7"/>
        <v>102992</v>
      </c>
      <c r="Y19" s="1921">
        <f t="shared" si="8"/>
        <v>201392</v>
      </c>
      <c r="Z19" s="1946"/>
      <c r="AA19" s="1917"/>
    </row>
    <row r="20" spans="2:27">
      <c r="B20" s="1908">
        <f>SUM(B16:B19)</f>
        <v>0.75</v>
      </c>
      <c r="C20" s="1952"/>
      <c r="D20" s="1954"/>
      <c r="E20" s="1955"/>
      <c r="F20" s="1957"/>
      <c r="H20" s="2948" t="s">
        <v>1352</v>
      </c>
      <c r="I20" s="2953">
        <v>116</v>
      </c>
      <c r="J20" s="1932" t="s">
        <v>120</v>
      </c>
      <c r="K20" s="1922" t="s">
        <v>909</v>
      </c>
      <c r="L20" s="1929">
        <v>82</v>
      </c>
      <c r="M20" s="1929">
        <v>82</v>
      </c>
      <c r="N20" s="1923">
        <v>3.0004948229824451E-4</v>
      </c>
      <c r="O20" s="1922">
        <v>10</v>
      </c>
      <c r="P20" s="1925" t="s">
        <v>1071</v>
      </c>
      <c r="Q20" s="1928">
        <v>25</v>
      </c>
      <c r="R20" s="1928">
        <v>25</v>
      </c>
      <c r="S20" s="1931">
        <f t="shared" si="2"/>
        <v>50</v>
      </c>
      <c r="T20" s="1931">
        <f t="shared" si="3"/>
        <v>2900</v>
      </c>
      <c r="U20" s="1931">
        <f t="shared" si="4"/>
        <v>2900</v>
      </c>
      <c r="V20" s="1931">
        <f t="shared" si="5"/>
        <v>5800</v>
      </c>
      <c r="W20" s="1921">
        <f t="shared" si="6"/>
        <v>2050</v>
      </c>
      <c r="X20" s="1921">
        <f t="shared" si="7"/>
        <v>2050</v>
      </c>
      <c r="Y20" s="1921">
        <f t="shared" si="8"/>
        <v>4100</v>
      </c>
      <c r="Z20" s="1946"/>
      <c r="AA20" s="1917"/>
    </row>
    <row r="21" spans="2:27">
      <c r="C21" s="2106" t="s">
        <v>47</v>
      </c>
      <c r="D21" s="2158">
        <f>SUM(D22:D25)</f>
        <v>4800</v>
      </c>
      <c r="E21" s="1926">
        <f>SUM(E22:E25)</f>
        <v>4920</v>
      </c>
      <c r="F21" s="2157">
        <f>D21+E21</f>
        <v>9720</v>
      </c>
      <c r="H21" s="2948" t="s">
        <v>1353</v>
      </c>
      <c r="I21" s="2953">
        <v>162</v>
      </c>
      <c r="J21" s="1932" t="s">
        <v>120</v>
      </c>
      <c r="K21" s="1922" t="s">
        <v>909</v>
      </c>
      <c r="L21" s="1929">
        <v>82</v>
      </c>
      <c r="M21" s="1929">
        <v>82</v>
      </c>
      <c r="N21" s="1923">
        <v>4.1903462183030701E-4</v>
      </c>
      <c r="O21" s="1922">
        <v>10</v>
      </c>
      <c r="P21" s="1925" t="s">
        <v>1071</v>
      </c>
      <c r="Q21" s="1928">
        <v>25</v>
      </c>
      <c r="R21" s="1928">
        <v>25</v>
      </c>
      <c r="S21" s="1931">
        <f t="shared" si="2"/>
        <v>50</v>
      </c>
      <c r="T21" s="1931">
        <f t="shared" si="3"/>
        <v>4050</v>
      </c>
      <c r="U21" s="1931">
        <f t="shared" si="4"/>
        <v>4050</v>
      </c>
      <c r="V21" s="1931">
        <f t="shared" si="5"/>
        <v>8100</v>
      </c>
      <c r="W21" s="1921">
        <f t="shared" si="6"/>
        <v>2050</v>
      </c>
      <c r="X21" s="1921">
        <f t="shared" si="7"/>
        <v>2050</v>
      </c>
      <c r="Y21" s="1921">
        <f t="shared" si="8"/>
        <v>4100</v>
      </c>
      <c r="Z21" s="1946"/>
      <c r="AA21" s="1917"/>
    </row>
    <row r="22" spans="2:27">
      <c r="C22" s="2197" t="s">
        <v>791</v>
      </c>
      <c r="D22" s="2201">
        <v>4800</v>
      </c>
      <c r="E22" s="2200">
        <v>4920</v>
      </c>
      <c r="F22" s="1879">
        <f t="shared" si="9"/>
        <v>9720</v>
      </c>
      <c r="H22" s="2948" t="s">
        <v>1354</v>
      </c>
      <c r="I22" s="2953">
        <v>302</v>
      </c>
      <c r="J22" s="1932" t="s">
        <v>120</v>
      </c>
      <c r="K22" s="1922" t="s">
        <v>909</v>
      </c>
      <c r="L22" s="1929">
        <v>82</v>
      </c>
      <c r="M22" s="1929">
        <v>82</v>
      </c>
      <c r="N22" s="1923">
        <v>7.811633073626711E-4</v>
      </c>
      <c r="O22" s="1922">
        <v>10</v>
      </c>
      <c r="P22" s="1925" t="s">
        <v>1071</v>
      </c>
      <c r="Q22" s="1928">
        <v>25</v>
      </c>
      <c r="R22" s="1928">
        <v>25</v>
      </c>
      <c r="S22" s="1931">
        <f t="shared" si="2"/>
        <v>50</v>
      </c>
      <c r="T22" s="1931">
        <f t="shared" si="3"/>
        <v>7550</v>
      </c>
      <c r="U22" s="1931">
        <f t="shared" si="4"/>
        <v>7550</v>
      </c>
      <c r="V22" s="1931">
        <f t="shared" si="5"/>
        <v>15100</v>
      </c>
      <c r="W22" s="1921">
        <f t="shared" si="6"/>
        <v>2050</v>
      </c>
      <c r="X22" s="1921">
        <f t="shared" si="7"/>
        <v>2050</v>
      </c>
      <c r="Y22" s="1921">
        <f t="shared" si="8"/>
        <v>4100</v>
      </c>
      <c r="Z22" s="1946"/>
      <c r="AA22" s="1917"/>
    </row>
    <row r="23" spans="2:27">
      <c r="C23" s="2197"/>
      <c r="D23" s="1900"/>
      <c r="E23" s="1899"/>
      <c r="F23" s="2191">
        <f t="shared" si="9"/>
        <v>0</v>
      </c>
      <c r="H23" s="2948" t="s">
        <v>1355</v>
      </c>
      <c r="I23" s="2953">
        <v>464</v>
      </c>
      <c r="J23" s="1932" t="s">
        <v>120</v>
      </c>
      <c r="K23" s="1922" t="s">
        <v>909</v>
      </c>
      <c r="L23" s="1929">
        <v>82</v>
      </c>
      <c r="M23" s="1929">
        <v>82</v>
      </c>
      <c r="N23" s="1923">
        <v>1.2001979291929781E-3</v>
      </c>
      <c r="O23" s="1922">
        <v>10</v>
      </c>
      <c r="P23" s="1925" t="s">
        <v>1071</v>
      </c>
      <c r="Q23" s="1928">
        <v>50</v>
      </c>
      <c r="R23" s="1928">
        <v>50</v>
      </c>
      <c r="S23" s="1931">
        <f t="shared" si="2"/>
        <v>100</v>
      </c>
      <c r="T23" s="1931">
        <f t="shared" si="3"/>
        <v>23200</v>
      </c>
      <c r="U23" s="1931">
        <f t="shared" si="4"/>
        <v>23200</v>
      </c>
      <c r="V23" s="1931">
        <f t="shared" si="5"/>
        <v>46400</v>
      </c>
      <c r="W23" s="1921">
        <f t="shared" si="6"/>
        <v>4100</v>
      </c>
      <c r="X23" s="1921">
        <f t="shared" si="7"/>
        <v>4100</v>
      </c>
      <c r="Y23" s="1921">
        <f t="shared" si="8"/>
        <v>8200</v>
      </c>
      <c r="Z23" s="1946"/>
      <c r="AA23" s="1917"/>
    </row>
    <row r="24" spans="2:27">
      <c r="C24" s="2197"/>
      <c r="D24" s="1898"/>
      <c r="E24" s="1897"/>
      <c r="F24" s="2191">
        <f t="shared" si="9"/>
        <v>0</v>
      </c>
      <c r="H24" s="2948" t="s">
        <v>1356</v>
      </c>
      <c r="I24" s="2953">
        <v>153.30000000000001</v>
      </c>
      <c r="J24" s="1932" t="s">
        <v>120</v>
      </c>
      <c r="K24" s="1922" t="s">
        <v>909</v>
      </c>
      <c r="L24" s="1929">
        <v>60</v>
      </c>
      <c r="M24" s="1929">
        <v>60</v>
      </c>
      <c r="N24" s="1923">
        <v>1.9826545532896932E-2</v>
      </c>
      <c r="O24" s="1922">
        <v>10</v>
      </c>
      <c r="P24" s="1925" t="s">
        <v>1071</v>
      </c>
      <c r="Q24" s="1928">
        <v>1000</v>
      </c>
      <c r="R24" s="1928">
        <v>1000</v>
      </c>
      <c r="S24" s="1931">
        <f t="shared" si="2"/>
        <v>2000</v>
      </c>
      <c r="T24" s="1931">
        <f t="shared" si="3"/>
        <v>153300</v>
      </c>
      <c r="U24" s="1931">
        <f t="shared" si="4"/>
        <v>153300</v>
      </c>
      <c r="V24" s="1931">
        <f t="shared" si="5"/>
        <v>306600</v>
      </c>
      <c r="W24" s="1921">
        <f t="shared" si="6"/>
        <v>60000</v>
      </c>
      <c r="X24" s="1921">
        <f t="shared" si="7"/>
        <v>60000</v>
      </c>
      <c r="Y24" s="1921">
        <f t="shared" si="8"/>
        <v>120000</v>
      </c>
      <c r="Z24" s="1946"/>
      <c r="AA24" s="1917"/>
    </row>
    <row r="25" spans="2:27">
      <c r="C25" s="2197"/>
      <c r="D25" s="1896"/>
      <c r="E25" s="1899"/>
      <c r="F25" s="2191">
        <f t="shared" si="9"/>
        <v>0</v>
      </c>
      <c r="H25" s="2948" t="s">
        <v>1696</v>
      </c>
      <c r="I25" s="2953">
        <v>41</v>
      </c>
      <c r="J25" s="1932" t="s">
        <v>120</v>
      </c>
      <c r="K25" s="1922" t="s">
        <v>909</v>
      </c>
      <c r="L25" s="1929">
        <v>52.23</v>
      </c>
      <c r="M25" s="1929">
        <v>10.25</v>
      </c>
      <c r="N25" s="1923">
        <v>6.3631183314972551E-4</v>
      </c>
      <c r="O25" s="1922">
        <v>12</v>
      </c>
      <c r="P25" s="1925" t="s">
        <v>1071</v>
      </c>
      <c r="Q25" s="1928">
        <v>150</v>
      </c>
      <c r="R25" s="1928">
        <v>150</v>
      </c>
      <c r="S25" s="1931">
        <f t="shared" si="2"/>
        <v>300</v>
      </c>
      <c r="T25" s="1931">
        <f t="shared" si="3"/>
        <v>6150</v>
      </c>
      <c r="U25" s="1931">
        <f t="shared" si="4"/>
        <v>6150</v>
      </c>
      <c r="V25" s="1931">
        <f t="shared" si="5"/>
        <v>12300</v>
      </c>
      <c r="W25" s="1921">
        <f t="shared" si="6"/>
        <v>1537.5</v>
      </c>
      <c r="X25" s="1921">
        <f t="shared" si="7"/>
        <v>1537.5</v>
      </c>
      <c r="Y25" s="1921">
        <f t="shared" si="8"/>
        <v>3075</v>
      </c>
      <c r="Z25" s="1946"/>
      <c r="AA25" s="1917"/>
    </row>
    <row r="26" spans="2:27">
      <c r="C26" s="1877"/>
      <c r="D26" s="1892"/>
      <c r="E26" s="1884"/>
      <c r="F26" s="1892"/>
      <c r="H26" s="2948" t="s">
        <v>1697</v>
      </c>
      <c r="I26" s="2953">
        <v>70</v>
      </c>
      <c r="J26" s="1932" t="s">
        <v>120</v>
      </c>
      <c r="K26" s="1922" t="s">
        <v>909</v>
      </c>
      <c r="L26" s="1929">
        <v>53.28</v>
      </c>
      <c r="M26" s="1929">
        <v>17.5</v>
      </c>
      <c r="N26" s="1923">
        <v>1.0863860565970922E-3</v>
      </c>
      <c r="O26" s="1922">
        <v>12</v>
      </c>
      <c r="P26" s="1925" t="s">
        <v>1071</v>
      </c>
      <c r="Q26" s="1928">
        <v>150</v>
      </c>
      <c r="R26" s="1928">
        <v>150</v>
      </c>
      <c r="S26" s="1931">
        <f t="shared" si="2"/>
        <v>300</v>
      </c>
      <c r="T26" s="1931">
        <f t="shared" si="3"/>
        <v>10500</v>
      </c>
      <c r="U26" s="1931">
        <f t="shared" si="4"/>
        <v>10500</v>
      </c>
      <c r="V26" s="1931">
        <f t="shared" si="5"/>
        <v>21000</v>
      </c>
      <c r="W26" s="1921">
        <f t="shared" si="6"/>
        <v>2625</v>
      </c>
      <c r="X26" s="1921">
        <f t="shared" si="7"/>
        <v>2625</v>
      </c>
      <c r="Y26" s="1921">
        <f t="shared" si="8"/>
        <v>5250</v>
      </c>
      <c r="Z26" s="1946"/>
      <c r="AA26" s="1917"/>
    </row>
    <row r="27" spans="2:27">
      <c r="C27" s="2106" t="s">
        <v>48</v>
      </c>
      <c r="D27" s="2158">
        <f>SUM(D29:D32)</f>
        <v>56399.54568000001</v>
      </c>
      <c r="E27" s="1926">
        <f>SUM(E29:E32)</f>
        <v>58936.361599999997</v>
      </c>
      <c r="F27" s="2157">
        <f>D27+E27</f>
        <v>115335.90728000001</v>
      </c>
      <c r="H27" s="2948" t="s">
        <v>1698</v>
      </c>
      <c r="I27" s="2953">
        <v>66</v>
      </c>
      <c r="J27" s="1932" t="s">
        <v>120</v>
      </c>
      <c r="K27" s="1922" t="s">
        <v>909</v>
      </c>
      <c r="L27" s="1929">
        <v>54.75</v>
      </c>
      <c r="M27" s="1929">
        <v>16.5</v>
      </c>
      <c r="N27" s="1923">
        <v>1.0243068533629727E-3</v>
      </c>
      <c r="O27" s="1922">
        <v>12</v>
      </c>
      <c r="P27" s="1925" t="s">
        <v>1071</v>
      </c>
      <c r="Q27" s="1928">
        <v>150</v>
      </c>
      <c r="R27" s="1928">
        <v>150</v>
      </c>
      <c r="S27" s="1931">
        <f t="shared" si="2"/>
        <v>300</v>
      </c>
      <c r="T27" s="1931">
        <f t="shared" si="3"/>
        <v>9900</v>
      </c>
      <c r="U27" s="1931">
        <f t="shared" si="4"/>
        <v>9900</v>
      </c>
      <c r="V27" s="1931">
        <f t="shared" si="5"/>
        <v>19800</v>
      </c>
      <c r="W27" s="1921">
        <f t="shared" si="6"/>
        <v>2475</v>
      </c>
      <c r="X27" s="1921">
        <f t="shared" si="7"/>
        <v>2475</v>
      </c>
      <c r="Y27" s="1921">
        <f t="shared" si="8"/>
        <v>4950</v>
      </c>
      <c r="Z27" s="1946"/>
      <c r="AA27" s="1917"/>
    </row>
    <row r="28" spans="2:27">
      <c r="C28" s="1909" t="s">
        <v>315</v>
      </c>
      <c r="D28" s="1912">
        <v>0.66700000000000004</v>
      </c>
      <c r="E28" s="1913">
        <v>0.68</v>
      </c>
      <c r="F28" s="1949"/>
      <c r="H28" s="2948" t="s">
        <v>1699</v>
      </c>
      <c r="I28" s="2953">
        <v>421</v>
      </c>
      <c r="J28" s="1932" t="s">
        <v>120</v>
      </c>
      <c r="K28" s="1922" t="s">
        <v>909</v>
      </c>
      <c r="L28" s="1929">
        <v>57.23</v>
      </c>
      <c r="M28" s="1929">
        <v>40.060999999999993</v>
      </c>
      <c r="N28" s="1923">
        <v>8.7945537915002701E-5</v>
      </c>
      <c r="O28" s="1922">
        <v>12</v>
      </c>
      <c r="P28" s="1925" t="s">
        <v>1071</v>
      </c>
      <c r="Q28" s="1928">
        <v>100</v>
      </c>
      <c r="R28" s="1928">
        <v>100</v>
      </c>
      <c r="S28" s="1931">
        <f t="shared" si="2"/>
        <v>200</v>
      </c>
      <c r="T28" s="1931">
        <f t="shared" si="3"/>
        <v>42100</v>
      </c>
      <c r="U28" s="1931">
        <f t="shared" si="4"/>
        <v>42100</v>
      </c>
      <c r="V28" s="1931">
        <f t="shared" si="5"/>
        <v>84200</v>
      </c>
      <c r="W28" s="1921">
        <f t="shared" si="6"/>
        <v>4006.0999999999995</v>
      </c>
      <c r="X28" s="1921">
        <f t="shared" si="7"/>
        <v>4006.0999999999995</v>
      </c>
      <c r="Y28" s="1921">
        <f t="shared" si="8"/>
        <v>8012.1999999999989</v>
      </c>
      <c r="Z28" s="1946"/>
      <c r="AA28" s="1917"/>
    </row>
    <row r="29" spans="2:27">
      <c r="C29" s="2197" t="s">
        <v>778</v>
      </c>
      <c r="D29" s="2202">
        <f>D15*D28</f>
        <v>53197.945680000012</v>
      </c>
      <c r="E29" s="2163">
        <f>E15*E28</f>
        <v>55590.761599999998</v>
      </c>
      <c r="F29" s="2191">
        <f t="shared" si="9"/>
        <v>108788.70728</v>
      </c>
      <c r="H29" s="2948" t="s">
        <v>1361</v>
      </c>
      <c r="I29" s="2953">
        <v>34</v>
      </c>
      <c r="J29" s="1932" t="s">
        <v>120</v>
      </c>
      <c r="K29" s="1922" t="s">
        <v>909</v>
      </c>
      <c r="L29" s="1929">
        <v>53.29</v>
      </c>
      <c r="M29" s="1929">
        <v>8.5</v>
      </c>
      <c r="N29" s="1923">
        <v>8.7945537915002701E-5</v>
      </c>
      <c r="O29" s="1922">
        <v>12</v>
      </c>
      <c r="P29" s="1925" t="s">
        <v>1071</v>
      </c>
      <c r="Q29" s="1928">
        <v>200</v>
      </c>
      <c r="R29" s="1928">
        <v>200</v>
      </c>
      <c r="S29" s="1931">
        <f t="shared" si="2"/>
        <v>400</v>
      </c>
      <c r="T29" s="1931">
        <f t="shared" si="3"/>
        <v>6800</v>
      </c>
      <c r="U29" s="1931">
        <f t="shared" si="4"/>
        <v>6800</v>
      </c>
      <c r="V29" s="1931">
        <f t="shared" si="5"/>
        <v>13600</v>
      </c>
      <c r="W29" s="1921">
        <f t="shared" si="6"/>
        <v>1700</v>
      </c>
      <c r="X29" s="1921">
        <f t="shared" si="7"/>
        <v>1700</v>
      </c>
      <c r="Y29" s="1921">
        <f t="shared" si="8"/>
        <v>3400</v>
      </c>
      <c r="Z29" s="1946"/>
      <c r="AA29" s="1917"/>
    </row>
    <row r="30" spans="2:27">
      <c r="C30" s="2197" t="s">
        <v>779</v>
      </c>
      <c r="D30" s="1973">
        <f>D21*D28</f>
        <v>3201.6000000000004</v>
      </c>
      <c r="E30" s="2163">
        <f>E21*E28</f>
        <v>3345.6000000000004</v>
      </c>
      <c r="F30" s="2191">
        <f t="shared" si="9"/>
        <v>6547.2000000000007</v>
      </c>
      <c r="H30" s="2948" t="s">
        <v>1700</v>
      </c>
      <c r="I30" s="2953">
        <v>136</v>
      </c>
      <c r="J30" s="1932" t="s">
        <v>120</v>
      </c>
      <c r="K30" s="1922" t="s">
        <v>909</v>
      </c>
      <c r="L30" s="1929">
        <v>57.23</v>
      </c>
      <c r="M30" s="1929">
        <v>34</v>
      </c>
      <c r="N30" s="1923">
        <v>1.0553464549800325E-2</v>
      </c>
      <c r="O30" s="1922">
        <v>12</v>
      </c>
      <c r="P30" s="1925" t="s">
        <v>1071</v>
      </c>
      <c r="Q30" s="1928">
        <v>750</v>
      </c>
      <c r="R30" s="1928">
        <v>750</v>
      </c>
      <c r="S30" s="1931">
        <f t="shared" si="2"/>
        <v>1500</v>
      </c>
      <c r="T30" s="1931">
        <f t="shared" si="3"/>
        <v>102000</v>
      </c>
      <c r="U30" s="1931">
        <f t="shared" si="4"/>
        <v>102000</v>
      </c>
      <c r="V30" s="1931">
        <f t="shared" si="5"/>
        <v>204000</v>
      </c>
      <c r="W30" s="1921">
        <f t="shared" si="6"/>
        <v>25500</v>
      </c>
      <c r="X30" s="1921">
        <f t="shared" si="7"/>
        <v>25500</v>
      </c>
      <c r="Y30" s="1921">
        <f t="shared" si="8"/>
        <v>51000</v>
      </c>
      <c r="Z30" s="1946"/>
      <c r="AA30" s="1917"/>
    </row>
    <row r="31" spans="2:27">
      <c r="C31" s="1901"/>
      <c r="D31" s="1898"/>
      <c r="E31" s="1897"/>
      <c r="F31" s="1889"/>
      <c r="H31" s="2948" t="s">
        <v>1701</v>
      </c>
      <c r="I31" s="2953">
        <v>264</v>
      </c>
      <c r="J31" s="1932" t="s">
        <v>120</v>
      </c>
      <c r="K31" s="1922" t="s">
        <v>909</v>
      </c>
      <c r="L31" s="1929">
        <v>73.89</v>
      </c>
      <c r="M31" s="1929">
        <v>66</v>
      </c>
      <c r="N31" s="1923">
        <v>6.8287123557531516E-4</v>
      </c>
      <c r="O31" s="1922">
        <v>12</v>
      </c>
      <c r="P31" s="1925" t="s">
        <v>1071</v>
      </c>
      <c r="Q31" s="1928">
        <v>75</v>
      </c>
      <c r="R31" s="1928">
        <v>75</v>
      </c>
      <c r="S31" s="1931">
        <f t="shared" si="2"/>
        <v>150</v>
      </c>
      <c r="T31" s="1931">
        <f t="shared" si="3"/>
        <v>19800</v>
      </c>
      <c r="U31" s="1931">
        <f t="shared" si="4"/>
        <v>19800</v>
      </c>
      <c r="V31" s="1931">
        <f t="shared" si="5"/>
        <v>39600</v>
      </c>
      <c r="W31" s="1921">
        <f t="shared" si="6"/>
        <v>4950</v>
      </c>
      <c r="X31" s="1921">
        <f t="shared" si="7"/>
        <v>4950</v>
      </c>
      <c r="Y31" s="1921">
        <f t="shared" si="8"/>
        <v>9900</v>
      </c>
      <c r="Z31" s="1946"/>
      <c r="AA31" s="1917"/>
    </row>
    <row r="32" spans="2:27">
      <c r="C32" s="1901"/>
      <c r="D32" s="1896"/>
      <c r="E32" s="1899"/>
      <c r="F32" s="1890"/>
      <c r="H32" s="2948" t="s">
        <v>1702</v>
      </c>
      <c r="I32" s="2953">
        <v>190</v>
      </c>
      <c r="J32" s="1932" t="s">
        <v>120</v>
      </c>
      <c r="K32" s="1922" t="s">
        <v>909</v>
      </c>
      <c r="L32" s="1929">
        <v>73.89</v>
      </c>
      <c r="M32" s="1929">
        <v>47.5</v>
      </c>
      <c r="N32" s="1923">
        <v>4.9146035893677981E-4</v>
      </c>
      <c r="O32" s="1922">
        <v>12</v>
      </c>
      <c r="P32" s="1925" t="s">
        <v>1071</v>
      </c>
      <c r="Q32" s="1928">
        <v>75</v>
      </c>
      <c r="R32" s="1928">
        <v>75</v>
      </c>
      <c r="S32" s="1931">
        <f t="shared" si="2"/>
        <v>150</v>
      </c>
      <c r="T32" s="1931">
        <f t="shared" si="3"/>
        <v>14250</v>
      </c>
      <c r="U32" s="1931">
        <f t="shared" si="4"/>
        <v>14250</v>
      </c>
      <c r="V32" s="1931">
        <f t="shared" si="5"/>
        <v>28500</v>
      </c>
      <c r="W32" s="1921">
        <f t="shared" si="6"/>
        <v>3562.5</v>
      </c>
      <c r="X32" s="1921">
        <f t="shared" si="7"/>
        <v>3562.5</v>
      </c>
      <c r="Y32" s="1921">
        <f t="shared" si="8"/>
        <v>7125</v>
      </c>
      <c r="Z32" s="1946"/>
      <c r="AA32" s="1917"/>
    </row>
    <row r="33" spans="1:27">
      <c r="C33" s="1952"/>
      <c r="D33" s="1958"/>
      <c r="E33" s="1955"/>
      <c r="F33" s="1958"/>
      <c r="H33" s="2948" t="s">
        <v>1703</v>
      </c>
      <c r="I33" s="2953">
        <v>632</v>
      </c>
      <c r="J33" s="1932" t="s">
        <v>120</v>
      </c>
      <c r="K33" s="1922" t="s">
        <v>909</v>
      </c>
      <c r="L33" s="1929">
        <v>61.25</v>
      </c>
      <c r="M33" s="1929">
        <v>42.875</v>
      </c>
      <c r="N33" s="1923">
        <v>2.6124998027691981E-2</v>
      </c>
      <c r="O33" s="1922">
        <v>12</v>
      </c>
      <c r="P33" s="1925" t="s">
        <v>1071</v>
      </c>
      <c r="Q33" s="1928">
        <v>1250</v>
      </c>
      <c r="R33" s="1928">
        <v>1250</v>
      </c>
      <c r="S33" s="1931">
        <f t="shared" si="2"/>
        <v>2500</v>
      </c>
      <c r="T33" s="1931">
        <f t="shared" si="3"/>
        <v>790000</v>
      </c>
      <c r="U33" s="1931">
        <f t="shared" si="4"/>
        <v>790000</v>
      </c>
      <c r="V33" s="1931">
        <f t="shared" si="5"/>
        <v>1580000</v>
      </c>
      <c r="W33" s="1921">
        <f t="shared" si="6"/>
        <v>53593.75</v>
      </c>
      <c r="X33" s="1921">
        <f t="shared" si="7"/>
        <v>53593.75</v>
      </c>
      <c r="Y33" s="1921">
        <f t="shared" si="8"/>
        <v>107187.5</v>
      </c>
      <c r="Z33" s="1946"/>
      <c r="AA33" s="1917"/>
    </row>
    <row r="34" spans="1:27" ht="25.5">
      <c r="A34" s="2802" t="s">
        <v>553</v>
      </c>
      <c r="C34" s="2106" t="s">
        <v>49</v>
      </c>
      <c r="D34" s="2158">
        <f>SUM(D35:D38)</f>
        <v>40000</v>
      </c>
      <c r="E34" s="1926">
        <f>SUM(E35:E38)</f>
        <v>30000</v>
      </c>
      <c r="F34" s="2157">
        <f>D34+E34</f>
        <v>70000</v>
      </c>
      <c r="H34" s="2948" t="s">
        <v>1704</v>
      </c>
      <c r="I34" s="2953">
        <v>421</v>
      </c>
      <c r="J34" s="1932" t="s">
        <v>120</v>
      </c>
      <c r="K34" s="1922" t="s">
        <v>909</v>
      </c>
      <c r="L34" s="1929">
        <v>97.97</v>
      </c>
      <c r="M34" s="1929">
        <v>68.578999999999994</v>
      </c>
      <c r="N34" s="1923">
        <v>1.0889726900651807E-3</v>
      </c>
      <c r="O34" s="1922">
        <v>12</v>
      </c>
      <c r="P34" s="1925" t="s">
        <v>1071</v>
      </c>
      <c r="Q34" s="1928">
        <v>25</v>
      </c>
      <c r="R34" s="1928">
        <v>25</v>
      </c>
      <c r="S34" s="1931">
        <f t="shared" si="2"/>
        <v>50</v>
      </c>
      <c r="T34" s="1931">
        <f t="shared" si="3"/>
        <v>10525</v>
      </c>
      <c r="U34" s="1931">
        <f t="shared" si="4"/>
        <v>10525</v>
      </c>
      <c r="V34" s="1931">
        <f t="shared" si="5"/>
        <v>21050</v>
      </c>
      <c r="W34" s="1921">
        <f t="shared" si="6"/>
        <v>1714.4749999999999</v>
      </c>
      <c r="X34" s="1921">
        <f t="shared" si="7"/>
        <v>1714.4749999999999</v>
      </c>
      <c r="Y34" s="1921">
        <f t="shared" si="8"/>
        <v>3428.95</v>
      </c>
      <c r="Z34" s="1946"/>
      <c r="AA34" s="1917"/>
    </row>
    <row r="35" spans="1:27">
      <c r="A35" s="2802" t="s">
        <v>278</v>
      </c>
      <c r="C35" s="2197" t="s">
        <v>1346</v>
      </c>
      <c r="D35" s="2202">
        <v>40000</v>
      </c>
      <c r="E35" s="2203">
        <v>30000</v>
      </c>
      <c r="F35" s="2191">
        <f t="shared" ref="F35:F44" si="10">SUM(D35:E35)</f>
        <v>70000</v>
      </c>
      <c r="H35" s="2948" t="s">
        <v>1705</v>
      </c>
      <c r="I35" s="2953">
        <v>281</v>
      </c>
      <c r="J35" s="1932" t="s">
        <v>120</v>
      </c>
      <c r="K35" s="1922" t="s">
        <v>909</v>
      </c>
      <c r="L35" s="1929">
        <v>97.97</v>
      </c>
      <c r="M35" s="1929">
        <v>70.25</v>
      </c>
      <c r="N35" s="1923">
        <v>7.2684400453281654E-4</v>
      </c>
      <c r="O35" s="1922">
        <v>12</v>
      </c>
      <c r="P35" s="1925" t="s">
        <v>1071</v>
      </c>
      <c r="Q35" s="1928">
        <v>25</v>
      </c>
      <c r="R35" s="1928">
        <v>25</v>
      </c>
      <c r="S35" s="1931">
        <f t="shared" si="2"/>
        <v>50</v>
      </c>
      <c r="T35" s="1931">
        <f t="shared" si="3"/>
        <v>7025</v>
      </c>
      <c r="U35" s="1931">
        <f t="shared" si="4"/>
        <v>7025</v>
      </c>
      <c r="V35" s="1931">
        <f t="shared" si="5"/>
        <v>14050</v>
      </c>
      <c r="W35" s="1921">
        <f t="shared" si="6"/>
        <v>1756.25</v>
      </c>
      <c r="X35" s="1921">
        <f t="shared" si="7"/>
        <v>1756.25</v>
      </c>
      <c r="Y35" s="1921">
        <f t="shared" si="8"/>
        <v>3512.5</v>
      </c>
      <c r="Z35" s="1946"/>
      <c r="AA35" s="1917"/>
    </row>
    <row r="36" spans="1:27">
      <c r="A36" s="2802" t="s">
        <v>6</v>
      </c>
      <c r="C36" s="2197"/>
      <c r="D36" s="2202"/>
      <c r="E36" s="2203"/>
      <c r="F36" s="2191">
        <f t="shared" si="10"/>
        <v>0</v>
      </c>
      <c r="H36" s="2948" t="s">
        <v>1706</v>
      </c>
      <c r="I36" s="2953">
        <v>446</v>
      </c>
      <c r="J36" s="1932" t="s">
        <v>120</v>
      </c>
      <c r="K36" s="1922" t="s">
        <v>909</v>
      </c>
      <c r="L36" s="1929">
        <v>88.83</v>
      </c>
      <c r="M36" s="1929">
        <v>62.180999999999997</v>
      </c>
      <c r="N36" s="1923">
        <v>1.1536385267673884E-2</v>
      </c>
      <c r="O36" s="1922">
        <v>12</v>
      </c>
      <c r="P36" s="1925" t="s">
        <v>1071</v>
      </c>
      <c r="Q36" s="1928">
        <v>250</v>
      </c>
      <c r="R36" s="1928">
        <v>250</v>
      </c>
      <c r="S36" s="1931">
        <f t="shared" si="2"/>
        <v>500</v>
      </c>
      <c r="T36" s="1931">
        <f t="shared" si="3"/>
        <v>111500</v>
      </c>
      <c r="U36" s="1931">
        <f t="shared" si="4"/>
        <v>111500</v>
      </c>
      <c r="V36" s="1931">
        <f t="shared" si="5"/>
        <v>223000</v>
      </c>
      <c r="W36" s="1921">
        <f t="shared" si="6"/>
        <v>15545.25</v>
      </c>
      <c r="X36" s="1921">
        <f t="shared" si="7"/>
        <v>15545.25</v>
      </c>
      <c r="Y36" s="1921">
        <f t="shared" si="8"/>
        <v>31090.5</v>
      </c>
      <c r="Z36" s="1946"/>
      <c r="AA36" s="1917"/>
    </row>
    <row r="37" spans="1:27">
      <c r="A37" s="2802">
        <v>18231134</v>
      </c>
      <c r="C37" s="2197"/>
      <c r="D37" s="2202"/>
      <c r="E37" s="2203"/>
      <c r="F37" s="2191">
        <f t="shared" si="10"/>
        <v>0</v>
      </c>
      <c r="H37" s="2948" t="s">
        <v>1367</v>
      </c>
      <c r="I37" s="2953">
        <v>463</v>
      </c>
      <c r="J37" s="1932" t="s">
        <v>120</v>
      </c>
      <c r="K37" s="1922" t="s">
        <v>909</v>
      </c>
      <c r="L37" s="1929">
        <v>92.26</v>
      </c>
      <c r="M37" s="1929">
        <v>64.581999999999994</v>
      </c>
      <c r="N37" s="1923">
        <v>1.1976112957248898E-3</v>
      </c>
      <c r="O37" s="1922">
        <v>12</v>
      </c>
      <c r="P37" s="1925" t="s">
        <v>1071</v>
      </c>
      <c r="Q37" s="1928">
        <v>25</v>
      </c>
      <c r="R37" s="1928">
        <v>25</v>
      </c>
      <c r="S37" s="1931">
        <f t="shared" si="2"/>
        <v>50</v>
      </c>
      <c r="T37" s="1931">
        <f t="shared" si="3"/>
        <v>11575</v>
      </c>
      <c r="U37" s="1931">
        <f t="shared" si="4"/>
        <v>11575</v>
      </c>
      <c r="V37" s="1931">
        <f t="shared" si="5"/>
        <v>23150</v>
      </c>
      <c r="W37" s="1921">
        <f t="shared" si="6"/>
        <v>1614.5499999999997</v>
      </c>
      <c r="X37" s="1921">
        <f t="shared" si="7"/>
        <v>1614.5499999999997</v>
      </c>
      <c r="Y37" s="1921">
        <f t="shared" si="8"/>
        <v>3229.0999999999995</v>
      </c>
      <c r="Z37" s="1946"/>
      <c r="AA37" s="1917"/>
    </row>
    <row r="38" spans="1:27">
      <c r="A38" s="2802" t="s">
        <v>5</v>
      </c>
      <c r="C38" s="2197"/>
      <c r="D38" s="2202"/>
      <c r="E38" s="2203"/>
      <c r="F38" s="2191">
        <f t="shared" si="10"/>
        <v>0</v>
      </c>
      <c r="H38" s="2948" t="s">
        <v>1367</v>
      </c>
      <c r="I38" s="2953">
        <v>322</v>
      </c>
      <c r="J38" s="1932" t="s">
        <v>120</v>
      </c>
      <c r="K38" s="1922" t="s">
        <v>909</v>
      </c>
      <c r="L38" s="1929">
        <v>92.26</v>
      </c>
      <c r="M38" s="1929">
        <v>64.581999999999994</v>
      </c>
      <c r="N38" s="1923">
        <v>8.3289597672443739E-4</v>
      </c>
      <c r="O38" s="1922">
        <v>12</v>
      </c>
      <c r="P38" s="1925" t="s">
        <v>1071</v>
      </c>
      <c r="Q38" s="1928">
        <v>25</v>
      </c>
      <c r="R38" s="1928">
        <v>25</v>
      </c>
      <c r="S38" s="1931">
        <f t="shared" si="2"/>
        <v>50</v>
      </c>
      <c r="T38" s="1931">
        <f t="shared" si="3"/>
        <v>8050</v>
      </c>
      <c r="U38" s="1931">
        <f t="shared" si="4"/>
        <v>8050</v>
      </c>
      <c r="V38" s="1931">
        <f t="shared" si="5"/>
        <v>16100</v>
      </c>
      <c r="W38" s="1921">
        <f t="shared" si="6"/>
        <v>1614.5499999999997</v>
      </c>
      <c r="X38" s="1921">
        <f t="shared" si="7"/>
        <v>1614.5499999999997</v>
      </c>
      <c r="Y38" s="1921">
        <f t="shared" si="8"/>
        <v>3229.0999999999995</v>
      </c>
      <c r="Z38" s="1946"/>
      <c r="AA38" s="1917"/>
    </row>
    <row r="39" spans="1:27">
      <c r="A39" s="2193"/>
      <c r="C39" s="1952"/>
      <c r="D39" s="1958"/>
      <c r="E39" s="1955"/>
      <c r="F39" s="1958"/>
      <c r="H39" s="2948" t="s">
        <v>1707</v>
      </c>
      <c r="I39" s="2953">
        <v>273</v>
      </c>
      <c r="J39" s="1932" t="s">
        <v>120</v>
      </c>
      <c r="K39" s="1922" t="s">
        <v>909</v>
      </c>
      <c r="L39" s="1929">
        <v>67.83</v>
      </c>
      <c r="M39" s="1929">
        <v>47.480999999999995</v>
      </c>
      <c r="N39" s="1923">
        <v>2.8246037471524398E-2</v>
      </c>
      <c r="O39" s="1922">
        <v>12</v>
      </c>
      <c r="P39" s="1925" t="s">
        <v>1071</v>
      </c>
      <c r="Q39" s="1928">
        <v>1000</v>
      </c>
      <c r="R39" s="1928">
        <v>1000</v>
      </c>
      <c r="S39" s="1931">
        <f t="shared" si="2"/>
        <v>2000</v>
      </c>
      <c r="T39" s="1931">
        <f t="shared" si="3"/>
        <v>273000</v>
      </c>
      <c r="U39" s="1931">
        <f t="shared" si="4"/>
        <v>273000</v>
      </c>
      <c r="V39" s="1931">
        <f t="shared" si="5"/>
        <v>546000</v>
      </c>
      <c r="W39" s="1921">
        <f t="shared" si="6"/>
        <v>47480.999999999993</v>
      </c>
      <c r="X39" s="1921">
        <f t="shared" si="7"/>
        <v>47480.999999999993</v>
      </c>
      <c r="Y39" s="1921">
        <f t="shared" si="8"/>
        <v>94961.999999999985</v>
      </c>
      <c r="Z39" s="1946"/>
      <c r="AA39" s="1917"/>
    </row>
    <row r="40" spans="1:27">
      <c r="A40" s="2193"/>
      <c r="C40" s="2106" t="s">
        <v>506</v>
      </c>
      <c r="D40" s="2158">
        <f>SUM(D41:D44)</f>
        <v>3500</v>
      </c>
      <c r="E40" s="1926">
        <f>SUM(E41:E44)</f>
        <v>3500</v>
      </c>
      <c r="F40" s="2157">
        <f>D40+E40</f>
        <v>7000</v>
      </c>
      <c r="H40" s="2948" t="s">
        <v>1369</v>
      </c>
      <c r="I40" s="2953">
        <v>525</v>
      </c>
      <c r="J40" s="1932" t="s">
        <v>120</v>
      </c>
      <c r="K40" s="1922" t="s">
        <v>909</v>
      </c>
      <c r="L40" s="1929">
        <v>125.1</v>
      </c>
      <c r="M40" s="1929">
        <v>87.57</v>
      </c>
      <c r="N40" s="1923">
        <v>1.3579825707463653E-3</v>
      </c>
      <c r="O40" s="1922">
        <v>12</v>
      </c>
      <c r="P40" s="1925" t="s">
        <v>1071</v>
      </c>
      <c r="Q40" s="1928">
        <v>50</v>
      </c>
      <c r="R40" s="1928">
        <v>50</v>
      </c>
      <c r="S40" s="1931">
        <f t="shared" si="2"/>
        <v>100</v>
      </c>
      <c r="T40" s="1931">
        <f t="shared" si="3"/>
        <v>26250</v>
      </c>
      <c r="U40" s="1931">
        <f t="shared" si="4"/>
        <v>26250</v>
      </c>
      <c r="V40" s="1931">
        <f t="shared" si="5"/>
        <v>52500</v>
      </c>
      <c r="W40" s="1921">
        <f t="shared" si="6"/>
        <v>4378.5</v>
      </c>
      <c r="X40" s="1921">
        <f t="shared" si="7"/>
        <v>4378.5</v>
      </c>
      <c r="Y40" s="1921">
        <f t="shared" si="8"/>
        <v>8757</v>
      </c>
      <c r="Z40" s="1946"/>
      <c r="AA40" s="1917"/>
    </row>
    <row r="41" spans="1:27">
      <c r="C41" s="2197" t="s">
        <v>792</v>
      </c>
      <c r="D41" s="2202">
        <v>3500</v>
      </c>
      <c r="E41" s="2203">
        <v>3500</v>
      </c>
      <c r="F41" s="2191">
        <f t="shared" si="10"/>
        <v>7000</v>
      </c>
      <c r="H41" s="2948" t="s">
        <v>1369</v>
      </c>
      <c r="I41" s="2953">
        <v>376</v>
      </c>
      <c r="J41" s="1932" t="s">
        <v>120</v>
      </c>
      <c r="K41" s="1922" t="s">
        <v>909</v>
      </c>
      <c r="L41" s="1929">
        <v>125.1</v>
      </c>
      <c r="M41" s="1929">
        <v>87.57</v>
      </c>
      <c r="N41" s="1923">
        <v>9.7257418400120645E-4</v>
      </c>
      <c r="O41" s="1922">
        <v>12</v>
      </c>
      <c r="P41" s="1925" t="s">
        <v>1071</v>
      </c>
      <c r="Q41" s="1928">
        <v>2000</v>
      </c>
      <c r="R41" s="1928">
        <v>1950</v>
      </c>
      <c r="S41" s="1931">
        <f t="shared" si="2"/>
        <v>3950</v>
      </c>
      <c r="T41" s="1931">
        <f t="shared" si="3"/>
        <v>752000</v>
      </c>
      <c r="U41" s="1931">
        <f t="shared" si="4"/>
        <v>733200</v>
      </c>
      <c r="V41" s="1931">
        <f t="shared" si="5"/>
        <v>1485200</v>
      </c>
      <c r="W41" s="1921">
        <f t="shared" si="6"/>
        <v>175140</v>
      </c>
      <c r="X41" s="1921">
        <f t="shared" si="7"/>
        <v>170761.5</v>
      </c>
      <c r="Y41" s="1921">
        <f t="shared" si="8"/>
        <v>345901.5</v>
      </c>
      <c r="Z41" s="1946"/>
      <c r="AA41" s="1917"/>
    </row>
    <row r="42" spans="1:27">
      <c r="C42" s="2197"/>
      <c r="D42" s="2202"/>
      <c r="E42" s="2203"/>
      <c r="F42" s="2191">
        <f t="shared" si="10"/>
        <v>0</v>
      </c>
      <c r="H42" s="2948" t="s">
        <v>1708</v>
      </c>
      <c r="I42" s="2953">
        <v>360</v>
      </c>
      <c r="J42" s="1932" t="s">
        <v>120</v>
      </c>
      <c r="K42" s="1922" t="s">
        <v>909</v>
      </c>
      <c r="L42" s="1929">
        <v>91</v>
      </c>
      <c r="M42" s="1929">
        <v>63.699999999999996</v>
      </c>
      <c r="N42" s="1923">
        <v>2.0899998422153586E-2</v>
      </c>
      <c r="O42" s="1922">
        <v>12</v>
      </c>
      <c r="P42" s="1925" t="s">
        <v>1071</v>
      </c>
      <c r="Q42" s="1928">
        <v>1000</v>
      </c>
      <c r="R42" s="1928">
        <v>1000</v>
      </c>
      <c r="S42" s="1931">
        <f t="shared" si="2"/>
        <v>2000</v>
      </c>
      <c r="T42" s="1931">
        <f t="shared" si="3"/>
        <v>360000</v>
      </c>
      <c r="U42" s="1931">
        <f t="shared" si="4"/>
        <v>360000</v>
      </c>
      <c r="V42" s="1931">
        <f t="shared" si="5"/>
        <v>720000</v>
      </c>
      <c r="W42" s="1921">
        <f t="shared" si="6"/>
        <v>63699.999999999993</v>
      </c>
      <c r="X42" s="1921">
        <f t="shared" si="7"/>
        <v>63699.999999999993</v>
      </c>
      <c r="Y42" s="1921">
        <f t="shared" si="8"/>
        <v>127399.99999999999</v>
      </c>
      <c r="Z42" s="1946"/>
      <c r="AA42" s="1917"/>
    </row>
    <row r="43" spans="1:27">
      <c r="C43" s="2197"/>
      <c r="D43" s="2202"/>
      <c r="E43" s="2203"/>
      <c r="F43" s="2191">
        <f t="shared" si="10"/>
        <v>0</v>
      </c>
      <c r="H43" s="2948" t="s">
        <v>1371</v>
      </c>
      <c r="I43" s="2953">
        <v>562</v>
      </c>
      <c r="J43" s="1932" t="s">
        <v>120</v>
      </c>
      <c r="K43" s="1922" t="s">
        <v>909</v>
      </c>
      <c r="L43" s="1929">
        <v>101.63</v>
      </c>
      <c r="M43" s="1929">
        <v>71.140999999999991</v>
      </c>
      <c r="N43" s="1923">
        <v>1.4536880090656331E-3</v>
      </c>
      <c r="O43" s="1922">
        <v>12</v>
      </c>
      <c r="P43" s="1925" t="s">
        <v>1071</v>
      </c>
      <c r="Q43" s="1928">
        <v>25</v>
      </c>
      <c r="R43" s="1928">
        <v>25</v>
      </c>
      <c r="S43" s="1931">
        <f t="shared" si="2"/>
        <v>50</v>
      </c>
      <c r="T43" s="1931">
        <f t="shared" si="3"/>
        <v>14050</v>
      </c>
      <c r="U43" s="1931">
        <f t="shared" si="4"/>
        <v>14050</v>
      </c>
      <c r="V43" s="1931">
        <f t="shared" si="5"/>
        <v>28100</v>
      </c>
      <c r="W43" s="1921">
        <f t="shared" si="6"/>
        <v>1778.5249999999999</v>
      </c>
      <c r="X43" s="1921">
        <f t="shared" si="7"/>
        <v>1778.5249999999999</v>
      </c>
      <c r="Y43" s="1921">
        <f t="shared" si="8"/>
        <v>3557.0499999999997</v>
      </c>
      <c r="Z43" s="1946"/>
      <c r="AA43" s="1917"/>
    </row>
    <row r="44" spans="1:27">
      <c r="C44" s="2197"/>
      <c r="D44" s="2202"/>
      <c r="E44" s="2203"/>
      <c r="F44" s="2191">
        <f t="shared" si="10"/>
        <v>0</v>
      </c>
      <c r="H44" s="2948" t="s">
        <v>1371</v>
      </c>
      <c r="I44" s="2953">
        <v>413</v>
      </c>
      <c r="J44" s="1932" t="s">
        <v>120</v>
      </c>
      <c r="K44" s="1922" t="s">
        <v>909</v>
      </c>
      <c r="L44" s="1929">
        <v>101.63</v>
      </c>
      <c r="M44" s="1929">
        <v>71.140999999999991</v>
      </c>
      <c r="N44" s="1923">
        <v>1.0682796223204741E-3</v>
      </c>
      <c r="O44" s="1922">
        <v>12</v>
      </c>
      <c r="P44" s="1925" t="s">
        <v>1071</v>
      </c>
      <c r="Q44" s="1928">
        <v>25</v>
      </c>
      <c r="R44" s="1928">
        <v>25</v>
      </c>
      <c r="S44" s="1931">
        <f t="shared" si="2"/>
        <v>50</v>
      </c>
      <c r="T44" s="1931">
        <f t="shared" si="3"/>
        <v>10325</v>
      </c>
      <c r="U44" s="1931">
        <f t="shared" si="4"/>
        <v>10325</v>
      </c>
      <c r="V44" s="1931">
        <f t="shared" si="5"/>
        <v>20650</v>
      </c>
      <c r="W44" s="1921">
        <f t="shared" si="6"/>
        <v>1778.5249999999999</v>
      </c>
      <c r="X44" s="1921">
        <f t="shared" si="7"/>
        <v>1778.5249999999999</v>
      </c>
      <c r="Y44" s="1921">
        <f t="shared" si="8"/>
        <v>3557.0499999999997</v>
      </c>
      <c r="Z44" s="1946"/>
      <c r="AA44" s="1917"/>
    </row>
    <row r="45" spans="1:27">
      <c r="C45" s="1952"/>
      <c r="D45" s="1958"/>
      <c r="E45" s="1955"/>
      <c r="F45" s="1958"/>
      <c r="H45" s="2948" t="s">
        <v>1709</v>
      </c>
      <c r="I45" s="2953">
        <v>1016</v>
      </c>
      <c r="J45" s="1932" t="s">
        <v>120</v>
      </c>
      <c r="K45" s="1922" t="s">
        <v>909</v>
      </c>
      <c r="L45" s="1929">
        <v>88.83</v>
      </c>
      <c r="M45" s="1929">
        <v>62.180999999999997</v>
      </c>
      <c r="N45" s="1923">
        <v>4.6145541070695538E-2</v>
      </c>
      <c r="O45" s="1922">
        <v>12</v>
      </c>
      <c r="P45" s="1925" t="s">
        <v>1071</v>
      </c>
      <c r="Q45" s="1928">
        <v>300</v>
      </c>
      <c r="R45" s="1928">
        <v>300</v>
      </c>
      <c r="S45" s="1931">
        <f t="shared" si="2"/>
        <v>600</v>
      </c>
      <c r="T45" s="1931">
        <f t="shared" si="3"/>
        <v>304800</v>
      </c>
      <c r="U45" s="1931">
        <f t="shared" si="4"/>
        <v>304800</v>
      </c>
      <c r="V45" s="1931">
        <f t="shared" si="5"/>
        <v>609600</v>
      </c>
      <c r="W45" s="1921">
        <f t="shared" si="6"/>
        <v>18654.3</v>
      </c>
      <c r="X45" s="1921">
        <f t="shared" si="7"/>
        <v>18654.3</v>
      </c>
      <c r="Y45" s="1921">
        <f t="shared" si="8"/>
        <v>37308.6</v>
      </c>
      <c r="Z45" s="1946"/>
      <c r="AA45" s="1917"/>
    </row>
    <row r="46" spans="1:27">
      <c r="C46" s="2106" t="s">
        <v>50</v>
      </c>
      <c r="D46" s="2158">
        <f>SUM(D47:D50)</f>
        <v>54000</v>
      </c>
      <c r="E46" s="1926">
        <f>SUM(E47:E50)</f>
        <v>54000</v>
      </c>
      <c r="F46" s="2157">
        <f>D46+E46</f>
        <v>108000</v>
      </c>
      <c r="H46" s="2948" t="s">
        <v>1373</v>
      </c>
      <c r="I46" s="2953">
        <v>599</v>
      </c>
      <c r="J46" s="1932" t="s">
        <v>120</v>
      </c>
      <c r="K46" s="1922" t="s">
        <v>909</v>
      </c>
      <c r="L46" s="1929">
        <v>92.68</v>
      </c>
      <c r="M46" s="1929">
        <v>64.876000000000005</v>
      </c>
      <c r="N46" s="1923">
        <v>1.5493934473849006E-3</v>
      </c>
      <c r="O46" s="1922">
        <v>12</v>
      </c>
      <c r="P46" s="1925" t="s">
        <v>1071</v>
      </c>
      <c r="Q46" s="1928">
        <v>25</v>
      </c>
      <c r="R46" s="1928">
        <v>25</v>
      </c>
      <c r="S46" s="1931">
        <f t="shared" si="2"/>
        <v>50</v>
      </c>
      <c r="T46" s="1931">
        <f t="shared" si="3"/>
        <v>14975</v>
      </c>
      <c r="U46" s="1931">
        <f t="shared" si="4"/>
        <v>14975</v>
      </c>
      <c r="V46" s="1931">
        <f t="shared" si="5"/>
        <v>29950</v>
      </c>
      <c r="W46" s="1921">
        <f t="shared" si="6"/>
        <v>1621.9</v>
      </c>
      <c r="X46" s="1921">
        <f t="shared" si="7"/>
        <v>1621.9</v>
      </c>
      <c r="Y46" s="1921">
        <f t="shared" si="8"/>
        <v>3243.8</v>
      </c>
      <c r="Z46" s="1946"/>
      <c r="AA46" s="1917"/>
    </row>
    <row r="47" spans="1:27">
      <c r="C47" s="2197" t="s">
        <v>1347</v>
      </c>
      <c r="D47" s="2202">
        <v>54000</v>
      </c>
      <c r="E47" s="2203">
        <v>54000</v>
      </c>
      <c r="F47" s="2191">
        <f t="shared" ref="F47:F62" si="11">SUM(D47:E47)</f>
        <v>108000</v>
      </c>
      <c r="H47" s="2948" t="s">
        <v>1373</v>
      </c>
      <c r="I47" s="2953">
        <v>450</v>
      </c>
      <c r="J47" s="1932" t="s">
        <v>120</v>
      </c>
      <c r="K47" s="1922" t="s">
        <v>909</v>
      </c>
      <c r="L47" s="1929">
        <v>92.68</v>
      </c>
      <c r="M47" s="1929">
        <v>64.876000000000005</v>
      </c>
      <c r="N47" s="1923">
        <v>1.1639850606397417E-3</v>
      </c>
      <c r="O47" s="1922">
        <v>12</v>
      </c>
      <c r="P47" s="1925" t="s">
        <v>1071</v>
      </c>
      <c r="Q47" s="1928">
        <v>25</v>
      </c>
      <c r="R47" s="1928">
        <v>25</v>
      </c>
      <c r="S47" s="1931">
        <f t="shared" si="2"/>
        <v>50</v>
      </c>
      <c r="T47" s="1931">
        <f t="shared" si="3"/>
        <v>11250</v>
      </c>
      <c r="U47" s="1931">
        <f t="shared" si="4"/>
        <v>11250</v>
      </c>
      <c r="V47" s="1931">
        <f t="shared" si="5"/>
        <v>22500</v>
      </c>
      <c r="W47" s="1921">
        <f t="shared" si="6"/>
        <v>1621.9</v>
      </c>
      <c r="X47" s="1921">
        <f t="shared" si="7"/>
        <v>1621.9</v>
      </c>
      <c r="Y47" s="1921">
        <f t="shared" si="8"/>
        <v>3243.8</v>
      </c>
      <c r="Z47" s="1946"/>
      <c r="AA47" s="1917"/>
    </row>
    <row r="48" spans="1:27">
      <c r="C48" s="2197"/>
      <c r="D48" s="2202"/>
      <c r="E48" s="2203"/>
      <c r="F48" s="2191">
        <f t="shared" si="11"/>
        <v>0</v>
      </c>
      <c r="H48" s="2948" t="s">
        <v>1710</v>
      </c>
      <c r="I48" s="2953">
        <v>260</v>
      </c>
      <c r="J48" s="1932" t="s">
        <v>120</v>
      </c>
      <c r="K48" s="1922" t="s">
        <v>909</v>
      </c>
      <c r="L48" s="1929">
        <v>97.5</v>
      </c>
      <c r="M48" s="1929">
        <v>68.25</v>
      </c>
      <c r="N48" s="1923">
        <v>7.9668310817120093E-3</v>
      </c>
      <c r="O48" s="1922">
        <v>12</v>
      </c>
      <c r="P48" s="1925" t="s">
        <v>1071</v>
      </c>
      <c r="Q48" s="1928">
        <v>1000</v>
      </c>
      <c r="R48" s="1928">
        <v>1000</v>
      </c>
      <c r="S48" s="1931">
        <f t="shared" ref="S48:S79" si="12">Q48+R48</f>
        <v>2000</v>
      </c>
      <c r="T48" s="1931">
        <f t="shared" ref="T48:T79" si="13">I48*Q48</f>
        <v>260000</v>
      </c>
      <c r="U48" s="1931">
        <f t="shared" ref="U48:U79" si="14">I48*R48</f>
        <v>260000</v>
      </c>
      <c r="V48" s="1931">
        <f t="shared" ref="V48:V79" si="15">T48+U48</f>
        <v>520000</v>
      </c>
      <c r="W48" s="1921">
        <f t="shared" ref="W48:W79" si="16">M48*Q48</f>
        <v>68250</v>
      </c>
      <c r="X48" s="1921">
        <f t="shared" ref="X48:X79" si="17">M48*R48</f>
        <v>68250</v>
      </c>
      <c r="Y48" s="1921">
        <f t="shared" ref="Y48:Y79" si="18">W48+X48</f>
        <v>136500</v>
      </c>
      <c r="Z48" s="1946"/>
      <c r="AA48" s="1917"/>
    </row>
    <row r="49" spans="1:27">
      <c r="C49" s="2197"/>
      <c r="D49" s="2202"/>
      <c r="E49" s="2203"/>
      <c r="F49" s="2191">
        <f t="shared" si="11"/>
        <v>0</v>
      </c>
      <c r="H49" s="2948" t="s">
        <v>1375</v>
      </c>
      <c r="I49" s="2953">
        <v>231</v>
      </c>
      <c r="J49" s="1932" t="s">
        <v>120</v>
      </c>
      <c r="K49" s="1922" t="s">
        <v>909</v>
      </c>
      <c r="L49" s="1929">
        <v>95.12</v>
      </c>
      <c r="M49" s="1929">
        <v>66.584000000000003</v>
      </c>
      <c r="N49" s="1923">
        <v>5.9751233112840076E-4</v>
      </c>
      <c r="O49" s="1922">
        <v>12</v>
      </c>
      <c r="P49" s="1925" t="s">
        <v>1071</v>
      </c>
      <c r="Q49" s="1928">
        <v>25</v>
      </c>
      <c r="R49" s="1928">
        <v>25</v>
      </c>
      <c r="S49" s="1931">
        <f t="shared" si="12"/>
        <v>50</v>
      </c>
      <c r="T49" s="1931">
        <f t="shared" si="13"/>
        <v>5775</v>
      </c>
      <c r="U49" s="1931">
        <f t="shared" si="14"/>
        <v>5775</v>
      </c>
      <c r="V49" s="1931">
        <f t="shared" si="15"/>
        <v>11550</v>
      </c>
      <c r="W49" s="1921">
        <f t="shared" si="16"/>
        <v>1664.6000000000001</v>
      </c>
      <c r="X49" s="1921">
        <f t="shared" si="17"/>
        <v>1664.6000000000001</v>
      </c>
      <c r="Y49" s="1921">
        <f t="shared" si="18"/>
        <v>3329.2000000000003</v>
      </c>
      <c r="Z49" s="1946"/>
      <c r="AA49" s="1917"/>
    </row>
    <row r="50" spans="1:27">
      <c r="C50" s="2197"/>
      <c r="D50" s="2202"/>
      <c r="E50" s="2203"/>
      <c r="F50" s="2191">
        <f t="shared" si="11"/>
        <v>0</v>
      </c>
      <c r="H50" s="2948" t="s">
        <v>1375</v>
      </c>
      <c r="I50" s="2953">
        <v>165</v>
      </c>
      <c r="J50" s="1932" t="s">
        <v>120</v>
      </c>
      <c r="K50" s="1922" t="s">
        <v>909</v>
      </c>
      <c r="L50" s="1929">
        <v>95.12</v>
      </c>
      <c r="M50" s="1929">
        <v>66.584000000000003</v>
      </c>
      <c r="N50" s="1923">
        <v>4.2679452223457197E-4</v>
      </c>
      <c r="O50" s="1922">
        <v>12</v>
      </c>
      <c r="P50" s="1925" t="s">
        <v>1071</v>
      </c>
      <c r="Q50" s="1928">
        <v>25</v>
      </c>
      <c r="R50" s="1928">
        <v>25</v>
      </c>
      <c r="S50" s="1931">
        <f t="shared" si="12"/>
        <v>50</v>
      </c>
      <c r="T50" s="1931">
        <f t="shared" si="13"/>
        <v>4125</v>
      </c>
      <c r="U50" s="1931">
        <f t="shared" si="14"/>
        <v>4125</v>
      </c>
      <c r="V50" s="1931">
        <f t="shared" si="15"/>
        <v>8250</v>
      </c>
      <c r="W50" s="1921">
        <f t="shared" si="16"/>
        <v>1664.6000000000001</v>
      </c>
      <c r="X50" s="1921">
        <f t="shared" si="17"/>
        <v>1664.6000000000001</v>
      </c>
      <c r="Y50" s="1921">
        <f t="shared" si="18"/>
        <v>3329.2000000000003</v>
      </c>
      <c r="Z50" s="1946"/>
      <c r="AA50" s="1917"/>
    </row>
    <row r="51" spans="1:27">
      <c r="C51" s="1952"/>
      <c r="D51" s="1958"/>
      <c r="E51" s="1955"/>
      <c r="F51" s="1958"/>
      <c r="H51" s="2948" t="s">
        <v>1711</v>
      </c>
      <c r="I51" s="2953">
        <v>516</v>
      </c>
      <c r="J51" s="1932" t="s">
        <v>120</v>
      </c>
      <c r="K51" s="1922" t="s">
        <v>909</v>
      </c>
      <c r="L51" s="1929">
        <v>98</v>
      </c>
      <c r="M51" s="1929">
        <v>68.599999999999994</v>
      </c>
      <c r="N51" s="1923">
        <v>1.0656929888523858E-2</v>
      </c>
      <c r="O51" s="1922">
        <v>12</v>
      </c>
      <c r="P51" s="1925" t="s">
        <v>1071</v>
      </c>
      <c r="Q51" s="1928">
        <v>1000</v>
      </c>
      <c r="R51" s="1928">
        <v>1000</v>
      </c>
      <c r="S51" s="1931">
        <f t="shared" si="12"/>
        <v>2000</v>
      </c>
      <c r="T51" s="1931">
        <f t="shared" si="13"/>
        <v>516000</v>
      </c>
      <c r="U51" s="1931">
        <f t="shared" si="14"/>
        <v>516000</v>
      </c>
      <c r="V51" s="1931">
        <f t="shared" si="15"/>
        <v>1032000</v>
      </c>
      <c r="W51" s="1921">
        <f t="shared" si="16"/>
        <v>68600</v>
      </c>
      <c r="X51" s="1921">
        <f t="shared" si="17"/>
        <v>68600</v>
      </c>
      <c r="Y51" s="1921">
        <f t="shared" si="18"/>
        <v>137200</v>
      </c>
      <c r="Z51" s="1946"/>
      <c r="AA51" s="1917"/>
    </row>
    <row r="52" spans="1:27">
      <c r="C52" s="2106" t="s">
        <v>51</v>
      </c>
      <c r="D52" s="2158">
        <f>SUM(D53:D56)</f>
        <v>2500</v>
      </c>
      <c r="E52" s="1926">
        <f>SUM(E53:E56)</f>
        <v>2500</v>
      </c>
      <c r="F52" s="2157">
        <f>D52+E52</f>
        <v>5000</v>
      </c>
      <c r="H52" s="2948" t="s">
        <v>1377</v>
      </c>
      <c r="I52" s="2953">
        <v>467</v>
      </c>
      <c r="J52" s="1932" t="s">
        <v>120</v>
      </c>
      <c r="K52" s="1922" t="s">
        <v>909</v>
      </c>
      <c r="L52" s="1929">
        <v>143.55000000000001</v>
      </c>
      <c r="M52" s="1929">
        <v>100.485</v>
      </c>
      <c r="N52" s="1923">
        <v>1.2079578295972431E-3</v>
      </c>
      <c r="O52" s="1922">
        <v>12</v>
      </c>
      <c r="P52" s="1925" t="s">
        <v>1071</v>
      </c>
      <c r="Q52" s="1928">
        <v>500</v>
      </c>
      <c r="R52" s="1928">
        <v>500</v>
      </c>
      <c r="S52" s="1931">
        <f t="shared" si="12"/>
        <v>1000</v>
      </c>
      <c r="T52" s="1931">
        <f t="shared" si="13"/>
        <v>233500</v>
      </c>
      <c r="U52" s="1931">
        <f t="shared" si="14"/>
        <v>233500</v>
      </c>
      <c r="V52" s="1931">
        <f t="shared" si="15"/>
        <v>467000</v>
      </c>
      <c r="W52" s="1921">
        <f t="shared" si="16"/>
        <v>50242.5</v>
      </c>
      <c r="X52" s="1921">
        <f t="shared" si="17"/>
        <v>50242.5</v>
      </c>
      <c r="Y52" s="1921">
        <f t="shared" si="18"/>
        <v>100485</v>
      </c>
      <c r="Z52" s="1946"/>
      <c r="AA52" s="1917"/>
    </row>
    <row r="53" spans="1:27">
      <c r="C53" s="2197"/>
      <c r="D53" s="2202">
        <v>2500</v>
      </c>
      <c r="E53" s="2163">
        <v>2500</v>
      </c>
      <c r="F53" s="2191">
        <f t="shared" si="11"/>
        <v>5000</v>
      </c>
      <c r="H53" s="2948" t="s">
        <v>1377</v>
      </c>
      <c r="I53" s="2953">
        <v>335</v>
      </c>
      <c r="J53" s="1932" t="s">
        <v>120</v>
      </c>
      <c r="K53" s="1922" t="s">
        <v>909</v>
      </c>
      <c r="L53" s="1929">
        <v>143.55000000000001</v>
      </c>
      <c r="M53" s="1929">
        <v>83.75</v>
      </c>
      <c r="N53" s="1923">
        <v>8.6652221180958549E-4</v>
      </c>
      <c r="O53" s="1922">
        <v>12</v>
      </c>
      <c r="P53" s="1925" t="s">
        <v>1071</v>
      </c>
      <c r="Q53" s="1928">
        <v>25</v>
      </c>
      <c r="R53" s="1928">
        <v>25</v>
      </c>
      <c r="S53" s="1931">
        <f t="shared" si="12"/>
        <v>50</v>
      </c>
      <c r="T53" s="1931">
        <f t="shared" si="13"/>
        <v>8375</v>
      </c>
      <c r="U53" s="1931">
        <f t="shared" si="14"/>
        <v>8375</v>
      </c>
      <c r="V53" s="1931">
        <f t="shared" si="15"/>
        <v>16750</v>
      </c>
      <c r="W53" s="1921">
        <f t="shared" si="16"/>
        <v>2093.75</v>
      </c>
      <c r="X53" s="1921">
        <f t="shared" si="17"/>
        <v>2093.75</v>
      </c>
      <c r="Y53" s="1921">
        <f t="shared" si="18"/>
        <v>4187.5</v>
      </c>
      <c r="Z53" s="1946"/>
      <c r="AA53" s="1917"/>
    </row>
    <row r="54" spans="1:27">
      <c r="C54" s="2197"/>
      <c r="D54" s="2202"/>
      <c r="E54" s="2163"/>
      <c r="F54" s="2191">
        <f t="shared" si="11"/>
        <v>0</v>
      </c>
      <c r="H54" s="2948" t="s">
        <v>1712</v>
      </c>
      <c r="I54" s="2953">
        <v>50</v>
      </c>
      <c r="J54" s="1932" t="s">
        <v>120</v>
      </c>
      <c r="K54" s="1922" t="s">
        <v>909</v>
      </c>
      <c r="L54" s="1929">
        <v>78</v>
      </c>
      <c r="M54" s="1929">
        <v>12.5</v>
      </c>
      <c r="N54" s="1923">
        <v>2.5866334680883147E-3</v>
      </c>
      <c r="O54" s="1922">
        <v>12</v>
      </c>
      <c r="P54" s="1925" t="s">
        <v>1071</v>
      </c>
      <c r="Q54" s="1928">
        <v>500</v>
      </c>
      <c r="R54" s="1928">
        <v>500</v>
      </c>
      <c r="S54" s="1931">
        <f t="shared" si="12"/>
        <v>1000</v>
      </c>
      <c r="T54" s="1931">
        <f t="shared" si="13"/>
        <v>25000</v>
      </c>
      <c r="U54" s="1931">
        <f t="shared" si="14"/>
        <v>25000</v>
      </c>
      <c r="V54" s="1931">
        <f t="shared" si="15"/>
        <v>50000</v>
      </c>
      <c r="W54" s="1921">
        <f t="shared" si="16"/>
        <v>6250</v>
      </c>
      <c r="X54" s="1921">
        <f t="shared" si="17"/>
        <v>6250</v>
      </c>
      <c r="Y54" s="1921">
        <f t="shared" si="18"/>
        <v>12500</v>
      </c>
      <c r="Z54" s="1946"/>
      <c r="AA54" s="1917"/>
    </row>
    <row r="55" spans="1:27">
      <c r="C55" s="2197"/>
      <c r="D55" s="2202"/>
      <c r="E55" s="2163"/>
      <c r="F55" s="2191">
        <f t="shared" si="11"/>
        <v>0</v>
      </c>
      <c r="H55" s="2948" t="s">
        <v>1375</v>
      </c>
      <c r="I55" s="2953">
        <v>355</v>
      </c>
      <c r="J55" s="1932" t="s">
        <v>120</v>
      </c>
      <c r="K55" s="1922" t="s">
        <v>909</v>
      </c>
      <c r="L55" s="1929">
        <v>95.95</v>
      </c>
      <c r="M55" s="1929">
        <v>67.164999999999992</v>
      </c>
      <c r="N55" s="1923">
        <v>9.1825488117135178E-4</v>
      </c>
      <c r="O55" s="1922">
        <v>12</v>
      </c>
      <c r="P55" s="1925" t="s">
        <v>1071</v>
      </c>
      <c r="Q55" s="1928">
        <v>30</v>
      </c>
      <c r="R55" s="1928">
        <v>30</v>
      </c>
      <c r="S55" s="1931">
        <f t="shared" si="12"/>
        <v>60</v>
      </c>
      <c r="T55" s="1931">
        <f t="shared" si="13"/>
        <v>10650</v>
      </c>
      <c r="U55" s="1931">
        <f t="shared" si="14"/>
        <v>10650</v>
      </c>
      <c r="V55" s="1931">
        <f t="shared" si="15"/>
        <v>21300</v>
      </c>
      <c r="W55" s="1921">
        <f t="shared" si="16"/>
        <v>2014.9499999999998</v>
      </c>
      <c r="X55" s="1921">
        <f t="shared" si="17"/>
        <v>2014.9499999999998</v>
      </c>
      <c r="Y55" s="1921">
        <f t="shared" si="18"/>
        <v>4029.8999999999996</v>
      </c>
      <c r="Z55" s="1946"/>
      <c r="AA55" s="1917"/>
    </row>
    <row r="56" spans="1:27">
      <c r="C56" s="2197"/>
      <c r="D56" s="2202"/>
      <c r="E56" s="2163"/>
      <c r="F56" s="2191">
        <f t="shared" si="11"/>
        <v>0</v>
      </c>
      <c r="H56" s="2948" t="s">
        <v>1713</v>
      </c>
      <c r="I56" s="2953">
        <v>103</v>
      </c>
      <c r="J56" s="1932" t="s">
        <v>120</v>
      </c>
      <c r="K56" s="1922" t="s">
        <v>909</v>
      </c>
      <c r="L56" s="1929">
        <v>90.25</v>
      </c>
      <c r="M56" s="1929">
        <v>25.75</v>
      </c>
      <c r="N56" s="1923">
        <v>5.3388114781342817E-2</v>
      </c>
      <c r="O56" s="1922">
        <v>12</v>
      </c>
      <c r="P56" s="1925" t="s">
        <v>1071</v>
      </c>
      <c r="Q56" s="1928">
        <v>1000</v>
      </c>
      <c r="R56" s="1928">
        <v>1000</v>
      </c>
      <c r="S56" s="1931">
        <f t="shared" si="12"/>
        <v>2000</v>
      </c>
      <c r="T56" s="1931">
        <f t="shared" si="13"/>
        <v>103000</v>
      </c>
      <c r="U56" s="1931">
        <f t="shared" si="14"/>
        <v>103000</v>
      </c>
      <c r="V56" s="1931">
        <f t="shared" si="15"/>
        <v>206000</v>
      </c>
      <c r="W56" s="1921">
        <f t="shared" si="16"/>
        <v>25750</v>
      </c>
      <c r="X56" s="1921">
        <f t="shared" si="17"/>
        <v>25750</v>
      </c>
      <c r="Y56" s="1921">
        <f t="shared" si="18"/>
        <v>51500</v>
      </c>
      <c r="Z56" s="1946"/>
      <c r="AA56" s="1917"/>
    </row>
    <row r="57" spans="1:27">
      <c r="C57" s="1952"/>
      <c r="D57" s="1958"/>
      <c r="E57" s="1955"/>
      <c r="F57" s="1958"/>
      <c r="H57" s="2948" t="s">
        <v>1379</v>
      </c>
      <c r="I57" s="2953">
        <v>116</v>
      </c>
      <c r="J57" s="1932" t="s">
        <v>120</v>
      </c>
      <c r="K57" s="1922" t="s">
        <v>909</v>
      </c>
      <c r="L57" s="1929">
        <v>144.38</v>
      </c>
      <c r="M57" s="1929">
        <v>29</v>
      </c>
      <c r="N57" s="1923">
        <v>3.0004948229824451E-4</v>
      </c>
      <c r="O57" s="1922">
        <v>12</v>
      </c>
      <c r="P57" s="1925" t="s">
        <v>1071</v>
      </c>
      <c r="Q57" s="1928">
        <v>25</v>
      </c>
      <c r="R57" s="1928">
        <v>25</v>
      </c>
      <c r="S57" s="1931">
        <f t="shared" si="12"/>
        <v>50</v>
      </c>
      <c r="T57" s="1931">
        <f t="shared" si="13"/>
        <v>2900</v>
      </c>
      <c r="U57" s="1931">
        <f t="shared" si="14"/>
        <v>2900</v>
      </c>
      <c r="V57" s="1931">
        <f t="shared" si="15"/>
        <v>5800</v>
      </c>
      <c r="W57" s="1921">
        <f t="shared" si="16"/>
        <v>725</v>
      </c>
      <c r="X57" s="1921">
        <f t="shared" si="17"/>
        <v>725</v>
      </c>
      <c r="Y57" s="1921">
        <f t="shared" si="18"/>
        <v>1450</v>
      </c>
      <c r="Z57" s="1946"/>
      <c r="AA57" s="1917"/>
    </row>
    <row r="58" spans="1:27">
      <c r="C58" s="2106" t="s">
        <v>52</v>
      </c>
      <c r="D58" s="2158">
        <f>SUM(D59:D62)</f>
        <v>610420.5</v>
      </c>
      <c r="E58" s="1926">
        <f>SUM(E59:E62)</f>
        <v>610420.5</v>
      </c>
      <c r="F58" s="2157">
        <f>D58+E58</f>
        <v>1220841</v>
      </c>
      <c r="H58" s="2948" t="s">
        <v>1714</v>
      </c>
      <c r="I58" s="2953">
        <v>397</v>
      </c>
      <c r="J58" s="1932" t="s">
        <v>120</v>
      </c>
      <c r="K58" s="1922" t="s">
        <v>909</v>
      </c>
      <c r="L58" s="1929">
        <v>114.17</v>
      </c>
      <c r="M58" s="1929">
        <v>79.918999999999997</v>
      </c>
      <c r="N58" s="1923">
        <v>4.1075739473242438E-2</v>
      </c>
      <c r="O58" s="1922">
        <v>12</v>
      </c>
      <c r="P58" s="1925" t="s">
        <v>1071</v>
      </c>
      <c r="Q58" s="1928">
        <v>1000</v>
      </c>
      <c r="R58" s="1928">
        <v>1000</v>
      </c>
      <c r="S58" s="1931">
        <f t="shared" si="12"/>
        <v>2000</v>
      </c>
      <c r="T58" s="1931">
        <f t="shared" si="13"/>
        <v>397000</v>
      </c>
      <c r="U58" s="1931">
        <f t="shared" si="14"/>
        <v>397000</v>
      </c>
      <c r="V58" s="1931">
        <f t="shared" si="15"/>
        <v>794000</v>
      </c>
      <c r="W58" s="1921">
        <f t="shared" si="16"/>
        <v>79919</v>
      </c>
      <c r="X58" s="1921">
        <f t="shared" si="17"/>
        <v>79919</v>
      </c>
      <c r="Y58" s="1921">
        <f t="shared" si="18"/>
        <v>159838</v>
      </c>
      <c r="Z58" s="1946"/>
      <c r="AA58" s="1917"/>
    </row>
    <row r="59" spans="1:27">
      <c r="C59" s="2197" t="s">
        <v>1276</v>
      </c>
      <c r="D59" s="2202">
        <v>610420.5</v>
      </c>
      <c r="E59" s="2203">
        <v>610420.5</v>
      </c>
      <c r="F59" s="2191">
        <f t="shared" si="11"/>
        <v>1220841</v>
      </c>
      <c r="H59" s="2948" t="s">
        <v>1381</v>
      </c>
      <c r="I59" s="2953">
        <v>405</v>
      </c>
      <c r="J59" s="1932" t="s">
        <v>120</v>
      </c>
      <c r="K59" s="1922" t="s">
        <v>909</v>
      </c>
      <c r="L59" s="1929">
        <v>92.68</v>
      </c>
      <c r="M59" s="1929">
        <v>64.876000000000005</v>
      </c>
      <c r="N59" s="1923">
        <v>1.0475865545757676E-3</v>
      </c>
      <c r="O59" s="1922">
        <v>12</v>
      </c>
      <c r="P59" s="1925" t="s">
        <v>1071</v>
      </c>
      <c r="Q59" s="1928">
        <v>25</v>
      </c>
      <c r="R59" s="1928">
        <v>25</v>
      </c>
      <c r="S59" s="1931">
        <f t="shared" si="12"/>
        <v>50</v>
      </c>
      <c r="T59" s="1931">
        <f t="shared" si="13"/>
        <v>10125</v>
      </c>
      <c r="U59" s="1931">
        <f t="shared" si="14"/>
        <v>10125</v>
      </c>
      <c r="V59" s="1931">
        <f t="shared" si="15"/>
        <v>20250</v>
      </c>
      <c r="W59" s="1921">
        <f t="shared" si="16"/>
        <v>1621.9</v>
      </c>
      <c r="X59" s="1921">
        <f t="shared" si="17"/>
        <v>1621.9</v>
      </c>
      <c r="Y59" s="1921">
        <f t="shared" si="18"/>
        <v>3243.8</v>
      </c>
      <c r="Z59" s="1946"/>
      <c r="AA59" s="1917"/>
    </row>
    <row r="60" spans="1:27">
      <c r="C60" s="2197"/>
      <c r="D60" s="2202"/>
      <c r="E60" s="2203"/>
      <c r="F60" s="2191">
        <f t="shared" si="11"/>
        <v>0</v>
      </c>
      <c r="H60" s="2948" t="s">
        <v>1382</v>
      </c>
      <c r="I60" s="2953">
        <v>1557</v>
      </c>
      <c r="J60" s="1932" t="s">
        <v>120</v>
      </c>
      <c r="K60" s="1922" t="s">
        <v>909</v>
      </c>
      <c r="L60" s="1929">
        <v>297.7</v>
      </c>
      <c r="M60" s="1929">
        <v>208.39</v>
      </c>
      <c r="N60" s="1923">
        <v>1.0475865545757676E-3</v>
      </c>
      <c r="O60" s="1922">
        <v>12</v>
      </c>
      <c r="P60" s="1925" t="s">
        <v>1071</v>
      </c>
      <c r="Q60" s="1928">
        <v>20</v>
      </c>
      <c r="R60" s="1928">
        <v>20</v>
      </c>
      <c r="S60" s="1931">
        <f t="shared" si="12"/>
        <v>40</v>
      </c>
      <c r="T60" s="1931">
        <f t="shared" si="13"/>
        <v>31140</v>
      </c>
      <c r="U60" s="1931">
        <f t="shared" si="14"/>
        <v>31140</v>
      </c>
      <c r="V60" s="1931">
        <f t="shared" si="15"/>
        <v>62280</v>
      </c>
      <c r="W60" s="1921">
        <f t="shared" si="16"/>
        <v>4167.7999999999993</v>
      </c>
      <c r="X60" s="1921">
        <f t="shared" si="17"/>
        <v>4167.7999999999993</v>
      </c>
      <c r="Y60" s="1921">
        <f t="shared" si="18"/>
        <v>8335.5999999999985</v>
      </c>
      <c r="Z60" s="1946"/>
      <c r="AA60" s="1917"/>
    </row>
    <row r="61" spans="1:27">
      <c r="C61" s="2197"/>
      <c r="D61" s="2202"/>
      <c r="E61" s="2203"/>
      <c r="F61" s="1890">
        <f t="shared" si="11"/>
        <v>0</v>
      </c>
      <c r="H61" s="2948" t="s">
        <v>1382</v>
      </c>
      <c r="I61" s="2953">
        <v>1656</v>
      </c>
      <c r="J61" s="1932" t="s">
        <v>120</v>
      </c>
      <c r="K61" s="1922" t="s">
        <v>909</v>
      </c>
      <c r="L61" s="1929">
        <v>578.5</v>
      </c>
      <c r="M61" s="1929">
        <v>404.95</v>
      </c>
      <c r="N61" s="1923">
        <v>8.0547766196270125E-3</v>
      </c>
      <c r="O61" s="1922">
        <v>12</v>
      </c>
      <c r="P61" s="1925" t="s">
        <v>1071</v>
      </c>
      <c r="Q61" s="1928">
        <v>25</v>
      </c>
      <c r="R61" s="1928">
        <v>25</v>
      </c>
      <c r="S61" s="1931">
        <f t="shared" si="12"/>
        <v>50</v>
      </c>
      <c r="T61" s="1931">
        <f t="shared" si="13"/>
        <v>41400</v>
      </c>
      <c r="U61" s="1931">
        <f t="shared" si="14"/>
        <v>41400</v>
      </c>
      <c r="V61" s="1931">
        <f t="shared" si="15"/>
        <v>82800</v>
      </c>
      <c r="W61" s="1921">
        <f t="shared" si="16"/>
        <v>10123.75</v>
      </c>
      <c r="X61" s="1921">
        <f t="shared" si="17"/>
        <v>10123.75</v>
      </c>
      <c r="Y61" s="1921">
        <f t="shared" si="18"/>
        <v>20247.5</v>
      </c>
      <c r="Z61" s="1946"/>
      <c r="AA61" s="1917"/>
    </row>
    <row r="62" spans="1:27">
      <c r="C62" s="2197"/>
      <c r="D62" s="2202"/>
      <c r="E62" s="2203"/>
      <c r="F62" s="2191">
        <f t="shared" si="11"/>
        <v>0</v>
      </c>
      <c r="H62" s="2948" t="s">
        <v>1715</v>
      </c>
      <c r="I62" s="2953">
        <v>1107</v>
      </c>
      <c r="J62" s="1932" t="s">
        <v>120</v>
      </c>
      <c r="K62" s="1922" t="s">
        <v>909</v>
      </c>
      <c r="L62" s="1929">
        <v>236.54</v>
      </c>
      <c r="M62" s="1929">
        <v>165.57799999999997</v>
      </c>
      <c r="N62" s="1923">
        <v>8.5669300463084991E-3</v>
      </c>
      <c r="O62" s="1922">
        <v>12</v>
      </c>
      <c r="P62" s="1925" t="s">
        <v>1071</v>
      </c>
      <c r="Q62" s="1928">
        <v>100</v>
      </c>
      <c r="R62" s="1928">
        <v>100</v>
      </c>
      <c r="S62" s="1931">
        <f t="shared" si="12"/>
        <v>200</v>
      </c>
      <c r="T62" s="1931">
        <f t="shared" si="13"/>
        <v>110700</v>
      </c>
      <c r="U62" s="1931">
        <f t="shared" si="14"/>
        <v>110700</v>
      </c>
      <c r="V62" s="1931">
        <f t="shared" si="15"/>
        <v>221400</v>
      </c>
      <c r="W62" s="1921">
        <f t="shared" si="16"/>
        <v>16557.799999999996</v>
      </c>
      <c r="X62" s="1921">
        <f t="shared" si="17"/>
        <v>16557.799999999996</v>
      </c>
      <c r="Y62" s="1921">
        <f t="shared" si="18"/>
        <v>33115.599999999991</v>
      </c>
      <c r="Z62" s="1946"/>
      <c r="AA62" s="1917"/>
    </row>
    <row r="63" spans="1:27">
      <c r="C63" s="1952"/>
      <c r="D63" s="1958"/>
      <c r="E63" s="1955"/>
      <c r="F63" s="1958"/>
      <c r="H63" s="2948" t="s">
        <v>1716</v>
      </c>
      <c r="I63" s="2953">
        <v>202</v>
      </c>
      <c r="J63" s="1932" t="s">
        <v>120</v>
      </c>
      <c r="K63" s="1922" t="s">
        <v>909</v>
      </c>
      <c r="L63" s="1929">
        <v>108</v>
      </c>
      <c r="M63" s="1929">
        <v>50.5</v>
      </c>
      <c r="N63" s="1923">
        <v>0.11453612996695059</v>
      </c>
      <c r="O63" s="1922">
        <v>12</v>
      </c>
      <c r="P63" s="1925" t="s">
        <v>1071</v>
      </c>
      <c r="Q63" s="1928">
        <v>750</v>
      </c>
      <c r="R63" s="1928">
        <v>750</v>
      </c>
      <c r="S63" s="1931">
        <f t="shared" si="12"/>
        <v>1500</v>
      </c>
      <c r="T63" s="1931">
        <f t="shared" si="13"/>
        <v>151500</v>
      </c>
      <c r="U63" s="1931">
        <f t="shared" si="14"/>
        <v>151500</v>
      </c>
      <c r="V63" s="1931">
        <f t="shared" si="15"/>
        <v>303000</v>
      </c>
      <c r="W63" s="1921">
        <f t="shared" si="16"/>
        <v>37875</v>
      </c>
      <c r="X63" s="1921">
        <f t="shared" si="17"/>
        <v>37875</v>
      </c>
      <c r="Y63" s="1921">
        <f t="shared" si="18"/>
        <v>75750</v>
      </c>
      <c r="Z63" s="1946"/>
      <c r="AA63" s="1917"/>
    </row>
    <row r="64" spans="1:27" ht="25.5">
      <c r="A64" s="2802" t="s">
        <v>553</v>
      </c>
      <c r="C64" s="2106" t="s">
        <v>53</v>
      </c>
      <c r="D64" s="2158">
        <f>W15</f>
        <v>2342693.7400000002</v>
      </c>
      <c r="E64" s="1926">
        <f>X15</f>
        <v>2419231.3600000003</v>
      </c>
      <c r="F64" s="2157">
        <f>D64+E64</f>
        <v>4761925.1000000006</v>
      </c>
      <c r="H64" s="2948" t="s">
        <v>1385</v>
      </c>
      <c r="I64" s="2953">
        <v>368</v>
      </c>
      <c r="J64" s="1932" t="s">
        <v>120</v>
      </c>
      <c r="K64" s="1922" t="s">
        <v>909</v>
      </c>
      <c r="L64" s="1929">
        <v>108</v>
      </c>
      <c r="M64" s="1929">
        <v>75.599999999999994</v>
      </c>
      <c r="N64" s="1923">
        <v>1.2840048535590395E-2</v>
      </c>
      <c r="O64" s="1922">
        <v>12</v>
      </c>
      <c r="P64" s="1925" t="s">
        <v>1071</v>
      </c>
      <c r="Q64" s="1928">
        <v>75</v>
      </c>
      <c r="R64" s="1928">
        <v>75</v>
      </c>
      <c r="S64" s="1931">
        <f t="shared" si="12"/>
        <v>150</v>
      </c>
      <c r="T64" s="1931">
        <f t="shared" si="13"/>
        <v>27600</v>
      </c>
      <c r="U64" s="1931">
        <f t="shared" si="14"/>
        <v>27600</v>
      </c>
      <c r="V64" s="1931">
        <f t="shared" si="15"/>
        <v>55200</v>
      </c>
      <c r="W64" s="1921">
        <f t="shared" si="16"/>
        <v>5670</v>
      </c>
      <c r="X64" s="1921">
        <f t="shared" si="17"/>
        <v>5670</v>
      </c>
      <c r="Y64" s="1921">
        <f t="shared" si="18"/>
        <v>11340</v>
      </c>
      <c r="Z64" s="1946"/>
      <c r="AA64" s="1917"/>
    </row>
    <row r="65" spans="1:27">
      <c r="A65" s="2802" t="s">
        <v>278</v>
      </c>
      <c r="C65" s="1967" t="s">
        <v>313</v>
      </c>
      <c r="D65" s="1961"/>
      <c r="E65" s="1962"/>
      <c r="F65" s="1966"/>
      <c r="H65" s="2948" t="s">
        <v>1386</v>
      </c>
      <c r="I65" s="2953">
        <v>479</v>
      </c>
      <c r="J65" s="1932" t="s">
        <v>120</v>
      </c>
      <c r="K65" s="1922" t="s">
        <v>909</v>
      </c>
      <c r="L65" s="1929">
        <v>109</v>
      </c>
      <c r="M65" s="1929">
        <v>76.3</v>
      </c>
      <c r="N65" s="1923">
        <v>1.0449999211076792E-4</v>
      </c>
      <c r="O65" s="1922">
        <v>12</v>
      </c>
      <c r="P65" s="1925" t="s">
        <v>1071</v>
      </c>
      <c r="Q65" s="1928">
        <v>50</v>
      </c>
      <c r="R65" s="1928">
        <v>50</v>
      </c>
      <c r="S65" s="1931">
        <f t="shared" si="12"/>
        <v>100</v>
      </c>
      <c r="T65" s="1931">
        <f t="shared" si="13"/>
        <v>23950</v>
      </c>
      <c r="U65" s="1931">
        <f t="shared" si="14"/>
        <v>23950</v>
      </c>
      <c r="V65" s="1931">
        <f t="shared" si="15"/>
        <v>47900</v>
      </c>
      <c r="W65" s="1921">
        <f t="shared" si="16"/>
        <v>3815</v>
      </c>
      <c r="X65" s="1921">
        <f t="shared" si="17"/>
        <v>3815</v>
      </c>
      <c r="Y65" s="1921">
        <f t="shared" si="18"/>
        <v>7630</v>
      </c>
      <c r="Z65" s="1946"/>
      <c r="AA65" s="1917"/>
    </row>
    <row r="66" spans="1:27">
      <c r="A66" s="2802" t="s">
        <v>6</v>
      </c>
      <c r="C66" s="1968"/>
      <c r="D66" s="1963"/>
      <c r="E66" s="1964"/>
      <c r="F66" s="1965"/>
      <c r="H66" s="2948" t="s">
        <v>1387</v>
      </c>
      <c r="I66" s="2953">
        <v>793</v>
      </c>
      <c r="J66" s="2950" t="s">
        <v>120</v>
      </c>
      <c r="K66" s="2948" t="s">
        <v>909</v>
      </c>
      <c r="L66" s="2951">
        <v>111</v>
      </c>
      <c r="M66" s="2951">
        <v>77.699999999999989</v>
      </c>
      <c r="N66" s="2977">
        <v>1.9037622325129998E-3</v>
      </c>
      <c r="O66" s="2948">
        <v>12</v>
      </c>
      <c r="P66" s="2949" t="s">
        <v>1071</v>
      </c>
      <c r="Q66" s="2953">
        <v>25</v>
      </c>
      <c r="R66" s="2953">
        <v>25</v>
      </c>
      <c r="S66" s="2952">
        <f t="shared" si="12"/>
        <v>50</v>
      </c>
      <c r="T66" s="2952">
        <f t="shared" si="13"/>
        <v>19825</v>
      </c>
      <c r="U66" s="2952">
        <f t="shared" si="14"/>
        <v>19825</v>
      </c>
      <c r="V66" s="2952">
        <f t="shared" si="15"/>
        <v>39650</v>
      </c>
      <c r="W66" s="2954">
        <f t="shared" si="16"/>
        <v>1942.4999999999998</v>
      </c>
      <c r="X66" s="2954">
        <f t="shared" si="17"/>
        <v>1942.4999999999998</v>
      </c>
      <c r="Y66" s="2954">
        <f t="shared" si="18"/>
        <v>3884.9999999999995</v>
      </c>
    </row>
    <row r="67" spans="1:27">
      <c r="A67" s="2802">
        <v>18231134</v>
      </c>
      <c r="C67" s="1959" t="s">
        <v>54</v>
      </c>
      <c r="D67" s="2202">
        <v>0</v>
      </c>
      <c r="E67" s="2202">
        <v>0</v>
      </c>
      <c r="F67" s="1956">
        <v>0</v>
      </c>
      <c r="H67" s="2948" t="s">
        <v>1388</v>
      </c>
      <c r="I67" s="2953">
        <v>685</v>
      </c>
      <c r="J67" s="2950" t="s">
        <v>120</v>
      </c>
      <c r="K67" s="2948" t="s">
        <v>909</v>
      </c>
      <c r="L67" s="2951">
        <v>211.25</v>
      </c>
      <c r="M67" s="2951">
        <v>147.875</v>
      </c>
      <c r="N67" s="2977">
        <v>1.2389974312143029E-3</v>
      </c>
      <c r="O67" s="2948">
        <v>12</v>
      </c>
      <c r="P67" s="2949" t="s">
        <v>1071</v>
      </c>
      <c r="Q67" s="2953">
        <v>125</v>
      </c>
      <c r="R67" s="2953">
        <v>125</v>
      </c>
      <c r="S67" s="2952">
        <f t="shared" si="12"/>
        <v>250</v>
      </c>
      <c r="T67" s="2952">
        <f t="shared" si="13"/>
        <v>85625</v>
      </c>
      <c r="U67" s="2952">
        <f t="shared" si="14"/>
        <v>85625</v>
      </c>
      <c r="V67" s="2952">
        <f t="shared" si="15"/>
        <v>171250</v>
      </c>
      <c r="W67" s="2954">
        <f t="shared" si="16"/>
        <v>18484.375</v>
      </c>
      <c r="X67" s="2954">
        <f t="shared" si="17"/>
        <v>18484.375</v>
      </c>
      <c r="Y67" s="2954">
        <f t="shared" si="18"/>
        <v>36968.75</v>
      </c>
    </row>
    <row r="68" spans="1:27">
      <c r="A68" s="2802" t="s">
        <v>5</v>
      </c>
      <c r="H68" s="2948" t="s">
        <v>1389</v>
      </c>
      <c r="I68" s="2953">
        <v>685</v>
      </c>
      <c r="J68" s="2950" t="s">
        <v>120</v>
      </c>
      <c r="K68" s="2948" t="s">
        <v>909</v>
      </c>
      <c r="L68" s="2951">
        <v>430.4</v>
      </c>
      <c r="M68" s="2951">
        <v>171.25</v>
      </c>
      <c r="N68" s="2977">
        <v>2.0512003401940335E-3</v>
      </c>
      <c r="O68" s="2948">
        <v>12</v>
      </c>
      <c r="P68" s="2949" t="s">
        <v>1071</v>
      </c>
      <c r="Q68" s="2953">
        <v>200</v>
      </c>
      <c r="R68" s="2953">
        <v>200</v>
      </c>
      <c r="S68" s="2952">
        <f t="shared" si="12"/>
        <v>400</v>
      </c>
      <c r="T68" s="2952">
        <f t="shared" si="13"/>
        <v>137000</v>
      </c>
      <c r="U68" s="2952">
        <f t="shared" si="14"/>
        <v>137000</v>
      </c>
      <c r="V68" s="2952">
        <f t="shared" si="15"/>
        <v>274000</v>
      </c>
      <c r="W68" s="2954">
        <f t="shared" si="16"/>
        <v>34250</v>
      </c>
      <c r="X68" s="2954">
        <f t="shared" si="17"/>
        <v>34250</v>
      </c>
      <c r="Y68" s="2954">
        <f t="shared" si="18"/>
        <v>68500</v>
      </c>
    </row>
    <row r="69" spans="1:27">
      <c r="A69" s="2193"/>
      <c r="H69" s="2948" t="s">
        <v>1717</v>
      </c>
      <c r="I69" s="2953">
        <v>601</v>
      </c>
      <c r="J69" s="2950" t="s">
        <v>120</v>
      </c>
      <c r="K69" s="2948" t="s">
        <v>909</v>
      </c>
      <c r="L69" s="2951">
        <v>156.25</v>
      </c>
      <c r="M69" s="2951">
        <v>109.375</v>
      </c>
      <c r="N69" s="2977">
        <v>1.4174751405123965E-2</v>
      </c>
      <c r="O69" s="2948">
        <v>12</v>
      </c>
      <c r="P69" s="2949" t="s">
        <v>1071</v>
      </c>
      <c r="Q69" s="2953">
        <v>100</v>
      </c>
      <c r="R69" s="2953">
        <v>100</v>
      </c>
      <c r="S69" s="2952">
        <f t="shared" si="12"/>
        <v>200</v>
      </c>
      <c r="T69" s="2952">
        <f t="shared" si="13"/>
        <v>60100</v>
      </c>
      <c r="U69" s="2952">
        <f t="shared" si="14"/>
        <v>60100</v>
      </c>
      <c r="V69" s="2952">
        <f t="shared" si="15"/>
        <v>120200</v>
      </c>
      <c r="W69" s="2954">
        <f t="shared" si="16"/>
        <v>10937.5</v>
      </c>
      <c r="X69" s="2954">
        <f t="shared" si="17"/>
        <v>10937.5</v>
      </c>
      <c r="Y69" s="2954">
        <f t="shared" si="18"/>
        <v>21875</v>
      </c>
    </row>
    <row r="70" spans="1:27">
      <c r="A70" s="2193"/>
      <c r="H70" s="2948" t="s">
        <v>1391</v>
      </c>
      <c r="I70" s="2953">
        <v>190</v>
      </c>
      <c r="J70" s="2950" t="s">
        <v>120</v>
      </c>
      <c r="K70" s="2948" t="s">
        <v>909</v>
      </c>
      <c r="L70" s="2951">
        <v>81.900000000000006</v>
      </c>
      <c r="M70" s="2951">
        <v>47.5</v>
      </c>
      <c r="N70" s="2977">
        <v>2.6577658884607436E-2</v>
      </c>
      <c r="O70" s="2948">
        <v>12</v>
      </c>
      <c r="P70" s="2949" t="s">
        <v>1071</v>
      </c>
      <c r="Q70" s="2953">
        <v>500</v>
      </c>
      <c r="R70" s="2953">
        <v>500</v>
      </c>
      <c r="S70" s="2952">
        <f t="shared" si="12"/>
        <v>1000</v>
      </c>
      <c r="T70" s="2952">
        <f t="shared" si="13"/>
        <v>95000</v>
      </c>
      <c r="U70" s="2952">
        <f t="shared" si="14"/>
        <v>95000</v>
      </c>
      <c r="V70" s="2952">
        <f t="shared" si="15"/>
        <v>190000</v>
      </c>
      <c r="W70" s="2954">
        <f t="shared" si="16"/>
        <v>23750</v>
      </c>
      <c r="X70" s="2954">
        <f t="shared" si="17"/>
        <v>23750</v>
      </c>
      <c r="Y70" s="2954">
        <f t="shared" si="18"/>
        <v>47500</v>
      </c>
    </row>
    <row r="71" spans="1:27">
      <c r="H71" s="2948" t="s">
        <v>1392</v>
      </c>
      <c r="I71" s="2953">
        <v>43</v>
      </c>
      <c r="J71" s="2950" t="s">
        <v>120</v>
      </c>
      <c r="K71" s="2948" t="s">
        <v>909</v>
      </c>
      <c r="L71" s="2951">
        <v>18.7</v>
      </c>
      <c r="M71" s="2951">
        <v>18.7</v>
      </c>
      <c r="N71" s="2977">
        <v>6.2182668572843089E-2</v>
      </c>
      <c r="O71" s="2948">
        <v>12</v>
      </c>
      <c r="P71" s="2949" t="s">
        <v>1071</v>
      </c>
      <c r="Q71" s="2953">
        <v>275</v>
      </c>
      <c r="R71" s="2953">
        <v>275</v>
      </c>
      <c r="S71" s="2952">
        <f t="shared" si="12"/>
        <v>550</v>
      </c>
      <c r="T71" s="2952">
        <f t="shared" si="13"/>
        <v>11825</v>
      </c>
      <c r="U71" s="2952">
        <f t="shared" si="14"/>
        <v>11825</v>
      </c>
      <c r="V71" s="2952">
        <f t="shared" si="15"/>
        <v>23650</v>
      </c>
      <c r="W71" s="2954">
        <f t="shared" si="16"/>
        <v>5142.5</v>
      </c>
      <c r="X71" s="2954">
        <f t="shared" si="17"/>
        <v>5142.5</v>
      </c>
      <c r="Y71" s="2954">
        <f t="shared" si="18"/>
        <v>10285</v>
      </c>
    </row>
    <row r="72" spans="1:27">
      <c r="H72" s="2948" t="s">
        <v>1392</v>
      </c>
      <c r="I72" s="2953">
        <v>44</v>
      </c>
      <c r="J72" s="2950" t="s">
        <v>120</v>
      </c>
      <c r="K72" s="2948" t="s">
        <v>909</v>
      </c>
      <c r="L72" s="2951">
        <v>18.7</v>
      </c>
      <c r="M72" s="2951">
        <v>18.7</v>
      </c>
      <c r="N72" s="2977">
        <v>4.9146035893677985E-3</v>
      </c>
      <c r="O72" s="2948">
        <v>12</v>
      </c>
      <c r="P72" s="2949" t="s">
        <v>1071</v>
      </c>
      <c r="Q72" s="2953">
        <v>50</v>
      </c>
      <c r="R72" s="2953">
        <v>50</v>
      </c>
      <c r="S72" s="2952">
        <f t="shared" si="12"/>
        <v>100</v>
      </c>
      <c r="T72" s="2952">
        <f t="shared" si="13"/>
        <v>2200</v>
      </c>
      <c r="U72" s="2952">
        <f t="shared" si="14"/>
        <v>2200</v>
      </c>
      <c r="V72" s="2952">
        <f t="shared" si="15"/>
        <v>4400</v>
      </c>
      <c r="W72" s="2954">
        <f t="shared" si="16"/>
        <v>935</v>
      </c>
      <c r="X72" s="2954">
        <f t="shared" si="17"/>
        <v>935</v>
      </c>
      <c r="Y72" s="2954">
        <f t="shared" si="18"/>
        <v>1870</v>
      </c>
    </row>
    <row r="73" spans="1:27">
      <c r="H73" s="2948" t="s">
        <v>1392</v>
      </c>
      <c r="I73" s="2953">
        <v>46</v>
      </c>
      <c r="J73" s="2950" t="s">
        <v>120</v>
      </c>
      <c r="K73" s="2948" t="s">
        <v>909</v>
      </c>
      <c r="L73" s="2951">
        <v>18.7</v>
      </c>
      <c r="M73" s="2951">
        <v>18.7</v>
      </c>
      <c r="N73" s="2977">
        <v>8.1220290897973094E-4</v>
      </c>
      <c r="O73" s="2948">
        <v>3</v>
      </c>
      <c r="P73" s="2949" t="s">
        <v>1071</v>
      </c>
      <c r="Q73" s="2953">
        <v>1500</v>
      </c>
      <c r="R73" s="2953">
        <v>1500</v>
      </c>
      <c r="S73" s="2952">
        <f t="shared" si="12"/>
        <v>3000</v>
      </c>
      <c r="T73" s="2952">
        <f t="shared" si="13"/>
        <v>69000</v>
      </c>
      <c r="U73" s="2952">
        <f t="shared" si="14"/>
        <v>69000</v>
      </c>
      <c r="V73" s="2952">
        <f t="shared" si="15"/>
        <v>138000</v>
      </c>
      <c r="W73" s="2954">
        <f t="shared" si="16"/>
        <v>28050</v>
      </c>
      <c r="X73" s="2954">
        <f t="shared" si="17"/>
        <v>28050</v>
      </c>
      <c r="Y73" s="2954">
        <f t="shared" si="18"/>
        <v>56100</v>
      </c>
    </row>
    <row r="74" spans="1:27">
      <c r="H74" s="2948" t="s">
        <v>1392</v>
      </c>
      <c r="I74" s="2953">
        <v>58</v>
      </c>
      <c r="J74" s="2950" t="s">
        <v>120</v>
      </c>
      <c r="K74" s="2948" t="s">
        <v>909</v>
      </c>
      <c r="L74" s="2951">
        <v>18.7</v>
      </c>
      <c r="M74" s="2951">
        <v>18.7</v>
      </c>
      <c r="N74" s="2977">
        <v>3.0004948229824455E-3</v>
      </c>
      <c r="O74" s="2948">
        <v>3</v>
      </c>
      <c r="P74" s="2949" t="s">
        <v>1071</v>
      </c>
      <c r="Q74" s="2953">
        <v>250</v>
      </c>
      <c r="R74" s="2953">
        <v>250</v>
      </c>
      <c r="S74" s="2952">
        <f t="shared" si="12"/>
        <v>500</v>
      </c>
      <c r="T74" s="2952">
        <f t="shared" si="13"/>
        <v>14500</v>
      </c>
      <c r="U74" s="2952">
        <f t="shared" si="14"/>
        <v>14500</v>
      </c>
      <c r="V74" s="2952">
        <f t="shared" si="15"/>
        <v>29000</v>
      </c>
      <c r="W74" s="2954">
        <f t="shared" si="16"/>
        <v>4675</v>
      </c>
      <c r="X74" s="2954">
        <f t="shared" si="17"/>
        <v>4675</v>
      </c>
      <c r="Y74" s="2954">
        <f t="shared" si="18"/>
        <v>9350</v>
      </c>
    </row>
    <row r="75" spans="1:27">
      <c r="H75" s="2948" t="s">
        <v>1392</v>
      </c>
      <c r="I75" s="2953">
        <v>63</v>
      </c>
      <c r="J75" s="2950" t="s">
        <v>120</v>
      </c>
      <c r="K75" s="2948" t="s">
        <v>909</v>
      </c>
      <c r="L75" s="2951">
        <v>18.7</v>
      </c>
      <c r="M75" s="2951">
        <v>18.7</v>
      </c>
      <c r="N75" s="2977">
        <v>1.1122523912779755E-3</v>
      </c>
      <c r="O75" s="2948">
        <v>3</v>
      </c>
      <c r="P75" s="2949" t="s">
        <v>1071</v>
      </c>
      <c r="Q75" s="2953">
        <v>50</v>
      </c>
      <c r="R75" s="2953">
        <v>50</v>
      </c>
      <c r="S75" s="2952">
        <f t="shared" si="12"/>
        <v>100</v>
      </c>
      <c r="T75" s="2952">
        <f t="shared" si="13"/>
        <v>3150</v>
      </c>
      <c r="U75" s="2952">
        <f t="shared" si="14"/>
        <v>3150</v>
      </c>
      <c r="V75" s="2952">
        <f t="shared" si="15"/>
        <v>6300</v>
      </c>
      <c r="W75" s="2954">
        <f t="shared" si="16"/>
        <v>935</v>
      </c>
      <c r="X75" s="2954">
        <f t="shared" si="17"/>
        <v>935</v>
      </c>
      <c r="Y75" s="2954">
        <f t="shared" si="18"/>
        <v>1870</v>
      </c>
    </row>
    <row r="76" spans="1:27">
      <c r="H76" s="2948" t="s">
        <v>1392</v>
      </c>
      <c r="I76" s="2953">
        <v>69</v>
      </c>
      <c r="J76" s="2950" t="s">
        <v>120</v>
      </c>
      <c r="K76" s="2948" t="s">
        <v>909</v>
      </c>
      <c r="L76" s="2951">
        <v>18.7</v>
      </c>
      <c r="M76" s="2951">
        <v>18.7</v>
      </c>
      <c r="N76" s="2977">
        <v>4.3455442263883688E-4</v>
      </c>
      <c r="O76" s="2948">
        <v>3</v>
      </c>
      <c r="P76" s="2949" t="s">
        <v>1071</v>
      </c>
      <c r="Q76" s="2953">
        <v>50</v>
      </c>
      <c r="R76" s="2953">
        <v>50</v>
      </c>
      <c r="S76" s="2952">
        <f t="shared" si="12"/>
        <v>100</v>
      </c>
      <c r="T76" s="2952">
        <f t="shared" si="13"/>
        <v>3450</v>
      </c>
      <c r="U76" s="2952">
        <f t="shared" si="14"/>
        <v>3450</v>
      </c>
      <c r="V76" s="2952">
        <f t="shared" si="15"/>
        <v>6900</v>
      </c>
      <c r="W76" s="2954">
        <f t="shared" si="16"/>
        <v>935</v>
      </c>
      <c r="X76" s="2954">
        <f t="shared" si="17"/>
        <v>935</v>
      </c>
      <c r="Y76" s="2954">
        <f t="shared" si="18"/>
        <v>1870</v>
      </c>
    </row>
    <row r="77" spans="1:27">
      <c r="H77" s="2948" t="s">
        <v>1392</v>
      </c>
      <c r="I77" s="2953">
        <v>84</v>
      </c>
      <c r="J77" s="2950" t="s">
        <v>120</v>
      </c>
      <c r="K77" s="2948" t="s">
        <v>909</v>
      </c>
      <c r="L77" s="2951">
        <v>18.7</v>
      </c>
      <c r="M77" s="2951">
        <v>18.7</v>
      </c>
      <c r="N77" s="2977">
        <v>3.5695541859618744E-4</v>
      </c>
      <c r="O77" s="2948">
        <v>3</v>
      </c>
      <c r="P77" s="2949" t="s">
        <v>1071</v>
      </c>
      <c r="Q77" s="2953">
        <v>500</v>
      </c>
      <c r="R77" s="2953">
        <v>500</v>
      </c>
      <c r="S77" s="2952">
        <f t="shared" si="12"/>
        <v>1000</v>
      </c>
      <c r="T77" s="2952">
        <f t="shared" si="13"/>
        <v>42000</v>
      </c>
      <c r="U77" s="2952">
        <f t="shared" si="14"/>
        <v>42000</v>
      </c>
      <c r="V77" s="2952">
        <f t="shared" si="15"/>
        <v>84000</v>
      </c>
      <c r="W77" s="2954">
        <f t="shared" si="16"/>
        <v>9350</v>
      </c>
      <c r="X77" s="2954">
        <f t="shared" si="17"/>
        <v>9350</v>
      </c>
      <c r="Y77" s="2954">
        <f t="shared" si="18"/>
        <v>18700</v>
      </c>
    </row>
    <row r="78" spans="1:27">
      <c r="H78" s="2948" t="s">
        <v>1392</v>
      </c>
      <c r="I78" s="2953">
        <v>157</v>
      </c>
      <c r="J78" s="2950" t="s">
        <v>120</v>
      </c>
      <c r="K78" s="2948" t="s">
        <v>909</v>
      </c>
      <c r="L78" s="2951">
        <v>18.7</v>
      </c>
      <c r="M78" s="2951">
        <v>18.7</v>
      </c>
      <c r="N78" s="2977">
        <v>3.2591581697912766E-4</v>
      </c>
      <c r="O78" s="2948">
        <v>3</v>
      </c>
      <c r="P78" s="2949" t="s">
        <v>1071</v>
      </c>
      <c r="Q78" s="2953">
        <v>250</v>
      </c>
      <c r="R78" s="2953">
        <v>250</v>
      </c>
      <c r="S78" s="2952">
        <f t="shared" si="12"/>
        <v>500</v>
      </c>
      <c r="T78" s="2952">
        <f t="shared" si="13"/>
        <v>39250</v>
      </c>
      <c r="U78" s="2952">
        <f t="shared" si="14"/>
        <v>39250</v>
      </c>
      <c r="V78" s="2952">
        <f t="shared" si="15"/>
        <v>78500</v>
      </c>
      <c r="W78" s="2954">
        <f t="shared" si="16"/>
        <v>4675</v>
      </c>
      <c r="X78" s="2954">
        <f t="shared" si="17"/>
        <v>4675</v>
      </c>
      <c r="Y78" s="2954">
        <f t="shared" si="18"/>
        <v>9350</v>
      </c>
    </row>
    <row r="79" spans="1:27">
      <c r="H79" s="2948" t="s">
        <v>1393</v>
      </c>
      <c r="I79" s="2953">
        <v>68</v>
      </c>
      <c r="J79" s="2950" t="s">
        <v>120</v>
      </c>
      <c r="K79" s="2948" t="s">
        <v>909</v>
      </c>
      <c r="L79" s="2951">
        <v>19.68</v>
      </c>
      <c r="M79" s="2951">
        <v>19.68</v>
      </c>
      <c r="N79" s="2977">
        <v>9.1049498076708688E-4</v>
      </c>
      <c r="O79" s="2948">
        <v>3</v>
      </c>
      <c r="P79" s="2949" t="s">
        <v>1071</v>
      </c>
      <c r="Q79" s="2953">
        <v>250</v>
      </c>
      <c r="R79" s="2953">
        <v>250</v>
      </c>
      <c r="S79" s="2952">
        <f t="shared" si="12"/>
        <v>500</v>
      </c>
      <c r="T79" s="2952">
        <f t="shared" si="13"/>
        <v>17000</v>
      </c>
      <c r="U79" s="2952">
        <f t="shared" si="14"/>
        <v>17000</v>
      </c>
      <c r="V79" s="2952">
        <f t="shared" si="15"/>
        <v>34000</v>
      </c>
      <c r="W79" s="2954">
        <f t="shared" si="16"/>
        <v>4920</v>
      </c>
      <c r="X79" s="2954">
        <f t="shared" si="17"/>
        <v>4920</v>
      </c>
      <c r="Y79" s="2954">
        <f t="shared" si="18"/>
        <v>9840</v>
      </c>
    </row>
    <row r="80" spans="1:27">
      <c r="H80" s="2948" t="s">
        <v>1393</v>
      </c>
      <c r="I80" s="2953">
        <v>69</v>
      </c>
      <c r="J80" s="2950" t="s">
        <v>120</v>
      </c>
      <c r="K80" s="2948" t="s">
        <v>909</v>
      </c>
      <c r="L80" s="2951">
        <v>19.68</v>
      </c>
      <c r="M80" s="2951">
        <v>19.68</v>
      </c>
      <c r="N80" s="2977">
        <v>9.5188111625649989E-4</v>
      </c>
      <c r="O80" s="2948">
        <v>3</v>
      </c>
      <c r="P80" s="2949" t="s">
        <v>1071</v>
      </c>
      <c r="Q80" s="2953">
        <v>50</v>
      </c>
      <c r="R80" s="2953">
        <v>50</v>
      </c>
      <c r="S80" s="2952">
        <f t="shared" ref="S80:S111" si="19">Q80+R80</f>
        <v>100</v>
      </c>
      <c r="T80" s="2952">
        <f t="shared" ref="T80:T111" si="20">I80*Q80</f>
        <v>3450</v>
      </c>
      <c r="U80" s="2952">
        <f t="shared" ref="U80:U111" si="21">I80*R80</f>
        <v>3450</v>
      </c>
      <c r="V80" s="2952">
        <f t="shared" ref="V80:V111" si="22">T80+U80</f>
        <v>6900</v>
      </c>
      <c r="W80" s="2954">
        <f t="shared" ref="W80:W111" si="23">M80*Q80</f>
        <v>984</v>
      </c>
      <c r="X80" s="2954">
        <f t="shared" ref="X80:X111" si="24">M80*R80</f>
        <v>984</v>
      </c>
      <c r="Y80" s="2954">
        <f t="shared" ref="Y80:Y111" si="25">W80+X80</f>
        <v>1968</v>
      </c>
    </row>
    <row r="81" spans="5:25">
      <c r="E81" s="2177"/>
      <c r="H81" s="2948" t="s">
        <v>1393</v>
      </c>
      <c r="I81" s="2953">
        <v>72</v>
      </c>
      <c r="J81" s="2950" t="s">
        <v>120</v>
      </c>
      <c r="K81" s="2948" t="s">
        <v>909</v>
      </c>
      <c r="L81" s="2951">
        <v>19.68</v>
      </c>
      <c r="M81" s="2951">
        <v>19.68</v>
      </c>
      <c r="N81" s="2977">
        <v>1.2777969332356275E-3</v>
      </c>
      <c r="O81" s="2948">
        <v>3</v>
      </c>
      <c r="P81" s="2949" t="s">
        <v>1071</v>
      </c>
      <c r="Q81" s="2953">
        <v>50</v>
      </c>
      <c r="R81" s="2953">
        <v>50</v>
      </c>
      <c r="S81" s="2952">
        <f t="shared" si="19"/>
        <v>100</v>
      </c>
      <c r="T81" s="2952">
        <f t="shared" si="20"/>
        <v>3600</v>
      </c>
      <c r="U81" s="2952">
        <f t="shared" si="21"/>
        <v>3600</v>
      </c>
      <c r="V81" s="2952">
        <f t="shared" si="22"/>
        <v>7200</v>
      </c>
      <c r="W81" s="2954">
        <f t="shared" si="23"/>
        <v>984</v>
      </c>
      <c r="X81" s="2954">
        <f t="shared" si="24"/>
        <v>984</v>
      </c>
      <c r="Y81" s="2954">
        <f t="shared" si="25"/>
        <v>1968</v>
      </c>
    </row>
    <row r="82" spans="5:25">
      <c r="E82" s="2177"/>
      <c r="H82" s="2948" t="s">
        <v>1393</v>
      </c>
      <c r="I82" s="2953">
        <v>90</v>
      </c>
      <c r="J82" s="2950" t="s">
        <v>120</v>
      </c>
      <c r="K82" s="2948" t="s">
        <v>909</v>
      </c>
      <c r="L82" s="2951">
        <v>19.68</v>
      </c>
      <c r="M82" s="2951">
        <v>19.68</v>
      </c>
      <c r="N82" s="2977">
        <v>4.6559402425589666E-4</v>
      </c>
      <c r="O82" s="2948">
        <v>3</v>
      </c>
      <c r="P82" s="2949" t="s">
        <v>1071</v>
      </c>
      <c r="Q82" s="2953">
        <v>2500</v>
      </c>
      <c r="R82" s="2953">
        <v>2500</v>
      </c>
      <c r="S82" s="2952">
        <f t="shared" si="19"/>
        <v>5000</v>
      </c>
      <c r="T82" s="2952">
        <f t="shared" si="20"/>
        <v>225000</v>
      </c>
      <c r="U82" s="2952">
        <f t="shared" si="21"/>
        <v>225000</v>
      </c>
      <c r="V82" s="2952">
        <f t="shared" si="22"/>
        <v>450000</v>
      </c>
      <c r="W82" s="2954">
        <f t="shared" si="23"/>
        <v>49200</v>
      </c>
      <c r="X82" s="2954">
        <f t="shared" si="24"/>
        <v>49200</v>
      </c>
      <c r="Y82" s="2954">
        <f t="shared" si="25"/>
        <v>98400</v>
      </c>
    </row>
    <row r="83" spans="5:25">
      <c r="E83" s="2177"/>
      <c r="H83" s="2948" t="s">
        <v>1393</v>
      </c>
      <c r="I83" s="2953">
        <v>99</v>
      </c>
      <c r="J83" s="2950" t="s">
        <v>120</v>
      </c>
      <c r="K83" s="2948" t="s">
        <v>909</v>
      </c>
      <c r="L83" s="2951">
        <v>19.68</v>
      </c>
      <c r="M83" s="2951">
        <v>19.68</v>
      </c>
      <c r="N83" s="2977">
        <v>3.5178215166001081E-3</v>
      </c>
      <c r="O83" s="2948">
        <v>3</v>
      </c>
      <c r="P83" s="2949" t="s">
        <v>1071</v>
      </c>
      <c r="Q83" s="2953">
        <v>50</v>
      </c>
      <c r="R83" s="2953">
        <v>50</v>
      </c>
      <c r="S83" s="2952">
        <f t="shared" si="19"/>
        <v>100</v>
      </c>
      <c r="T83" s="2952">
        <f t="shared" si="20"/>
        <v>4950</v>
      </c>
      <c r="U83" s="2952">
        <f t="shared" si="21"/>
        <v>4950</v>
      </c>
      <c r="V83" s="2952">
        <f t="shared" si="22"/>
        <v>9900</v>
      </c>
      <c r="W83" s="2954">
        <f t="shared" si="23"/>
        <v>984</v>
      </c>
      <c r="X83" s="2954">
        <f t="shared" si="24"/>
        <v>984</v>
      </c>
      <c r="Y83" s="2954">
        <f t="shared" si="25"/>
        <v>1968</v>
      </c>
    </row>
    <row r="84" spans="5:25">
      <c r="E84" s="2177"/>
      <c r="H84" s="2948" t="s">
        <v>1393</v>
      </c>
      <c r="I84" s="2953">
        <v>108</v>
      </c>
      <c r="J84" s="2950" t="s">
        <v>120</v>
      </c>
      <c r="K84" s="2948" t="s">
        <v>909</v>
      </c>
      <c r="L84" s="2951">
        <v>19.68</v>
      </c>
      <c r="M84" s="2951">
        <v>19.68</v>
      </c>
      <c r="N84" s="2977">
        <v>6.880445025114918E-4</v>
      </c>
      <c r="O84" s="2948">
        <v>3</v>
      </c>
      <c r="P84" s="2949" t="s">
        <v>1071</v>
      </c>
      <c r="Q84" s="2953">
        <v>50</v>
      </c>
      <c r="R84" s="2953">
        <v>50</v>
      </c>
      <c r="S84" s="2952">
        <f t="shared" si="19"/>
        <v>100</v>
      </c>
      <c r="T84" s="2952">
        <f t="shared" si="20"/>
        <v>5400</v>
      </c>
      <c r="U84" s="2952">
        <f t="shared" si="21"/>
        <v>5400</v>
      </c>
      <c r="V84" s="2952">
        <f t="shared" si="22"/>
        <v>10800</v>
      </c>
      <c r="W84" s="2954">
        <f t="shared" si="23"/>
        <v>984</v>
      </c>
      <c r="X84" s="2954">
        <f t="shared" si="24"/>
        <v>984</v>
      </c>
      <c r="Y84" s="2954">
        <f t="shared" si="25"/>
        <v>1968</v>
      </c>
    </row>
    <row r="85" spans="5:25">
      <c r="E85" s="2177"/>
      <c r="H85" s="2948" t="s">
        <v>1393</v>
      </c>
      <c r="I85" s="2953">
        <v>133</v>
      </c>
      <c r="J85" s="2950" t="s">
        <v>120</v>
      </c>
      <c r="K85" s="2948" t="s">
        <v>909</v>
      </c>
      <c r="L85" s="2951">
        <v>19.68</v>
      </c>
      <c r="M85" s="2951">
        <v>19.68</v>
      </c>
      <c r="N85" s="2977">
        <v>5.5871282910707602E-4</v>
      </c>
      <c r="O85" s="2948">
        <v>3</v>
      </c>
      <c r="P85" s="2949" t="s">
        <v>1071</v>
      </c>
      <c r="Q85" s="2953">
        <v>250</v>
      </c>
      <c r="R85" s="2953">
        <v>250</v>
      </c>
      <c r="S85" s="2952">
        <f t="shared" si="19"/>
        <v>500</v>
      </c>
      <c r="T85" s="2952">
        <f t="shared" si="20"/>
        <v>33250</v>
      </c>
      <c r="U85" s="2952">
        <f t="shared" si="21"/>
        <v>33250</v>
      </c>
      <c r="V85" s="2952">
        <f t="shared" si="22"/>
        <v>66500</v>
      </c>
      <c r="W85" s="2954">
        <f t="shared" si="23"/>
        <v>4920</v>
      </c>
      <c r="X85" s="2954">
        <f t="shared" si="24"/>
        <v>4920</v>
      </c>
      <c r="Y85" s="2954">
        <f t="shared" si="25"/>
        <v>9840</v>
      </c>
    </row>
    <row r="86" spans="5:25">
      <c r="E86" s="2177"/>
      <c r="H86" s="2948" t="s">
        <v>1393</v>
      </c>
      <c r="I86" s="2953">
        <v>247</v>
      </c>
      <c r="J86" s="2950" t="s">
        <v>120</v>
      </c>
      <c r="K86" s="2948" t="s">
        <v>909</v>
      </c>
      <c r="L86" s="2951">
        <v>19.68</v>
      </c>
      <c r="M86" s="2951">
        <v>19.68</v>
      </c>
      <c r="N86" s="2977">
        <v>1.0243068533629727E-3</v>
      </c>
      <c r="O86" s="2948">
        <v>3</v>
      </c>
      <c r="P86" s="2949" t="s">
        <v>1071</v>
      </c>
      <c r="Q86" s="2953">
        <v>250</v>
      </c>
      <c r="R86" s="2953">
        <v>250</v>
      </c>
      <c r="S86" s="2952">
        <f t="shared" si="19"/>
        <v>500</v>
      </c>
      <c r="T86" s="2952">
        <f t="shared" si="20"/>
        <v>61750</v>
      </c>
      <c r="U86" s="2952">
        <f t="shared" si="21"/>
        <v>61750</v>
      </c>
      <c r="V86" s="2952">
        <f t="shared" si="22"/>
        <v>123500</v>
      </c>
      <c r="W86" s="2954">
        <f t="shared" si="23"/>
        <v>4920</v>
      </c>
      <c r="X86" s="2954">
        <f t="shared" si="24"/>
        <v>4920</v>
      </c>
      <c r="Y86" s="2954">
        <f t="shared" si="25"/>
        <v>9840</v>
      </c>
    </row>
    <row r="87" spans="5:25">
      <c r="E87" s="2177"/>
      <c r="H87" s="2948" t="s">
        <v>1394</v>
      </c>
      <c r="I87" s="2953">
        <v>31</v>
      </c>
      <c r="J87" s="2950" t="s">
        <v>120</v>
      </c>
      <c r="K87" s="2948" t="s">
        <v>909</v>
      </c>
      <c r="L87" s="2951">
        <v>21.07</v>
      </c>
      <c r="M87" s="2951">
        <v>21.07</v>
      </c>
      <c r="N87" s="2977">
        <v>7.1391083719237489E-4</v>
      </c>
      <c r="O87" s="2948">
        <v>3</v>
      </c>
      <c r="P87" s="2949" t="s">
        <v>1071</v>
      </c>
      <c r="Q87" s="2953">
        <v>250</v>
      </c>
      <c r="R87" s="2953">
        <v>250</v>
      </c>
      <c r="S87" s="2952">
        <f t="shared" si="19"/>
        <v>500</v>
      </c>
      <c r="T87" s="2952">
        <f t="shared" si="20"/>
        <v>7750</v>
      </c>
      <c r="U87" s="2952">
        <f t="shared" si="21"/>
        <v>7750</v>
      </c>
      <c r="V87" s="2952">
        <f t="shared" si="22"/>
        <v>15500</v>
      </c>
      <c r="W87" s="2954">
        <f t="shared" si="23"/>
        <v>5267.5</v>
      </c>
      <c r="X87" s="2954">
        <f t="shared" si="24"/>
        <v>5267.5</v>
      </c>
      <c r="Y87" s="2954">
        <f t="shared" si="25"/>
        <v>10535</v>
      </c>
    </row>
    <row r="88" spans="5:25">
      <c r="E88" s="2177"/>
      <c r="H88" s="2948" t="s">
        <v>1394</v>
      </c>
      <c r="I88" s="2953">
        <v>31</v>
      </c>
      <c r="J88" s="2950" t="s">
        <v>120</v>
      </c>
      <c r="K88" s="2948" t="s">
        <v>909</v>
      </c>
      <c r="L88" s="2951">
        <v>21.07</v>
      </c>
      <c r="M88" s="2951">
        <v>21.07</v>
      </c>
      <c r="N88" s="2977">
        <v>7.4495043880943473E-4</v>
      </c>
      <c r="O88" s="2948">
        <v>3</v>
      </c>
      <c r="P88" s="2949" t="s">
        <v>1071</v>
      </c>
      <c r="Q88" s="2953">
        <v>50</v>
      </c>
      <c r="R88" s="2953">
        <v>50</v>
      </c>
      <c r="S88" s="2952">
        <f t="shared" si="19"/>
        <v>100</v>
      </c>
      <c r="T88" s="2952">
        <f t="shared" si="20"/>
        <v>1550</v>
      </c>
      <c r="U88" s="2952">
        <f t="shared" si="21"/>
        <v>1550</v>
      </c>
      <c r="V88" s="2952">
        <f t="shared" si="22"/>
        <v>3100</v>
      </c>
      <c r="W88" s="2954">
        <f t="shared" si="23"/>
        <v>1053.5</v>
      </c>
      <c r="X88" s="2954">
        <f t="shared" si="24"/>
        <v>1053.5</v>
      </c>
      <c r="Y88" s="2954">
        <f t="shared" si="25"/>
        <v>2107</v>
      </c>
    </row>
    <row r="89" spans="5:25">
      <c r="E89" s="2177"/>
      <c r="H89" s="2948" t="s">
        <v>1394</v>
      </c>
      <c r="I89" s="2953">
        <v>33</v>
      </c>
      <c r="J89" s="2950" t="s">
        <v>120</v>
      </c>
      <c r="K89" s="2948" t="s">
        <v>909</v>
      </c>
      <c r="L89" s="2951">
        <v>21.07</v>
      </c>
      <c r="M89" s="2951">
        <v>21.07</v>
      </c>
      <c r="N89" s="2977">
        <v>5.7940589685178258E-4</v>
      </c>
      <c r="O89" s="2948">
        <v>3</v>
      </c>
      <c r="P89" s="2949" t="s">
        <v>1071</v>
      </c>
      <c r="Q89" s="2953">
        <v>250</v>
      </c>
      <c r="R89" s="2953">
        <v>250</v>
      </c>
      <c r="S89" s="2952">
        <f t="shared" si="19"/>
        <v>500</v>
      </c>
      <c r="T89" s="2952">
        <f t="shared" si="20"/>
        <v>8250</v>
      </c>
      <c r="U89" s="2952">
        <f t="shared" si="21"/>
        <v>8250</v>
      </c>
      <c r="V89" s="2952">
        <f t="shared" si="22"/>
        <v>16500</v>
      </c>
      <c r="W89" s="2954">
        <f t="shared" si="23"/>
        <v>5267.5</v>
      </c>
      <c r="X89" s="2954">
        <f t="shared" si="24"/>
        <v>5267.5</v>
      </c>
      <c r="Y89" s="2954">
        <f t="shared" si="25"/>
        <v>10535</v>
      </c>
    </row>
    <row r="90" spans="5:25">
      <c r="E90" s="2177"/>
      <c r="H90" s="2948" t="s">
        <v>1394</v>
      </c>
      <c r="I90" s="2953">
        <v>41</v>
      </c>
      <c r="J90" s="2950" t="s">
        <v>120</v>
      </c>
      <c r="K90" s="2948" t="s">
        <v>909</v>
      </c>
      <c r="L90" s="2951">
        <v>21.07</v>
      </c>
      <c r="M90" s="2951">
        <v>21.07</v>
      </c>
      <c r="N90" s="2977">
        <v>8.4841577753296731E-4</v>
      </c>
      <c r="O90" s="2948">
        <v>3</v>
      </c>
      <c r="P90" s="2949" t="s">
        <v>1071</v>
      </c>
      <c r="Q90" s="2953">
        <v>50</v>
      </c>
      <c r="R90" s="2953">
        <v>50</v>
      </c>
      <c r="S90" s="2952">
        <f t="shared" si="19"/>
        <v>100</v>
      </c>
      <c r="T90" s="2952">
        <f t="shared" si="20"/>
        <v>2050</v>
      </c>
      <c r="U90" s="2952">
        <f t="shared" si="21"/>
        <v>2050</v>
      </c>
      <c r="V90" s="2952">
        <f t="shared" si="22"/>
        <v>4100</v>
      </c>
      <c r="W90" s="2954">
        <f t="shared" si="23"/>
        <v>1053.5</v>
      </c>
      <c r="X90" s="2954">
        <f t="shared" si="24"/>
        <v>1053.5</v>
      </c>
      <c r="Y90" s="2954">
        <f t="shared" si="25"/>
        <v>2107</v>
      </c>
    </row>
    <row r="91" spans="5:25">
      <c r="E91" s="2177"/>
      <c r="H91" s="2948" t="s">
        <v>1394</v>
      </c>
      <c r="I91" s="2953">
        <v>45</v>
      </c>
      <c r="J91" s="2950" t="s">
        <v>120</v>
      </c>
      <c r="K91" s="2948" t="s">
        <v>909</v>
      </c>
      <c r="L91" s="2951">
        <v>21.07</v>
      </c>
      <c r="M91" s="2951">
        <v>21.07</v>
      </c>
      <c r="N91" s="2977">
        <v>1.6037127502147554E-4</v>
      </c>
      <c r="O91" s="2948">
        <v>3</v>
      </c>
      <c r="P91" s="2949" t="s">
        <v>1071</v>
      </c>
      <c r="Q91" s="2953">
        <v>25</v>
      </c>
      <c r="R91" s="2953">
        <v>25</v>
      </c>
      <c r="S91" s="2952">
        <f t="shared" si="19"/>
        <v>50</v>
      </c>
      <c r="T91" s="2952">
        <f t="shared" si="20"/>
        <v>1125</v>
      </c>
      <c r="U91" s="2952">
        <f t="shared" si="21"/>
        <v>1125</v>
      </c>
      <c r="V91" s="2952">
        <f t="shared" si="22"/>
        <v>2250</v>
      </c>
      <c r="W91" s="2954">
        <f t="shared" si="23"/>
        <v>526.75</v>
      </c>
      <c r="X91" s="2954">
        <f t="shared" si="24"/>
        <v>526.75</v>
      </c>
      <c r="Y91" s="2954">
        <f t="shared" si="25"/>
        <v>1053.5</v>
      </c>
    </row>
    <row r="92" spans="5:25">
      <c r="E92" s="2177"/>
      <c r="H92" s="2948" t="s">
        <v>1394</v>
      </c>
      <c r="I92" s="2953">
        <v>49</v>
      </c>
      <c r="J92" s="2950" t="s">
        <v>120</v>
      </c>
      <c r="K92" s="2948" t="s">
        <v>909</v>
      </c>
      <c r="L92" s="2951">
        <v>21.07</v>
      </c>
      <c r="M92" s="2951">
        <v>21.07</v>
      </c>
      <c r="N92" s="2977">
        <v>1.551980080852989E-4</v>
      </c>
      <c r="O92" s="2948">
        <v>3</v>
      </c>
      <c r="P92" s="2949" t="s">
        <v>1071</v>
      </c>
      <c r="Q92" s="2953">
        <v>150</v>
      </c>
      <c r="R92" s="2953">
        <v>100</v>
      </c>
      <c r="S92" s="2952">
        <f t="shared" si="19"/>
        <v>250</v>
      </c>
      <c r="T92" s="2952">
        <f t="shared" si="20"/>
        <v>7350</v>
      </c>
      <c r="U92" s="2952">
        <f t="shared" si="21"/>
        <v>4900</v>
      </c>
      <c r="V92" s="2952">
        <f t="shared" si="22"/>
        <v>12250</v>
      </c>
      <c r="W92" s="2954">
        <f t="shared" si="23"/>
        <v>3160.5</v>
      </c>
      <c r="X92" s="2954">
        <f t="shared" si="24"/>
        <v>2107</v>
      </c>
      <c r="Y92" s="2954">
        <f t="shared" si="25"/>
        <v>5267.5</v>
      </c>
    </row>
    <row r="93" spans="5:25">
      <c r="E93" s="2177"/>
      <c r="H93" s="2948" t="s">
        <v>1394</v>
      </c>
      <c r="I93" s="2953">
        <v>60</v>
      </c>
      <c r="J93" s="2950" t="s">
        <v>120</v>
      </c>
      <c r="K93" s="2948" t="s">
        <v>909</v>
      </c>
      <c r="L93" s="2951">
        <v>21.07</v>
      </c>
      <c r="M93" s="2951">
        <v>21.07</v>
      </c>
      <c r="N93" s="2977">
        <v>5.0698015974530973E-4</v>
      </c>
      <c r="O93" s="2948">
        <v>3</v>
      </c>
      <c r="P93" s="2949" t="s">
        <v>1071</v>
      </c>
      <c r="Q93" s="2953">
        <v>25</v>
      </c>
      <c r="R93" s="2953">
        <v>25</v>
      </c>
      <c r="S93" s="2952">
        <f t="shared" si="19"/>
        <v>50</v>
      </c>
      <c r="T93" s="2952">
        <f t="shared" si="20"/>
        <v>1500</v>
      </c>
      <c r="U93" s="2952">
        <f t="shared" si="21"/>
        <v>1500</v>
      </c>
      <c r="V93" s="2952">
        <f t="shared" si="22"/>
        <v>3000</v>
      </c>
      <c r="W93" s="2954">
        <f t="shared" si="23"/>
        <v>526.75</v>
      </c>
      <c r="X93" s="2954">
        <f t="shared" si="24"/>
        <v>526.75</v>
      </c>
      <c r="Y93" s="2954">
        <f t="shared" si="25"/>
        <v>1053.5</v>
      </c>
    </row>
    <row r="94" spans="5:25">
      <c r="E94" s="2177"/>
      <c r="H94" s="2948" t="s">
        <v>1394</v>
      </c>
      <c r="I94" s="2953">
        <v>112</v>
      </c>
      <c r="J94" s="2950" t="s">
        <v>120</v>
      </c>
      <c r="K94" s="2948" t="s">
        <v>909</v>
      </c>
      <c r="L94" s="2951">
        <v>21.07</v>
      </c>
      <c r="M94" s="2951">
        <v>21.07</v>
      </c>
      <c r="N94" s="2977">
        <v>1.1639850606397417E-4</v>
      </c>
      <c r="O94" s="2948">
        <v>3</v>
      </c>
      <c r="P94" s="2949" t="s">
        <v>1071</v>
      </c>
      <c r="Q94" s="2953">
        <v>150</v>
      </c>
      <c r="R94" s="2953">
        <v>150</v>
      </c>
      <c r="S94" s="2952">
        <f t="shared" si="19"/>
        <v>300</v>
      </c>
      <c r="T94" s="2952">
        <f t="shared" si="20"/>
        <v>16800</v>
      </c>
      <c r="U94" s="2952">
        <f t="shared" si="21"/>
        <v>16800</v>
      </c>
      <c r="V94" s="2952">
        <f t="shared" si="22"/>
        <v>33600</v>
      </c>
      <c r="W94" s="2954">
        <f t="shared" si="23"/>
        <v>3160.5</v>
      </c>
      <c r="X94" s="2954">
        <f t="shared" si="24"/>
        <v>3160.5</v>
      </c>
      <c r="Y94" s="2954">
        <f t="shared" si="25"/>
        <v>6321</v>
      </c>
    </row>
    <row r="95" spans="5:25">
      <c r="E95" s="2177"/>
      <c r="H95" s="2948" t="s">
        <v>1395</v>
      </c>
      <c r="I95" s="2953">
        <v>58</v>
      </c>
      <c r="J95" s="2950" t="s">
        <v>120</v>
      </c>
      <c r="K95" s="2948" t="s">
        <v>909</v>
      </c>
      <c r="L95" s="2951">
        <v>32.409999999999997</v>
      </c>
      <c r="M95" s="2951">
        <v>32.409999999999997</v>
      </c>
      <c r="N95" s="2977">
        <v>3.2074255004295107E-4</v>
      </c>
      <c r="O95" s="2948">
        <v>3</v>
      </c>
      <c r="P95" s="2949" t="s">
        <v>1071</v>
      </c>
      <c r="Q95" s="2953">
        <v>100</v>
      </c>
      <c r="R95" s="2953">
        <v>100</v>
      </c>
      <c r="S95" s="2952">
        <f t="shared" si="19"/>
        <v>200</v>
      </c>
      <c r="T95" s="2952">
        <f t="shared" si="20"/>
        <v>5800</v>
      </c>
      <c r="U95" s="2952">
        <f t="shared" si="21"/>
        <v>5800</v>
      </c>
      <c r="V95" s="2952">
        <f t="shared" si="22"/>
        <v>11600</v>
      </c>
      <c r="W95" s="2954">
        <f t="shared" si="23"/>
        <v>3240.9999999999995</v>
      </c>
      <c r="X95" s="2954">
        <f t="shared" si="24"/>
        <v>3240.9999999999995</v>
      </c>
      <c r="Y95" s="2954">
        <f t="shared" si="25"/>
        <v>6481.9999999999991</v>
      </c>
    </row>
    <row r="96" spans="5:25">
      <c r="E96" s="2177"/>
      <c r="H96" s="2948" t="s">
        <v>1395</v>
      </c>
      <c r="I96" s="2953">
        <v>59</v>
      </c>
      <c r="J96" s="2950" t="s">
        <v>120</v>
      </c>
      <c r="K96" s="2948" t="s">
        <v>909</v>
      </c>
      <c r="L96" s="2951">
        <v>32.409999999999997</v>
      </c>
      <c r="M96" s="2951">
        <v>32.409999999999997</v>
      </c>
      <c r="N96" s="2977">
        <v>3.4143561778765758E-4</v>
      </c>
      <c r="O96" s="2948">
        <v>3</v>
      </c>
      <c r="P96" s="2949" t="s">
        <v>1071</v>
      </c>
      <c r="Q96" s="2953">
        <v>50</v>
      </c>
      <c r="R96" s="2953">
        <v>50</v>
      </c>
      <c r="S96" s="2952">
        <f t="shared" si="19"/>
        <v>100</v>
      </c>
      <c r="T96" s="2952">
        <f t="shared" si="20"/>
        <v>2950</v>
      </c>
      <c r="U96" s="2952">
        <f t="shared" si="21"/>
        <v>2950</v>
      </c>
      <c r="V96" s="2952">
        <f t="shared" si="22"/>
        <v>5900</v>
      </c>
      <c r="W96" s="2954">
        <f t="shared" si="23"/>
        <v>1620.4999999999998</v>
      </c>
      <c r="X96" s="2954">
        <f t="shared" si="24"/>
        <v>1620.4999999999998</v>
      </c>
      <c r="Y96" s="2954">
        <f t="shared" si="25"/>
        <v>3240.9999999999995</v>
      </c>
    </row>
    <row r="97" spans="5:25">
      <c r="E97" s="2177"/>
      <c r="H97" s="2948" t="s">
        <v>1395</v>
      </c>
      <c r="I97" s="2953">
        <v>61</v>
      </c>
      <c r="J97" s="2950" t="s">
        <v>120</v>
      </c>
      <c r="K97" s="2948" t="s">
        <v>909</v>
      </c>
      <c r="L97" s="2951">
        <v>32.409999999999997</v>
      </c>
      <c r="M97" s="2951">
        <v>32.409999999999997</v>
      </c>
      <c r="N97" s="2977">
        <v>1.0863860565970922E-3</v>
      </c>
      <c r="O97" s="2948">
        <v>3</v>
      </c>
      <c r="P97" s="2949" t="s">
        <v>1071</v>
      </c>
      <c r="Q97" s="2953">
        <v>125</v>
      </c>
      <c r="R97" s="2953">
        <v>125</v>
      </c>
      <c r="S97" s="2952">
        <f t="shared" si="19"/>
        <v>250</v>
      </c>
      <c r="T97" s="2952">
        <f t="shared" si="20"/>
        <v>7625</v>
      </c>
      <c r="U97" s="2952">
        <f t="shared" si="21"/>
        <v>7625</v>
      </c>
      <c r="V97" s="2952">
        <f t="shared" si="22"/>
        <v>15250</v>
      </c>
      <c r="W97" s="2954">
        <f t="shared" si="23"/>
        <v>4051.2499999999995</v>
      </c>
      <c r="X97" s="2954">
        <f t="shared" si="24"/>
        <v>4051.2499999999995</v>
      </c>
      <c r="Y97" s="2954">
        <f t="shared" si="25"/>
        <v>8102.4999999999991</v>
      </c>
    </row>
    <row r="98" spans="5:25">
      <c r="E98" s="2177"/>
      <c r="H98" s="2948" t="s">
        <v>1395</v>
      </c>
      <c r="I98" s="2953">
        <v>77</v>
      </c>
      <c r="J98" s="2950" t="s">
        <v>120</v>
      </c>
      <c r="K98" s="2948" t="s">
        <v>909</v>
      </c>
      <c r="L98" s="2951">
        <v>32.409999999999997</v>
      </c>
      <c r="M98" s="2951">
        <v>32.409999999999997</v>
      </c>
      <c r="N98" s="2977">
        <v>9.9585388521400116E-4</v>
      </c>
      <c r="O98" s="2948">
        <v>3</v>
      </c>
      <c r="P98" s="2949" t="s">
        <v>1071</v>
      </c>
      <c r="Q98" s="2953">
        <v>750</v>
      </c>
      <c r="R98" s="2953">
        <v>750</v>
      </c>
      <c r="S98" s="2952">
        <f t="shared" si="19"/>
        <v>1500</v>
      </c>
      <c r="T98" s="2952">
        <f t="shared" si="20"/>
        <v>57750</v>
      </c>
      <c r="U98" s="2952">
        <f t="shared" si="21"/>
        <v>57750</v>
      </c>
      <c r="V98" s="2952">
        <f t="shared" si="22"/>
        <v>115500</v>
      </c>
      <c r="W98" s="2954">
        <f t="shared" si="23"/>
        <v>24307.499999999996</v>
      </c>
      <c r="X98" s="2954">
        <f t="shared" si="24"/>
        <v>24307.499999999996</v>
      </c>
      <c r="Y98" s="2954">
        <f t="shared" si="25"/>
        <v>48614.999999999993</v>
      </c>
    </row>
    <row r="99" spans="5:25">
      <c r="E99" s="2177"/>
      <c r="H99" s="2948" t="s">
        <v>1395</v>
      </c>
      <c r="I99" s="2953">
        <v>84</v>
      </c>
      <c r="J99" s="2950" t="s">
        <v>120</v>
      </c>
      <c r="K99" s="2948" t="s">
        <v>909</v>
      </c>
      <c r="L99" s="2951">
        <v>32.409999999999997</v>
      </c>
      <c r="M99" s="2951">
        <v>32.409999999999997</v>
      </c>
      <c r="N99" s="2977">
        <v>4.5007422344736682E-3</v>
      </c>
      <c r="O99" s="2948">
        <v>3</v>
      </c>
      <c r="P99" s="2949" t="s">
        <v>1071</v>
      </c>
      <c r="Q99" s="2953">
        <v>50</v>
      </c>
      <c r="R99" s="2953">
        <v>50</v>
      </c>
      <c r="S99" s="2952">
        <f t="shared" si="19"/>
        <v>100</v>
      </c>
      <c r="T99" s="2952">
        <f t="shared" si="20"/>
        <v>4200</v>
      </c>
      <c r="U99" s="2952">
        <f t="shared" si="21"/>
        <v>4200</v>
      </c>
      <c r="V99" s="2952">
        <f t="shared" si="22"/>
        <v>8400</v>
      </c>
      <c r="W99" s="2954">
        <f t="shared" si="23"/>
        <v>1620.4999999999998</v>
      </c>
      <c r="X99" s="2954">
        <f t="shared" si="24"/>
        <v>1620.4999999999998</v>
      </c>
      <c r="Y99" s="2954">
        <f t="shared" si="25"/>
        <v>3240.9999999999995</v>
      </c>
    </row>
    <row r="100" spans="5:25">
      <c r="E100" s="2177"/>
      <c r="H100" s="2948" t="s">
        <v>1395</v>
      </c>
      <c r="I100" s="2953">
        <v>92</v>
      </c>
      <c r="J100" s="2950" t="s">
        <v>120</v>
      </c>
      <c r="K100" s="2948" t="s">
        <v>909</v>
      </c>
      <c r="L100" s="2951">
        <v>32.409999999999997</v>
      </c>
      <c r="M100" s="2951">
        <v>32.409999999999997</v>
      </c>
      <c r="N100" s="2977">
        <v>5.8457916378795922E-4</v>
      </c>
      <c r="O100" s="2948">
        <v>3</v>
      </c>
      <c r="P100" s="2949" t="s">
        <v>1071</v>
      </c>
      <c r="Q100" s="2953">
        <v>50</v>
      </c>
      <c r="R100" s="2953">
        <v>50</v>
      </c>
      <c r="S100" s="2952">
        <f t="shared" si="19"/>
        <v>100</v>
      </c>
      <c r="T100" s="2952">
        <f t="shared" si="20"/>
        <v>4600</v>
      </c>
      <c r="U100" s="2952">
        <f t="shared" si="21"/>
        <v>4600</v>
      </c>
      <c r="V100" s="2952">
        <f t="shared" si="22"/>
        <v>9200</v>
      </c>
      <c r="W100" s="2954">
        <f t="shared" si="23"/>
        <v>1620.4999999999998</v>
      </c>
      <c r="X100" s="2954">
        <f t="shared" si="24"/>
        <v>1620.4999999999998</v>
      </c>
      <c r="Y100" s="2954">
        <f t="shared" si="25"/>
        <v>3240.9999999999995</v>
      </c>
    </row>
    <row r="101" spans="5:25">
      <c r="E101" s="2177"/>
      <c r="H101" s="2948" t="s">
        <v>1395</v>
      </c>
      <c r="I101" s="2953">
        <v>113</v>
      </c>
      <c r="J101" s="2950" t="s">
        <v>120</v>
      </c>
      <c r="K101" s="2948" t="s">
        <v>909</v>
      </c>
      <c r="L101" s="2951">
        <v>32.409999999999997</v>
      </c>
      <c r="M101" s="2951">
        <v>32.409999999999997</v>
      </c>
      <c r="N101" s="2977">
        <v>4.7594055812824994E-4</v>
      </c>
      <c r="O101" s="2948">
        <v>3</v>
      </c>
      <c r="P101" s="2949" t="s">
        <v>1071</v>
      </c>
      <c r="Q101" s="2953">
        <v>25</v>
      </c>
      <c r="R101" s="2953">
        <v>25</v>
      </c>
      <c r="S101" s="2952">
        <f t="shared" si="19"/>
        <v>50</v>
      </c>
      <c r="T101" s="2952">
        <f t="shared" si="20"/>
        <v>2825</v>
      </c>
      <c r="U101" s="2952">
        <f t="shared" si="21"/>
        <v>2825</v>
      </c>
      <c r="V101" s="2952">
        <f t="shared" si="22"/>
        <v>5650</v>
      </c>
      <c r="W101" s="2954">
        <f t="shared" si="23"/>
        <v>810.24999999999989</v>
      </c>
      <c r="X101" s="2954">
        <f t="shared" si="24"/>
        <v>810.24999999999989</v>
      </c>
      <c r="Y101" s="2954">
        <f t="shared" si="25"/>
        <v>1620.4999999999998</v>
      </c>
    </row>
    <row r="102" spans="5:25">
      <c r="E102" s="2177"/>
      <c r="H102" s="2948" t="s">
        <v>1395</v>
      </c>
      <c r="I102" s="2953">
        <v>210</v>
      </c>
      <c r="J102" s="2950" t="s">
        <v>120</v>
      </c>
      <c r="K102" s="2948" t="s">
        <v>909</v>
      </c>
      <c r="L102" s="2951">
        <v>32.409999999999997</v>
      </c>
      <c r="M102" s="2951">
        <v>32.409999999999997</v>
      </c>
      <c r="N102" s="2977">
        <v>2.1727721131941844E-4</v>
      </c>
      <c r="O102" s="2948">
        <v>3</v>
      </c>
      <c r="P102" s="2949" t="s">
        <v>1071</v>
      </c>
      <c r="Q102" s="2953">
        <v>250</v>
      </c>
      <c r="R102" s="2953">
        <v>250</v>
      </c>
      <c r="S102" s="2952">
        <f t="shared" si="19"/>
        <v>500</v>
      </c>
      <c r="T102" s="2952">
        <f t="shared" si="20"/>
        <v>52500</v>
      </c>
      <c r="U102" s="2952">
        <f t="shared" si="21"/>
        <v>52500</v>
      </c>
      <c r="V102" s="2952">
        <f t="shared" si="22"/>
        <v>105000</v>
      </c>
      <c r="W102" s="2954">
        <f t="shared" si="23"/>
        <v>8102.4999999999991</v>
      </c>
      <c r="X102" s="2954">
        <f t="shared" si="24"/>
        <v>8102.4999999999991</v>
      </c>
      <c r="Y102" s="2954">
        <f t="shared" si="25"/>
        <v>16204.999999999998</v>
      </c>
    </row>
    <row r="103" spans="5:25">
      <c r="E103" s="2177"/>
      <c r="H103" s="2948" t="s">
        <v>1396</v>
      </c>
      <c r="I103" s="2953">
        <v>82</v>
      </c>
      <c r="J103" s="2950" t="s">
        <v>120</v>
      </c>
      <c r="K103" s="2948" t="s">
        <v>909</v>
      </c>
      <c r="L103" s="2951">
        <v>36.68</v>
      </c>
      <c r="M103" s="2951">
        <v>36.68</v>
      </c>
      <c r="N103" s="2977">
        <v>1.5261137461721058E-3</v>
      </c>
      <c r="O103" s="2948">
        <v>3</v>
      </c>
      <c r="P103" s="2949" t="s">
        <v>1071</v>
      </c>
      <c r="Q103" s="2953">
        <v>250</v>
      </c>
      <c r="R103" s="2953">
        <v>250</v>
      </c>
      <c r="S103" s="2952">
        <f t="shared" si="19"/>
        <v>500</v>
      </c>
      <c r="T103" s="2952">
        <f t="shared" si="20"/>
        <v>20500</v>
      </c>
      <c r="U103" s="2952">
        <f t="shared" si="21"/>
        <v>20500</v>
      </c>
      <c r="V103" s="2952">
        <f t="shared" si="22"/>
        <v>41000</v>
      </c>
      <c r="W103" s="2954">
        <f t="shared" si="23"/>
        <v>9170</v>
      </c>
      <c r="X103" s="2954">
        <f t="shared" si="24"/>
        <v>9170</v>
      </c>
      <c r="Y103" s="2954">
        <f t="shared" si="25"/>
        <v>18340</v>
      </c>
    </row>
    <row r="104" spans="5:25">
      <c r="E104" s="2177"/>
      <c r="H104" s="2948" t="s">
        <v>1396</v>
      </c>
      <c r="I104" s="2953">
        <v>84</v>
      </c>
      <c r="J104" s="2950" t="s">
        <v>120</v>
      </c>
      <c r="K104" s="2948" t="s">
        <v>909</v>
      </c>
      <c r="L104" s="2951">
        <v>36.68</v>
      </c>
      <c r="M104" s="2951">
        <v>36.68</v>
      </c>
      <c r="N104" s="2977">
        <v>1.577846415533872E-3</v>
      </c>
      <c r="O104" s="2948">
        <v>3</v>
      </c>
      <c r="P104" s="2949" t="s">
        <v>1071</v>
      </c>
      <c r="Q104" s="2953">
        <v>75</v>
      </c>
      <c r="R104" s="2953">
        <v>75</v>
      </c>
      <c r="S104" s="2952">
        <f t="shared" si="19"/>
        <v>150</v>
      </c>
      <c r="T104" s="2952">
        <f t="shared" si="20"/>
        <v>6300</v>
      </c>
      <c r="U104" s="2952">
        <f t="shared" si="21"/>
        <v>6300</v>
      </c>
      <c r="V104" s="2952">
        <f t="shared" si="22"/>
        <v>12600</v>
      </c>
      <c r="W104" s="2954">
        <f t="shared" si="23"/>
        <v>2751</v>
      </c>
      <c r="X104" s="2954">
        <f t="shared" si="24"/>
        <v>2751</v>
      </c>
      <c r="Y104" s="2954">
        <f t="shared" si="25"/>
        <v>5502</v>
      </c>
    </row>
    <row r="105" spans="5:25">
      <c r="E105" s="2177"/>
      <c r="H105" s="2948" t="s">
        <v>1396</v>
      </c>
      <c r="I105" s="2953">
        <v>87</v>
      </c>
      <c r="J105" s="2950" t="s">
        <v>120</v>
      </c>
      <c r="K105" s="2948" t="s">
        <v>909</v>
      </c>
      <c r="L105" s="2951">
        <v>36.68</v>
      </c>
      <c r="M105" s="2951">
        <v>36.68</v>
      </c>
      <c r="N105" s="2977">
        <v>1.5468068139168124E-3</v>
      </c>
      <c r="O105" s="2948">
        <v>3</v>
      </c>
      <c r="P105" s="2949" t="s">
        <v>1071</v>
      </c>
      <c r="Q105" s="2953">
        <v>50</v>
      </c>
      <c r="R105" s="2953">
        <v>50</v>
      </c>
      <c r="S105" s="2952">
        <f t="shared" si="19"/>
        <v>100</v>
      </c>
      <c r="T105" s="2952">
        <f t="shared" si="20"/>
        <v>4350</v>
      </c>
      <c r="U105" s="2952">
        <f t="shared" si="21"/>
        <v>4350</v>
      </c>
      <c r="V105" s="2952">
        <f t="shared" si="22"/>
        <v>8700</v>
      </c>
      <c r="W105" s="2954">
        <f t="shared" si="23"/>
        <v>1834</v>
      </c>
      <c r="X105" s="2954">
        <f t="shared" si="24"/>
        <v>1834</v>
      </c>
      <c r="Y105" s="2954">
        <f t="shared" si="25"/>
        <v>3668</v>
      </c>
    </row>
    <row r="106" spans="5:25">
      <c r="E106" s="2177"/>
      <c r="H106" s="2948" t="s">
        <v>1396</v>
      </c>
      <c r="I106" s="2953">
        <v>110</v>
      </c>
      <c r="J106" s="2950" t="s">
        <v>120</v>
      </c>
      <c r="K106" s="2948" t="s">
        <v>909</v>
      </c>
      <c r="L106" s="2951">
        <v>36.68</v>
      </c>
      <c r="M106" s="2951">
        <v>36.68</v>
      </c>
      <c r="N106" s="2977">
        <v>2.8452968148971465E-4</v>
      </c>
      <c r="O106" s="2948">
        <v>3</v>
      </c>
      <c r="P106" s="2949" t="s">
        <v>1071</v>
      </c>
      <c r="Q106" s="2953">
        <v>200</v>
      </c>
      <c r="R106" s="2953">
        <v>200</v>
      </c>
      <c r="S106" s="2952">
        <f t="shared" si="19"/>
        <v>400</v>
      </c>
      <c r="T106" s="2952">
        <f t="shared" si="20"/>
        <v>22000</v>
      </c>
      <c r="U106" s="2952">
        <f t="shared" si="21"/>
        <v>22000</v>
      </c>
      <c r="V106" s="2952">
        <f t="shared" si="22"/>
        <v>44000</v>
      </c>
      <c r="W106" s="2954">
        <f t="shared" si="23"/>
        <v>7336</v>
      </c>
      <c r="X106" s="2954">
        <f t="shared" si="24"/>
        <v>7336</v>
      </c>
      <c r="Y106" s="2954">
        <f t="shared" si="25"/>
        <v>14672</v>
      </c>
    </row>
    <row r="107" spans="5:25">
      <c r="E107" s="2177"/>
      <c r="H107" s="2948" t="s">
        <v>1396</v>
      </c>
      <c r="I107" s="2953">
        <v>120</v>
      </c>
      <c r="J107" s="2950" t="s">
        <v>120</v>
      </c>
      <c r="K107" s="2948" t="s">
        <v>909</v>
      </c>
      <c r="L107" s="2951">
        <v>36.68</v>
      </c>
      <c r="M107" s="2951">
        <v>36.68</v>
      </c>
      <c r="N107" s="2977">
        <v>1.6968315550659346E-3</v>
      </c>
      <c r="O107" s="2948">
        <v>3</v>
      </c>
      <c r="P107" s="2949" t="s">
        <v>1071</v>
      </c>
      <c r="Q107" s="2953">
        <v>75</v>
      </c>
      <c r="R107" s="2953">
        <v>75</v>
      </c>
      <c r="S107" s="2952">
        <f t="shared" si="19"/>
        <v>150</v>
      </c>
      <c r="T107" s="2952">
        <f t="shared" si="20"/>
        <v>9000</v>
      </c>
      <c r="U107" s="2952">
        <f t="shared" si="21"/>
        <v>9000</v>
      </c>
      <c r="V107" s="2952">
        <f t="shared" si="22"/>
        <v>18000</v>
      </c>
      <c r="W107" s="2954">
        <f t="shared" si="23"/>
        <v>2751</v>
      </c>
      <c r="X107" s="2954">
        <f t="shared" si="24"/>
        <v>2751</v>
      </c>
      <c r="Y107" s="2954">
        <f t="shared" si="25"/>
        <v>5502</v>
      </c>
    </row>
    <row r="108" spans="5:25">
      <c r="E108" s="2177"/>
      <c r="H108" s="2948" t="s">
        <v>1396</v>
      </c>
      <c r="I108" s="2953">
        <v>131</v>
      </c>
      <c r="J108" s="2950" t="s">
        <v>120</v>
      </c>
      <c r="K108" s="2948" t="s">
        <v>909</v>
      </c>
      <c r="L108" s="2951">
        <v>36.68</v>
      </c>
      <c r="M108" s="2951">
        <v>36.68</v>
      </c>
      <c r="N108" s="2977">
        <v>8.3289597672443739E-4</v>
      </c>
      <c r="O108" s="2948">
        <v>3</v>
      </c>
      <c r="P108" s="2949" t="s">
        <v>1071</v>
      </c>
      <c r="Q108" s="2953">
        <v>75</v>
      </c>
      <c r="R108" s="2953">
        <v>75</v>
      </c>
      <c r="S108" s="2952">
        <f t="shared" si="19"/>
        <v>150</v>
      </c>
      <c r="T108" s="2952">
        <f t="shared" si="20"/>
        <v>9825</v>
      </c>
      <c r="U108" s="2952">
        <f t="shared" si="21"/>
        <v>9825</v>
      </c>
      <c r="V108" s="2952">
        <f t="shared" si="22"/>
        <v>19650</v>
      </c>
      <c r="W108" s="2954">
        <f t="shared" si="23"/>
        <v>2751</v>
      </c>
      <c r="X108" s="2954">
        <f t="shared" si="24"/>
        <v>2751</v>
      </c>
      <c r="Y108" s="2954">
        <f t="shared" si="25"/>
        <v>5502</v>
      </c>
    </row>
    <row r="109" spans="5:25">
      <c r="E109" s="2177"/>
      <c r="H109" s="2948" t="s">
        <v>1396</v>
      </c>
      <c r="I109" s="2953">
        <v>161</v>
      </c>
      <c r="J109" s="2950" t="s">
        <v>120</v>
      </c>
      <c r="K109" s="2948" t="s">
        <v>909</v>
      </c>
      <c r="L109" s="2951">
        <v>36.68</v>
      </c>
      <c r="M109" s="2951">
        <v>36.68</v>
      </c>
      <c r="N109" s="2977">
        <v>6.7769796863913852E-4</v>
      </c>
      <c r="O109" s="2948">
        <v>3</v>
      </c>
      <c r="P109" s="2949" t="s">
        <v>1071</v>
      </c>
      <c r="Q109" s="2953">
        <v>250</v>
      </c>
      <c r="R109" s="2953">
        <v>250</v>
      </c>
      <c r="S109" s="2952">
        <f t="shared" si="19"/>
        <v>500</v>
      </c>
      <c r="T109" s="2952">
        <f t="shared" si="20"/>
        <v>40250</v>
      </c>
      <c r="U109" s="2952">
        <f t="shared" si="21"/>
        <v>40250</v>
      </c>
      <c r="V109" s="2952">
        <f t="shared" si="22"/>
        <v>80500</v>
      </c>
      <c r="W109" s="2954">
        <f t="shared" si="23"/>
        <v>9170</v>
      </c>
      <c r="X109" s="2954">
        <f t="shared" si="24"/>
        <v>9170</v>
      </c>
      <c r="Y109" s="2954">
        <f t="shared" si="25"/>
        <v>18340</v>
      </c>
    </row>
    <row r="110" spans="5:25">
      <c r="E110" s="2177"/>
      <c r="H110" s="2948" t="s">
        <v>1396</v>
      </c>
      <c r="I110" s="2953">
        <v>299</v>
      </c>
      <c r="J110" s="2950" t="s">
        <v>120</v>
      </c>
      <c r="K110" s="2948" t="s">
        <v>909</v>
      </c>
      <c r="L110" s="2951">
        <v>36.68</v>
      </c>
      <c r="M110" s="2951">
        <v>36.68</v>
      </c>
      <c r="N110" s="2977">
        <v>3.1039601617059779E-4</v>
      </c>
      <c r="O110" s="2948">
        <v>3</v>
      </c>
      <c r="P110" s="2949" t="s">
        <v>1071</v>
      </c>
      <c r="Q110" s="2953">
        <v>150</v>
      </c>
      <c r="R110" s="2953">
        <v>150</v>
      </c>
      <c r="S110" s="2952">
        <f t="shared" si="19"/>
        <v>300</v>
      </c>
      <c r="T110" s="2952">
        <f t="shared" si="20"/>
        <v>44850</v>
      </c>
      <c r="U110" s="2952">
        <f t="shared" si="21"/>
        <v>44850</v>
      </c>
      <c r="V110" s="2952">
        <f t="shared" si="22"/>
        <v>89700</v>
      </c>
      <c r="W110" s="2954">
        <f t="shared" si="23"/>
        <v>5502</v>
      </c>
      <c r="X110" s="2954">
        <f t="shared" si="24"/>
        <v>5502</v>
      </c>
      <c r="Y110" s="2954">
        <f t="shared" si="25"/>
        <v>11004</v>
      </c>
    </row>
    <row r="111" spans="5:25">
      <c r="E111" s="2177"/>
      <c r="H111" s="2948" t="s">
        <v>1397</v>
      </c>
      <c r="I111" s="2953">
        <v>70</v>
      </c>
      <c r="J111" s="2950" t="s">
        <v>120</v>
      </c>
      <c r="K111" s="2948" t="s">
        <v>909</v>
      </c>
      <c r="L111" s="2951">
        <v>50.64</v>
      </c>
      <c r="M111" s="2951">
        <v>50.64</v>
      </c>
      <c r="N111" s="2977">
        <v>8.6910884527767376E-4</v>
      </c>
      <c r="O111" s="2948">
        <v>3</v>
      </c>
      <c r="P111" s="2949" t="s">
        <v>1071</v>
      </c>
      <c r="Q111" s="2953">
        <v>100</v>
      </c>
      <c r="R111" s="2953">
        <v>100</v>
      </c>
      <c r="S111" s="2952">
        <f t="shared" si="19"/>
        <v>200</v>
      </c>
      <c r="T111" s="2952">
        <f t="shared" si="20"/>
        <v>7000</v>
      </c>
      <c r="U111" s="2952">
        <f t="shared" si="21"/>
        <v>7000</v>
      </c>
      <c r="V111" s="2952">
        <f t="shared" si="22"/>
        <v>14000</v>
      </c>
      <c r="W111" s="2954">
        <f t="shared" si="23"/>
        <v>5064</v>
      </c>
      <c r="X111" s="2954">
        <f t="shared" si="24"/>
        <v>5064</v>
      </c>
      <c r="Y111" s="2954">
        <f t="shared" si="25"/>
        <v>10128</v>
      </c>
    </row>
    <row r="112" spans="5:25">
      <c r="H112" s="2948" t="s">
        <v>1397</v>
      </c>
      <c r="I112" s="2953">
        <v>71</v>
      </c>
      <c r="J112" s="2950" t="s">
        <v>120</v>
      </c>
      <c r="K112" s="2948" t="s">
        <v>909</v>
      </c>
      <c r="L112" s="2951">
        <v>50.64</v>
      </c>
      <c r="M112" s="2951">
        <v>50.64</v>
      </c>
      <c r="N112" s="2977">
        <v>9.001484468947336E-4</v>
      </c>
      <c r="O112" s="2948">
        <v>3</v>
      </c>
      <c r="P112" s="2949" t="s">
        <v>1071</v>
      </c>
      <c r="Q112" s="2953">
        <v>50</v>
      </c>
      <c r="R112" s="2953">
        <v>50</v>
      </c>
      <c r="S112" s="2952">
        <f t="shared" ref="S112:S143" si="26">Q112+R112</f>
        <v>100</v>
      </c>
      <c r="T112" s="2952">
        <f t="shared" ref="T112:T143" si="27">I112*Q112</f>
        <v>3550</v>
      </c>
      <c r="U112" s="2952">
        <f t="shared" ref="U112:U143" si="28">I112*R112</f>
        <v>3550</v>
      </c>
      <c r="V112" s="2952">
        <f t="shared" ref="V112:V143" si="29">T112+U112</f>
        <v>7100</v>
      </c>
      <c r="W112" s="2954">
        <f t="shared" ref="W112:W143" si="30">M112*Q112</f>
        <v>2532</v>
      </c>
      <c r="X112" s="2954">
        <f t="shared" ref="X112:X143" si="31">M112*R112</f>
        <v>2532</v>
      </c>
      <c r="Y112" s="2954">
        <f t="shared" ref="Y112:Y143" si="32">W112+X112</f>
        <v>5064</v>
      </c>
    </row>
    <row r="113" spans="8:25">
      <c r="H113" s="2948" t="s">
        <v>1397</v>
      </c>
      <c r="I113" s="2953">
        <v>74</v>
      </c>
      <c r="J113" s="2950" t="s">
        <v>120</v>
      </c>
      <c r="K113" s="2948" t="s">
        <v>909</v>
      </c>
      <c r="L113" s="2951">
        <v>50.64</v>
      </c>
      <c r="M113" s="2951">
        <v>50.64</v>
      </c>
      <c r="N113" s="2977">
        <v>1.3191830687250407E-3</v>
      </c>
      <c r="O113" s="2948">
        <v>3</v>
      </c>
      <c r="P113" s="2949" t="s">
        <v>1071</v>
      </c>
      <c r="Q113" s="2953">
        <v>25</v>
      </c>
      <c r="R113" s="2953">
        <v>25</v>
      </c>
      <c r="S113" s="2952">
        <f t="shared" si="26"/>
        <v>50</v>
      </c>
      <c r="T113" s="2952">
        <f t="shared" si="27"/>
        <v>1850</v>
      </c>
      <c r="U113" s="2952">
        <f t="shared" si="28"/>
        <v>1850</v>
      </c>
      <c r="V113" s="2952">
        <f t="shared" si="29"/>
        <v>3700</v>
      </c>
      <c r="W113" s="2954">
        <f t="shared" si="30"/>
        <v>1266</v>
      </c>
      <c r="X113" s="2954">
        <f t="shared" si="31"/>
        <v>1266</v>
      </c>
      <c r="Y113" s="2954">
        <f t="shared" si="32"/>
        <v>2532</v>
      </c>
    </row>
    <row r="114" spans="8:25">
      <c r="H114" s="2948" t="s">
        <v>1397</v>
      </c>
      <c r="I114" s="2953">
        <v>93</v>
      </c>
      <c r="J114" s="2950" t="s">
        <v>120</v>
      </c>
      <c r="K114" s="2948" t="s">
        <v>909</v>
      </c>
      <c r="L114" s="2951">
        <v>50.64</v>
      </c>
      <c r="M114" s="2951">
        <v>50.64</v>
      </c>
      <c r="N114" s="2977">
        <v>2.4055691253221329E-4</v>
      </c>
      <c r="O114" s="2948">
        <v>3</v>
      </c>
      <c r="P114" s="2949" t="s">
        <v>1071</v>
      </c>
      <c r="Q114" s="2953">
        <v>750</v>
      </c>
      <c r="R114" s="2953">
        <v>750</v>
      </c>
      <c r="S114" s="2952">
        <f t="shared" si="26"/>
        <v>1500</v>
      </c>
      <c r="T114" s="2952">
        <f t="shared" si="27"/>
        <v>69750</v>
      </c>
      <c r="U114" s="2952">
        <f t="shared" si="28"/>
        <v>69750</v>
      </c>
      <c r="V114" s="2952">
        <f t="shared" si="29"/>
        <v>139500</v>
      </c>
      <c r="W114" s="2954">
        <f t="shared" si="30"/>
        <v>37980</v>
      </c>
      <c r="X114" s="2954">
        <f t="shared" si="31"/>
        <v>37980</v>
      </c>
      <c r="Y114" s="2954">
        <f t="shared" si="32"/>
        <v>75960</v>
      </c>
    </row>
    <row r="115" spans="8:25">
      <c r="H115" s="2948" t="s">
        <v>1397</v>
      </c>
      <c r="I115" s="2953">
        <v>103</v>
      </c>
      <c r="J115" s="2950" t="s">
        <v>120</v>
      </c>
      <c r="K115" s="2948" t="s">
        <v>909</v>
      </c>
      <c r="L115" s="2951">
        <v>50.64</v>
      </c>
      <c r="M115" s="2951">
        <v>50.64</v>
      </c>
      <c r="N115" s="2977">
        <v>5.4319302829854612E-3</v>
      </c>
      <c r="O115" s="2948">
        <v>3</v>
      </c>
      <c r="P115" s="2949" t="s">
        <v>1071</v>
      </c>
      <c r="Q115" s="2953">
        <v>10</v>
      </c>
      <c r="R115" s="2953">
        <v>10</v>
      </c>
      <c r="S115" s="2952">
        <f t="shared" si="26"/>
        <v>20</v>
      </c>
      <c r="T115" s="2952">
        <f t="shared" si="27"/>
        <v>1030</v>
      </c>
      <c r="U115" s="2952">
        <f t="shared" si="28"/>
        <v>1030</v>
      </c>
      <c r="V115" s="2952">
        <f t="shared" si="29"/>
        <v>2060</v>
      </c>
      <c r="W115" s="2954">
        <f t="shared" si="30"/>
        <v>506.4</v>
      </c>
      <c r="X115" s="2954">
        <f t="shared" si="31"/>
        <v>506.4</v>
      </c>
      <c r="Y115" s="2954">
        <f t="shared" si="32"/>
        <v>1012.8</v>
      </c>
    </row>
    <row r="116" spans="8:25">
      <c r="H116" s="2948" t="s">
        <v>1397</v>
      </c>
      <c r="I116" s="2953">
        <v>112</v>
      </c>
      <c r="J116" s="2950" t="s">
        <v>120</v>
      </c>
      <c r="K116" s="2948" t="s">
        <v>909</v>
      </c>
      <c r="L116" s="2951">
        <v>50.64</v>
      </c>
      <c r="M116" s="2951">
        <v>50.64</v>
      </c>
      <c r="N116" s="2977">
        <v>7.0873757025619827E-5</v>
      </c>
      <c r="O116" s="2948">
        <v>3</v>
      </c>
      <c r="P116" s="2949" t="s">
        <v>1071</v>
      </c>
      <c r="Q116" s="2953">
        <v>75</v>
      </c>
      <c r="R116" s="2953">
        <v>75</v>
      </c>
      <c r="S116" s="2952">
        <f t="shared" si="26"/>
        <v>150</v>
      </c>
      <c r="T116" s="2952">
        <f t="shared" si="27"/>
        <v>8400</v>
      </c>
      <c r="U116" s="2952">
        <f t="shared" si="28"/>
        <v>8400</v>
      </c>
      <c r="V116" s="2952">
        <f t="shared" si="29"/>
        <v>16800</v>
      </c>
      <c r="W116" s="2954">
        <f t="shared" si="30"/>
        <v>3798</v>
      </c>
      <c r="X116" s="2954">
        <f t="shared" si="31"/>
        <v>3798</v>
      </c>
      <c r="Y116" s="2954">
        <f t="shared" si="32"/>
        <v>7596</v>
      </c>
    </row>
    <row r="117" spans="8:25">
      <c r="H117" s="2948" t="s">
        <v>1397</v>
      </c>
      <c r="I117" s="2953">
        <v>137</v>
      </c>
      <c r="J117" s="2950" t="s">
        <v>120</v>
      </c>
      <c r="K117" s="2948" t="s">
        <v>909</v>
      </c>
      <c r="L117" s="2951">
        <v>50.64</v>
      </c>
      <c r="M117" s="2951">
        <v>50.64</v>
      </c>
      <c r="N117" s="2977">
        <v>5.7940589685178258E-4</v>
      </c>
      <c r="O117" s="2948">
        <v>3</v>
      </c>
      <c r="P117" s="2949" t="s">
        <v>1071</v>
      </c>
      <c r="Q117" s="2953">
        <v>25</v>
      </c>
      <c r="R117" s="2953">
        <v>25</v>
      </c>
      <c r="S117" s="2952">
        <f t="shared" si="26"/>
        <v>50</v>
      </c>
      <c r="T117" s="2952">
        <f t="shared" si="27"/>
        <v>3425</v>
      </c>
      <c r="U117" s="2952">
        <f t="shared" si="28"/>
        <v>3425</v>
      </c>
      <c r="V117" s="2952">
        <f t="shared" si="29"/>
        <v>6850</v>
      </c>
      <c r="W117" s="2954">
        <f t="shared" si="30"/>
        <v>1266</v>
      </c>
      <c r="X117" s="2954">
        <f t="shared" si="31"/>
        <v>1266</v>
      </c>
      <c r="Y117" s="2954">
        <f t="shared" si="32"/>
        <v>2532</v>
      </c>
    </row>
    <row r="118" spans="8:25">
      <c r="H118" s="2948" t="s">
        <v>1397</v>
      </c>
      <c r="I118" s="2953">
        <v>255</v>
      </c>
      <c r="J118" s="2950" t="s">
        <v>120</v>
      </c>
      <c r="K118" s="2948" t="s">
        <v>909</v>
      </c>
      <c r="L118" s="2951">
        <v>50.64</v>
      </c>
      <c r="M118" s="2951">
        <v>50.64</v>
      </c>
      <c r="N118" s="2977">
        <v>2.6642324721309641E-4</v>
      </c>
      <c r="O118" s="2948">
        <v>3</v>
      </c>
      <c r="P118" s="2949" t="s">
        <v>1071</v>
      </c>
      <c r="Q118" s="2953">
        <v>250</v>
      </c>
      <c r="R118" s="2953">
        <v>250</v>
      </c>
      <c r="S118" s="2952">
        <f t="shared" si="26"/>
        <v>500</v>
      </c>
      <c r="T118" s="2952">
        <f t="shared" si="27"/>
        <v>63750</v>
      </c>
      <c r="U118" s="2952">
        <f t="shared" si="28"/>
        <v>63750</v>
      </c>
      <c r="V118" s="2952">
        <f t="shared" si="29"/>
        <v>127500</v>
      </c>
      <c r="W118" s="2954">
        <f t="shared" si="30"/>
        <v>12660</v>
      </c>
      <c r="X118" s="2954">
        <f t="shared" si="31"/>
        <v>12660</v>
      </c>
      <c r="Y118" s="2954">
        <f t="shared" si="32"/>
        <v>25320</v>
      </c>
    </row>
    <row r="119" spans="8:25">
      <c r="H119" s="2948" t="s">
        <v>1398</v>
      </c>
      <c r="I119" s="2953">
        <v>95</v>
      </c>
      <c r="J119" s="2950" t="s">
        <v>120</v>
      </c>
      <c r="K119" s="2948" t="s">
        <v>909</v>
      </c>
      <c r="L119" s="2951">
        <v>52.35</v>
      </c>
      <c r="M119" s="2951">
        <v>52.35</v>
      </c>
      <c r="N119" s="2977">
        <v>1.8365097623427036E-3</v>
      </c>
      <c r="O119" s="2948">
        <v>3</v>
      </c>
      <c r="P119" s="2949" t="s">
        <v>1071</v>
      </c>
      <c r="Q119" s="2953">
        <v>50</v>
      </c>
      <c r="R119" s="2953">
        <v>50</v>
      </c>
      <c r="S119" s="2952">
        <f t="shared" si="26"/>
        <v>100</v>
      </c>
      <c r="T119" s="2952">
        <f t="shared" si="27"/>
        <v>4750</v>
      </c>
      <c r="U119" s="2952">
        <f t="shared" si="28"/>
        <v>4750</v>
      </c>
      <c r="V119" s="2952">
        <f t="shared" si="29"/>
        <v>9500</v>
      </c>
      <c r="W119" s="2954">
        <f t="shared" si="30"/>
        <v>2617.5</v>
      </c>
      <c r="X119" s="2954">
        <f t="shared" si="31"/>
        <v>2617.5</v>
      </c>
      <c r="Y119" s="2954">
        <f t="shared" si="32"/>
        <v>5235</v>
      </c>
    </row>
    <row r="120" spans="8:25">
      <c r="H120" s="2948" t="s">
        <v>1398</v>
      </c>
      <c r="I120" s="2953">
        <v>96</v>
      </c>
      <c r="J120" s="2950" t="s">
        <v>120</v>
      </c>
      <c r="K120" s="2948" t="s">
        <v>909</v>
      </c>
      <c r="L120" s="2951">
        <v>52.35</v>
      </c>
      <c r="M120" s="2951">
        <v>52.35</v>
      </c>
      <c r="N120" s="2977">
        <v>3.8282175327707059E-4</v>
      </c>
      <c r="O120" s="2948">
        <v>3</v>
      </c>
      <c r="P120" s="2949" t="s">
        <v>1071</v>
      </c>
      <c r="Q120" s="2953">
        <v>75</v>
      </c>
      <c r="R120" s="2953">
        <v>75</v>
      </c>
      <c r="S120" s="2952">
        <f t="shared" si="26"/>
        <v>150</v>
      </c>
      <c r="T120" s="2952">
        <f t="shared" si="27"/>
        <v>7200</v>
      </c>
      <c r="U120" s="2952">
        <f t="shared" si="28"/>
        <v>7200</v>
      </c>
      <c r="V120" s="2952">
        <f t="shared" si="29"/>
        <v>14400</v>
      </c>
      <c r="W120" s="2954">
        <f t="shared" si="30"/>
        <v>3926.25</v>
      </c>
      <c r="X120" s="2954">
        <f t="shared" si="31"/>
        <v>3926.25</v>
      </c>
      <c r="Y120" s="2954">
        <f t="shared" si="32"/>
        <v>7852.5</v>
      </c>
    </row>
    <row r="121" spans="8:25">
      <c r="H121" s="2948" t="s">
        <v>1398</v>
      </c>
      <c r="I121" s="2953">
        <v>100</v>
      </c>
      <c r="J121" s="2950" t="s">
        <v>120</v>
      </c>
      <c r="K121" s="2948" t="s">
        <v>909</v>
      </c>
      <c r="L121" s="2951">
        <v>52.35</v>
      </c>
      <c r="M121" s="2951">
        <v>52.35</v>
      </c>
      <c r="N121" s="2977">
        <v>1.7796038260447606E-3</v>
      </c>
      <c r="O121" s="2948">
        <v>3</v>
      </c>
      <c r="P121" s="2949" t="s">
        <v>1071</v>
      </c>
      <c r="Q121" s="2953">
        <v>25</v>
      </c>
      <c r="R121" s="2953">
        <v>25</v>
      </c>
      <c r="S121" s="2952">
        <f t="shared" si="26"/>
        <v>50</v>
      </c>
      <c r="T121" s="2952">
        <f t="shared" si="27"/>
        <v>2500</v>
      </c>
      <c r="U121" s="2952">
        <f t="shared" si="28"/>
        <v>2500</v>
      </c>
      <c r="V121" s="2952">
        <f t="shared" si="29"/>
        <v>5000</v>
      </c>
      <c r="W121" s="2954">
        <f t="shared" si="30"/>
        <v>1308.75</v>
      </c>
      <c r="X121" s="2954">
        <f t="shared" si="31"/>
        <v>1308.75</v>
      </c>
      <c r="Y121" s="2954">
        <f t="shared" si="32"/>
        <v>2617.5</v>
      </c>
    </row>
    <row r="122" spans="8:25">
      <c r="H122" s="2948" t="s">
        <v>1398</v>
      </c>
      <c r="I122" s="2953">
        <v>126</v>
      </c>
      <c r="J122" s="2950" t="s">
        <v>120</v>
      </c>
      <c r="K122" s="2948" t="s">
        <v>909</v>
      </c>
      <c r="L122" s="2951">
        <v>52.35</v>
      </c>
      <c r="M122" s="2951">
        <v>52.35</v>
      </c>
      <c r="N122" s="2977">
        <v>3.2591581697912766E-4</v>
      </c>
      <c r="O122" s="2948">
        <v>3</v>
      </c>
      <c r="P122" s="2949" t="s">
        <v>1071</v>
      </c>
      <c r="Q122" s="2953">
        <v>100</v>
      </c>
      <c r="R122" s="2953">
        <v>100</v>
      </c>
      <c r="S122" s="2952">
        <f t="shared" si="26"/>
        <v>200</v>
      </c>
      <c r="T122" s="2952">
        <f t="shared" si="27"/>
        <v>12600</v>
      </c>
      <c r="U122" s="2952">
        <f t="shared" si="28"/>
        <v>12600</v>
      </c>
      <c r="V122" s="2952">
        <f t="shared" si="29"/>
        <v>25200</v>
      </c>
      <c r="W122" s="2954">
        <f t="shared" si="30"/>
        <v>5235</v>
      </c>
      <c r="X122" s="2954">
        <f t="shared" si="31"/>
        <v>5235</v>
      </c>
      <c r="Y122" s="2954">
        <f t="shared" si="32"/>
        <v>10470</v>
      </c>
    </row>
    <row r="123" spans="8:25">
      <c r="H123" s="2948" t="s">
        <v>1398</v>
      </c>
      <c r="I123" s="2953">
        <v>139</v>
      </c>
      <c r="J123" s="2950" t="s">
        <v>120</v>
      </c>
      <c r="K123" s="2948" t="s">
        <v>909</v>
      </c>
      <c r="L123" s="2951">
        <v>52.35</v>
      </c>
      <c r="M123" s="2951">
        <v>52.35</v>
      </c>
      <c r="N123" s="2977">
        <v>9.8292071787355962E-4</v>
      </c>
      <c r="O123" s="2948">
        <v>3</v>
      </c>
      <c r="P123" s="2949" t="s">
        <v>1071</v>
      </c>
      <c r="Q123" s="2953">
        <v>10</v>
      </c>
      <c r="R123" s="2953">
        <v>10</v>
      </c>
      <c r="S123" s="2952">
        <f t="shared" si="26"/>
        <v>20</v>
      </c>
      <c r="T123" s="2952">
        <f t="shared" si="27"/>
        <v>1390</v>
      </c>
      <c r="U123" s="2952">
        <f t="shared" si="28"/>
        <v>1390</v>
      </c>
      <c r="V123" s="2952">
        <f t="shared" si="29"/>
        <v>2780</v>
      </c>
      <c r="W123" s="2954">
        <f t="shared" si="30"/>
        <v>523.5</v>
      </c>
      <c r="X123" s="2954">
        <f t="shared" si="31"/>
        <v>523.5</v>
      </c>
      <c r="Y123" s="2954">
        <f t="shared" si="32"/>
        <v>1047</v>
      </c>
    </row>
    <row r="124" spans="8:25">
      <c r="H124" s="2948" t="s">
        <v>1398</v>
      </c>
      <c r="I124" s="2953">
        <v>151</v>
      </c>
      <c r="J124" s="2950" t="s">
        <v>120</v>
      </c>
      <c r="K124" s="2948" t="s">
        <v>909</v>
      </c>
      <c r="L124" s="2951">
        <v>52.35</v>
      </c>
      <c r="M124" s="2951">
        <v>52.35</v>
      </c>
      <c r="N124" s="2977">
        <v>1.9141087663853529E-4</v>
      </c>
      <c r="O124" s="2948">
        <v>3</v>
      </c>
      <c r="P124" s="2949" t="s">
        <v>1071</v>
      </c>
      <c r="Q124" s="2953">
        <v>5</v>
      </c>
      <c r="R124" s="2953">
        <v>5</v>
      </c>
      <c r="S124" s="2952">
        <f t="shared" si="26"/>
        <v>10</v>
      </c>
      <c r="T124" s="2952">
        <f t="shared" si="27"/>
        <v>755</v>
      </c>
      <c r="U124" s="2952">
        <f t="shared" si="28"/>
        <v>755</v>
      </c>
      <c r="V124" s="2952">
        <f t="shared" si="29"/>
        <v>1510</v>
      </c>
      <c r="W124" s="2954">
        <f t="shared" si="30"/>
        <v>261.75</v>
      </c>
      <c r="X124" s="2954">
        <f t="shared" si="31"/>
        <v>261.75</v>
      </c>
      <c r="Y124" s="2954">
        <f t="shared" si="32"/>
        <v>523.5</v>
      </c>
    </row>
    <row r="125" spans="8:25">
      <c r="H125" s="2948" t="s">
        <v>1398</v>
      </c>
      <c r="I125" s="2953">
        <v>185</v>
      </c>
      <c r="J125" s="2950" t="s">
        <v>120</v>
      </c>
      <c r="K125" s="2948" t="s">
        <v>909</v>
      </c>
      <c r="L125" s="2951">
        <v>52.35</v>
      </c>
      <c r="M125" s="2951">
        <v>52.35</v>
      </c>
      <c r="N125" s="2977">
        <v>7.8116330736267104E-5</v>
      </c>
      <c r="O125" s="2948">
        <v>3</v>
      </c>
      <c r="P125" s="2949" t="s">
        <v>1071</v>
      </c>
      <c r="Q125" s="2953">
        <v>2.5</v>
      </c>
      <c r="R125" s="2953">
        <v>2.5</v>
      </c>
      <c r="S125" s="2952">
        <f t="shared" si="26"/>
        <v>5</v>
      </c>
      <c r="T125" s="2952">
        <f t="shared" si="27"/>
        <v>462.5</v>
      </c>
      <c r="U125" s="2952">
        <f t="shared" si="28"/>
        <v>462.5</v>
      </c>
      <c r="V125" s="2952">
        <f t="shared" si="29"/>
        <v>925</v>
      </c>
      <c r="W125" s="2954">
        <f t="shared" si="30"/>
        <v>130.875</v>
      </c>
      <c r="X125" s="2954">
        <f t="shared" si="31"/>
        <v>130.875</v>
      </c>
      <c r="Y125" s="2954">
        <f t="shared" si="32"/>
        <v>261.75</v>
      </c>
    </row>
    <row r="126" spans="8:25">
      <c r="H126" s="2948" t="s">
        <v>1398</v>
      </c>
      <c r="I126" s="2953">
        <v>344</v>
      </c>
      <c r="J126" s="2950" t="s">
        <v>120</v>
      </c>
      <c r="K126" s="2948" t="s">
        <v>909</v>
      </c>
      <c r="L126" s="2951">
        <v>52.35</v>
      </c>
      <c r="M126" s="2951">
        <v>52.35</v>
      </c>
      <c r="N126" s="2977">
        <v>3.5954205206427576E-5</v>
      </c>
      <c r="O126" s="2948">
        <v>3</v>
      </c>
      <c r="P126" s="2949" t="s">
        <v>1071</v>
      </c>
      <c r="Q126" s="2953">
        <v>275</v>
      </c>
      <c r="R126" s="2953">
        <v>286</v>
      </c>
      <c r="S126" s="2952">
        <f t="shared" si="26"/>
        <v>561</v>
      </c>
      <c r="T126" s="2952">
        <f t="shared" si="27"/>
        <v>94600</v>
      </c>
      <c r="U126" s="2952">
        <f t="shared" si="28"/>
        <v>98384</v>
      </c>
      <c r="V126" s="2952">
        <f t="shared" si="29"/>
        <v>192984</v>
      </c>
      <c r="W126" s="2954">
        <f t="shared" si="30"/>
        <v>14396.25</v>
      </c>
      <c r="X126" s="2954">
        <f t="shared" si="31"/>
        <v>14972.1</v>
      </c>
      <c r="Y126" s="2954">
        <f t="shared" si="32"/>
        <v>29368.35</v>
      </c>
    </row>
    <row r="127" spans="8:25">
      <c r="H127" s="2948" t="s">
        <v>1399</v>
      </c>
      <c r="I127" s="2953">
        <v>159</v>
      </c>
      <c r="J127" s="2950" t="s">
        <v>120</v>
      </c>
      <c r="K127" s="2948" t="s">
        <v>909</v>
      </c>
      <c r="L127" s="2951">
        <v>27.69</v>
      </c>
      <c r="M127" s="2951">
        <v>27.69</v>
      </c>
      <c r="N127" s="2977">
        <v>2.4831681293647823E-3</v>
      </c>
      <c r="O127" s="2948">
        <v>3</v>
      </c>
      <c r="P127" s="2949" t="s">
        <v>1071</v>
      </c>
      <c r="Q127" s="2953">
        <v>51</v>
      </c>
      <c r="R127" s="2953">
        <v>49</v>
      </c>
      <c r="S127" s="2952">
        <f t="shared" si="26"/>
        <v>100</v>
      </c>
      <c r="T127" s="2952">
        <f t="shared" si="27"/>
        <v>8109</v>
      </c>
      <c r="U127" s="2952">
        <f t="shared" si="28"/>
        <v>7791</v>
      </c>
      <c r="V127" s="2952">
        <f t="shared" si="29"/>
        <v>15900</v>
      </c>
      <c r="W127" s="2954">
        <f t="shared" si="30"/>
        <v>1412.19</v>
      </c>
      <c r="X127" s="2954">
        <f t="shared" si="31"/>
        <v>1356.8100000000002</v>
      </c>
      <c r="Y127" s="2954">
        <f t="shared" si="32"/>
        <v>2769</v>
      </c>
    </row>
    <row r="128" spans="8:25">
      <c r="H128" s="2948" t="s">
        <v>1399</v>
      </c>
      <c r="I128" s="2953">
        <v>58</v>
      </c>
      <c r="J128" s="2950" t="s">
        <v>120</v>
      </c>
      <c r="K128" s="2948" t="s">
        <v>909</v>
      </c>
      <c r="L128" s="2951">
        <v>27.69</v>
      </c>
      <c r="M128" s="2951">
        <v>27.69</v>
      </c>
      <c r="N128" s="2977">
        <v>5.1732669361766301E-4</v>
      </c>
      <c r="O128" s="2948">
        <v>3</v>
      </c>
      <c r="P128" s="2949" t="s">
        <v>1071</v>
      </c>
      <c r="Q128" s="2953">
        <v>100</v>
      </c>
      <c r="R128" s="2953">
        <v>100</v>
      </c>
      <c r="S128" s="2952">
        <f t="shared" si="26"/>
        <v>200</v>
      </c>
      <c r="T128" s="2952">
        <f t="shared" si="27"/>
        <v>5800</v>
      </c>
      <c r="U128" s="2952">
        <f t="shared" si="28"/>
        <v>5800</v>
      </c>
      <c r="V128" s="2952">
        <f t="shared" si="29"/>
        <v>11600</v>
      </c>
      <c r="W128" s="2954">
        <f t="shared" si="30"/>
        <v>2769</v>
      </c>
      <c r="X128" s="2954">
        <f t="shared" si="31"/>
        <v>2769</v>
      </c>
      <c r="Y128" s="2954">
        <f t="shared" si="32"/>
        <v>5538</v>
      </c>
    </row>
    <row r="129" spans="8:25">
      <c r="H129" s="2948" t="s">
        <v>1399</v>
      </c>
      <c r="I129" s="2953">
        <v>44</v>
      </c>
      <c r="J129" s="2950" t="s">
        <v>120</v>
      </c>
      <c r="K129" s="2948" t="s">
        <v>909</v>
      </c>
      <c r="L129" s="2951">
        <v>27.69</v>
      </c>
      <c r="M129" s="2951">
        <v>27.69</v>
      </c>
      <c r="N129" s="2977">
        <v>8.2254944285208411E-4</v>
      </c>
      <c r="O129" s="2948">
        <v>3</v>
      </c>
      <c r="P129" s="2949" t="s">
        <v>1071</v>
      </c>
      <c r="Q129" s="2953">
        <v>20</v>
      </c>
      <c r="R129" s="2953">
        <v>20</v>
      </c>
      <c r="S129" s="2952">
        <f t="shared" si="26"/>
        <v>40</v>
      </c>
      <c r="T129" s="2952">
        <f t="shared" si="27"/>
        <v>880</v>
      </c>
      <c r="U129" s="2952">
        <f t="shared" si="28"/>
        <v>880</v>
      </c>
      <c r="V129" s="2952">
        <f t="shared" si="29"/>
        <v>1760</v>
      </c>
      <c r="W129" s="2954">
        <f t="shared" si="30"/>
        <v>553.80000000000007</v>
      </c>
      <c r="X129" s="2954">
        <f t="shared" si="31"/>
        <v>553.80000000000007</v>
      </c>
      <c r="Y129" s="2954">
        <f t="shared" si="32"/>
        <v>1107.6000000000001</v>
      </c>
    </row>
    <row r="130" spans="8:25">
      <c r="H130" s="2948" t="s">
        <v>1399</v>
      </c>
      <c r="I130" s="2953">
        <v>86</v>
      </c>
      <c r="J130" s="2950" t="s">
        <v>120</v>
      </c>
      <c r="K130" s="2948" t="s">
        <v>909</v>
      </c>
      <c r="L130" s="2951">
        <v>27.69</v>
      </c>
      <c r="M130" s="2951">
        <v>27.69</v>
      </c>
      <c r="N130" s="2977">
        <v>3.0004948229824453E-5</v>
      </c>
      <c r="O130" s="2948">
        <v>3</v>
      </c>
      <c r="P130" s="2949" t="s">
        <v>1071</v>
      </c>
      <c r="Q130" s="2953">
        <v>150</v>
      </c>
      <c r="R130" s="2953">
        <v>150</v>
      </c>
      <c r="S130" s="2952">
        <f t="shared" si="26"/>
        <v>300</v>
      </c>
      <c r="T130" s="2952">
        <f t="shared" si="27"/>
        <v>12900</v>
      </c>
      <c r="U130" s="2952">
        <f t="shared" si="28"/>
        <v>12900</v>
      </c>
      <c r="V130" s="2952">
        <f t="shared" si="29"/>
        <v>25800</v>
      </c>
      <c r="W130" s="2954">
        <f t="shared" si="30"/>
        <v>4153.5</v>
      </c>
      <c r="X130" s="2954">
        <f t="shared" si="31"/>
        <v>4153.5</v>
      </c>
      <c r="Y130" s="2954">
        <f t="shared" si="32"/>
        <v>8307</v>
      </c>
    </row>
    <row r="131" spans="8:25">
      <c r="H131" s="2948" t="s">
        <v>1399</v>
      </c>
      <c r="I131" s="2953">
        <v>70</v>
      </c>
      <c r="J131" s="2950" t="s">
        <v>120</v>
      </c>
      <c r="K131" s="2948" t="s">
        <v>909</v>
      </c>
      <c r="L131" s="2951">
        <v>27.69</v>
      </c>
      <c r="M131" s="2951">
        <v>27.69</v>
      </c>
      <c r="N131" s="2977">
        <v>6.8287123557531516E-4</v>
      </c>
      <c r="O131" s="2948">
        <v>3</v>
      </c>
      <c r="P131" s="2949" t="s">
        <v>1071</v>
      </c>
      <c r="Q131" s="2953">
        <v>75</v>
      </c>
      <c r="R131" s="2953">
        <v>75</v>
      </c>
      <c r="S131" s="2952">
        <f t="shared" si="26"/>
        <v>150</v>
      </c>
      <c r="T131" s="2952">
        <f t="shared" si="27"/>
        <v>5250</v>
      </c>
      <c r="U131" s="2952">
        <f t="shared" si="28"/>
        <v>5250</v>
      </c>
      <c r="V131" s="2952">
        <f t="shared" si="29"/>
        <v>10500</v>
      </c>
      <c r="W131" s="2954">
        <f t="shared" si="30"/>
        <v>2076.75</v>
      </c>
      <c r="X131" s="2954">
        <f t="shared" si="31"/>
        <v>2076.75</v>
      </c>
      <c r="Y131" s="2954">
        <f t="shared" si="32"/>
        <v>4153.5</v>
      </c>
    </row>
    <row r="132" spans="8:25">
      <c r="H132" s="2948" t="s">
        <v>1399</v>
      </c>
      <c r="I132" s="2953">
        <v>64</v>
      </c>
      <c r="J132" s="2950" t="s">
        <v>120</v>
      </c>
      <c r="K132" s="2948" t="s">
        <v>909</v>
      </c>
      <c r="L132" s="2951">
        <v>27.69</v>
      </c>
      <c r="M132" s="2951">
        <v>27.69</v>
      </c>
      <c r="N132" s="2977">
        <v>4.4490095651119016E-4</v>
      </c>
      <c r="O132" s="2948">
        <v>3</v>
      </c>
      <c r="P132" s="2949" t="s">
        <v>1071</v>
      </c>
      <c r="Q132" s="2953">
        <v>75</v>
      </c>
      <c r="R132" s="2953">
        <v>75</v>
      </c>
      <c r="S132" s="2952">
        <f t="shared" si="26"/>
        <v>150</v>
      </c>
      <c r="T132" s="2952">
        <f t="shared" si="27"/>
        <v>4800</v>
      </c>
      <c r="U132" s="2952">
        <f t="shared" si="28"/>
        <v>4800</v>
      </c>
      <c r="V132" s="2952">
        <f t="shared" si="29"/>
        <v>9600</v>
      </c>
      <c r="W132" s="2954">
        <f t="shared" si="30"/>
        <v>2076.75</v>
      </c>
      <c r="X132" s="2954">
        <f t="shared" si="31"/>
        <v>2076.75</v>
      </c>
      <c r="Y132" s="2954">
        <f t="shared" si="32"/>
        <v>4153.5</v>
      </c>
    </row>
    <row r="133" spans="8:25">
      <c r="H133" s="2948" t="s">
        <v>1399</v>
      </c>
      <c r="I133" s="2953">
        <v>45</v>
      </c>
      <c r="J133" s="2950" t="s">
        <v>120</v>
      </c>
      <c r="K133" s="2948" t="s">
        <v>909</v>
      </c>
      <c r="L133" s="2951">
        <v>27.69</v>
      </c>
      <c r="M133" s="2951">
        <v>27.69</v>
      </c>
      <c r="N133" s="2977">
        <v>3.6212868553236408E-4</v>
      </c>
      <c r="O133" s="2948">
        <v>3</v>
      </c>
      <c r="P133" s="2949" t="s">
        <v>1071</v>
      </c>
      <c r="Q133" s="2953">
        <v>75</v>
      </c>
      <c r="R133" s="2953">
        <v>75</v>
      </c>
      <c r="S133" s="2952">
        <f t="shared" si="26"/>
        <v>150</v>
      </c>
      <c r="T133" s="2952">
        <f t="shared" si="27"/>
        <v>3375</v>
      </c>
      <c r="U133" s="2952">
        <f t="shared" si="28"/>
        <v>3375</v>
      </c>
      <c r="V133" s="2952">
        <f t="shared" si="29"/>
        <v>6750</v>
      </c>
      <c r="W133" s="2954">
        <f t="shared" si="30"/>
        <v>2076.75</v>
      </c>
      <c r="X133" s="2954">
        <f t="shared" si="31"/>
        <v>2076.75</v>
      </c>
      <c r="Y133" s="2954">
        <f t="shared" si="32"/>
        <v>4153.5</v>
      </c>
    </row>
    <row r="134" spans="8:25">
      <c r="H134" s="2948" t="s">
        <v>1399</v>
      </c>
      <c r="I134" s="2953">
        <v>46</v>
      </c>
      <c r="J134" s="2950" t="s">
        <v>120</v>
      </c>
      <c r="K134" s="2948" t="s">
        <v>909</v>
      </c>
      <c r="L134" s="2951">
        <v>27.69</v>
      </c>
      <c r="M134" s="2951">
        <v>27.69</v>
      </c>
      <c r="N134" s="2977">
        <v>3.310890839153043E-4</v>
      </c>
      <c r="O134" s="2948">
        <v>3</v>
      </c>
      <c r="P134" s="2949" t="s">
        <v>1071</v>
      </c>
      <c r="Q134" s="2953">
        <v>125</v>
      </c>
      <c r="R134" s="2953">
        <v>125</v>
      </c>
      <c r="S134" s="2952">
        <f t="shared" si="26"/>
        <v>250</v>
      </c>
      <c r="T134" s="2952">
        <f t="shared" si="27"/>
        <v>5750</v>
      </c>
      <c r="U134" s="2952">
        <f t="shared" si="28"/>
        <v>5750</v>
      </c>
      <c r="V134" s="2952">
        <f t="shared" si="29"/>
        <v>11500</v>
      </c>
      <c r="W134" s="2954">
        <f t="shared" si="30"/>
        <v>3461.25</v>
      </c>
      <c r="X134" s="2954">
        <f t="shared" si="31"/>
        <v>3461.25</v>
      </c>
      <c r="Y134" s="2954">
        <f t="shared" si="32"/>
        <v>6922.5</v>
      </c>
    </row>
    <row r="135" spans="8:25">
      <c r="H135" s="2948" t="s">
        <v>1400</v>
      </c>
      <c r="I135" s="2953">
        <v>712</v>
      </c>
      <c r="J135" s="2950" t="s">
        <v>120</v>
      </c>
      <c r="K135" s="2948" t="s">
        <v>909</v>
      </c>
      <c r="L135" s="2951">
        <v>13.68</v>
      </c>
      <c r="M135" s="2951">
        <v>13.68</v>
      </c>
      <c r="N135" s="2977">
        <v>5.8199253031987084E-4</v>
      </c>
      <c r="O135" s="2948">
        <v>3</v>
      </c>
      <c r="P135" s="2949" t="s">
        <v>1071</v>
      </c>
      <c r="Q135" s="2953">
        <v>125</v>
      </c>
      <c r="R135" s="2953">
        <v>125</v>
      </c>
      <c r="S135" s="2952">
        <f t="shared" si="26"/>
        <v>250</v>
      </c>
      <c r="T135" s="2952">
        <f t="shared" si="27"/>
        <v>89000</v>
      </c>
      <c r="U135" s="2952">
        <f t="shared" si="28"/>
        <v>89000</v>
      </c>
      <c r="V135" s="2952">
        <f t="shared" si="29"/>
        <v>178000</v>
      </c>
      <c r="W135" s="2954">
        <f t="shared" si="30"/>
        <v>1710</v>
      </c>
      <c r="X135" s="2954">
        <f t="shared" si="31"/>
        <v>1710</v>
      </c>
      <c r="Y135" s="2954">
        <f t="shared" si="32"/>
        <v>3420</v>
      </c>
    </row>
    <row r="136" spans="8:25">
      <c r="H136" s="2948" t="s">
        <v>1401</v>
      </c>
      <c r="I136" s="2953">
        <v>350</v>
      </c>
      <c r="J136" s="2950" t="s">
        <v>120</v>
      </c>
      <c r="K136" s="2948" t="s">
        <v>909</v>
      </c>
      <c r="L136" s="2951">
        <v>10.95</v>
      </c>
      <c r="M136" s="2951">
        <v>10.95</v>
      </c>
      <c r="N136" s="2977">
        <v>5.9492569766031239E-4</v>
      </c>
      <c r="O136" s="2948">
        <v>3</v>
      </c>
      <c r="P136" s="2949" t="s">
        <v>1071</v>
      </c>
      <c r="Q136" s="2953">
        <v>1500</v>
      </c>
      <c r="R136" s="2953">
        <v>1500</v>
      </c>
      <c r="S136" s="2952">
        <f t="shared" si="26"/>
        <v>3000</v>
      </c>
      <c r="T136" s="2952">
        <f t="shared" si="27"/>
        <v>525000</v>
      </c>
      <c r="U136" s="2952">
        <f t="shared" si="28"/>
        <v>525000</v>
      </c>
      <c r="V136" s="2952">
        <f t="shared" si="29"/>
        <v>1050000</v>
      </c>
      <c r="W136" s="2954">
        <f t="shared" si="30"/>
        <v>16425</v>
      </c>
      <c r="X136" s="2954">
        <f t="shared" si="31"/>
        <v>16425</v>
      </c>
      <c r="Y136" s="2954">
        <f t="shared" si="32"/>
        <v>32850</v>
      </c>
    </row>
    <row r="137" spans="8:25">
      <c r="H137" s="2948" t="s">
        <v>1402</v>
      </c>
      <c r="I137" s="2953">
        <v>1208</v>
      </c>
      <c r="J137" s="2950" t="s">
        <v>120</v>
      </c>
      <c r="K137" s="2948" t="s">
        <v>909</v>
      </c>
      <c r="L137" s="2951">
        <v>71.209999999999994</v>
      </c>
      <c r="M137" s="2951">
        <v>71.209999999999994</v>
      </c>
      <c r="N137" s="2977">
        <v>7.3667321171155209E-2</v>
      </c>
      <c r="O137" s="2948">
        <v>5</v>
      </c>
      <c r="P137" s="2949" t="s">
        <v>1072</v>
      </c>
      <c r="Q137" s="2953">
        <v>150</v>
      </c>
      <c r="R137" s="2953">
        <v>150</v>
      </c>
      <c r="S137" s="2952">
        <f t="shared" si="26"/>
        <v>300</v>
      </c>
      <c r="T137" s="2952">
        <f t="shared" si="27"/>
        <v>181200</v>
      </c>
      <c r="U137" s="2952">
        <f t="shared" si="28"/>
        <v>181200</v>
      </c>
      <c r="V137" s="2952">
        <f t="shared" si="29"/>
        <v>362400</v>
      </c>
      <c r="W137" s="2954">
        <f t="shared" si="30"/>
        <v>10681.499999999998</v>
      </c>
      <c r="X137" s="2954">
        <f t="shared" si="31"/>
        <v>10681.499999999998</v>
      </c>
      <c r="Y137" s="2954">
        <f t="shared" si="32"/>
        <v>21362.999999999996</v>
      </c>
    </row>
    <row r="138" spans="8:25">
      <c r="H138" s="2948" t="s">
        <v>1403</v>
      </c>
      <c r="I138" s="2953">
        <v>839</v>
      </c>
      <c r="J138" s="2950" t="s">
        <v>120</v>
      </c>
      <c r="K138" s="2948" t="s">
        <v>909</v>
      </c>
      <c r="L138" s="2951">
        <v>71.209999999999994</v>
      </c>
      <c r="M138" s="2951">
        <v>71.209999999999994</v>
      </c>
      <c r="N138" s="2977">
        <v>5.4319302829854612E-3</v>
      </c>
      <c r="O138" s="2948">
        <v>5</v>
      </c>
      <c r="P138" s="2949" t="s">
        <v>1072</v>
      </c>
      <c r="Q138" s="2953">
        <v>25</v>
      </c>
      <c r="R138" s="2953">
        <v>25</v>
      </c>
      <c r="S138" s="2952">
        <f t="shared" si="26"/>
        <v>50</v>
      </c>
      <c r="T138" s="2952">
        <f t="shared" si="27"/>
        <v>20975</v>
      </c>
      <c r="U138" s="2952">
        <f t="shared" si="28"/>
        <v>20975</v>
      </c>
      <c r="V138" s="2952">
        <f t="shared" si="29"/>
        <v>41950</v>
      </c>
      <c r="W138" s="2954">
        <f t="shared" si="30"/>
        <v>1780.2499999999998</v>
      </c>
      <c r="X138" s="2954">
        <f t="shared" si="31"/>
        <v>1780.2499999999998</v>
      </c>
      <c r="Y138" s="2954">
        <f t="shared" si="32"/>
        <v>3560.4999999999995</v>
      </c>
    </row>
    <row r="139" spans="8:25">
      <c r="H139" s="2948" t="s">
        <v>1404</v>
      </c>
      <c r="I139" s="2953">
        <v>1322</v>
      </c>
      <c r="J139" s="2950" t="s">
        <v>120</v>
      </c>
      <c r="K139" s="2948" t="s">
        <v>909</v>
      </c>
      <c r="L139" s="2951">
        <v>71.209999999999994</v>
      </c>
      <c r="M139" s="2951">
        <v>71.209999999999994</v>
      </c>
      <c r="N139" s="2977">
        <v>3.1246532294506844E-3</v>
      </c>
      <c r="O139" s="2948">
        <v>5</v>
      </c>
      <c r="P139" s="2949" t="s">
        <v>1072</v>
      </c>
      <c r="Q139" s="2953">
        <v>50</v>
      </c>
      <c r="R139" s="2953">
        <v>50</v>
      </c>
      <c r="S139" s="2952">
        <f t="shared" si="26"/>
        <v>100</v>
      </c>
      <c r="T139" s="2952">
        <f t="shared" si="27"/>
        <v>66100</v>
      </c>
      <c r="U139" s="2952">
        <f t="shared" si="28"/>
        <v>66100</v>
      </c>
      <c r="V139" s="2952">
        <f t="shared" si="29"/>
        <v>132200</v>
      </c>
      <c r="W139" s="2954">
        <f t="shared" si="30"/>
        <v>3560.4999999999995</v>
      </c>
      <c r="X139" s="2954">
        <f t="shared" si="31"/>
        <v>3560.4999999999995</v>
      </c>
      <c r="Y139" s="2954">
        <f t="shared" si="32"/>
        <v>7120.9999999999991</v>
      </c>
    </row>
    <row r="140" spans="8:25">
      <c r="H140" s="2948" t="s">
        <v>1405</v>
      </c>
      <c r="I140" s="2953">
        <v>2187</v>
      </c>
      <c r="J140" s="2950" t="s">
        <v>120</v>
      </c>
      <c r="K140" s="2948" t="s">
        <v>909</v>
      </c>
      <c r="L140" s="2951">
        <v>71.209999999999994</v>
      </c>
      <c r="M140" s="2951">
        <v>71.209999999999994</v>
      </c>
      <c r="N140" s="2977">
        <v>4.3403709594521927E-3</v>
      </c>
      <c r="O140" s="2948">
        <v>5</v>
      </c>
      <c r="P140" s="2949" t="s">
        <v>1072</v>
      </c>
      <c r="Q140" s="2953">
        <v>50</v>
      </c>
      <c r="R140" s="2953">
        <v>50</v>
      </c>
      <c r="S140" s="2952">
        <f t="shared" si="26"/>
        <v>100</v>
      </c>
      <c r="T140" s="2952">
        <f t="shared" si="27"/>
        <v>109350</v>
      </c>
      <c r="U140" s="2952">
        <f t="shared" si="28"/>
        <v>109350</v>
      </c>
      <c r="V140" s="2952">
        <f t="shared" si="29"/>
        <v>218700</v>
      </c>
      <c r="W140" s="2954">
        <f t="shared" si="30"/>
        <v>3560.4999999999995</v>
      </c>
      <c r="X140" s="2954">
        <f t="shared" si="31"/>
        <v>3560.4999999999995</v>
      </c>
      <c r="Y140" s="2954">
        <f t="shared" si="32"/>
        <v>7120.9999999999991</v>
      </c>
    </row>
    <row r="141" spans="8:25">
      <c r="H141" s="2948" t="s">
        <v>1406</v>
      </c>
      <c r="I141" s="2953">
        <v>228</v>
      </c>
      <c r="J141" s="2950" t="s">
        <v>120</v>
      </c>
      <c r="K141" s="2948" t="s">
        <v>909</v>
      </c>
      <c r="L141" s="2951">
        <v>23.93</v>
      </c>
      <c r="M141" s="2951">
        <v>23.93</v>
      </c>
      <c r="N141" s="2977">
        <v>3.4195294448127523E-3</v>
      </c>
      <c r="O141" s="2948">
        <v>5</v>
      </c>
      <c r="P141" s="2949" t="s">
        <v>1072</v>
      </c>
      <c r="Q141" s="2953">
        <v>50</v>
      </c>
      <c r="R141" s="2953">
        <v>50</v>
      </c>
      <c r="S141" s="2952">
        <f t="shared" si="26"/>
        <v>100</v>
      </c>
      <c r="T141" s="2952">
        <f t="shared" si="27"/>
        <v>11400</v>
      </c>
      <c r="U141" s="2952">
        <f t="shared" si="28"/>
        <v>11400</v>
      </c>
      <c r="V141" s="2952">
        <f t="shared" si="29"/>
        <v>22800</v>
      </c>
      <c r="W141" s="2954">
        <f t="shared" si="30"/>
        <v>1196.5</v>
      </c>
      <c r="X141" s="2954">
        <f t="shared" si="31"/>
        <v>1196.5</v>
      </c>
      <c r="Y141" s="2954">
        <f t="shared" si="32"/>
        <v>2393</v>
      </c>
    </row>
    <row r="142" spans="8:25">
      <c r="H142" s="2948" t="s">
        <v>1407</v>
      </c>
      <c r="I142" s="2953">
        <v>4288</v>
      </c>
      <c r="J142" s="2950" t="s">
        <v>120</v>
      </c>
      <c r="K142" s="2948" t="s">
        <v>909</v>
      </c>
      <c r="L142" s="2951">
        <v>23.93</v>
      </c>
      <c r="M142" s="2951">
        <v>23.93</v>
      </c>
      <c r="N142" s="2977">
        <v>5.6569673947091444E-3</v>
      </c>
      <c r="O142" s="2948">
        <v>5</v>
      </c>
      <c r="P142" s="2949" t="s">
        <v>1072</v>
      </c>
      <c r="Q142" s="2953">
        <v>75</v>
      </c>
      <c r="R142" s="2953">
        <v>80</v>
      </c>
      <c r="S142" s="2952">
        <f t="shared" si="26"/>
        <v>155</v>
      </c>
      <c r="T142" s="2952">
        <f t="shared" si="27"/>
        <v>321600</v>
      </c>
      <c r="U142" s="2952">
        <f t="shared" si="28"/>
        <v>343040</v>
      </c>
      <c r="V142" s="2952">
        <f t="shared" si="29"/>
        <v>664640</v>
      </c>
      <c r="W142" s="2954">
        <f t="shared" si="30"/>
        <v>1794.75</v>
      </c>
      <c r="X142" s="2954">
        <f t="shared" si="31"/>
        <v>1914.4</v>
      </c>
      <c r="Y142" s="2954">
        <f t="shared" si="32"/>
        <v>3709.15</v>
      </c>
    </row>
    <row r="143" spans="8:25">
      <c r="H143" s="2948" t="s">
        <v>1408</v>
      </c>
      <c r="I143" s="2953">
        <v>340</v>
      </c>
      <c r="J143" s="2950" t="s">
        <v>120</v>
      </c>
      <c r="K143" s="2948" t="s">
        <v>909</v>
      </c>
      <c r="L143" s="2951">
        <v>178.44</v>
      </c>
      <c r="M143" s="2951">
        <v>85</v>
      </c>
      <c r="N143" s="2977">
        <v>1.7692572921724074E-3</v>
      </c>
      <c r="O143" s="2948">
        <v>10</v>
      </c>
      <c r="P143" s="2949" t="s">
        <v>1072</v>
      </c>
      <c r="Q143" s="2953">
        <v>50</v>
      </c>
      <c r="R143" s="2953">
        <v>250</v>
      </c>
      <c r="S143" s="2952">
        <f t="shared" si="26"/>
        <v>300</v>
      </c>
      <c r="T143" s="2952">
        <f t="shared" si="27"/>
        <v>17000</v>
      </c>
      <c r="U143" s="2952">
        <f t="shared" si="28"/>
        <v>85000</v>
      </c>
      <c r="V143" s="2952">
        <f t="shared" si="29"/>
        <v>102000</v>
      </c>
      <c r="W143" s="2954">
        <f t="shared" si="30"/>
        <v>4250</v>
      </c>
      <c r="X143" s="2954">
        <f t="shared" si="31"/>
        <v>21250</v>
      </c>
      <c r="Y143" s="2954">
        <f t="shared" si="32"/>
        <v>25500</v>
      </c>
    </row>
    <row r="144" spans="8:25">
      <c r="H144" s="2948" t="s">
        <v>1409</v>
      </c>
      <c r="I144" s="2953">
        <v>263</v>
      </c>
      <c r="J144" s="2950" t="s">
        <v>120</v>
      </c>
      <c r="K144" s="2948" t="s">
        <v>909</v>
      </c>
      <c r="L144" s="2951">
        <v>178.44</v>
      </c>
      <c r="M144" s="2951">
        <v>65.75</v>
      </c>
      <c r="N144" s="2977">
        <v>8.8731874489301546E-3</v>
      </c>
      <c r="O144" s="2948">
        <v>10</v>
      </c>
      <c r="P144" s="2949" t="s">
        <v>1072</v>
      </c>
      <c r="Q144" s="2953">
        <v>750</v>
      </c>
      <c r="R144" s="2953">
        <v>750</v>
      </c>
      <c r="S144" s="2952">
        <f t="shared" ref="S144:S175" si="33">Q144+R144</f>
        <v>1500</v>
      </c>
      <c r="T144" s="2952">
        <f t="shared" ref="T144:T177" si="34">I144*Q144</f>
        <v>197250</v>
      </c>
      <c r="U144" s="2952">
        <f t="shared" ref="U144:U177" si="35">I144*R144</f>
        <v>197250</v>
      </c>
      <c r="V144" s="2952">
        <f t="shared" ref="V144:V175" si="36">T144+U144</f>
        <v>394500</v>
      </c>
      <c r="W144" s="2954">
        <f t="shared" ref="W144:W177" si="37">M144*Q144</f>
        <v>49312.5</v>
      </c>
      <c r="X144" s="2954">
        <f t="shared" ref="X144:X177" si="38">M144*R144</f>
        <v>49312.5</v>
      </c>
      <c r="Y144" s="2954">
        <f t="shared" ref="Y144:Y175" si="39">W144+X144</f>
        <v>98625</v>
      </c>
    </row>
    <row r="145" spans="8:25">
      <c r="H145" s="2948" t="s">
        <v>1410</v>
      </c>
      <c r="I145" s="2953">
        <v>408</v>
      </c>
      <c r="J145" s="2950" t="s">
        <v>120</v>
      </c>
      <c r="K145" s="2948" t="s">
        <v>909</v>
      </c>
      <c r="L145" s="2951">
        <v>191.17</v>
      </c>
      <c r="M145" s="2951">
        <v>102</v>
      </c>
      <c r="N145" s="2977">
        <v>2.6383661374500812E-2</v>
      </c>
      <c r="O145" s="2948">
        <v>12</v>
      </c>
      <c r="P145" s="2949" t="s">
        <v>1072</v>
      </c>
      <c r="Q145" s="2953">
        <v>1500</v>
      </c>
      <c r="R145" s="2953">
        <v>1500</v>
      </c>
      <c r="S145" s="2952">
        <f t="shared" si="33"/>
        <v>3000</v>
      </c>
      <c r="T145" s="2952">
        <f t="shared" si="34"/>
        <v>612000</v>
      </c>
      <c r="U145" s="2952">
        <f t="shared" si="35"/>
        <v>612000</v>
      </c>
      <c r="V145" s="2952">
        <f t="shared" si="36"/>
        <v>1224000</v>
      </c>
      <c r="W145" s="2954">
        <f t="shared" si="37"/>
        <v>153000</v>
      </c>
      <c r="X145" s="2954">
        <f t="shared" si="38"/>
        <v>153000</v>
      </c>
      <c r="Y145" s="2954">
        <f t="shared" si="39"/>
        <v>306000</v>
      </c>
    </row>
    <row r="146" spans="8:25">
      <c r="H146" s="2948" t="s">
        <v>1411</v>
      </c>
      <c r="I146" s="2953">
        <v>315</v>
      </c>
      <c r="J146" s="2950" t="s">
        <v>120</v>
      </c>
      <c r="K146" s="2948" t="s">
        <v>909</v>
      </c>
      <c r="L146" s="2951">
        <v>191.17</v>
      </c>
      <c r="M146" s="2951">
        <v>78.75</v>
      </c>
      <c r="N146" s="2977">
        <v>4.0817076126433607E-2</v>
      </c>
      <c r="O146" s="2948">
        <v>12</v>
      </c>
      <c r="P146" s="2949" t="s">
        <v>1071</v>
      </c>
      <c r="Q146" s="2953">
        <v>750</v>
      </c>
      <c r="R146" s="2953">
        <v>750</v>
      </c>
      <c r="S146" s="2952">
        <f t="shared" si="33"/>
        <v>1500</v>
      </c>
      <c r="T146" s="2952">
        <f t="shared" si="34"/>
        <v>236250</v>
      </c>
      <c r="U146" s="2952">
        <f t="shared" si="35"/>
        <v>236250</v>
      </c>
      <c r="V146" s="2952">
        <f t="shared" si="36"/>
        <v>472500</v>
      </c>
      <c r="W146" s="2954">
        <f t="shared" si="37"/>
        <v>59062.5</v>
      </c>
      <c r="X146" s="2954">
        <f t="shared" si="38"/>
        <v>59062.5</v>
      </c>
      <c r="Y146" s="2954">
        <f t="shared" si="39"/>
        <v>118125</v>
      </c>
    </row>
    <row r="147" spans="8:25">
      <c r="H147" s="2948" t="s">
        <v>1412</v>
      </c>
      <c r="I147" s="2953">
        <v>235</v>
      </c>
      <c r="J147" s="2950" t="s">
        <v>120</v>
      </c>
      <c r="K147" s="2948" t="s">
        <v>909</v>
      </c>
      <c r="L147" s="2951">
        <v>6.5</v>
      </c>
      <c r="M147" s="2951">
        <v>6.5</v>
      </c>
      <c r="N147" s="2977">
        <v>3.1660393649400972E-2</v>
      </c>
      <c r="O147" s="2948">
        <v>12</v>
      </c>
      <c r="P147" s="2949" t="s">
        <v>1071</v>
      </c>
      <c r="Q147" s="2953">
        <v>750</v>
      </c>
      <c r="R147" s="2953">
        <v>750</v>
      </c>
      <c r="S147" s="2952">
        <f t="shared" si="33"/>
        <v>1500</v>
      </c>
      <c r="T147" s="2952">
        <f t="shared" si="34"/>
        <v>176250</v>
      </c>
      <c r="U147" s="2952">
        <f t="shared" si="35"/>
        <v>176250</v>
      </c>
      <c r="V147" s="2952">
        <f t="shared" si="36"/>
        <v>352500</v>
      </c>
      <c r="W147" s="2954">
        <f t="shared" si="37"/>
        <v>4875</v>
      </c>
      <c r="X147" s="2954">
        <f t="shared" si="38"/>
        <v>4875</v>
      </c>
      <c r="Y147" s="2954">
        <f t="shared" si="39"/>
        <v>9750</v>
      </c>
    </row>
    <row r="148" spans="8:25">
      <c r="H148" s="2948" t="s">
        <v>1413</v>
      </c>
      <c r="I148" s="2953">
        <v>40</v>
      </c>
      <c r="J148" s="2950" t="s">
        <v>120</v>
      </c>
      <c r="K148" s="2948" t="s">
        <v>909</v>
      </c>
      <c r="L148" s="2951">
        <v>8</v>
      </c>
      <c r="M148" s="2951">
        <v>8</v>
      </c>
      <c r="N148" s="2977">
        <v>4.8887372546869153E-2</v>
      </c>
      <c r="O148" s="2948">
        <v>12</v>
      </c>
      <c r="P148" s="2949" t="s">
        <v>1071</v>
      </c>
      <c r="Q148" s="2953">
        <v>500</v>
      </c>
      <c r="R148" s="2953">
        <v>500</v>
      </c>
      <c r="S148" s="2952">
        <f t="shared" si="33"/>
        <v>1000</v>
      </c>
      <c r="T148" s="2952">
        <f t="shared" si="34"/>
        <v>20000</v>
      </c>
      <c r="U148" s="2952">
        <f t="shared" si="35"/>
        <v>20000</v>
      </c>
      <c r="V148" s="2952">
        <f t="shared" si="36"/>
        <v>40000</v>
      </c>
      <c r="W148" s="2954">
        <f t="shared" si="37"/>
        <v>4000</v>
      </c>
      <c r="X148" s="2954">
        <f t="shared" si="38"/>
        <v>4000</v>
      </c>
      <c r="Y148" s="2954">
        <f t="shared" si="39"/>
        <v>8000</v>
      </c>
    </row>
    <row r="149" spans="8:25">
      <c r="H149" s="2948" t="s">
        <v>1414</v>
      </c>
      <c r="I149" s="2953">
        <v>40</v>
      </c>
      <c r="J149" s="2950" t="s">
        <v>120</v>
      </c>
      <c r="K149" s="2948" t="s">
        <v>909</v>
      </c>
      <c r="L149" s="2951">
        <v>175.5</v>
      </c>
      <c r="M149" s="2951">
        <v>175.5</v>
      </c>
      <c r="N149" s="2977">
        <v>6.0785886500075402E-3</v>
      </c>
      <c r="O149" s="2948">
        <v>4</v>
      </c>
      <c r="P149" s="2949" t="s">
        <v>1071</v>
      </c>
      <c r="Q149" s="2953">
        <v>500</v>
      </c>
      <c r="R149" s="2953">
        <v>500</v>
      </c>
      <c r="S149" s="2952">
        <f t="shared" si="33"/>
        <v>1000</v>
      </c>
      <c r="T149" s="2952">
        <f t="shared" si="34"/>
        <v>20000</v>
      </c>
      <c r="U149" s="2952">
        <f t="shared" si="35"/>
        <v>20000</v>
      </c>
      <c r="V149" s="2952">
        <f t="shared" si="36"/>
        <v>40000</v>
      </c>
      <c r="W149" s="2954">
        <f t="shared" si="37"/>
        <v>87750</v>
      </c>
      <c r="X149" s="2954">
        <f t="shared" si="38"/>
        <v>87750</v>
      </c>
      <c r="Y149" s="2954">
        <f t="shared" si="39"/>
        <v>175500</v>
      </c>
    </row>
    <row r="150" spans="8:25">
      <c r="H150" s="2948" t="s">
        <v>1415</v>
      </c>
      <c r="I150" s="2953">
        <v>107</v>
      </c>
      <c r="J150" s="2950" t="s">
        <v>120</v>
      </c>
      <c r="K150" s="2948" t="s">
        <v>909</v>
      </c>
      <c r="L150" s="2951">
        <v>46.15</v>
      </c>
      <c r="M150" s="2951">
        <v>46.15</v>
      </c>
      <c r="N150" s="2977">
        <v>3.1039601617059778E-3</v>
      </c>
      <c r="O150" s="2948">
        <v>4</v>
      </c>
      <c r="P150" s="2949" t="s">
        <v>1345</v>
      </c>
      <c r="Q150" s="2953">
        <v>250</v>
      </c>
      <c r="R150" s="2953">
        <v>250</v>
      </c>
      <c r="S150" s="2952">
        <f t="shared" si="33"/>
        <v>500</v>
      </c>
      <c r="T150" s="2952">
        <f t="shared" si="34"/>
        <v>26750</v>
      </c>
      <c r="U150" s="2952">
        <f t="shared" si="35"/>
        <v>26750</v>
      </c>
      <c r="V150" s="2952">
        <f t="shared" si="36"/>
        <v>53500</v>
      </c>
      <c r="W150" s="2954">
        <f t="shared" si="37"/>
        <v>11537.5</v>
      </c>
      <c r="X150" s="2954">
        <f t="shared" si="38"/>
        <v>11537.5</v>
      </c>
      <c r="Y150" s="2954">
        <f t="shared" si="39"/>
        <v>23075</v>
      </c>
    </row>
    <row r="151" spans="8:25">
      <c r="H151" s="2948" t="s">
        <v>1416</v>
      </c>
      <c r="I151" s="2953">
        <v>148</v>
      </c>
      <c r="J151" s="2950" t="s">
        <v>120</v>
      </c>
      <c r="K151" s="2948" t="s">
        <v>909</v>
      </c>
      <c r="L151" s="2951">
        <v>46.15</v>
      </c>
      <c r="M151" s="2951">
        <v>46.15</v>
      </c>
      <c r="N151" s="2977">
        <v>3.1039601617059778E-3</v>
      </c>
      <c r="O151" s="2948">
        <v>4</v>
      </c>
      <c r="P151" s="2949" t="s">
        <v>1345</v>
      </c>
      <c r="Q151" s="2953">
        <v>250</v>
      </c>
      <c r="R151" s="2953">
        <v>250</v>
      </c>
      <c r="S151" s="2952">
        <f t="shared" si="33"/>
        <v>500</v>
      </c>
      <c r="T151" s="2952">
        <f t="shared" si="34"/>
        <v>37000</v>
      </c>
      <c r="U151" s="2952">
        <f t="shared" si="35"/>
        <v>37000</v>
      </c>
      <c r="V151" s="2952">
        <f t="shared" si="36"/>
        <v>74000</v>
      </c>
      <c r="W151" s="2954">
        <f t="shared" si="37"/>
        <v>11537.5</v>
      </c>
      <c r="X151" s="2954">
        <f t="shared" si="38"/>
        <v>11537.5</v>
      </c>
      <c r="Y151" s="2954">
        <f t="shared" si="39"/>
        <v>23075</v>
      </c>
    </row>
    <row r="152" spans="8:25">
      <c r="H152" s="2948" t="s">
        <v>1417</v>
      </c>
      <c r="I152" s="2953">
        <v>1075</v>
      </c>
      <c r="J152" s="2950" t="s">
        <v>120</v>
      </c>
      <c r="K152" s="2948" t="s">
        <v>909</v>
      </c>
      <c r="L152" s="2951">
        <v>46.15</v>
      </c>
      <c r="M152" s="2951">
        <v>37</v>
      </c>
      <c r="N152" s="2977">
        <v>2.7676978108544968E-3</v>
      </c>
      <c r="O152" s="2948">
        <v>5</v>
      </c>
      <c r="P152" s="2949" t="s">
        <v>1345</v>
      </c>
      <c r="Q152" s="2953">
        <v>10</v>
      </c>
      <c r="R152" s="2953">
        <v>10</v>
      </c>
      <c r="S152" s="2952">
        <f t="shared" si="33"/>
        <v>20</v>
      </c>
      <c r="T152" s="2952">
        <f t="shared" si="34"/>
        <v>10750</v>
      </c>
      <c r="U152" s="2952">
        <f t="shared" si="35"/>
        <v>10750</v>
      </c>
      <c r="V152" s="2952">
        <f t="shared" si="36"/>
        <v>21500</v>
      </c>
      <c r="W152" s="2954">
        <f t="shared" si="37"/>
        <v>370</v>
      </c>
      <c r="X152" s="2954">
        <f t="shared" si="38"/>
        <v>370</v>
      </c>
      <c r="Y152" s="2954">
        <f t="shared" si="39"/>
        <v>740</v>
      </c>
    </row>
    <row r="153" spans="8:25">
      <c r="H153" s="2948" t="s">
        <v>1418</v>
      </c>
      <c r="I153" s="2953">
        <v>2786</v>
      </c>
      <c r="J153" s="2950" t="s">
        <v>120</v>
      </c>
      <c r="K153" s="2948" t="s">
        <v>909</v>
      </c>
      <c r="L153" s="2951">
        <v>169</v>
      </c>
      <c r="M153" s="2951">
        <v>116.75</v>
      </c>
      <c r="N153" s="2977">
        <v>3.8282175327707061E-3</v>
      </c>
      <c r="O153" s="2948">
        <v>5</v>
      </c>
      <c r="P153" s="2949" t="s">
        <v>1345</v>
      </c>
      <c r="Q153" s="2953">
        <v>10</v>
      </c>
      <c r="R153" s="2953">
        <v>10</v>
      </c>
      <c r="S153" s="2952">
        <f t="shared" si="33"/>
        <v>20</v>
      </c>
      <c r="T153" s="2952">
        <f t="shared" si="34"/>
        <v>27860</v>
      </c>
      <c r="U153" s="2952">
        <f t="shared" si="35"/>
        <v>27860</v>
      </c>
      <c r="V153" s="2952">
        <f t="shared" si="36"/>
        <v>55720</v>
      </c>
      <c r="W153" s="2954">
        <f t="shared" si="37"/>
        <v>1167.5</v>
      </c>
      <c r="X153" s="2954">
        <f t="shared" si="38"/>
        <v>1167.5</v>
      </c>
      <c r="Y153" s="2954">
        <f t="shared" si="39"/>
        <v>2335</v>
      </c>
    </row>
    <row r="154" spans="8:25">
      <c r="H154" s="2948" t="s">
        <v>1419</v>
      </c>
      <c r="I154" s="2953">
        <v>14</v>
      </c>
      <c r="J154" s="2950" t="s">
        <v>120</v>
      </c>
      <c r="K154" s="2948" t="s">
        <v>909</v>
      </c>
      <c r="L154" s="2951">
        <v>169</v>
      </c>
      <c r="M154" s="2951">
        <v>0</v>
      </c>
      <c r="N154" s="2977">
        <v>1.2079578295972431E-3</v>
      </c>
      <c r="O154" s="2948">
        <v>10</v>
      </c>
      <c r="P154" s="2949" t="s">
        <v>1345</v>
      </c>
      <c r="Q154" s="2953">
        <v>10</v>
      </c>
      <c r="R154" s="2953">
        <v>10</v>
      </c>
      <c r="S154" s="2952">
        <f t="shared" si="33"/>
        <v>20</v>
      </c>
      <c r="T154" s="2952">
        <f t="shared" si="34"/>
        <v>140</v>
      </c>
      <c r="U154" s="2952">
        <f t="shared" si="35"/>
        <v>140</v>
      </c>
      <c r="V154" s="2952">
        <f t="shared" si="36"/>
        <v>280</v>
      </c>
      <c r="W154" s="2954">
        <f t="shared" si="37"/>
        <v>0</v>
      </c>
      <c r="X154" s="2954">
        <f t="shared" si="38"/>
        <v>0</v>
      </c>
      <c r="Y154" s="2954">
        <f t="shared" si="39"/>
        <v>0</v>
      </c>
    </row>
    <row r="155" spans="8:25">
      <c r="H155" s="2948" t="s">
        <v>1420</v>
      </c>
      <c r="I155" s="2953">
        <v>535</v>
      </c>
      <c r="J155" s="2950" t="s">
        <v>120</v>
      </c>
      <c r="K155" s="2948" t="s">
        <v>909</v>
      </c>
      <c r="L155" s="2951">
        <v>9.1</v>
      </c>
      <c r="M155" s="2951">
        <v>9.1</v>
      </c>
      <c r="N155" s="2977">
        <v>0</v>
      </c>
      <c r="O155" s="2948">
        <v>10</v>
      </c>
      <c r="P155" s="2949" t="s">
        <v>1345</v>
      </c>
      <c r="Q155" s="2953">
        <v>25</v>
      </c>
      <c r="R155" s="2953">
        <v>25</v>
      </c>
      <c r="S155" s="2952">
        <f t="shared" si="33"/>
        <v>50</v>
      </c>
      <c r="T155" s="2952">
        <f t="shared" si="34"/>
        <v>13375</v>
      </c>
      <c r="U155" s="2952">
        <f t="shared" si="35"/>
        <v>13375</v>
      </c>
      <c r="V155" s="2952">
        <f t="shared" si="36"/>
        <v>26750</v>
      </c>
      <c r="W155" s="2954">
        <f t="shared" si="37"/>
        <v>227.5</v>
      </c>
      <c r="X155" s="2954">
        <f t="shared" si="38"/>
        <v>227.5</v>
      </c>
      <c r="Y155" s="2954">
        <f t="shared" si="39"/>
        <v>455</v>
      </c>
    </row>
    <row r="156" spans="8:25">
      <c r="H156" s="2948" t="s">
        <v>1421</v>
      </c>
      <c r="I156" s="2953">
        <v>123</v>
      </c>
      <c r="J156" s="2950" t="s">
        <v>120</v>
      </c>
      <c r="K156" s="2948" t="s">
        <v>909</v>
      </c>
      <c r="L156" s="2951">
        <v>9.1</v>
      </c>
      <c r="M156" s="2951">
        <v>9.1</v>
      </c>
      <c r="N156" s="2977">
        <v>7.2425737106472822E-5</v>
      </c>
      <c r="O156" s="2948">
        <v>5</v>
      </c>
      <c r="P156" s="2949" t="s">
        <v>1345</v>
      </c>
      <c r="Q156" s="2953">
        <v>500</v>
      </c>
      <c r="R156" s="2953">
        <v>500</v>
      </c>
      <c r="S156" s="2952">
        <f t="shared" si="33"/>
        <v>1000</v>
      </c>
      <c r="T156" s="2952">
        <f t="shared" si="34"/>
        <v>61500</v>
      </c>
      <c r="U156" s="2952">
        <f t="shared" si="35"/>
        <v>61500</v>
      </c>
      <c r="V156" s="2952">
        <f t="shared" si="36"/>
        <v>123000</v>
      </c>
      <c r="W156" s="2954">
        <f t="shared" si="37"/>
        <v>4550</v>
      </c>
      <c r="X156" s="2954">
        <f t="shared" si="38"/>
        <v>4550</v>
      </c>
      <c r="Y156" s="2954">
        <f t="shared" si="39"/>
        <v>9100</v>
      </c>
    </row>
    <row r="157" spans="8:25">
      <c r="H157" s="2948" t="s">
        <v>1422</v>
      </c>
      <c r="I157" s="2953">
        <v>31</v>
      </c>
      <c r="J157" s="2950" t="s">
        <v>120</v>
      </c>
      <c r="K157" s="2948" t="s">
        <v>909</v>
      </c>
      <c r="L157" s="2951">
        <v>9.1</v>
      </c>
      <c r="M157" s="2951">
        <v>9.1</v>
      </c>
      <c r="N157" s="2977">
        <v>1.2157177300015081E-3</v>
      </c>
      <c r="O157" s="2948">
        <v>4</v>
      </c>
      <c r="P157" s="2949" t="s">
        <v>1345</v>
      </c>
      <c r="Q157" s="2953">
        <v>50</v>
      </c>
      <c r="R157" s="2953">
        <v>50</v>
      </c>
      <c r="S157" s="2952">
        <f t="shared" si="33"/>
        <v>100</v>
      </c>
      <c r="T157" s="2952">
        <f t="shared" si="34"/>
        <v>1550</v>
      </c>
      <c r="U157" s="2952">
        <f t="shared" si="35"/>
        <v>1550</v>
      </c>
      <c r="V157" s="2952">
        <f t="shared" si="36"/>
        <v>3100</v>
      </c>
      <c r="W157" s="2954">
        <f t="shared" si="37"/>
        <v>455</v>
      </c>
      <c r="X157" s="2954">
        <f t="shared" si="38"/>
        <v>455</v>
      </c>
      <c r="Y157" s="2954">
        <f t="shared" si="39"/>
        <v>910</v>
      </c>
    </row>
    <row r="158" spans="8:25">
      <c r="H158" s="2948" t="s">
        <v>1423</v>
      </c>
      <c r="I158" s="2953">
        <v>129</v>
      </c>
      <c r="J158" s="2950" t="s">
        <v>120</v>
      </c>
      <c r="K158" s="2948" t="s">
        <v>909</v>
      </c>
      <c r="L158" s="2951">
        <v>9.1</v>
      </c>
      <c r="M158" s="2951">
        <v>9.1</v>
      </c>
      <c r="N158" s="2977">
        <v>2.0693067744706519E-4</v>
      </c>
      <c r="O158" s="2948">
        <v>4</v>
      </c>
      <c r="P158" s="2949" t="s">
        <v>1345</v>
      </c>
      <c r="Q158" s="2953">
        <v>50</v>
      </c>
      <c r="R158" s="2953">
        <v>50</v>
      </c>
      <c r="S158" s="2952">
        <f t="shared" si="33"/>
        <v>100</v>
      </c>
      <c r="T158" s="2952">
        <f t="shared" si="34"/>
        <v>6450</v>
      </c>
      <c r="U158" s="2952">
        <f t="shared" si="35"/>
        <v>6450</v>
      </c>
      <c r="V158" s="2952">
        <f t="shared" si="36"/>
        <v>12900</v>
      </c>
      <c r="W158" s="2954">
        <f t="shared" si="37"/>
        <v>455</v>
      </c>
      <c r="X158" s="2954">
        <f t="shared" si="38"/>
        <v>455</v>
      </c>
      <c r="Y158" s="2954">
        <f t="shared" si="39"/>
        <v>910</v>
      </c>
    </row>
    <row r="159" spans="8:25">
      <c r="H159" s="2948" t="s">
        <v>1424</v>
      </c>
      <c r="I159" s="2953">
        <v>477</v>
      </c>
      <c r="J159" s="2950" t="s">
        <v>120</v>
      </c>
      <c r="K159" s="2948" t="s">
        <v>909</v>
      </c>
      <c r="L159" s="2951">
        <v>172.25</v>
      </c>
      <c r="M159" s="2951">
        <v>119.25</v>
      </c>
      <c r="N159" s="2977">
        <v>1.2984900009803341E-2</v>
      </c>
      <c r="O159" s="2948">
        <v>2</v>
      </c>
      <c r="P159" s="2949" t="s">
        <v>1345</v>
      </c>
      <c r="Q159" s="2953">
        <v>50</v>
      </c>
      <c r="R159" s="2953">
        <v>50</v>
      </c>
      <c r="S159" s="2952">
        <f t="shared" si="33"/>
        <v>100</v>
      </c>
      <c r="T159" s="2952">
        <f t="shared" si="34"/>
        <v>23850</v>
      </c>
      <c r="U159" s="2952">
        <f t="shared" si="35"/>
        <v>23850</v>
      </c>
      <c r="V159" s="2952">
        <f t="shared" si="36"/>
        <v>47700</v>
      </c>
      <c r="W159" s="2954">
        <f t="shared" si="37"/>
        <v>5962.5</v>
      </c>
      <c r="X159" s="2954">
        <f t="shared" si="38"/>
        <v>5962.5</v>
      </c>
      <c r="Y159" s="2954">
        <f t="shared" si="39"/>
        <v>11925</v>
      </c>
    </row>
    <row r="160" spans="8:25">
      <c r="H160" s="2948" t="s">
        <v>1425</v>
      </c>
      <c r="I160" s="2953">
        <v>1199</v>
      </c>
      <c r="J160" s="2950" t="s">
        <v>120</v>
      </c>
      <c r="K160" s="2948" t="s">
        <v>909</v>
      </c>
      <c r="L160" s="2951">
        <v>204.75</v>
      </c>
      <c r="M160" s="2951">
        <v>143.32499999999999</v>
      </c>
      <c r="N160" s="2977">
        <v>6.3631183314972551E-4</v>
      </c>
      <c r="O160" s="2948">
        <v>2</v>
      </c>
      <c r="P160" s="2949" t="s">
        <v>1345</v>
      </c>
      <c r="Q160" s="2953">
        <v>75</v>
      </c>
      <c r="R160" s="2953">
        <v>75</v>
      </c>
      <c r="S160" s="2952">
        <f t="shared" si="33"/>
        <v>150</v>
      </c>
      <c r="T160" s="2952">
        <f t="shared" si="34"/>
        <v>89925</v>
      </c>
      <c r="U160" s="2952">
        <f t="shared" si="35"/>
        <v>89925</v>
      </c>
      <c r="V160" s="2952">
        <f t="shared" si="36"/>
        <v>179850</v>
      </c>
      <c r="W160" s="2954">
        <f t="shared" si="37"/>
        <v>10749.375</v>
      </c>
      <c r="X160" s="2954">
        <f t="shared" si="38"/>
        <v>10749.375</v>
      </c>
      <c r="Y160" s="2954">
        <f t="shared" si="39"/>
        <v>21498.75</v>
      </c>
    </row>
    <row r="161" spans="8:25">
      <c r="H161" s="2948" t="s">
        <v>1426</v>
      </c>
      <c r="I161" s="2953">
        <v>10</v>
      </c>
      <c r="J161" s="2950" t="s">
        <v>120</v>
      </c>
      <c r="K161" s="2948" t="s">
        <v>909</v>
      </c>
      <c r="L161" s="2951">
        <v>4.29</v>
      </c>
      <c r="M161" s="2951">
        <v>4.29</v>
      </c>
      <c r="N161" s="2977">
        <v>1.6037127502147554E-4</v>
      </c>
      <c r="O161" s="2948">
        <v>2</v>
      </c>
      <c r="P161" s="2949" t="s">
        <v>1345</v>
      </c>
      <c r="Q161" s="2953">
        <v>50</v>
      </c>
      <c r="R161" s="2953">
        <v>50</v>
      </c>
      <c r="S161" s="2952">
        <f t="shared" si="33"/>
        <v>100</v>
      </c>
      <c r="T161" s="2952">
        <f t="shared" si="34"/>
        <v>500</v>
      </c>
      <c r="U161" s="2952">
        <f t="shared" si="35"/>
        <v>500</v>
      </c>
      <c r="V161" s="2952">
        <f t="shared" si="36"/>
        <v>1000</v>
      </c>
      <c r="W161" s="2954">
        <f t="shared" si="37"/>
        <v>214.5</v>
      </c>
      <c r="X161" s="2954">
        <f t="shared" si="38"/>
        <v>214.5</v>
      </c>
      <c r="Y161" s="2954">
        <f t="shared" si="39"/>
        <v>429</v>
      </c>
    </row>
    <row r="162" spans="8:25">
      <c r="H162" s="2948" t="s">
        <v>1427</v>
      </c>
      <c r="I162" s="2953">
        <v>369</v>
      </c>
      <c r="J162" s="2950" t="s">
        <v>120</v>
      </c>
      <c r="K162" s="2948" t="s">
        <v>909</v>
      </c>
      <c r="L162" s="2951">
        <v>42.25</v>
      </c>
      <c r="M162" s="2951">
        <v>42.25</v>
      </c>
      <c r="N162" s="2977">
        <v>6.6735143476678524E-4</v>
      </c>
      <c r="O162" s="2948">
        <v>2</v>
      </c>
      <c r="P162" s="2949" t="s">
        <v>1345</v>
      </c>
      <c r="Q162" s="2953">
        <v>500</v>
      </c>
      <c r="R162" s="2953">
        <v>500</v>
      </c>
      <c r="S162" s="2952">
        <f t="shared" si="33"/>
        <v>1000</v>
      </c>
      <c r="T162" s="2952">
        <f t="shared" si="34"/>
        <v>184500</v>
      </c>
      <c r="U162" s="2952">
        <f t="shared" si="35"/>
        <v>184500</v>
      </c>
      <c r="V162" s="2952">
        <f t="shared" si="36"/>
        <v>369000</v>
      </c>
      <c r="W162" s="2954">
        <f t="shared" si="37"/>
        <v>21125</v>
      </c>
      <c r="X162" s="2954">
        <f t="shared" si="38"/>
        <v>21125</v>
      </c>
      <c r="Y162" s="2954">
        <f t="shared" si="39"/>
        <v>42250</v>
      </c>
    </row>
    <row r="163" spans="8:25">
      <c r="H163" s="2948" t="s">
        <v>1428</v>
      </c>
      <c r="I163" s="2953">
        <v>230</v>
      </c>
      <c r="J163" s="2950" t="s">
        <v>120</v>
      </c>
      <c r="K163" s="2948" t="s">
        <v>909</v>
      </c>
      <c r="L163" s="2951">
        <v>42.25</v>
      </c>
      <c r="M163" s="2951">
        <v>42.25</v>
      </c>
      <c r="N163" s="2977">
        <v>3.7014724928343787E-3</v>
      </c>
      <c r="O163" s="2948">
        <v>15</v>
      </c>
      <c r="P163" s="2949" t="s">
        <v>1345</v>
      </c>
      <c r="Q163" s="2953">
        <v>150</v>
      </c>
      <c r="R163" s="2953">
        <v>125</v>
      </c>
      <c r="S163" s="2952">
        <f t="shared" si="33"/>
        <v>275</v>
      </c>
      <c r="T163" s="2952">
        <f t="shared" si="34"/>
        <v>34500</v>
      </c>
      <c r="U163" s="2952">
        <f t="shared" si="35"/>
        <v>28750</v>
      </c>
      <c r="V163" s="2952">
        <f t="shared" si="36"/>
        <v>63250</v>
      </c>
      <c r="W163" s="2954">
        <f t="shared" si="37"/>
        <v>6337.5</v>
      </c>
      <c r="X163" s="2954">
        <f t="shared" si="38"/>
        <v>5281.25</v>
      </c>
      <c r="Y163" s="2954">
        <f t="shared" si="39"/>
        <v>11618.75</v>
      </c>
    </row>
    <row r="164" spans="8:25">
      <c r="H164" s="2948" t="s">
        <v>1429</v>
      </c>
      <c r="I164" s="2953">
        <v>200</v>
      </c>
      <c r="J164" s="2950" t="s">
        <v>120</v>
      </c>
      <c r="K164" s="2948" t="s">
        <v>909</v>
      </c>
      <c r="L164" s="2951">
        <v>104</v>
      </c>
      <c r="M164" s="2951">
        <v>50</v>
      </c>
      <c r="N164" s="2977">
        <v>6.2027470564757796E-3</v>
      </c>
      <c r="O164" s="2948">
        <v>15</v>
      </c>
      <c r="P164" s="2949" t="s">
        <v>1071</v>
      </c>
      <c r="Q164" s="2953">
        <v>10</v>
      </c>
      <c r="R164" s="2953">
        <v>25</v>
      </c>
      <c r="S164" s="2952">
        <f t="shared" si="33"/>
        <v>35</v>
      </c>
      <c r="T164" s="2952">
        <f t="shared" si="34"/>
        <v>2000</v>
      </c>
      <c r="U164" s="2952">
        <f t="shared" si="35"/>
        <v>5000</v>
      </c>
      <c r="V164" s="2952">
        <f t="shared" si="36"/>
        <v>7000</v>
      </c>
      <c r="W164" s="2954">
        <f t="shared" si="37"/>
        <v>500</v>
      </c>
      <c r="X164" s="2954">
        <f t="shared" si="38"/>
        <v>1250</v>
      </c>
      <c r="Y164" s="2954">
        <f t="shared" si="39"/>
        <v>1750</v>
      </c>
    </row>
    <row r="165" spans="8:25">
      <c r="H165" s="2948" t="s">
        <v>1430</v>
      </c>
      <c r="I165" s="2953">
        <v>100</v>
      </c>
      <c r="J165" s="2950" t="s">
        <v>120</v>
      </c>
      <c r="K165" s="2948" t="s">
        <v>909</v>
      </c>
      <c r="L165" s="2951">
        <v>165.1</v>
      </c>
      <c r="M165" s="2951">
        <v>25</v>
      </c>
      <c r="N165" s="2977">
        <v>5.1732669361766301E-4</v>
      </c>
      <c r="O165" s="2948">
        <v>8</v>
      </c>
      <c r="P165" s="2949" t="s">
        <v>1345</v>
      </c>
      <c r="Q165" s="2953">
        <v>10</v>
      </c>
      <c r="R165" s="2953">
        <v>25</v>
      </c>
      <c r="S165" s="2952">
        <f t="shared" si="33"/>
        <v>35</v>
      </c>
      <c r="T165" s="2952">
        <f t="shared" si="34"/>
        <v>1000</v>
      </c>
      <c r="U165" s="2952">
        <f t="shared" si="35"/>
        <v>2500</v>
      </c>
      <c r="V165" s="2952">
        <f t="shared" si="36"/>
        <v>3500</v>
      </c>
      <c r="W165" s="2954">
        <f t="shared" si="37"/>
        <v>250</v>
      </c>
      <c r="X165" s="2954">
        <f t="shared" si="38"/>
        <v>625</v>
      </c>
      <c r="Y165" s="2954">
        <f t="shared" si="39"/>
        <v>875</v>
      </c>
    </row>
    <row r="166" spans="8:25">
      <c r="H166" s="2948" t="s">
        <v>1431</v>
      </c>
      <c r="I166" s="2953">
        <v>100</v>
      </c>
      <c r="J166" s="2950" t="s">
        <v>120</v>
      </c>
      <c r="K166" s="2948" t="s">
        <v>909</v>
      </c>
      <c r="L166" s="2951">
        <v>165.1</v>
      </c>
      <c r="M166" s="2951">
        <v>25</v>
      </c>
      <c r="N166" s="2977">
        <v>4.7723387486229406E-3</v>
      </c>
      <c r="O166" s="2948">
        <v>8</v>
      </c>
      <c r="P166" s="2949" t="s">
        <v>1345</v>
      </c>
      <c r="Q166" s="2953">
        <v>10</v>
      </c>
      <c r="R166" s="2953">
        <v>25</v>
      </c>
      <c r="S166" s="2952">
        <f t="shared" si="33"/>
        <v>35</v>
      </c>
      <c r="T166" s="2952">
        <f t="shared" si="34"/>
        <v>1000</v>
      </c>
      <c r="U166" s="2952">
        <f t="shared" si="35"/>
        <v>2500</v>
      </c>
      <c r="V166" s="2952">
        <f t="shared" si="36"/>
        <v>3500</v>
      </c>
      <c r="W166" s="2954">
        <f t="shared" si="37"/>
        <v>250</v>
      </c>
      <c r="X166" s="2954">
        <f t="shared" si="38"/>
        <v>625</v>
      </c>
      <c r="Y166" s="2954">
        <f t="shared" si="39"/>
        <v>875</v>
      </c>
    </row>
    <row r="167" spans="8:25">
      <c r="H167" s="2948" t="s">
        <v>1432</v>
      </c>
      <c r="I167" s="2953">
        <v>757</v>
      </c>
      <c r="J167" s="2950" t="s">
        <v>120</v>
      </c>
      <c r="K167" s="2948" t="s">
        <v>909</v>
      </c>
      <c r="L167" s="2951">
        <v>364</v>
      </c>
      <c r="M167" s="2951">
        <v>189.25</v>
      </c>
      <c r="N167" s="2977">
        <v>2.9746284883015619E-3</v>
      </c>
      <c r="O167" s="2948">
        <v>8</v>
      </c>
      <c r="P167" s="2949" t="s">
        <v>1345</v>
      </c>
      <c r="Q167" s="2953">
        <v>25</v>
      </c>
      <c r="R167" s="2953">
        <v>25</v>
      </c>
      <c r="S167" s="2952">
        <f t="shared" si="33"/>
        <v>50</v>
      </c>
      <c r="T167" s="2952">
        <f t="shared" si="34"/>
        <v>18925</v>
      </c>
      <c r="U167" s="2952">
        <f t="shared" si="35"/>
        <v>18925</v>
      </c>
      <c r="V167" s="2952">
        <f t="shared" si="36"/>
        <v>37850</v>
      </c>
      <c r="W167" s="2954">
        <f t="shared" si="37"/>
        <v>4731.25</v>
      </c>
      <c r="X167" s="2954">
        <f t="shared" si="38"/>
        <v>4731.25</v>
      </c>
      <c r="Y167" s="2954">
        <f t="shared" si="39"/>
        <v>9462.5</v>
      </c>
    </row>
    <row r="168" spans="8:25">
      <c r="H168" s="2948" t="s">
        <v>1433</v>
      </c>
      <c r="I168" s="2953">
        <v>855</v>
      </c>
      <c r="J168" s="2950" t="s">
        <v>120</v>
      </c>
      <c r="K168" s="2948" t="s">
        <v>909</v>
      </c>
      <c r="L168" s="2951">
        <v>364</v>
      </c>
      <c r="M168" s="2951">
        <v>213.75</v>
      </c>
      <c r="N168" s="2977">
        <v>2.6306062370458163E-3</v>
      </c>
      <c r="O168" s="2948">
        <v>8</v>
      </c>
      <c r="P168" s="2949" t="s">
        <v>1345</v>
      </c>
      <c r="Q168" s="2953">
        <v>25</v>
      </c>
      <c r="R168" s="2953">
        <v>25</v>
      </c>
      <c r="S168" s="2952">
        <f t="shared" si="33"/>
        <v>50</v>
      </c>
      <c r="T168" s="2952">
        <f t="shared" si="34"/>
        <v>21375</v>
      </c>
      <c r="U168" s="2952">
        <f t="shared" si="35"/>
        <v>21375</v>
      </c>
      <c r="V168" s="2952">
        <f t="shared" si="36"/>
        <v>42750</v>
      </c>
      <c r="W168" s="2954">
        <f t="shared" si="37"/>
        <v>5343.75</v>
      </c>
      <c r="X168" s="2954">
        <f t="shared" si="38"/>
        <v>5343.75</v>
      </c>
      <c r="Y168" s="2954">
        <f t="shared" si="39"/>
        <v>10687.5</v>
      </c>
    </row>
    <row r="169" spans="8:25">
      <c r="H169" s="2948" t="s">
        <v>1434</v>
      </c>
      <c r="I169" s="2953">
        <v>5340</v>
      </c>
      <c r="J169" s="2950" t="s">
        <v>120</v>
      </c>
      <c r="K169" s="2948" t="s">
        <v>909</v>
      </c>
      <c r="L169" s="2951">
        <v>2544.75</v>
      </c>
      <c r="M169" s="2951">
        <v>1335</v>
      </c>
      <c r="N169" s="2977">
        <v>2.586633468088315E-4</v>
      </c>
      <c r="O169" s="2948">
        <v>8</v>
      </c>
      <c r="P169" s="2949" t="s">
        <v>1345</v>
      </c>
      <c r="Q169" s="2953">
        <v>10</v>
      </c>
      <c r="R169" s="2953">
        <v>25</v>
      </c>
      <c r="S169" s="2952">
        <f t="shared" si="33"/>
        <v>35</v>
      </c>
      <c r="T169" s="2952">
        <f t="shared" si="34"/>
        <v>53400</v>
      </c>
      <c r="U169" s="2952">
        <f t="shared" si="35"/>
        <v>133500</v>
      </c>
      <c r="V169" s="2952">
        <f t="shared" si="36"/>
        <v>186900</v>
      </c>
      <c r="W169" s="2954">
        <f t="shared" si="37"/>
        <v>13350</v>
      </c>
      <c r="X169" s="2954">
        <f t="shared" si="38"/>
        <v>33375</v>
      </c>
      <c r="Y169" s="2954">
        <f t="shared" si="39"/>
        <v>46725</v>
      </c>
    </row>
    <row r="170" spans="8:25">
      <c r="H170" s="2948" t="s">
        <v>1435</v>
      </c>
      <c r="I170" s="2953">
        <v>1258</v>
      </c>
      <c r="J170" s="2950" t="s">
        <v>120</v>
      </c>
      <c r="K170" s="2948" t="s">
        <v>909</v>
      </c>
      <c r="L170" s="2951">
        <v>57.6</v>
      </c>
      <c r="M170" s="2951">
        <v>314.5</v>
      </c>
      <c r="N170" s="2977">
        <v>2.586633468088315E-4</v>
      </c>
      <c r="O170" s="2948">
        <v>8</v>
      </c>
      <c r="P170" s="2949" t="s">
        <v>1345</v>
      </c>
      <c r="Q170" s="2953">
        <v>50</v>
      </c>
      <c r="R170" s="2953">
        <v>75</v>
      </c>
      <c r="S170" s="2952">
        <f t="shared" si="33"/>
        <v>125</v>
      </c>
      <c r="T170" s="2952">
        <f t="shared" si="34"/>
        <v>62900</v>
      </c>
      <c r="U170" s="2952">
        <f t="shared" si="35"/>
        <v>94350</v>
      </c>
      <c r="V170" s="2952">
        <f t="shared" si="36"/>
        <v>157250</v>
      </c>
      <c r="W170" s="2954">
        <f t="shared" si="37"/>
        <v>15725</v>
      </c>
      <c r="X170" s="2954">
        <f t="shared" si="38"/>
        <v>23587.5</v>
      </c>
      <c r="Y170" s="2954">
        <f t="shared" si="39"/>
        <v>39312.5</v>
      </c>
    </row>
    <row r="171" spans="8:25">
      <c r="H171" s="2948" t="s">
        <v>1436</v>
      </c>
      <c r="I171" s="2953">
        <v>1497</v>
      </c>
      <c r="J171" s="2950" t="s">
        <v>120</v>
      </c>
      <c r="K171" s="2948" t="s">
        <v>909</v>
      </c>
      <c r="L171" s="2951">
        <v>65.599999999999994</v>
      </c>
      <c r="M171" s="2951">
        <v>374.25</v>
      </c>
      <c r="N171" s="2977">
        <v>1.9580815353428542E-3</v>
      </c>
      <c r="O171" s="2948">
        <v>15</v>
      </c>
      <c r="P171" s="2949" t="s">
        <v>1345</v>
      </c>
      <c r="Q171" s="2953">
        <v>50</v>
      </c>
      <c r="R171" s="2953">
        <v>75</v>
      </c>
      <c r="S171" s="2952">
        <f t="shared" si="33"/>
        <v>125</v>
      </c>
      <c r="T171" s="2952">
        <f t="shared" si="34"/>
        <v>74850</v>
      </c>
      <c r="U171" s="2952">
        <f t="shared" si="35"/>
        <v>112275</v>
      </c>
      <c r="V171" s="2952">
        <f t="shared" si="36"/>
        <v>187125</v>
      </c>
      <c r="W171" s="2954">
        <f t="shared" si="37"/>
        <v>18712.5</v>
      </c>
      <c r="X171" s="2954">
        <f t="shared" si="38"/>
        <v>28068.75</v>
      </c>
      <c r="Y171" s="2954">
        <f t="shared" si="39"/>
        <v>46781.25</v>
      </c>
    </row>
    <row r="172" spans="8:25">
      <c r="H172" s="2948" t="s">
        <v>1437</v>
      </c>
      <c r="I172" s="2953">
        <v>1353</v>
      </c>
      <c r="J172" s="2950" t="s">
        <v>120</v>
      </c>
      <c r="K172" s="2948" t="s">
        <v>909</v>
      </c>
      <c r="L172" s="2951">
        <v>48</v>
      </c>
      <c r="M172" s="2951">
        <v>338.25</v>
      </c>
      <c r="N172" s="2977">
        <v>2.2115716152155095E-3</v>
      </c>
      <c r="O172" s="2948">
        <v>15</v>
      </c>
      <c r="P172" s="2949" t="s">
        <v>1345</v>
      </c>
      <c r="Q172" s="2953">
        <v>50</v>
      </c>
      <c r="R172" s="2953">
        <v>75</v>
      </c>
      <c r="S172" s="2952">
        <f t="shared" si="33"/>
        <v>125</v>
      </c>
      <c r="T172" s="2952">
        <f t="shared" si="34"/>
        <v>67650</v>
      </c>
      <c r="U172" s="2952">
        <f t="shared" si="35"/>
        <v>101475</v>
      </c>
      <c r="V172" s="2952">
        <f t="shared" si="36"/>
        <v>169125</v>
      </c>
      <c r="W172" s="2954">
        <f t="shared" si="37"/>
        <v>16912.5</v>
      </c>
      <c r="X172" s="2954">
        <f t="shared" si="38"/>
        <v>25368.75</v>
      </c>
      <c r="Y172" s="2954">
        <f t="shared" si="39"/>
        <v>42281.25</v>
      </c>
    </row>
    <row r="173" spans="8:25">
      <c r="H173" s="2948" t="s">
        <v>1438</v>
      </c>
      <c r="I173" s="2953">
        <v>1322</v>
      </c>
      <c r="J173" s="2950" t="s">
        <v>120</v>
      </c>
      <c r="K173" s="2948" t="s">
        <v>909</v>
      </c>
      <c r="L173" s="2951">
        <v>48</v>
      </c>
      <c r="M173" s="2951">
        <v>330.5</v>
      </c>
      <c r="N173" s="2977">
        <v>1.3812622719591602E-2</v>
      </c>
      <c r="O173" s="2948">
        <v>10</v>
      </c>
      <c r="P173" s="2949" t="s">
        <v>1249</v>
      </c>
      <c r="Q173" s="2953">
        <v>50</v>
      </c>
      <c r="R173" s="2953">
        <v>75</v>
      </c>
      <c r="S173" s="2952">
        <f t="shared" si="33"/>
        <v>125</v>
      </c>
      <c r="T173" s="2952">
        <f t="shared" si="34"/>
        <v>66100</v>
      </c>
      <c r="U173" s="2952">
        <f t="shared" si="35"/>
        <v>99150</v>
      </c>
      <c r="V173" s="2952">
        <f t="shared" si="36"/>
        <v>165250</v>
      </c>
      <c r="W173" s="2954">
        <f t="shared" si="37"/>
        <v>16525</v>
      </c>
      <c r="X173" s="2954">
        <f t="shared" si="38"/>
        <v>24787.5</v>
      </c>
      <c r="Y173" s="2954">
        <f t="shared" si="39"/>
        <v>41312.5</v>
      </c>
    </row>
    <row r="174" spans="8:25">
      <c r="H174" s="2948" t="s">
        <v>1439</v>
      </c>
      <c r="I174" s="2953">
        <v>473</v>
      </c>
      <c r="J174" s="2950" t="s">
        <v>120</v>
      </c>
      <c r="K174" s="2948" t="s">
        <v>909</v>
      </c>
      <c r="L174" s="2951">
        <v>237.25</v>
      </c>
      <c r="M174" s="2951">
        <v>118.25</v>
      </c>
      <c r="N174" s="2977">
        <v>1.6450988857041682E-3</v>
      </c>
      <c r="O174" s="2948">
        <v>10</v>
      </c>
      <c r="P174" s="2949" t="s">
        <v>1249</v>
      </c>
      <c r="Q174" s="2953">
        <v>125</v>
      </c>
      <c r="R174" s="2953">
        <v>150</v>
      </c>
      <c r="S174" s="2952">
        <f t="shared" si="33"/>
        <v>275</v>
      </c>
      <c r="T174" s="2952">
        <f t="shared" si="34"/>
        <v>59125</v>
      </c>
      <c r="U174" s="2952">
        <f t="shared" si="35"/>
        <v>70950</v>
      </c>
      <c r="V174" s="2952">
        <f t="shared" si="36"/>
        <v>130075</v>
      </c>
      <c r="W174" s="2954">
        <f t="shared" si="37"/>
        <v>14781.25</v>
      </c>
      <c r="X174" s="2954">
        <f t="shared" si="38"/>
        <v>17737.5</v>
      </c>
      <c r="Y174" s="2954">
        <f t="shared" si="39"/>
        <v>32518.75</v>
      </c>
    </row>
    <row r="175" spans="8:25">
      <c r="H175" s="2948" t="s">
        <v>1440</v>
      </c>
      <c r="I175" s="2953">
        <v>380</v>
      </c>
      <c r="J175" s="2950" t="s">
        <v>120</v>
      </c>
      <c r="K175" s="2948" t="s">
        <v>909</v>
      </c>
      <c r="L175" s="2951">
        <v>845</v>
      </c>
      <c r="M175" s="2951">
        <v>95</v>
      </c>
      <c r="N175" s="2977">
        <v>1.6450988857041682E-3</v>
      </c>
      <c r="O175" s="2948">
        <v>10</v>
      </c>
      <c r="P175" s="2949" t="s">
        <v>1249</v>
      </c>
      <c r="Q175" s="2953">
        <v>25</v>
      </c>
      <c r="R175" s="2953">
        <v>50</v>
      </c>
      <c r="S175" s="2952">
        <f t="shared" si="33"/>
        <v>75</v>
      </c>
      <c r="T175" s="2952">
        <f t="shared" si="34"/>
        <v>9500</v>
      </c>
      <c r="U175" s="2952">
        <f t="shared" si="35"/>
        <v>19000</v>
      </c>
      <c r="V175" s="2952">
        <f t="shared" si="36"/>
        <v>28500</v>
      </c>
      <c r="W175" s="2954">
        <f t="shared" si="37"/>
        <v>2375</v>
      </c>
      <c r="X175" s="2954">
        <f t="shared" si="38"/>
        <v>4750</v>
      </c>
      <c r="Y175" s="2954">
        <f t="shared" si="39"/>
        <v>7125</v>
      </c>
    </row>
    <row r="176" spans="8:25">
      <c r="H176" s="2948" t="s">
        <v>1718</v>
      </c>
      <c r="I176" s="2953">
        <v>457</v>
      </c>
      <c r="J176" s="2950" t="s">
        <v>120</v>
      </c>
      <c r="K176" s="2948" t="s">
        <v>909</v>
      </c>
      <c r="L176" s="2951">
        <v>233.5</v>
      </c>
      <c r="M176" s="2951">
        <v>114.25</v>
      </c>
      <c r="N176" s="2977">
        <v>1.6450988857041682E-3</v>
      </c>
      <c r="O176" s="2948">
        <v>10</v>
      </c>
      <c r="P176" s="2949" t="s">
        <v>1249</v>
      </c>
      <c r="Q176" s="2953">
        <v>75</v>
      </c>
      <c r="R176" s="2953">
        <v>75</v>
      </c>
      <c r="S176" s="2952">
        <f t="shared" ref="S176:S177" si="40">Q176+R176</f>
        <v>150</v>
      </c>
      <c r="T176" s="2952">
        <f t="shared" si="34"/>
        <v>34275</v>
      </c>
      <c r="U176" s="2952">
        <f t="shared" si="35"/>
        <v>34275</v>
      </c>
      <c r="V176" s="2952">
        <f t="shared" ref="V176:V177" si="41">T176+U176</f>
        <v>68550</v>
      </c>
      <c r="W176" s="2954">
        <f t="shared" si="37"/>
        <v>8568.75</v>
      </c>
      <c r="X176" s="2954">
        <f t="shared" si="38"/>
        <v>8568.75</v>
      </c>
      <c r="Y176" s="2954">
        <f t="shared" ref="Y176:Y177" si="42">W176+X176</f>
        <v>17137.5</v>
      </c>
    </row>
    <row r="177" spans="8:25">
      <c r="H177" s="2948" t="s">
        <v>1719</v>
      </c>
      <c r="I177" s="2953">
        <v>198</v>
      </c>
      <c r="J177" s="2950" t="s">
        <v>120</v>
      </c>
      <c r="K177" s="2948" t="s">
        <v>909</v>
      </c>
      <c r="L177" s="2951">
        <v>52.23</v>
      </c>
      <c r="M177" s="2951">
        <v>49.5</v>
      </c>
      <c r="N177" s="2977">
        <v>1.6450988857041682E-3</v>
      </c>
      <c r="O177" s="2948">
        <v>10</v>
      </c>
      <c r="P177" s="2949" t="s">
        <v>1249</v>
      </c>
      <c r="Q177" s="2953">
        <v>100</v>
      </c>
      <c r="R177" s="2953">
        <v>100</v>
      </c>
      <c r="S177" s="2952">
        <f t="shared" si="40"/>
        <v>200</v>
      </c>
      <c r="T177" s="2952">
        <f t="shared" si="34"/>
        <v>19800</v>
      </c>
      <c r="U177" s="2952">
        <f t="shared" si="35"/>
        <v>19800</v>
      </c>
      <c r="V177" s="2952">
        <f t="shared" si="41"/>
        <v>39600</v>
      </c>
      <c r="W177" s="2954">
        <f t="shared" si="37"/>
        <v>4950</v>
      </c>
      <c r="X177" s="2954">
        <f t="shared" si="38"/>
        <v>4950</v>
      </c>
      <c r="Y177" s="2954">
        <f t="shared" si="42"/>
        <v>9900</v>
      </c>
    </row>
    <row r="178" spans="8:25">
      <c r="H178" s="2948"/>
      <c r="I178" s="2953"/>
      <c r="J178" s="2950"/>
      <c r="K178" s="2948"/>
      <c r="L178" s="2951"/>
      <c r="M178" s="2951"/>
      <c r="N178" s="2977"/>
      <c r="O178" s="2948"/>
      <c r="P178" s="2949"/>
      <c r="Q178" s="2953"/>
      <c r="R178" s="2953"/>
      <c r="S178" s="2952"/>
      <c r="T178" s="2952"/>
      <c r="U178" s="2952"/>
      <c r="V178" s="2952"/>
      <c r="W178" s="2954"/>
      <c r="X178" s="2954"/>
      <c r="Y178" s="2954"/>
    </row>
    <row r="179" spans="8:25">
      <c r="H179" s="2948"/>
      <c r="I179" s="2953"/>
      <c r="J179" s="2950"/>
      <c r="K179" s="2948"/>
      <c r="L179" s="2951"/>
      <c r="M179" s="2951"/>
      <c r="N179" s="2977"/>
      <c r="O179" s="2948"/>
      <c r="P179" s="2949"/>
      <c r="Q179" s="2953"/>
      <c r="R179" s="2953"/>
      <c r="S179" s="2952"/>
      <c r="T179" s="2952"/>
      <c r="U179" s="2952"/>
      <c r="V179" s="2952"/>
      <c r="W179" s="2954"/>
      <c r="X179" s="2954"/>
      <c r="Y179" s="2954"/>
    </row>
  </sheetData>
  <customSheetViews>
    <customSheetView guid="{074EB09C-6289-46D7-9513-012B68BCA7BF}" showGridLines="0">
      <pane xSplit="1" ySplit="1" topLeftCell="B2" activePane="bottomRight" state="frozen"/>
      <selection pane="bottomRight" activeCell="E36" sqref="E36"/>
      <pageMargins left="0.7" right="0.7" top="0.75" bottom="0.75" header="0.3" footer="0.3"/>
    </customSheetView>
    <customSheetView guid="{D9EFFE19-D14B-4C6F-BDF4-FF696F73968D}" showGridLines="0">
      <pane xSplit="1" ySplit="1" topLeftCell="F2" activePane="bottomRight" state="frozen"/>
      <selection pane="bottomRight" activeCell="O16" sqref="O16"/>
      <pageMargins left="0.7" right="0.7" top="0.75" bottom="0.75" header="0.3" footer="0.3"/>
    </customSheetView>
  </customSheetViews>
  <mergeCells count="8">
    <mergeCell ref="R2:S2"/>
    <mergeCell ref="T2:V2"/>
    <mergeCell ref="W2:W3"/>
    <mergeCell ref="H10:P10"/>
    <mergeCell ref="H12:P12"/>
    <mergeCell ref="Q12:S12"/>
    <mergeCell ref="T12:V12"/>
    <mergeCell ref="W12:Y12"/>
  </mergeCells>
  <dataValidations count="1">
    <dataValidation allowBlank="1" showErrorMessage="1" promptTitle="DECIMAL PLACE WARNING:" prompt="Maximum number of numbers to the right of any decimal place can be 4._x000a__x000a_Example 1.2345 and NOT 1.23456" sqref="I16:I177"/>
  </dataValidation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ABF8F"/>
  </sheetPr>
  <dimension ref="A1:S114"/>
  <sheetViews>
    <sheetView showGridLines="0" zoomScaleNormal="100" workbookViewId="0">
      <pane xSplit="1" ySplit="1" topLeftCell="B2" activePane="bottomRight" state="frozen"/>
      <selection pane="topRight" activeCell="B1" sqref="B1"/>
      <selection pane="bottomLeft" activeCell="A2" sqref="A2"/>
      <selection pane="bottomRight" activeCell="D58" sqref="D58"/>
    </sheetView>
  </sheetViews>
  <sheetFormatPr defaultRowHeight="12.75"/>
  <cols>
    <col min="1" max="1" width="17.85546875" style="1164" customWidth="1"/>
    <col min="2" max="2" width="56" bestFit="1" customWidth="1"/>
    <col min="3" max="5" width="21" customWidth="1"/>
    <col min="6" max="6" width="19.140625" customWidth="1"/>
    <col min="7" max="8" width="20.7109375" customWidth="1"/>
    <col min="9" max="9" width="24.140625" customWidth="1"/>
    <col min="10" max="10" width="19.5703125" customWidth="1"/>
    <col min="11" max="11" width="21.140625" customWidth="1"/>
    <col min="12" max="12" width="16" customWidth="1"/>
    <col min="13" max="13" width="16.140625" customWidth="1"/>
    <col min="14" max="14" width="18.7109375" customWidth="1"/>
    <col min="15" max="15" width="16.42578125" customWidth="1"/>
    <col min="16" max="16" width="17.42578125" customWidth="1"/>
    <col min="17" max="17" width="16.85546875" customWidth="1"/>
    <col min="18" max="18" width="19.5703125" customWidth="1"/>
    <col min="19" max="19" width="19.140625" customWidth="1"/>
  </cols>
  <sheetData>
    <row r="1" spans="1:19" ht="56.25" customHeight="1">
      <c r="B1" s="1835" t="s">
        <v>276</v>
      </c>
      <c r="C1" s="1812" t="s">
        <v>277</v>
      </c>
      <c r="D1" s="1835" t="s">
        <v>133</v>
      </c>
      <c r="E1" s="1810" t="s">
        <v>31</v>
      </c>
      <c r="H1" s="1812"/>
      <c r="I1" s="338"/>
      <c r="J1" s="318"/>
      <c r="K1" s="1835" t="s">
        <v>276</v>
      </c>
      <c r="L1" s="1812" t="s">
        <v>277</v>
      </c>
      <c r="M1" s="1835" t="s">
        <v>133</v>
      </c>
      <c r="N1" s="1810" t="s">
        <v>31</v>
      </c>
    </row>
    <row r="2" spans="1:19" ht="20.25">
      <c r="B2" s="323"/>
      <c r="C2" s="337"/>
      <c r="D2" s="337"/>
      <c r="E2" s="337"/>
      <c r="F2" s="337"/>
      <c r="G2" s="345"/>
      <c r="H2" s="338"/>
      <c r="I2" s="338"/>
      <c r="J2" s="318"/>
      <c r="K2" s="318"/>
      <c r="L2" s="318"/>
      <c r="M2" s="318"/>
      <c r="N2" s="318"/>
    </row>
    <row r="3" spans="1:19" ht="38.25">
      <c r="A3" s="1840" t="s">
        <v>276</v>
      </c>
      <c r="G3" s="1303"/>
      <c r="H3" s="322" t="s">
        <v>8</v>
      </c>
      <c r="I3" s="322" t="s">
        <v>9</v>
      </c>
      <c r="J3" s="322" t="s">
        <v>87</v>
      </c>
      <c r="K3" s="322" t="s">
        <v>11</v>
      </c>
      <c r="L3" s="509" t="s">
        <v>504</v>
      </c>
      <c r="M3" s="322" t="s">
        <v>12</v>
      </c>
      <c r="N3" s="322" t="s">
        <v>13</v>
      </c>
      <c r="O3" s="322" t="s">
        <v>14</v>
      </c>
      <c r="P3" s="322" t="s">
        <v>88</v>
      </c>
      <c r="Q3" s="509" t="s">
        <v>39</v>
      </c>
      <c r="R3" s="322" t="s">
        <v>16</v>
      </c>
      <c r="S3" s="2432" t="s">
        <v>40</v>
      </c>
    </row>
    <row r="4" spans="1:19" ht="15.75">
      <c r="A4" s="1808" t="s">
        <v>277</v>
      </c>
      <c r="G4" s="1704" t="s">
        <v>668</v>
      </c>
      <c r="H4" s="1684">
        <v>465200</v>
      </c>
      <c r="I4" s="1685">
        <v>6100</v>
      </c>
      <c r="J4" s="1685">
        <v>333200</v>
      </c>
      <c r="K4" s="1685">
        <v>22890</v>
      </c>
      <c r="L4" s="1687">
        <v>8210</v>
      </c>
      <c r="M4" s="1687">
        <v>154470</v>
      </c>
      <c r="N4" s="1686">
        <v>1620</v>
      </c>
      <c r="O4" s="1686">
        <v>39790</v>
      </c>
      <c r="P4" s="2837">
        <v>1013200</v>
      </c>
      <c r="Q4" s="2837"/>
      <c r="R4" s="2852">
        <v>2044680</v>
      </c>
      <c r="S4" s="2857">
        <v>381000</v>
      </c>
    </row>
    <row r="5" spans="1:19" ht="25.5">
      <c r="A5" s="1840" t="s">
        <v>133</v>
      </c>
      <c r="G5" s="320">
        <v>2016</v>
      </c>
      <c r="H5" s="346">
        <f>C17</f>
        <v>281700</v>
      </c>
      <c r="I5" s="347">
        <f>C18</f>
        <v>4669</v>
      </c>
      <c r="J5" s="347">
        <f>C37</f>
        <v>191000</v>
      </c>
      <c r="K5" s="347">
        <f>C35</f>
        <v>0</v>
      </c>
      <c r="L5" s="347">
        <f>C26</f>
        <v>8000</v>
      </c>
      <c r="M5" s="347">
        <f>C48</f>
        <v>70000</v>
      </c>
      <c r="N5" s="347">
        <f>C33</f>
        <v>2000</v>
      </c>
      <c r="O5" s="347">
        <f>C28</f>
        <v>0</v>
      </c>
      <c r="P5" s="2838">
        <f>C14</f>
        <v>1300000</v>
      </c>
      <c r="Q5" s="2838"/>
      <c r="R5" s="2841">
        <f>SUM(H5:P5)</f>
        <v>1857369</v>
      </c>
      <c r="S5" s="2858">
        <f>C60</f>
        <v>355000</v>
      </c>
    </row>
    <row r="6" spans="1:19" ht="13.5" thickBot="1">
      <c r="A6" s="1842" t="s">
        <v>31</v>
      </c>
      <c r="G6" s="352">
        <v>2017</v>
      </c>
      <c r="H6" s="346">
        <f>D17</f>
        <v>281700</v>
      </c>
      <c r="I6" s="347">
        <f>D18</f>
        <v>4785.7299999999996</v>
      </c>
      <c r="J6" s="347">
        <f>D37</f>
        <v>194800</v>
      </c>
      <c r="K6" s="347">
        <f>D35</f>
        <v>0</v>
      </c>
      <c r="L6" s="351">
        <f>D26</f>
        <v>8000</v>
      </c>
      <c r="M6" s="351">
        <f>D48</f>
        <v>10000</v>
      </c>
      <c r="N6" s="353">
        <f>D33</f>
        <v>2000</v>
      </c>
      <c r="O6" s="353">
        <f>D28</f>
        <v>0</v>
      </c>
      <c r="P6" s="2839">
        <f>D14</f>
        <v>1300000</v>
      </c>
      <c r="Q6" s="2839"/>
      <c r="R6" s="2853">
        <f>SUM(H6:P6)</f>
        <v>1801285.73</v>
      </c>
      <c r="S6" s="2858">
        <f>D60</f>
        <v>375000</v>
      </c>
    </row>
    <row r="7" spans="1:19" s="1569" customFormat="1" ht="13.5" thickBot="1">
      <c r="G7" s="1683" t="s">
        <v>55</v>
      </c>
      <c r="H7" s="2451">
        <f>SUM(H5:H6)</f>
        <v>563400</v>
      </c>
      <c r="I7" s="2450">
        <f t="shared" ref="I7:P7" si="0">SUM(I5:I6)</f>
        <v>9454.73</v>
      </c>
      <c r="J7" s="2450">
        <f t="shared" si="0"/>
        <v>385800</v>
      </c>
      <c r="K7" s="2450">
        <f t="shared" si="0"/>
        <v>0</v>
      </c>
      <c r="L7" s="2450">
        <f t="shared" si="0"/>
        <v>16000</v>
      </c>
      <c r="M7" s="2450">
        <f t="shared" si="0"/>
        <v>80000</v>
      </c>
      <c r="N7" s="2450">
        <f t="shared" si="0"/>
        <v>4000</v>
      </c>
      <c r="O7" s="2450">
        <f t="shared" si="0"/>
        <v>0</v>
      </c>
      <c r="P7" s="2450">
        <f t="shared" si="0"/>
        <v>2600000</v>
      </c>
      <c r="Q7" s="2450"/>
      <c r="R7" s="2452">
        <f>SUM(R5:R6)</f>
        <v>3658654.73</v>
      </c>
      <c r="S7" s="2855">
        <f>SUM(S5:S6)</f>
        <v>730000</v>
      </c>
    </row>
    <row r="8" spans="1:19" ht="20.25">
      <c r="A8" s="1808"/>
      <c r="B8" s="323"/>
      <c r="C8" s="337"/>
      <c r="D8" s="337"/>
      <c r="E8" s="337"/>
      <c r="F8" s="337"/>
      <c r="G8" s="345"/>
      <c r="H8" s="338"/>
      <c r="I8" s="338"/>
      <c r="J8" s="318"/>
      <c r="K8" s="318"/>
      <c r="L8" s="318"/>
      <c r="M8" s="318"/>
      <c r="N8" s="326"/>
    </row>
    <row r="9" spans="1:19" ht="18">
      <c r="C9" s="345"/>
      <c r="D9" s="345"/>
      <c r="E9" s="345"/>
      <c r="F9" s="336"/>
      <c r="G9" s="336"/>
      <c r="H9" s="336"/>
      <c r="I9" s="336"/>
      <c r="J9" s="318"/>
      <c r="K9" s="318"/>
      <c r="L9" s="318"/>
      <c r="M9" s="318"/>
      <c r="N9" s="318"/>
    </row>
    <row r="10" spans="1:19" ht="18">
      <c r="B10" s="324"/>
      <c r="C10" s="348">
        <v>2016</v>
      </c>
      <c r="D10" s="349">
        <v>2017</v>
      </c>
      <c r="E10" s="350" t="s">
        <v>23</v>
      </c>
      <c r="F10" s="329"/>
      <c r="G10" s="329"/>
      <c r="H10" s="329"/>
      <c r="I10" s="1412"/>
      <c r="J10" s="1403"/>
      <c r="K10" s="1403"/>
      <c r="L10" s="326"/>
      <c r="M10" s="326"/>
      <c r="N10" s="318"/>
    </row>
    <row r="11" spans="1:19">
      <c r="B11" s="1033" t="s">
        <v>90</v>
      </c>
      <c r="C11" s="1067"/>
      <c r="D11" s="1029"/>
      <c r="E11" s="1054"/>
      <c r="F11" s="1039"/>
      <c r="G11" s="329"/>
      <c r="H11" s="329"/>
      <c r="I11" s="1404"/>
      <c r="J11" s="1405"/>
      <c r="K11" s="1403"/>
      <c r="L11" s="318"/>
      <c r="M11" s="318"/>
      <c r="N11" s="318"/>
    </row>
    <row r="12" spans="1:19">
      <c r="B12" s="1319"/>
      <c r="C12" s="1084">
        <v>1300000</v>
      </c>
      <c r="D12" s="1083">
        <v>1300000</v>
      </c>
      <c r="E12" s="1085">
        <f>SUM(C12:D12)</f>
        <v>2600000</v>
      </c>
      <c r="F12" s="1039"/>
      <c r="G12" s="329"/>
      <c r="H12" s="329"/>
      <c r="I12" s="1404"/>
      <c r="J12" s="1406"/>
      <c r="K12" s="1403"/>
      <c r="L12" s="318"/>
      <c r="M12" s="318"/>
      <c r="N12" s="318"/>
    </row>
    <row r="13" spans="1:19" ht="15">
      <c r="B13" s="1319"/>
      <c r="C13" s="2453"/>
      <c r="D13" s="2442"/>
      <c r="E13" s="2454">
        <f>SUM(C13:D13)</f>
        <v>0</v>
      </c>
      <c r="F13" s="1039"/>
      <c r="G13" s="329"/>
      <c r="H13" s="329"/>
      <c r="I13" s="1404"/>
      <c r="J13" s="1406"/>
      <c r="K13" s="1400"/>
      <c r="L13" s="318"/>
      <c r="M13" s="318"/>
      <c r="N13" s="318"/>
    </row>
    <row r="14" spans="1:19">
      <c r="B14" s="1033"/>
      <c r="C14" s="1052">
        <f>SUM(C12:C13)</f>
        <v>1300000</v>
      </c>
      <c r="D14" s="1076">
        <f>SUM(D12:D13)</f>
        <v>1300000</v>
      </c>
      <c r="E14" s="1077">
        <f>SUM(E12:E13)</f>
        <v>2600000</v>
      </c>
      <c r="F14" s="1039"/>
      <c r="G14" s="329"/>
      <c r="H14" s="329"/>
      <c r="I14" s="1465"/>
      <c r="J14" s="1402"/>
      <c r="K14" s="1400"/>
      <c r="L14" s="318"/>
      <c r="M14" s="318"/>
      <c r="N14" s="318"/>
    </row>
    <row r="15" spans="1:19" ht="18">
      <c r="B15" s="1034"/>
      <c r="C15" s="1053"/>
      <c r="D15" s="1029"/>
      <c r="E15" s="1054"/>
      <c r="F15" s="1039"/>
      <c r="G15" s="329"/>
      <c r="H15" s="329"/>
      <c r="I15" s="1404"/>
      <c r="J15" s="1402"/>
      <c r="K15" s="1400"/>
      <c r="L15" s="318"/>
      <c r="M15" s="318"/>
      <c r="N15" s="318"/>
    </row>
    <row r="16" spans="1:19">
      <c r="B16" s="1033" t="s">
        <v>93</v>
      </c>
      <c r="C16" s="1055"/>
      <c r="D16" s="1029"/>
      <c r="E16" s="1054"/>
      <c r="F16" s="3162">
        <v>2016</v>
      </c>
      <c r="G16" s="3163">
        <v>2017</v>
      </c>
      <c r="H16" s="1463"/>
      <c r="I16" s="1404"/>
      <c r="J16" s="1402"/>
      <c r="K16" s="1400"/>
      <c r="L16" s="318"/>
      <c r="M16" s="318"/>
    </row>
    <row r="17" spans="2:19">
      <c r="B17" s="1038" t="s">
        <v>95</v>
      </c>
      <c r="C17" s="1170">
        <v>281700</v>
      </c>
      <c r="D17" s="41">
        <v>281700</v>
      </c>
      <c r="E17" s="1066">
        <f>SUM(C17:D17)</f>
        <v>563400</v>
      </c>
      <c r="F17" s="1137">
        <v>3</v>
      </c>
      <c r="G17" s="2177">
        <v>2.9</v>
      </c>
      <c r="H17" s="738" t="s">
        <v>96</v>
      </c>
      <c r="I17" s="1404"/>
      <c r="J17" s="1402"/>
      <c r="K17" s="1400"/>
      <c r="L17" s="318"/>
      <c r="M17" s="318"/>
    </row>
    <row r="18" spans="2:19">
      <c r="B18" s="1038" t="s">
        <v>99</v>
      </c>
      <c r="C18" s="1170">
        <v>4669</v>
      </c>
      <c r="D18" s="41">
        <v>4785.7299999999996</v>
      </c>
      <c r="E18" s="1066">
        <f>SUM(C18:D18)</f>
        <v>9454.73</v>
      </c>
      <c r="F18" s="2177">
        <v>0.1</v>
      </c>
      <c r="G18" s="2177">
        <v>0.1</v>
      </c>
      <c r="H18" s="738" t="s">
        <v>96</v>
      </c>
      <c r="I18" s="1404"/>
      <c r="J18" s="1402"/>
      <c r="K18" s="1400"/>
      <c r="L18" s="318"/>
      <c r="M18" s="318"/>
    </row>
    <row r="19" spans="2:19">
      <c r="B19" s="1038"/>
      <c r="C19" s="1056"/>
      <c r="D19" s="1029"/>
      <c r="E19" s="1054"/>
      <c r="F19" s="1037"/>
      <c r="G19" s="328"/>
      <c r="H19" s="328"/>
      <c r="I19" s="1404"/>
      <c r="J19" s="1411"/>
      <c r="K19" s="1400"/>
      <c r="L19" s="318"/>
      <c r="M19" s="335"/>
      <c r="S19">
        <f>1095*3</f>
        <v>3285</v>
      </c>
    </row>
    <row r="20" spans="2:19">
      <c r="B20" s="1126" t="s">
        <v>506</v>
      </c>
      <c r="C20" s="3127">
        <v>8000</v>
      </c>
      <c r="D20" s="3128">
        <v>8000</v>
      </c>
      <c r="E20" s="915">
        <f>C20+D20</f>
        <v>16000</v>
      </c>
      <c r="I20" s="1400"/>
      <c r="J20" s="1401"/>
      <c r="K20" s="1400"/>
      <c r="L20" s="318"/>
      <c r="M20" s="318"/>
      <c r="S20">
        <f>S19/15</f>
        <v>219</v>
      </c>
    </row>
    <row r="21" spans="2:19">
      <c r="B21" s="1028" t="s">
        <v>100</v>
      </c>
      <c r="C21" s="1182"/>
      <c r="D21" s="1175"/>
      <c r="E21" s="915"/>
      <c r="F21" s="1045"/>
      <c r="G21" s="339"/>
      <c r="H21" s="327"/>
      <c r="I21" s="1404"/>
      <c r="J21" s="1416"/>
      <c r="K21" s="1400"/>
      <c r="L21" s="318"/>
      <c r="M21" s="318"/>
    </row>
    <row r="22" spans="2:19">
      <c r="B22" s="1038" t="s">
        <v>101</v>
      </c>
      <c r="C22" s="3131"/>
      <c r="D22" s="1175"/>
      <c r="E22" s="915"/>
      <c r="F22" s="1028"/>
      <c r="G22" s="327"/>
      <c r="H22" s="339"/>
      <c r="I22" s="1409" t="s">
        <v>102</v>
      </c>
      <c r="J22" s="1414"/>
      <c r="K22" s="1407" t="s">
        <v>134</v>
      </c>
      <c r="L22" s="318"/>
      <c r="M22" s="318"/>
    </row>
    <row r="23" spans="2:19">
      <c r="B23" s="1038" t="s">
        <v>104</v>
      </c>
      <c r="C23" s="1182"/>
      <c r="D23" s="1175"/>
      <c r="E23" s="915"/>
      <c r="F23" s="1036"/>
      <c r="G23" s="327"/>
      <c r="H23" s="327"/>
      <c r="I23" s="1409" t="s">
        <v>105</v>
      </c>
      <c r="J23" s="1413"/>
      <c r="K23" s="1410" t="s">
        <v>135</v>
      </c>
      <c r="L23" s="318"/>
      <c r="M23" s="318"/>
    </row>
    <row r="24" spans="2:19" s="2177" customFormat="1">
      <c r="B24" s="1130" t="s">
        <v>540</v>
      </c>
      <c r="C24" s="1182"/>
      <c r="D24" s="1175"/>
      <c r="E24" s="915"/>
      <c r="F24" s="1129"/>
      <c r="G24" s="513"/>
      <c r="H24" s="513"/>
      <c r="I24" s="1409" t="s">
        <v>108</v>
      </c>
      <c r="J24" s="1413"/>
      <c r="K24" s="1410" t="s">
        <v>135</v>
      </c>
      <c r="L24" s="2412"/>
      <c r="M24" s="2412"/>
    </row>
    <row r="25" spans="2:19" ht="15">
      <c r="B25" s="1038" t="s">
        <v>107</v>
      </c>
      <c r="C25" s="2441"/>
      <c r="D25" s="2442"/>
      <c r="E25" s="2443"/>
      <c r="F25" s="1036"/>
      <c r="G25" s="327"/>
      <c r="H25" s="340"/>
      <c r="I25" s="1408" t="s">
        <v>109</v>
      </c>
      <c r="J25" s="1415"/>
      <c r="K25" s="1410"/>
      <c r="L25" s="318"/>
      <c r="M25" s="318"/>
    </row>
    <row r="26" spans="2:19">
      <c r="B26" s="1028"/>
      <c r="C26" s="1058">
        <f>SUM(C20:C25)</f>
        <v>8000</v>
      </c>
      <c r="D26" s="1044">
        <f>SUM(D20:D25)</f>
        <v>8000</v>
      </c>
      <c r="E26" s="1078">
        <f>C26+D26</f>
        <v>16000</v>
      </c>
      <c r="F26" s="1036"/>
      <c r="G26" s="327"/>
      <c r="H26" s="340"/>
      <c r="L26" s="318"/>
      <c r="M26" s="318"/>
    </row>
    <row r="27" spans="2:19">
      <c r="B27" s="1029"/>
      <c r="C27" s="1064"/>
      <c r="D27" s="1029"/>
      <c r="E27" s="1054"/>
      <c r="F27" s="1036"/>
      <c r="G27" s="327"/>
      <c r="H27" s="340"/>
      <c r="I27" s="333"/>
      <c r="J27" s="343"/>
      <c r="K27" s="334"/>
      <c r="L27" s="318"/>
      <c r="M27" s="318"/>
    </row>
    <row r="28" spans="2:19">
      <c r="B28" s="1033" t="s">
        <v>94</v>
      </c>
      <c r="C28" s="1058"/>
      <c r="D28" s="1051"/>
      <c r="E28" s="1078"/>
      <c r="F28" s="1036"/>
      <c r="G28" s="327"/>
      <c r="H28" s="340"/>
      <c r="I28" s="318"/>
      <c r="J28" s="318"/>
      <c r="K28" s="318"/>
      <c r="L28" s="318"/>
      <c r="M28" s="318"/>
    </row>
    <row r="29" spans="2:19">
      <c r="B29" s="1029"/>
      <c r="C29" s="1064"/>
      <c r="D29" s="1029"/>
      <c r="E29" s="1054"/>
      <c r="F29" s="1036"/>
      <c r="G29" s="327"/>
      <c r="H29" s="340"/>
      <c r="I29" s="318"/>
      <c r="J29" s="318"/>
      <c r="K29" s="318"/>
      <c r="L29" s="318"/>
      <c r="M29" s="318"/>
    </row>
    <row r="30" spans="2:19">
      <c r="B30" s="1032" t="s">
        <v>97</v>
      </c>
      <c r="C30" s="1064">
        <v>2000</v>
      </c>
      <c r="D30" s="1029">
        <v>2000</v>
      </c>
      <c r="E30" s="1189">
        <f>C30+D30</f>
        <v>4000</v>
      </c>
      <c r="F30" s="1046"/>
      <c r="G30" s="340"/>
      <c r="H30" s="340"/>
      <c r="I30" s="318"/>
      <c r="J30" s="318"/>
      <c r="K30" s="318"/>
      <c r="L30" s="318"/>
      <c r="M30" s="318"/>
    </row>
    <row r="31" spans="2:19">
      <c r="B31" s="1028" t="s">
        <v>110</v>
      </c>
      <c r="C31" s="1064"/>
      <c r="D31" s="1073"/>
      <c r="E31" s="1066"/>
      <c r="F31" s="1046"/>
      <c r="G31" s="340"/>
      <c r="H31" s="340"/>
      <c r="I31" s="329"/>
      <c r="J31" s="318"/>
      <c r="K31" s="318"/>
      <c r="L31" s="318"/>
      <c r="M31" s="318"/>
    </row>
    <row r="32" spans="2:19" ht="15">
      <c r="B32" s="1029" t="s">
        <v>112</v>
      </c>
      <c r="C32" s="2444">
        <v>0</v>
      </c>
      <c r="D32" s="2442">
        <v>0</v>
      </c>
      <c r="E32" s="2443"/>
      <c r="F32" s="1046"/>
      <c r="G32" s="340"/>
      <c r="H32" s="340"/>
      <c r="I32" s="329"/>
    </row>
    <row r="33" spans="1:10">
      <c r="B33" s="1032" t="s">
        <v>113</v>
      </c>
      <c r="C33" s="1059">
        <f>SUM(C30:C32)</f>
        <v>2000</v>
      </c>
      <c r="D33" s="1040">
        <f>SUM(D30:D32)</f>
        <v>2000</v>
      </c>
      <c r="E33" s="1078">
        <f>SUM(C33:D33)</f>
        <v>4000</v>
      </c>
      <c r="F33" s="1046"/>
      <c r="G33" s="340"/>
      <c r="H33" s="340"/>
      <c r="I33" s="329"/>
    </row>
    <row r="34" spans="1:10">
      <c r="B34" s="1029"/>
      <c r="C34" s="1064"/>
      <c r="D34" s="1029"/>
      <c r="E34" s="1054"/>
      <c r="F34" s="1046"/>
      <c r="G34" s="340"/>
      <c r="H34" s="340"/>
      <c r="I34" s="329"/>
    </row>
    <row r="35" spans="1:10">
      <c r="A35" s="1840" t="s">
        <v>276</v>
      </c>
      <c r="B35" s="1032" t="s">
        <v>98</v>
      </c>
      <c r="C35" s="1059"/>
      <c r="D35" s="1074"/>
      <c r="E35" s="1078">
        <f>SUM(C35:D35)</f>
        <v>0</v>
      </c>
      <c r="F35" s="1046"/>
      <c r="G35" s="340"/>
      <c r="H35" s="340"/>
      <c r="I35" s="329"/>
    </row>
    <row r="36" spans="1:10">
      <c r="A36" s="1808" t="s">
        <v>277</v>
      </c>
      <c r="B36" s="1029"/>
      <c r="C36" s="1064"/>
      <c r="D36" s="1029"/>
      <c r="E36" s="1054"/>
      <c r="F36" s="1046"/>
      <c r="G36" s="341"/>
      <c r="H36" s="340"/>
      <c r="I36" s="329"/>
    </row>
    <row r="37" spans="1:10" ht="25.5">
      <c r="A37" s="1840" t="s">
        <v>133</v>
      </c>
      <c r="B37" s="1032" t="s">
        <v>10</v>
      </c>
      <c r="C37" s="1169">
        <f>ROUND(SUM(C17:C18)*F37, -2)</f>
        <v>191000</v>
      </c>
      <c r="D37" s="1168">
        <f>ROUND(SUM(D17:D18)*F38, -2)</f>
        <v>194800</v>
      </c>
      <c r="E37" s="1078">
        <f>SUM(C37:D37)</f>
        <v>385800</v>
      </c>
      <c r="F37" s="2805">
        <v>0.66700000000000004</v>
      </c>
      <c r="G37" s="2827" t="s">
        <v>725</v>
      </c>
      <c r="H37" s="340"/>
      <c r="I37" s="329"/>
    </row>
    <row r="38" spans="1:10">
      <c r="A38" s="1867" t="s">
        <v>31</v>
      </c>
      <c r="B38" s="1029"/>
      <c r="C38" s="1064"/>
      <c r="D38" s="1047"/>
      <c r="E38" s="1065"/>
      <c r="F38" s="2805">
        <v>0.68</v>
      </c>
      <c r="G38" s="2803" t="s">
        <v>726</v>
      </c>
      <c r="H38" s="340"/>
      <c r="I38" s="329"/>
    </row>
    <row r="39" spans="1:10">
      <c r="B39" s="1030" t="s">
        <v>12</v>
      </c>
      <c r="C39" s="1064">
        <v>10000</v>
      </c>
      <c r="D39" s="1047">
        <v>10000</v>
      </c>
      <c r="E39" s="1065">
        <f>C39+D39</f>
        <v>20000</v>
      </c>
      <c r="F39" s="1860"/>
      <c r="G39" s="319"/>
      <c r="H39" s="340"/>
      <c r="I39" s="325"/>
    </row>
    <row r="40" spans="1:10">
      <c r="B40" s="1081" t="s">
        <v>91</v>
      </c>
      <c r="C40" s="1061"/>
      <c r="D40" s="1048"/>
      <c r="E40" s="1062"/>
      <c r="F40" s="1046"/>
      <c r="G40" s="319"/>
      <c r="H40" s="340"/>
      <c r="I40" s="325"/>
    </row>
    <row r="41" spans="1:10">
      <c r="B41" s="1193" t="s">
        <v>533</v>
      </c>
      <c r="C41" s="1057"/>
      <c r="D41" s="1048"/>
      <c r="E41" s="1062"/>
      <c r="F41" s="1046"/>
      <c r="G41" s="319"/>
      <c r="H41" s="340"/>
      <c r="I41" s="325"/>
    </row>
    <row r="42" spans="1:10">
      <c r="B42" s="1082" t="s">
        <v>114</v>
      </c>
      <c r="C42" s="1057"/>
      <c r="D42" s="1048"/>
      <c r="E42" s="1062"/>
      <c r="F42" s="1046"/>
      <c r="G42" s="319"/>
      <c r="H42" s="340"/>
      <c r="I42" s="325"/>
    </row>
    <row r="43" spans="1:10">
      <c r="B43" s="1082" t="s">
        <v>115</v>
      </c>
      <c r="C43" s="1057"/>
      <c r="D43" s="1048"/>
      <c r="E43" s="1062"/>
      <c r="F43" s="1046"/>
      <c r="G43" s="319"/>
      <c r="H43" s="340"/>
      <c r="I43" s="325"/>
    </row>
    <row r="44" spans="1:10">
      <c r="B44" s="1193" t="s">
        <v>554</v>
      </c>
      <c r="C44" s="1057"/>
      <c r="D44" s="1048"/>
      <c r="E44" s="1062"/>
      <c r="F44" s="1046"/>
      <c r="G44" s="319"/>
      <c r="H44" s="340"/>
      <c r="I44" s="325"/>
    </row>
    <row r="45" spans="1:10" ht="15">
      <c r="B45" s="1079" t="s">
        <v>92</v>
      </c>
      <c r="C45" s="2441"/>
      <c r="D45" s="2445"/>
      <c r="E45" s="2446"/>
      <c r="F45" s="1046"/>
      <c r="G45" s="319"/>
      <c r="H45" s="340"/>
      <c r="I45" s="325"/>
    </row>
    <row r="46" spans="1:10" ht="15">
      <c r="B46" s="1082" t="s">
        <v>116</v>
      </c>
      <c r="C46" s="2441">
        <v>60000</v>
      </c>
      <c r="D46" s="2445"/>
      <c r="E46" s="2446">
        <v>0</v>
      </c>
      <c r="F46" s="1046"/>
      <c r="G46" s="319"/>
      <c r="H46" s="340"/>
      <c r="I46" s="325"/>
    </row>
    <row r="47" spans="1:10">
      <c r="B47" s="1193"/>
      <c r="C47" s="1182"/>
      <c r="D47" s="1181"/>
      <c r="E47" s="1184"/>
      <c r="F47" s="1180"/>
      <c r="G47" s="1179"/>
      <c r="H47" s="340"/>
      <c r="I47" s="325"/>
    </row>
    <row r="48" spans="1:10">
      <c r="B48" s="1042" t="s">
        <v>117</v>
      </c>
      <c r="C48" s="1058">
        <f>SUM(C39:C47)</f>
        <v>70000</v>
      </c>
      <c r="D48" s="1044">
        <f>SUM(D39:D47)</f>
        <v>10000</v>
      </c>
      <c r="E48" s="1063">
        <f>SUM(C48:D48)</f>
        <v>80000</v>
      </c>
      <c r="F48" s="1046"/>
      <c r="G48" s="319"/>
      <c r="H48" s="340"/>
      <c r="I48" s="325"/>
      <c r="J48" s="318"/>
    </row>
    <row r="49" spans="2:10">
      <c r="B49" s="1035"/>
      <c r="C49" s="1089"/>
      <c r="D49" s="1090"/>
      <c r="E49" s="1091"/>
      <c r="F49" s="1046"/>
      <c r="G49" s="341"/>
      <c r="H49" s="340"/>
      <c r="I49" s="325"/>
      <c r="J49" s="318"/>
    </row>
    <row r="50" spans="2:10" ht="13.5" thickBot="1">
      <c r="B50" s="1042" t="s">
        <v>118</v>
      </c>
      <c r="C50" s="1086">
        <f>C14+C17+C18+C26+C28+C33+C35+C37+C48</f>
        <v>1857369</v>
      </c>
      <c r="D50" s="1087">
        <f>D14+D17+D18+D26+D28+D33+D35+D37+D48</f>
        <v>1801285.73</v>
      </c>
      <c r="E50" s="1088">
        <f>SUM(C50:D50)</f>
        <v>3658654.73</v>
      </c>
      <c r="F50" s="1046"/>
      <c r="G50" s="341"/>
      <c r="H50" s="340"/>
      <c r="I50" s="325"/>
      <c r="J50" s="318"/>
    </row>
    <row r="51" spans="2:10">
      <c r="B51" s="1031"/>
      <c r="C51" s="1048"/>
      <c r="D51" s="1048"/>
      <c r="E51" s="1048"/>
      <c r="F51" s="1046"/>
      <c r="G51" s="341"/>
      <c r="H51" s="340"/>
      <c r="I51" s="325"/>
      <c r="J51" s="318"/>
    </row>
    <row r="52" spans="2:10" ht="15">
      <c r="B52" s="1032" t="s">
        <v>136</v>
      </c>
      <c r="C52" s="1072">
        <v>2016</v>
      </c>
      <c r="D52" s="1072">
        <v>2017</v>
      </c>
      <c r="E52" s="1072" t="s">
        <v>23</v>
      </c>
      <c r="F52" s="1046"/>
      <c r="G52" s="341"/>
      <c r="H52" s="340"/>
      <c r="I52" s="325"/>
      <c r="J52" s="318"/>
    </row>
    <row r="53" spans="2:10" ht="20.25" customHeight="1">
      <c r="B53" s="1320"/>
      <c r="C53" s="1068"/>
      <c r="D53" s="1049"/>
      <c r="E53" s="1069"/>
      <c r="F53" s="1028"/>
      <c r="G53" s="341"/>
      <c r="H53" s="340"/>
      <c r="I53" s="325"/>
      <c r="J53" s="318"/>
    </row>
    <row r="54" spans="2:10">
      <c r="B54" s="1192" t="s">
        <v>527</v>
      </c>
      <c r="C54" s="1068">
        <v>340000</v>
      </c>
      <c r="D54" s="1049">
        <v>375000</v>
      </c>
      <c r="E54" s="1069">
        <f>C54+D54</f>
        <v>715000</v>
      </c>
      <c r="F54" s="1041" t="s">
        <v>1620</v>
      </c>
      <c r="G54" s="341"/>
      <c r="H54" s="342"/>
      <c r="I54" s="330"/>
      <c r="J54" s="321"/>
    </row>
    <row r="55" spans="2:10">
      <c r="B55" s="1192" t="s">
        <v>555</v>
      </c>
      <c r="C55" s="1068"/>
      <c r="D55" s="1049"/>
      <c r="E55" s="1191">
        <f>C55+D55</f>
        <v>0</v>
      </c>
      <c r="F55" s="1041"/>
      <c r="G55" s="341"/>
      <c r="H55" s="342"/>
      <c r="I55" s="330"/>
      <c r="J55" s="321"/>
    </row>
    <row r="56" spans="2:10">
      <c r="B56" s="1192" t="s">
        <v>556</v>
      </c>
      <c r="C56" s="1068"/>
      <c r="D56" s="1049"/>
      <c r="E56" s="1191">
        <f>C56+D56</f>
        <v>0</v>
      </c>
      <c r="F56" s="1041"/>
      <c r="G56" s="341"/>
      <c r="H56" s="342"/>
      <c r="I56" s="330"/>
      <c r="J56" s="321"/>
    </row>
    <row r="57" spans="2:10" ht="23.25" customHeight="1">
      <c r="B57" s="1319"/>
      <c r="C57" s="1068"/>
      <c r="D57" s="1049"/>
      <c r="E57" s="1069"/>
      <c r="F57" s="1041"/>
      <c r="G57" s="341"/>
      <c r="H57" s="342"/>
      <c r="I57" s="330"/>
      <c r="J57" s="321"/>
    </row>
    <row r="58" spans="2:10" ht="15">
      <c r="B58" s="1080" t="s">
        <v>116</v>
      </c>
      <c r="C58" s="2455">
        <v>15000</v>
      </c>
      <c r="D58" s="2456">
        <v>0</v>
      </c>
      <c r="E58" s="2457">
        <f>C58+D58</f>
        <v>15000</v>
      </c>
      <c r="F58" s="1041"/>
      <c r="G58" s="341"/>
      <c r="H58" s="342"/>
      <c r="I58" s="330"/>
      <c r="J58" s="321"/>
    </row>
    <row r="59" spans="2:10" s="1164" customFormat="1">
      <c r="B59" s="1192"/>
      <c r="C59" s="1190"/>
      <c r="D59" s="1187"/>
      <c r="E59" s="1191"/>
      <c r="F59" s="1186"/>
      <c r="G59" s="517"/>
      <c r="H59" s="518"/>
      <c r="I59" s="515"/>
      <c r="J59" s="1185"/>
    </row>
    <row r="60" spans="2:10">
      <c r="B60" s="1030" t="s">
        <v>121</v>
      </c>
      <c r="C60" s="1060">
        <f>SUM(C53:C59)</f>
        <v>355000</v>
      </c>
      <c r="D60" s="1070">
        <f>SUM(D53:D59)</f>
        <v>375000</v>
      </c>
      <c r="E60" s="1071">
        <f>SUM(C60:D60)</f>
        <v>730000</v>
      </c>
      <c r="F60" s="1044" t="s">
        <v>81</v>
      </c>
      <c r="G60" s="340"/>
      <c r="H60" s="331"/>
      <c r="I60" s="331"/>
      <c r="J60" s="321"/>
    </row>
    <row r="61" spans="2:10">
      <c r="B61" s="1028"/>
      <c r="C61" s="1048"/>
      <c r="D61" s="1048"/>
      <c r="E61" s="1048"/>
      <c r="F61" s="1043"/>
      <c r="G61" s="340"/>
      <c r="H61" s="331"/>
      <c r="I61" s="331"/>
      <c r="J61" s="321"/>
    </row>
    <row r="62" spans="2:10">
      <c r="B62" s="1050" t="s">
        <v>122</v>
      </c>
      <c r="C62" s="1075">
        <f>C60/E60</f>
        <v>0.4863013698630137</v>
      </c>
      <c r="D62" s="1075">
        <f>D60/E60</f>
        <v>0.51369863013698636</v>
      </c>
      <c r="E62" s="1043"/>
      <c r="F62" s="1043"/>
      <c r="G62" s="342"/>
      <c r="H62" s="331"/>
      <c r="I62" s="331"/>
      <c r="J62" s="321"/>
    </row>
    <row r="63" spans="2:10">
      <c r="B63" s="344"/>
      <c r="C63" s="354"/>
      <c r="D63" s="354"/>
      <c r="E63" s="331"/>
      <c r="F63" s="331"/>
      <c r="G63" s="331"/>
      <c r="H63" s="331"/>
      <c r="I63" s="331"/>
      <c r="J63" s="321"/>
    </row>
    <row r="64" spans="2:10">
      <c r="B64" s="318"/>
      <c r="C64" s="331"/>
      <c r="D64" s="331"/>
      <c r="E64" s="331"/>
      <c r="F64" s="342"/>
      <c r="G64" s="331"/>
      <c r="H64" s="331"/>
      <c r="I64" s="331"/>
      <c r="J64" s="321"/>
    </row>
    <row r="65" spans="2:10" ht="20.25">
      <c r="B65" s="323"/>
      <c r="C65" s="332"/>
      <c r="D65" s="332"/>
      <c r="E65" s="332"/>
      <c r="F65" s="342"/>
      <c r="G65" s="331"/>
      <c r="H65" s="331"/>
      <c r="I65" s="331"/>
      <c r="J65" s="321"/>
    </row>
    <row r="66" spans="2:10">
      <c r="B66" s="321"/>
      <c r="C66" s="321"/>
      <c r="D66" s="321"/>
      <c r="E66" s="321"/>
      <c r="F66" s="342"/>
      <c r="G66" s="331"/>
      <c r="H66" s="342"/>
      <c r="I66" s="331"/>
      <c r="J66" s="321"/>
    </row>
    <row r="85" spans="2:6">
      <c r="B85" s="3624"/>
      <c r="C85" s="3624"/>
      <c r="D85" s="3624"/>
      <c r="E85" s="3624"/>
      <c r="F85" s="3624"/>
    </row>
    <row r="86" spans="2:6">
      <c r="B86" s="3624"/>
      <c r="C86" s="3624"/>
      <c r="D86" s="3624"/>
      <c r="E86" s="3624"/>
      <c r="F86" s="3624"/>
    </row>
    <row r="87" spans="2:6">
      <c r="B87" s="3624"/>
      <c r="C87" s="3624"/>
      <c r="D87" s="3624"/>
      <c r="E87" s="3624"/>
      <c r="F87" s="3624"/>
    </row>
    <row r="88" spans="2:6">
      <c r="B88" s="3624"/>
      <c r="C88" s="3624"/>
      <c r="D88" s="3624"/>
      <c r="E88" s="3624"/>
      <c r="F88" s="3624"/>
    </row>
    <row r="89" spans="2:6">
      <c r="B89" s="3624"/>
      <c r="C89" s="3624"/>
      <c r="D89" s="3624"/>
      <c r="E89" s="3624"/>
      <c r="F89" s="3624"/>
    </row>
    <row r="90" spans="2:6">
      <c r="B90" s="3624"/>
      <c r="C90" s="3624"/>
      <c r="D90" s="3624"/>
      <c r="E90" s="3624"/>
      <c r="F90" s="3624"/>
    </row>
    <row r="109" spans="9:11">
      <c r="I109" s="3624"/>
      <c r="J109" s="3624"/>
      <c r="K109" s="3624"/>
    </row>
    <row r="110" spans="9:11">
      <c r="I110" s="3624"/>
      <c r="J110" s="3624"/>
      <c r="K110" s="3624"/>
    </row>
    <row r="111" spans="9:11">
      <c r="I111" s="3624"/>
      <c r="J111" s="3624"/>
      <c r="K111" s="3624"/>
    </row>
    <row r="112" spans="9:11">
      <c r="I112" s="3624"/>
      <c r="J112" s="3624"/>
      <c r="K112" s="3624"/>
    </row>
    <row r="113" spans="9:11">
      <c r="I113" s="3624"/>
      <c r="J113" s="3624"/>
      <c r="K113" s="3624"/>
    </row>
    <row r="114" spans="9:11">
      <c r="I114" s="3624"/>
      <c r="J114" s="3624"/>
      <c r="K114" s="3624"/>
    </row>
  </sheetData>
  <customSheetViews>
    <customSheetView guid="{074EB09C-6289-46D7-9513-012B68BCA7BF}" showGridLines="0">
      <pane xSplit="1" ySplit="1" topLeftCell="C8" activePane="bottomRight" state="frozen"/>
      <selection pane="bottomRight" activeCell="F16" sqref="F16:H18"/>
      <pageMargins left="0.27" right="0.32" top="0.41" bottom="0.75" header="0.3" footer="0.3"/>
      <pageSetup paperSize="17" scale="65" orientation="landscape" r:id="rId1"/>
    </customSheetView>
    <customSheetView guid="{D9EFFE19-D14B-4C6F-BDF4-FF696F73968D}" showGridLines="0">
      <pane xSplit="1" ySplit="1" topLeftCell="B2" activePane="bottomRight" state="frozen"/>
      <selection pane="bottomRight" activeCell="D38" sqref="D38"/>
      <pageMargins left="0.27" right="0.32" top="0.41" bottom="0.75" header="0.3" footer="0.3"/>
      <pageSetup paperSize="17" scale="65" orientation="landscape" r:id="rId2"/>
    </customSheetView>
  </customSheetViews>
  <mergeCells count="11">
    <mergeCell ref="I114:K114"/>
    <mergeCell ref="I109:K110"/>
    <mergeCell ref="I111:K111"/>
    <mergeCell ref="I112:K112"/>
    <mergeCell ref="I113:K113"/>
    <mergeCell ref="B85:F85"/>
    <mergeCell ref="B90:F90"/>
    <mergeCell ref="B86:F86"/>
    <mergeCell ref="B87:F87"/>
    <mergeCell ref="B88:F88"/>
    <mergeCell ref="B89:F89"/>
  </mergeCells>
  <pageMargins left="0.27" right="0.32" top="0.41" bottom="0.75" header="0.3" footer="0.3"/>
  <pageSetup paperSize="17" scale="65" orientation="landscape" r:id="rId3"/>
  <ignoredErrors>
    <ignoredError sqref="C60:E60" formulaRange="1"/>
  </ignoredErrors>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ABF8F"/>
  </sheetPr>
  <dimension ref="A1:S113"/>
  <sheetViews>
    <sheetView showGridLines="0" zoomScaleNormal="100" workbookViewId="0">
      <pane xSplit="1" ySplit="1" topLeftCell="B2" activePane="bottomRight" state="frozen"/>
      <selection pane="topRight" activeCell="B1" sqref="B1"/>
      <selection pane="bottomLeft" activeCell="A2" sqref="A2"/>
      <selection pane="bottomRight" activeCell="B10" sqref="B10"/>
    </sheetView>
  </sheetViews>
  <sheetFormatPr defaultColWidth="56.140625" defaultRowHeight="12.75"/>
  <cols>
    <col min="1" max="1" width="18" style="1164" customWidth="1"/>
    <col min="3" max="4" width="19.42578125" customWidth="1"/>
    <col min="5" max="5" width="16.5703125" customWidth="1"/>
    <col min="6" max="6" width="19.140625" customWidth="1"/>
    <col min="7" max="8" width="21.7109375" customWidth="1"/>
    <col min="9" max="9" width="21.5703125" customWidth="1"/>
    <col min="10" max="10" width="22.85546875" customWidth="1"/>
    <col min="11" max="11" width="20.5703125" customWidth="1"/>
    <col min="12" max="12" width="20.85546875" customWidth="1"/>
    <col min="13" max="13" width="23.140625" customWidth="1"/>
    <col min="14" max="14" width="20.42578125" customWidth="1"/>
    <col min="15" max="19" width="22.85546875" customWidth="1"/>
  </cols>
  <sheetData>
    <row r="1" spans="1:19" ht="56.25" customHeight="1">
      <c r="B1" s="1840" t="s">
        <v>273</v>
      </c>
      <c r="C1" s="1808" t="s">
        <v>274</v>
      </c>
      <c r="D1" s="1840" t="s">
        <v>138</v>
      </c>
      <c r="E1" s="1839" t="s">
        <v>31</v>
      </c>
      <c r="H1" s="1808"/>
      <c r="I1" s="432"/>
      <c r="J1" s="410"/>
      <c r="K1" s="1840" t="s">
        <v>273</v>
      </c>
      <c r="L1" s="1808" t="s">
        <v>274</v>
      </c>
      <c r="M1" s="1840" t="s">
        <v>138</v>
      </c>
      <c r="N1" s="1839" t="s">
        <v>31</v>
      </c>
    </row>
    <row r="2" spans="1:19" ht="20.25">
      <c r="B2" s="418"/>
      <c r="C2" s="431"/>
      <c r="D2" s="431"/>
      <c r="E2" s="431"/>
      <c r="F2" s="431"/>
      <c r="G2" s="440"/>
      <c r="H2" s="432"/>
      <c r="I2" s="432"/>
      <c r="J2" s="410"/>
      <c r="K2" s="410"/>
      <c r="L2" s="410"/>
      <c r="M2" s="410"/>
      <c r="N2" s="410"/>
    </row>
    <row r="3" spans="1:19" ht="25.5">
      <c r="A3" s="1840" t="s">
        <v>273</v>
      </c>
      <c r="G3" s="1303"/>
      <c r="H3" s="414" t="s">
        <v>8</v>
      </c>
      <c r="I3" s="414" t="s">
        <v>9</v>
      </c>
      <c r="J3" s="414" t="s">
        <v>87</v>
      </c>
      <c r="K3" s="414" t="s">
        <v>11</v>
      </c>
      <c r="L3" s="509" t="s">
        <v>504</v>
      </c>
      <c r="M3" s="414" t="s">
        <v>12</v>
      </c>
      <c r="N3" s="414" t="s">
        <v>13</v>
      </c>
      <c r="O3" s="414" t="s">
        <v>14</v>
      </c>
      <c r="P3" s="414" t="s">
        <v>88</v>
      </c>
      <c r="Q3" s="509" t="s">
        <v>39</v>
      </c>
      <c r="R3" s="414" t="s">
        <v>16</v>
      </c>
      <c r="S3" s="2416" t="s">
        <v>40</v>
      </c>
    </row>
    <row r="4" spans="1:19" ht="15.75">
      <c r="A4" s="1808" t="s">
        <v>274</v>
      </c>
      <c r="G4" s="1704" t="s">
        <v>668</v>
      </c>
      <c r="H4" s="1693">
        <v>4300</v>
      </c>
      <c r="I4" s="1694">
        <v>2400</v>
      </c>
      <c r="J4" s="1694">
        <v>32100</v>
      </c>
      <c r="K4" s="1694">
        <v>8490</v>
      </c>
      <c r="L4" s="1694">
        <v>1060</v>
      </c>
      <c r="M4" s="1696">
        <v>16559</v>
      </c>
      <c r="N4" s="1695">
        <v>180</v>
      </c>
      <c r="O4" s="1695">
        <v>2447</v>
      </c>
      <c r="P4" s="2837">
        <v>500000</v>
      </c>
      <c r="Q4" s="2837"/>
      <c r="R4" s="2852">
        <v>606236</v>
      </c>
      <c r="S4" s="2859">
        <v>150000</v>
      </c>
    </row>
    <row r="5" spans="1:19" ht="25.5">
      <c r="A5" s="1840" t="s">
        <v>138</v>
      </c>
      <c r="G5" s="412">
        <v>2016</v>
      </c>
      <c r="H5" s="457">
        <f>C16</f>
        <v>47250</v>
      </c>
      <c r="I5" s="458">
        <f>C17</f>
        <v>1334</v>
      </c>
      <c r="J5" s="458">
        <f>C36</f>
        <v>32400</v>
      </c>
      <c r="K5" s="458">
        <f>C34</f>
        <v>9000</v>
      </c>
      <c r="L5" s="458">
        <f>C25</f>
        <v>1000</v>
      </c>
      <c r="M5" s="458">
        <f>C45</f>
        <v>12000</v>
      </c>
      <c r="N5" s="458">
        <f>C32</f>
        <v>1000</v>
      </c>
      <c r="O5" s="458">
        <f>C27</f>
        <v>2000</v>
      </c>
      <c r="P5" s="2838">
        <f>C13</f>
        <v>525000</v>
      </c>
      <c r="Q5" s="2838"/>
      <c r="R5" s="2841">
        <f>SUM(H5:P5)</f>
        <v>630984</v>
      </c>
      <c r="S5" s="2858">
        <f>C52</f>
        <v>157500</v>
      </c>
    </row>
    <row r="6" spans="1:19" ht="13.5" thickBot="1">
      <c r="A6" s="1839" t="s">
        <v>31</v>
      </c>
      <c r="G6" s="463">
        <v>2017</v>
      </c>
      <c r="H6" s="457">
        <f>D16</f>
        <v>51300</v>
      </c>
      <c r="I6" s="458">
        <f>D17</f>
        <v>1367.35</v>
      </c>
      <c r="J6" s="458">
        <f>D36</f>
        <v>35800</v>
      </c>
      <c r="K6" s="458">
        <f>D34</f>
        <v>9000</v>
      </c>
      <c r="L6" s="458">
        <f>D25</f>
        <v>1000</v>
      </c>
      <c r="M6" s="462">
        <f>D45</f>
        <v>12000</v>
      </c>
      <c r="N6" s="464">
        <f>D32</f>
        <v>1000</v>
      </c>
      <c r="O6" s="464">
        <f>D27</f>
        <v>2000</v>
      </c>
      <c r="P6" s="2839">
        <f>D13</f>
        <v>550000</v>
      </c>
      <c r="Q6" s="2839"/>
      <c r="R6" s="2853">
        <f>SUM(H6:P6)</f>
        <v>663467.35</v>
      </c>
      <c r="S6" s="2858">
        <f>D52</f>
        <v>165375</v>
      </c>
    </row>
    <row r="7" spans="1:19" s="1569" customFormat="1" ht="13.5" thickBot="1">
      <c r="G7" s="1692" t="s">
        <v>55</v>
      </c>
      <c r="H7" s="2451">
        <f>SUM(H5:H6)</f>
        <v>98550</v>
      </c>
      <c r="I7" s="2450">
        <f t="shared" ref="I7:P7" si="0">SUM(I5:I6)</f>
        <v>2701.35</v>
      </c>
      <c r="J7" s="2450">
        <f t="shared" si="0"/>
        <v>68200</v>
      </c>
      <c r="K7" s="2450">
        <f t="shared" si="0"/>
        <v>18000</v>
      </c>
      <c r="L7" s="2450">
        <f t="shared" si="0"/>
        <v>2000</v>
      </c>
      <c r="M7" s="2450">
        <f t="shared" si="0"/>
        <v>24000</v>
      </c>
      <c r="N7" s="2450">
        <f t="shared" si="0"/>
        <v>2000</v>
      </c>
      <c r="O7" s="2450">
        <f t="shared" si="0"/>
        <v>4000</v>
      </c>
      <c r="P7" s="2450">
        <f t="shared" si="0"/>
        <v>1075000</v>
      </c>
      <c r="Q7" s="2450"/>
      <c r="R7" s="2452">
        <f>SUM(R5:R6)</f>
        <v>1294451.3500000001</v>
      </c>
      <c r="S7" s="2855">
        <f>SUM(S5:S6)</f>
        <v>322875</v>
      </c>
    </row>
    <row r="8" spans="1:19" ht="20.25">
      <c r="A8" s="1808"/>
      <c r="B8" s="418"/>
      <c r="C8" s="431"/>
      <c r="D8" s="431"/>
      <c r="E8" s="431"/>
      <c r="F8" s="431"/>
      <c r="G8" s="440"/>
      <c r="H8" s="432"/>
      <c r="I8" s="432"/>
      <c r="J8" s="410"/>
      <c r="K8" s="410"/>
      <c r="L8" s="410"/>
      <c r="M8" s="1093"/>
      <c r="N8" s="421"/>
    </row>
    <row r="9" spans="1:19" ht="18">
      <c r="A9" s="1808"/>
      <c r="C9" s="440"/>
      <c r="D9" s="440"/>
      <c r="E9" s="440"/>
      <c r="F9" s="430"/>
      <c r="G9" s="430"/>
      <c r="H9" s="430"/>
      <c r="I9" s="430"/>
      <c r="J9" s="410"/>
      <c r="K9" s="410"/>
      <c r="L9" s="410"/>
      <c r="M9" s="410"/>
      <c r="N9" s="410"/>
    </row>
    <row r="10" spans="1:19" ht="18">
      <c r="A10" s="1808"/>
      <c r="B10" s="419"/>
      <c r="C10" s="459">
        <v>2016</v>
      </c>
      <c r="D10" s="460">
        <v>2017</v>
      </c>
      <c r="E10" s="461" t="s">
        <v>23</v>
      </c>
      <c r="F10" s="424"/>
      <c r="G10" s="424"/>
      <c r="H10" s="424"/>
      <c r="I10" s="1446"/>
      <c r="J10" s="1437"/>
      <c r="K10" s="1437"/>
      <c r="L10" s="421"/>
      <c r="M10" s="465"/>
      <c r="N10" s="410"/>
    </row>
    <row r="11" spans="1:19">
      <c r="A11" s="1808"/>
      <c r="B11" s="1319"/>
      <c r="C11" s="2431"/>
      <c r="D11" s="2430"/>
      <c r="E11" s="1085">
        <f>SUM(C11:D11)</f>
        <v>0</v>
      </c>
      <c r="F11" s="1104"/>
      <c r="G11" s="424"/>
      <c r="H11" s="424"/>
      <c r="I11" s="1438"/>
      <c r="J11" s="1439"/>
      <c r="K11" s="1437"/>
      <c r="L11" s="410"/>
      <c r="M11" s="410"/>
      <c r="N11" s="410"/>
    </row>
    <row r="12" spans="1:19" ht="19.5">
      <c r="A12" s="1808"/>
      <c r="B12" s="1099"/>
      <c r="C12" s="2447">
        <v>525000</v>
      </c>
      <c r="D12" s="2448">
        <v>550000</v>
      </c>
      <c r="E12" s="2449">
        <f>SUM(C12:D12)</f>
        <v>1075000</v>
      </c>
      <c r="F12" s="1104"/>
      <c r="G12" s="424"/>
      <c r="H12" s="424"/>
      <c r="I12" s="1438"/>
      <c r="J12" s="1440"/>
      <c r="K12" s="1437"/>
      <c r="L12" s="410"/>
      <c r="M12" s="410"/>
      <c r="N12" s="410"/>
    </row>
    <row r="13" spans="1:19" s="2177" customFormat="1" ht="18">
      <c r="A13" s="2413"/>
      <c r="B13" s="1127"/>
      <c r="C13" s="2427">
        <f>SUM(C11:C12)</f>
        <v>525000</v>
      </c>
      <c r="D13" s="2429">
        <f>SUM(D11:D12)</f>
        <v>550000</v>
      </c>
      <c r="E13" s="2428">
        <f>SUM(E11:E12)</f>
        <v>1075000</v>
      </c>
      <c r="F13" s="2433"/>
      <c r="G13" s="2433"/>
      <c r="H13" s="2433"/>
      <c r="I13" s="1465"/>
      <c r="J13" s="1468"/>
      <c r="K13" s="1462"/>
      <c r="L13" s="2412"/>
      <c r="M13" s="2412"/>
      <c r="N13" s="2412"/>
    </row>
    <row r="14" spans="1:19" s="2177" customFormat="1" ht="18">
      <c r="A14" s="3123"/>
      <c r="B14" s="1127"/>
      <c r="C14" s="2427"/>
      <c r="D14" s="2429"/>
      <c r="E14" s="2428"/>
      <c r="F14" s="2433"/>
      <c r="G14" s="2433"/>
      <c r="H14" s="2433"/>
      <c r="I14" s="1465"/>
      <c r="J14" s="1468"/>
      <c r="K14" s="1462"/>
      <c r="L14" s="3122"/>
      <c r="M14" s="3122"/>
      <c r="N14" s="3122"/>
    </row>
    <row r="15" spans="1:19">
      <c r="B15" s="1098" t="s">
        <v>93</v>
      </c>
      <c r="C15" s="1146">
        <f>SUM(C16:C17)</f>
        <v>48584</v>
      </c>
      <c r="D15" s="3137">
        <f>SUM(D16:D17)</f>
        <v>52667.35</v>
      </c>
      <c r="E15" s="2408">
        <f>C15+D15</f>
        <v>101251.35</v>
      </c>
      <c r="F15" s="3162">
        <v>2016</v>
      </c>
      <c r="G15" s="3163">
        <v>2017</v>
      </c>
      <c r="H15" s="1463"/>
      <c r="I15" s="1438"/>
      <c r="J15" s="1440"/>
      <c r="K15" s="1434"/>
      <c r="L15" s="410"/>
      <c r="M15" s="410"/>
      <c r="N15" s="410"/>
    </row>
    <row r="16" spans="1:19">
      <c r="B16" s="1103" t="s">
        <v>95</v>
      </c>
      <c r="C16" s="1120">
        <v>47250</v>
      </c>
      <c r="D16" s="1175">
        <v>51300</v>
      </c>
      <c r="E16" s="915">
        <f>SUM(C16:D16)</f>
        <v>98550</v>
      </c>
      <c r="F16" s="1137">
        <v>0.5</v>
      </c>
      <c r="G16" s="2177">
        <v>0.6</v>
      </c>
      <c r="H16" s="738" t="s">
        <v>96</v>
      </c>
      <c r="I16" s="1465"/>
      <c r="J16" s="1436"/>
      <c r="K16" s="1434"/>
      <c r="L16" s="410"/>
      <c r="M16" s="410"/>
      <c r="N16" s="410"/>
    </row>
    <row r="17" spans="2:19">
      <c r="B17" s="1103" t="s">
        <v>99</v>
      </c>
      <c r="C17" s="1120">
        <v>1334</v>
      </c>
      <c r="D17" s="1175">
        <v>1367.35</v>
      </c>
      <c r="E17" s="915">
        <f>SUM(C17:D17)</f>
        <v>2701.35</v>
      </c>
      <c r="F17" s="2177">
        <v>0</v>
      </c>
      <c r="G17" s="2177">
        <v>0</v>
      </c>
      <c r="H17" s="738" t="s">
        <v>96</v>
      </c>
      <c r="I17" s="1438"/>
      <c r="J17" s="1436"/>
      <c r="K17" s="1434"/>
      <c r="L17" s="410"/>
      <c r="M17" s="410"/>
      <c r="N17" s="410"/>
    </row>
    <row r="18" spans="2:19">
      <c r="B18" s="1103"/>
      <c r="C18" s="3129"/>
      <c r="D18" s="3128"/>
      <c r="E18" s="3130"/>
      <c r="F18" s="1102"/>
      <c r="G18" s="423"/>
      <c r="H18" s="423"/>
      <c r="I18" s="1438"/>
      <c r="J18" s="1436"/>
      <c r="K18" s="1434"/>
      <c r="L18" s="410"/>
      <c r="M18" s="466"/>
    </row>
    <row r="19" spans="2:19">
      <c r="B19" s="1126" t="s">
        <v>506</v>
      </c>
      <c r="C19" s="3127">
        <v>1000</v>
      </c>
      <c r="D19" s="3128">
        <v>1000</v>
      </c>
      <c r="E19" s="915">
        <f>C19+D19</f>
        <v>2000</v>
      </c>
      <c r="F19" s="1101"/>
      <c r="G19" s="422"/>
      <c r="H19" s="423"/>
      <c r="I19" s="1438"/>
      <c r="J19" s="1436"/>
      <c r="K19" s="1434"/>
      <c r="L19" s="410"/>
      <c r="M19" s="410"/>
    </row>
    <row r="20" spans="2:19">
      <c r="B20" s="1092" t="s">
        <v>100</v>
      </c>
      <c r="C20" s="1182">
        <v>0</v>
      </c>
      <c r="D20" s="1175">
        <v>0</v>
      </c>
      <c r="E20" s="915">
        <f>SUM(C20:D20)</f>
        <v>0</v>
      </c>
      <c r="F20" s="1108"/>
      <c r="G20" s="433"/>
      <c r="H20" s="422"/>
      <c r="I20" s="1438"/>
      <c r="J20" s="1436"/>
      <c r="K20" s="1434"/>
      <c r="L20" s="410"/>
      <c r="M20" s="410"/>
      <c r="S20">
        <f>1095*3</f>
        <v>3285</v>
      </c>
    </row>
    <row r="21" spans="2:19">
      <c r="B21" s="1103" t="s">
        <v>101</v>
      </c>
      <c r="C21" s="3131"/>
      <c r="D21" s="1175"/>
      <c r="E21" s="915">
        <f>SUM(C21:D21)</f>
        <v>0</v>
      </c>
      <c r="F21" s="1092"/>
      <c r="G21" s="422"/>
      <c r="H21" s="433"/>
      <c r="I21" s="1438"/>
      <c r="J21" s="1445"/>
      <c r="K21" s="1434"/>
      <c r="L21" s="410"/>
      <c r="M21" s="410"/>
      <c r="S21">
        <f>S20/15</f>
        <v>219</v>
      </c>
    </row>
    <row r="22" spans="2:19">
      <c r="B22" s="1103" t="s">
        <v>104</v>
      </c>
      <c r="C22" s="1182">
        <v>0</v>
      </c>
      <c r="D22" s="1175">
        <v>0</v>
      </c>
      <c r="E22" s="915">
        <f>SUM(C22:D22)</f>
        <v>0</v>
      </c>
      <c r="F22" s="1101"/>
      <c r="G22" s="422"/>
      <c r="H22" s="422"/>
      <c r="I22" s="1434"/>
      <c r="J22" s="1435"/>
      <c r="K22" s="1434"/>
      <c r="L22" s="410"/>
      <c r="M22" s="410"/>
    </row>
    <row r="23" spans="2:19" s="2177" customFormat="1">
      <c r="B23" s="1130" t="s">
        <v>557</v>
      </c>
      <c r="C23" s="1182"/>
      <c r="D23" s="1175"/>
      <c r="E23" s="915">
        <f>SUM(C23:D23)</f>
        <v>0</v>
      </c>
      <c r="F23" s="1129"/>
      <c r="G23" s="513"/>
      <c r="H23" s="513"/>
      <c r="I23" s="1458"/>
      <c r="J23" s="1460"/>
      <c r="K23" s="1458"/>
      <c r="L23" s="2412"/>
      <c r="M23" s="2412"/>
    </row>
    <row r="24" spans="2:19" ht="15">
      <c r="B24" s="1103" t="s">
        <v>107</v>
      </c>
      <c r="C24" s="2441"/>
      <c r="D24" s="2442"/>
      <c r="E24" s="2443">
        <f>SUM(C24:D24)</f>
        <v>0</v>
      </c>
      <c r="F24" s="1101"/>
      <c r="G24" s="422"/>
      <c r="H24" s="434"/>
      <c r="I24" s="1438"/>
      <c r="J24" s="1450"/>
      <c r="K24" s="1434"/>
      <c r="L24" s="410"/>
      <c r="M24" s="410"/>
    </row>
    <row r="25" spans="2:19">
      <c r="B25" s="1092"/>
      <c r="C25" s="3139">
        <f>SUM(C19:C24)</f>
        <v>1000</v>
      </c>
      <c r="D25" s="2435">
        <f>SUM(D19:D24)</f>
        <v>1000</v>
      </c>
      <c r="E25" s="2408">
        <f>C25+D25</f>
        <v>2000</v>
      </c>
      <c r="F25" s="1101"/>
      <c r="G25" s="422"/>
      <c r="H25" s="434"/>
      <c r="I25" s="1443" t="s">
        <v>102</v>
      </c>
      <c r="J25" s="1448"/>
      <c r="K25" s="1441" t="s">
        <v>134</v>
      </c>
      <c r="L25" s="410"/>
      <c r="M25" s="410"/>
    </row>
    <row r="26" spans="2:19">
      <c r="B26" s="1094"/>
      <c r="C26" s="943"/>
      <c r="D26" s="3128"/>
      <c r="E26" s="3130"/>
      <c r="F26" s="1101"/>
      <c r="G26" s="422"/>
      <c r="H26" s="434"/>
      <c r="I26" s="1443" t="s">
        <v>105</v>
      </c>
      <c r="J26" s="1447"/>
      <c r="K26" s="1444" t="s">
        <v>135</v>
      </c>
      <c r="L26" s="410"/>
      <c r="M26" s="410"/>
    </row>
    <row r="27" spans="2:19">
      <c r="B27" s="1098" t="s">
        <v>94</v>
      </c>
      <c r="C27" s="3139">
        <v>2000</v>
      </c>
      <c r="D27" s="3140">
        <v>2000</v>
      </c>
      <c r="E27" s="2408">
        <f>SUM(C27:D27)</f>
        <v>4000</v>
      </c>
      <c r="F27" s="1101"/>
      <c r="G27" s="422"/>
      <c r="H27" s="434"/>
      <c r="I27" s="1443" t="s">
        <v>108</v>
      </c>
      <c r="J27" s="1447"/>
      <c r="K27" s="1444" t="s">
        <v>135</v>
      </c>
      <c r="L27" s="410"/>
      <c r="M27" s="410"/>
    </row>
    <row r="28" spans="2:19">
      <c r="B28" s="1094"/>
      <c r="C28" s="1182"/>
      <c r="D28" s="3133"/>
      <c r="E28" s="3130"/>
      <c r="F28" s="1101"/>
      <c r="G28" s="422"/>
      <c r="H28" s="434"/>
      <c r="I28" s="1442" t="s">
        <v>109</v>
      </c>
      <c r="J28" s="1449"/>
      <c r="K28" s="1444"/>
      <c r="L28" s="410"/>
      <c r="M28" s="410"/>
    </row>
    <row r="29" spans="2:19">
      <c r="B29" s="1097" t="s">
        <v>97</v>
      </c>
      <c r="C29" s="1182">
        <v>1000</v>
      </c>
      <c r="D29" s="3132">
        <v>1000</v>
      </c>
      <c r="E29" s="915">
        <f>C29+D29</f>
        <v>2000</v>
      </c>
      <c r="F29" s="1109"/>
      <c r="G29" s="434"/>
      <c r="H29" s="434"/>
      <c r="I29" s="428"/>
      <c r="J29" s="437"/>
      <c r="K29" s="429"/>
      <c r="L29" s="410"/>
      <c r="M29" s="410"/>
    </row>
    <row r="30" spans="2:19">
      <c r="B30" s="1092" t="s">
        <v>110</v>
      </c>
      <c r="C30" s="943"/>
      <c r="D30" s="1175"/>
      <c r="E30" s="915">
        <f>SUM(C30:D30)</f>
        <v>0</v>
      </c>
      <c r="F30" s="1109"/>
      <c r="G30" s="434"/>
      <c r="H30" s="434"/>
      <c r="I30" s="424"/>
      <c r="J30" s="410"/>
      <c r="K30" s="410"/>
      <c r="L30" s="410"/>
      <c r="M30" s="410"/>
    </row>
    <row r="31" spans="2:19" ht="15">
      <c r="B31" s="1094" t="s">
        <v>112</v>
      </c>
      <c r="C31" s="2444"/>
      <c r="D31" s="2442"/>
      <c r="E31" s="2443">
        <f>SUM(C31:D31)</f>
        <v>0</v>
      </c>
      <c r="F31" s="1109"/>
      <c r="G31" s="434"/>
      <c r="H31" s="434"/>
      <c r="I31" s="424"/>
      <c r="J31" s="410"/>
      <c r="K31" s="410"/>
      <c r="L31" s="410"/>
      <c r="M31" s="410"/>
    </row>
    <row r="32" spans="2:19">
      <c r="B32" s="1097" t="s">
        <v>113</v>
      </c>
      <c r="C32" s="3141">
        <f>SUM(C29:C31)</f>
        <v>1000</v>
      </c>
      <c r="D32" s="3142">
        <f>SUM(D29:D31)</f>
        <v>1000</v>
      </c>
      <c r="E32" s="2408">
        <f>SUM(E29:E31)</f>
        <v>2000</v>
      </c>
      <c r="F32" s="1109"/>
      <c r="G32" s="434"/>
      <c r="H32" s="434"/>
      <c r="I32" s="424"/>
      <c r="J32" s="410"/>
      <c r="K32" s="410"/>
      <c r="L32" s="410"/>
      <c r="M32" s="410"/>
    </row>
    <row r="33" spans="1:13">
      <c r="B33" s="1094"/>
      <c r="C33" s="1116"/>
      <c r="D33" s="1094"/>
      <c r="E33" s="1113"/>
      <c r="F33" s="1109"/>
      <c r="G33" s="434"/>
      <c r="H33" s="434"/>
      <c r="I33" s="424"/>
      <c r="J33" s="410"/>
      <c r="K33" s="410"/>
      <c r="L33" s="410"/>
      <c r="M33" s="410"/>
    </row>
    <row r="34" spans="1:13" ht="25.5">
      <c r="A34" s="1840" t="s">
        <v>273</v>
      </c>
      <c r="B34" s="1097" t="s">
        <v>98</v>
      </c>
      <c r="C34" s="3141">
        <v>9000</v>
      </c>
      <c r="D34" s="3143">
        <v>9000</v>
      </c>
      <c r="E34" s="2408">
        <f>SUM(C34:D34)</f>
        <v>18000</v>
      </c>
      <c r="F34" s="1109"/>
      <c r="G34" s="434"/>
      <c r="H34" s="434"/>
      <c r="I34" s="424"/>
    </row>
    <row r="35" spans="1:13">
      <c r="A35" s="1808" t="s">
        <v>274</v>
      </c>
      <c r="B35" s="1094"/>
      <c r="C35" s="1116"/>
      <c r="D35" s="1094"/>
      <c r="E35" s="1113"/>
      <c r="F35" s="1109"/>
      <c r="G35" s="435"/>
      <c r="H35" s="434"/>
      <c r="I35" s="424"/>
    </row>
    <row r="36" spans="1:13" ht="25.5">
      <c r="A36" s="1840" t="s">
        <v>138</v>
      </c>
      <c r="B36" s="1097" t="s">
        <v>10</v>
      </c>
      <c r="C36" s="1265">
        <f>ROUND(SUM(C16:C17)*F36, -2)</f>
        <v>32400</v>
      </c>
      <c r="D36" s="1264">
        <f>ROUND(SUM(D16:D17)*F37, -2)</f>
        <v>35800</v>
      </c>
      <c r="E36" s="2408">
        <f>SUM(C36:D36)</f>
        <v>68200</v>
      </c>
      <c r="F36" s="2805">
        <v>0.66700000000000004</v>
      </c>
      <c r="G36" s="2827" t="s">
        <v>725</v>
      </c>
      <c r="H36" s="434"/>
      <c r="I36" s="424"/>
    </row>
    <row r="37" spans="1:13">
      <c r="A37" s="1839" t="s">
        <v>31</v>
      </c>
      <c r="B37" s="1094"/>
      <c r="C37" s="1116"/>
      <c r="D37" s="1110"/>
      <c r="E37" s="1117"/>
      <c r="F37" s="2805">
        <v>0.68</v>
      </c>
      <c r="G37" s="2803" t="s">
        <v>726</v>
      </c>
      <c r="H37" s="434"/>
      <c r="I37" s="424"/>
    </row>
    <row r="38" spans="1:13">
      <c r="B38" s="1095" t="s">
        <v>12</v>
      </c>
      <c r="C38" s="1182">
        <v>12000</v>
      </c>
      <c r="D38" s="3134">
        <v>12000</v>
      </c>
      <c r="E38" s="1117">
        <f>C38+D38</f>
        <v>24000</v>
      </c>
      <c r="F38" s="1109"/>
      <c r="G38" s="411"/>
      <c r="H38" s="434"/>
      <c r="I38" s="420"/>
    </row>
    <row r="39" spans="1:13">
      <c r="B39" s="1107"/>
      <c r="C39" s="1114"/>
      <c r="D39" s="1111"/>
      <c r="E39" s="1115">
        <v>0</v>
      </c>
      <c r="F39" s="1109"/>
      <c r="G39" s="411"/>
      <c r="H39" s="434"/>
      <c r="I39" s="420"/>
    </row>
    <row r="40" spans="1:13">
      <c r="B40" s="2412" t="s">
        <v>558</v>
      </c>
      <c r="C40" s="1114"/>
      <c r="D40" s="1111"/>
      <c r="E40" s="1115">
        <f>SUM(C40:D40)</f>
        <v>0</v>
      </c>
      <c r="F40" s="1109"/>
      <c r="G40" s="411"/>
      <c r="H40" s="434"/>
      <c r="I40" s="420"/>
    </row>
    <row r="41" spans="1:13">
      <c r="B41" s="1135" t="s">
        <v>552</v>
      </c>
      <c r="C41" s="1114"/>
      <c r="D41" s="1111"/>
      <c r="E41" s="1188">
        <f>SUM(C41:D41)</f>
        <v>0</v>
      </c>
      <c r="F41" s="1109"/>
      <c r="G41" s="411"/>
      <c r="H41" s="434"/>
      <c r="I41" s="420"/>
    </row>
    <row r="42" spans="1:13">
      <c r="B42" s="1107" t="s">
        <v>126</v>
      </c>
      <c r="C42" s="1114"/>
      <c r="D42" s="1111"/>
      <c r="E42" s="1188">
        <f>SUM(C42:D42)</f>
        <v>0</v>
      </c>
      <c r="F42" s="1109"/>
      <c r="G42" s="435"/>
      <c r="H42" s="434"/>
      <c r="I42" s="420"/>
    </row>
    <row r="43" spans="1:13">
      <c r="B43" s="1135" t="s">
        <v>559</v>
      </c>
      <c r="C43" s="1114"/>
      <c r="D43" s="1111"/>
      <c r="E43" s="1188">
        <f>SUM(C43:D43)</f>
        <v>0</v>
      </c>
      <c r="F43" s="1109"/>
      <c r="G43" s="435"/>
      <c r="H43" s="434"/>
      <c r="I43" s="420"/>
    </row>
    <row r="44" spans="1:13" ht="15">
      <c r="B44" s="1135" t="s">
        <v>560</v>
      </c>
      <c r="C44" s="2441"/>
      <c r="D44" s="2445"/>
      <c r="E44" s="2446">
        <f>SUM(C44:D44)</f>
        <v>0</v>
      </c>
      <c r="F44" s="2434" t="s">
        <v>564</v>
      </c>
      <c r="G44" s="435"/>
      <c r="H44" s="434"/>
      <c r="I44" s="420"/>
    </row>
    <row r="45" spans="1:13">
      <c r="B45" s="1134" t="s">
        <v>561</v>
      </c>
      <c r="C45" s="3139">
        <f>SUM(C38:C44)</f>
        <v>12000</v>
      </c>
      <c r="D45" s="2435">
        <f>SUM(D38:D44)</f>
        <v>12000</v>
      </c>
      <c r="E45" s="3144">
        <f>SUM(E38:E44)</f>
        <v>24000</v>
      </c>
      <c r="F45" s="1109"/>
      <c r="G45" s="435"/>
      <c r="H45" s="434"/>
      <c r="I45" s="420"/>
    </row>
    <row r="46" spans="1:13" ht="13.5" thickBot="1">
      <c r="B46" s="1100"/>
      <c r="C46" s="1114"/>
      <c r="D46" s="1111"/>
      <c r="E46" s="1115"/>
      <c r="F46" s="1109"/>
      <c r="G46" s="435"/>
      <c r="H46" s="434"/>
      <c r="I46" s="420"/>
    </row>
    <row r="47" spans="1:13" ht="13.5" thickBot="1">
      <c r="B47" s="1105" t="s">
        <v>118</v>
      </c>
      <c r="C47" s="3136">
        <f>C13+C15+C25+C27+C32+C34+C36+C45</f>
        <v>630984</v>
      </c>
      <c r="D47" s="2405">
        <f>D13+D15+D25+D27+D32+D34+D36+D45</f>
        <v>663467.35</v>
      </c>
      <c r="E47" s="2426">
        <f>C47+D47</f>
        <v>1294451.3500000001</v>
      </c>
      <c r="F47" s="1109"/>
      <c r="G47" s="434"/>
      <c r="H47" s="434"/>
      <c r="I47" s="420"/>
    </row>
    <row r="48" spans="1:13">
      <c r="B48" s="1096"/>
      <c r="C48" s="1111"/>
      <c r="D48" s="1111"/>
      <c r="E48" s="1111"/>
      <c r="F48" s="1109"/>
      <c r="G48" s="434"/>
      <c r="H48" s="434"/>
      <c r="I48" s="420"/>
    </row>
    <row r="49" spans="2:10">
      <c r="B49" s="2412" t="s">
        <v>136</v>
      </c>
      <c r="C49" s="1118">
        <v>2016</v>
      </c>
      <c r="D49" s="1118">
        <v>2017</v>
      </c>
      <c r="E49" s="1118" t="s">
        <v>23</v>
      </c>
      <c r="F49" s="1092"/>
      <c r="G49" s="436"/>
      <c r="H49" s="434"/>
      <c r="I49" s="420"/>
      <c r="J49" s="410"/>
    </row>
    <row r="50" spans="2:10" ht="25.5">
      <c r="B50" s="2425" t="s">
        <v>562</v>
      </c>
      <c r="C50" s="2423">
        <v>157500</v>
      </c>
      <c r="D50" s="2423">
        <v>165375</v>
      </c>
      <c r="E50" s="2423">
        <f>SUM(C50:D50)</f>
        <v>322875</v>
      </c>
      <c r="G50" s="426"/>
      <c r="H50" s="436"/>
      <c r="I50" s="425"/>
      <c r="J50" s="413"/>
    </row>
    <row r="51" spans="2:10" ht="15">
      <c r="B51" s="1142" t="s">
        <v>563</v>
      </c>
      <c r="C51" s="2445">
        <v>0</v>
      </c>
      <c r="D51" s="2445">
        <v>0</v>
      </c>
      <c r="E51" s="2445">
        <f>SUM(C51:D51)</f>
        <v>0</v>
      </c>
      <c r="F51" s="2434" t="s">
        <v>564</v>
      </c>
      <c r="G51" s="426"/>
      <c r="H51" s="426"/>
      <c r="I51" s="426"/>
      <c r="J51" s="413"/>
    </row>
    <row r="52" spans="2:10">
      <c r="B52" s="2424" t="s">
        <v>23</v>
      </c>
      <c r="C52" s="2422">
        <f>SUM(C50:C51)</f>
        <v>157500</v>
      </c>
      <c r="D52" s="2422">
        <f>SUM(D50:D51)</f>
        <v>165375</v>
      </c>
      <c r="E52" s="1106">
        <f>SUM(C52:D52)</f>
        <v>322875</v>
      </c>
      <c r="F52" s="2435" t="s">
        <v>81</v>
      </c>
      <c r="G52" s="426"/>
      <c r="H52" s="426"/>
      <c r="I52" s="426"/>
      <c r="J52" s="413"/>
    </row>
    <row r="53" spans="2:10">
      <c r="E53" s="426"/>
      <c r="F53" s="436"/>
      <c r="G53" s="426"/>
      <c r="H53" s="426"/>
      <c r="I53" s="426"/>
      <c r="J53" s="413"/>
    </row>
    <row r="54" spans="2:10" ht="15.75">
      <c r="B54" s="1112" t="s">
        <v>122</v>
      </c>
      <c r="C54" s="1119">
        <f>C52/E52</f>
        <v>0.48780487804878048</v>
      </c>
      <c r="D54" s="1119">
        <f>D52/E52</f>
        <v>0.51219512195121952</v>
      </c>
      <c r="E54" s="427"/>
      <c r="F54" s="436"/>
      <c r="G54" s="426"/>
      <c r="H54" s="426"/>
      <c r="I54" s="426"/>
      <c r="J54" s="413"/>
    </row>
    <row r="55" spans="2:10">
      <c r="B55" s="413"/>
      <c r="C55" s="413"/>
      <c r="D55" s="413"/>
      <c r="E55" s="413"/>
      <c r="F55" s="436"/>
      <c r="G55" s="426"/>
      <c r="H55" s="426"/>
      <c r="I55" s="426"/>
      <c r="J55" s="413"/>
    </row>
    <row r="56" spans="2:10" ht="20.25">
      <c r="B56" s="511"/>
      <c r="C56" s="413"/>
      <c r="D56" s="413"/>
      <c r="E56" s="413"/>
      <c r="F56" s="436"/>
      <c r="G56" s="436"/>
      <c r="H56" s="426"/>
      <c r="I56" s="426"/>
      <c r="J56" s="413"/>
    </row>
    <row r="57" spans="2:10">
      <c r="B57" s="413"/>
      <c r="C57" s="413"/>
      <c r="D57" s="413"/>
      <c r="E57" s="413"/>
      <c r="F57" s="413"/>
      <c r="G57" s="417"/>
      <c r="H57" s="436"/>
      <c r="I57" s="426"/>
      <c r="J57" s="413"/>
    </row>
    <row r="58" spans="2:10">
      <c r="B58" s="413"/>
      <c r="C58" s="415"/>
      <c r="D58" s="415"/>
      <c r="E58" s="415"/>
      <c r="F58" s="413"/>
      <c r="G58" s="415"/>
      <c r="H58" s="436"/>
      <c r="I58" s="425"/>
      <c r="J58" s="413"/>
    </row>
    <row r="59" spans="2:10">
      <c r="B59" s="416"/>
      <c r="C59" s="448"/>
      <c r="D59" s="448"/>
      <c r="E59" s="448"/>
      <c r="F59" s="413"/>
      <c r="G59" s="449"/>
      <c r="H59" s="436"/>
      <c r="I59" s="425"/>
      <c r="J59" s="413"/>
    </row>
    <row r="60" spans="2:10">
      <c r="B60" s="416"/>
      <c r="C60" s="448"/>
      <c r="D60" s="448"/>
      <c r="E60" s="448"/>
      <c r="F60" s="413"/>
      <c r="G60" s="449"/>
      <c r="H60" s="436"/>
      <c r="I60" s="425"/>
      <c r="J60" s="413"/>
    </row>
    <row r="61" spans="2:10">
      <c r="B61" s="416"/>
      <c r="C61" s="448"/>
      <c r="D61" s="448"/>
      <c r="E61" s="448"/>
      <c r="F61" s="413"/>
      <c r="G61" s="449"/>
      <c r="H61" s="436"/>
      <c r="I61" s="425"/>
      <c r="J61" s="413"/>
    </row>
    <row r="62" spans="2:10">
      <c r="B62" s="416"/>
      <c r="C62" s="448"/>
      <c r="D62" s="448"/>
      <c r="E62" s="448"/>
      <c r="F62" s="413"/>
      <c r="G62" s="449"/>
      <c r="H62" s="436"/>
      <c r="I62" s="425"/>
      <c r="J62" s="413"/>
    </row>
    <row r="63" spans="2:10">
      <c r="B63" s="416"/>
      <c r="C63" s="448"/>
      <c r="D63" s="448"/>
      <c r="E63" s="448"/>
      <c r="F63" s="413"/>
      <c r="G63" s="449"/>
      <c r="H63" s="436"/>
      <c r="I63" s="425"/>
      <c r="J63" s="413"/>
    </row>
    <row r="64" spans="2:10">
      <c r="B64" s="416"/>
      <c r="C64" s="448"/>
      <c r="D64" s="448"/>
      <c r="E64" s="448"/>
      <c r="F64" s="413"/>
      <c r="G64" s="449"/>
      <c r="H64" s="436"/>
      <c r="I64" s="425"/>
      <c r="J64" s="413"/>
    </row>
    <row r="65" spans="2:10">
      <c r="B65" s="413"/>
      <c r="C65" s="441"/>
      <c r="D65" s="441"/>
      <c r="E65" s="441"/>
      <c r="F65" s="413"/>
      <c r="G65" s="450"/>
      <c r="H65" s="436"/>
      <c r="I65" s="425"/>
      <c r="J65" s="413"/>
    </row>
    <row r="66" spans="2:10">
      <c r="B66" s="413"/>
      <c r="C66" s="413"/>
      <c r="D66" s="413"/>
      <c r="E66" s="413"/>
      <c r="F66" s="436"/>
      <c r="G66" s="436"/>
      <c r="H66" s="436"/>
      <c r="I66" s="425"/>
      <c r="J66" s="413"/>
    </row>
    <row r="67" spans="2:10" ht="18">
      <c r="B67" s="447"/>
      <c r="C67" s="413"/>
      <c r="D67" s="413"/>
      <c r="E67" s="413"/>
      <c r="F67" s="436"/>
      <c r="G67" s="451"/>
      <c r="H67" s="436"/>
      <c r="I67" s="425"/>
      <c r="J67" s="413"/>
    </row>
    <row r="68" spans="2:10">
      <c r="B68" s="413"/>
      <c r="C68" s="413"/>
      <c r="D68" s="413"/>
      <c r="E68" s="413"/>
      <c r="F68" s="436"/>
      <c r="G68" s="439"/>
      <c r="H68" s="436"/>
      <c r="I68" s="425"/>
      <c r="J68" s="413"/>
    </row>
    <row r="69" spans="2:10" ht="18.75">
      <c r="B69" s="452"/>
      <c r="C69" s="451"/>
      <c r="D69" s="451"/>
      <c r="E69" s="451"/>
      <c r="F69" s="451"/>
      <c r="G69" s="438"/>
      <c r="H69" s="436"/>
      <c r="I69" s="425"/>
      <c r="J69" s="413"/>
    </row>
    <row r="70" spans="2:10">
      <c r="B70" s="453"/>
      <c r="C70" s="454"/>
      <c r="D70" s="454"/>
      <c r="E70" s="454"/>
      <c r="F70" s="443"/>
      <c r="G70" s="444"/>
      <c r="H70" s="436"/>
      <c r="I70" s="425"/>
      <c r="J70" s="413"/>
    </row>
    <row r="71" spans="2:10">
      <c r="B71" s="453"/>
      <c r="C71" s="454"/>
      <c r="D71" s="454"/>
      <c r="E71" s="454"/>
      <c r="F71" s="443"/>
      <c r="G71" s="445"/>
      <c r="H71" s="436"/>
      <c r="I71" s="425"/>
      <c r="J71" s="413"/>
    </row>
    <row r="72" spans="2:10">
      <c r="B72" s="453"/>
      <c r="C72" s="454"/>
      <c r="D72" s="454"/>
      <c r="E72" s="454"/>
      <c r="F72" s="443"/>
      <c r="G72" s="446"/>
      <c r="H72" s="436"/>
      <c r="I72" s="425"/>
      <c r="J72" s="413"/>
    </row>
    <row r="73" spans="2:10">
      <c r="B73" s="453"/>
      <c r="C73" s="454"/>
      <c r="D73" s="454"/>
      <c r="E73" s="454"/>
      <c r="F73" s="443"/>
      <c r="G73" s="446"/>
      <c r="H73" s="436"/>
      <c r="I73" s="425"/>
      <c r="J73" s="413"/>
    </row>
    <row r="74" spans="2:10">
      <c r="B74" s="453"/>
      <c r="C74" s="454"/>
      <c r="D74" s="454"/>
      <c r="E74" s="454"/>
      <c r="F74" s="443"/>
      <c r="G74" s="426"/>
      <c r="H74" s="436"/>
      <c r="I74" s="425"/>
      <c r="J74" s="413"/>
    </row>
    <row r="75" spans="2:10" ht="18">
      <c r="B75" s="453"/>
      <c r="C75" s="454"/>
      <c r="D75" s="454"/>
      <c r="E75" s="454"/>
      <c r="F75" s="443"/>
      <c r="G75" s="451"/>
      <c r="H75" s="436"/>
      <c r="I75" s="425"/>
      <c r="J75" s="413"/>
    </row>
    <row r="76" spans="2:10">
      <c r="B76" s="413"/>
      <c r="C76" s="413"/>
      <c r="D76" s="413"/>
      <c r="E76" s="413"/>
      <c r="F76" s="426"/>
      <c r="G76" s="439"/>
      <c r="H76" s="436"/>
      <c r="I76" s="425"/>
      <c r="J76" s="413"/>
    </row>
    <row r="77" spans="2:10" ht="18">
      <c r="B77" s="455"/>
      <c r="C77" s="451"/>
      <c r="D77" s="451"/>
      <c r="E77" s="451"/>
      <c r="F77" s="451"/>
      <c r="G77" s="438"/>
      <c r="H77" s="426"/>
      <c r="I77" s="426"/>
      <c r="J77" s="413"/>
    </row>
    <row r="78" spans="2:10">
      <c r="B78" s="3625"/>
      <c r="C78" s="3626"/>
      <c r="D78" s="3626"/>
      <c r="E78" s="3626"/>
      <c r="F78" s="3626"/>
      <c r="G78" s="444"/>
      <c r="H78" s="426"/>
      <c r="I78" s="426"/>
      <c r="J78" s="413"/>
    </row>
    <row r="79" spans="2:10">
      <c r="B79" s="3625"/>
      <c r="C79" s="3626"/>
      <c r="D79" s="3626"/>
      <c r="E79" s="3626"/>
      <c r="F79" s="3626"/>
      <c r="G79" s="456"/>
      <c r="H79" s="426"/>
      <c r="I79" s="426"/>
      <c r="J79" s="413"/>
    </row>
    <row r="80" spans="2:10">
      <c r="B80" s="3625"/>
      <c r="C80" s="3626"/>
      <c r="D80" s="3626"/>
      <c r="E80" s="3626"/>
      <c r="F80" s="3626"/>
      <c r="G80" s="456"/>
      <c r="H80" s="426"/>
      <c r="I80" s="426"/>
      <c r="J80" s="413"/>
    </row>
    <row r="81" spans="2:10">
      <c r="B81" s="3625"/>
      <c r="C81" s="3626"/>
      <c r="D81" s="3626"/>
      <c r="E81" s="3626"/>
      <c r="F81" s="3626"/>
      <c r="G81" s="456"/>
      <c r="H81" s="426"/>
      <c r="I81" s="426"/>
      <c r="J81" s="413"/>
    </row>
    <row r="82" spans="2:10">
      <c r="B82" s="3625"/>
      <c r="C82" s="3626"/>
      <c r="D82" s="3626"/>
      <c r="E82" s="3626"/>
      <c r="F82" s="3626"/>
      <c r="G82" s="413"/>
      <c r="H82" s="426"/>
      <c r="I82" s="426"/>
      <c r="J82" s="413"/>
    </row>
    <row r="83" spans="2:10" ht="15.75">
      <c r="B83" s="3625"/>
      <c r="C83" s="3626"/>
      <c r="D83" s="3626"/>
      <c r="E83" s="3626"/>
      <c r="F83" s="3626"/>
      <c r="G83" s="438"/>
      <c r="H83" s="427"/>
      <c r="I83" s="427"/>
      <c r="J83" s="413"/>
    </row>
    <row r="84" spans="2:10">
      <c r="B84" s="413"/>
      <c r="C84" s="413"/>
      <c r="D84" s="413"/>
      <c r="E84" s="413"/>
      <c r="F84" s="413"/>
      <c r="G84" s="439"/>
      <c r="H84" s="413"/>
      <c r="I84" s="413"/>
      <c r="J84" s="413"/>
    </row>
    <row r="85" spans="2:10">
      <c r="B85" s="413"/>
      <c r="C85" s="442"/>
      <c r="D85" s="442"/>
      <c r="E85" s="442"/>
      <c r="F85" s="413"/>
      <c r="G85" s="438"/>
      <c r="H85" s="413"/>
      <c r="I85" s="413"/>
      <c r="J85" s="413"/>
    </row>
    <row r="86" spans="2:10">
      <c r="B86" s="413"/>
      <c r="C86" s="442"/>
      <c r="D86" s="442"/>
      <c r="E86" s="442"/>
      <c r="F86" s="413"/>
      <c r="G86" s="413"/>
      <c r="H86" s="413"/>
      <c r="I86" s="413"/>
      <c r="J86" s="413"/>
    </row>
    <row r="87" spans="2:10">
      <c r="B87" s="413"/>
      <c r="C87" s="413"/>
      <c r="D87" s="413"/>
      <c r="E87" s="413"/>
      <c r="F87" s="413"/>
      <c r="G87" s="413"/>
      <c r="H87" s="413"/>
      <c r="I87" s="413"/>
      <c r="J87" s="413"/>
    </row>
    <row r="88" spans="2:10">
      <c r="B88" s="413"/>
      <c r="C88" s="413"/>
      <c r="D88" s="413"/>
      <c r="E88" s="413"/>
      <c r="F88" s="413"/>
      <c r="G88" s="413"/>
      <c r="H88" s="413"/>
      <c r="I88" s="413"/>
      <c r="J88" s="413"/>
    </row>
    <row r="89" spans="2:10">
      <c r="B89" s="413"/>
      <c r="C89" s="413"/>
      <c r="D89" s="413"/>
      <c r="E89" s="413"/>
      <c r="F89" s="413"/>
      <c r="G89" s="413"/>
      <c r="H89" s="413"/>
      <c r="I89" s="413"/>
      <c r="J89" s="413"/>
    </row>
    <row r="90" spans="2:10">
      <c r="B90" s="413"/>
      <c r="C90" s="413"/>
      <c r="D90" s="413"/>
      <c r="E90" s="413"/>
      <c r="F90" s="413"/>
      <c r="G90" s="413"/>
      <c r="H90" s="413"/>
      <c r="I90" s="413"/>
      <c r="J90" s="413"/>
    </row>
    <row r="91" spans="2:10">
      <c r="B91" s="447"/>
      <c r="C91" s="413"/>
      <c r="D91" s="413"/>
      <c r="E91" s="413"/>
      <c r="F91" s="413"/>
      <c r="G91" s="413"/>
      <c r="H91" s="413"/>
      <c r="I91" s="413"/>
      <c r="J91" s="413"/>
    </row>
    <row r="92" spans="2:10">
      <c r="B92" s="413"/>
      <c r="C92" s="413"/>
      <c r="D92" s="413"/>
      <c r="E92" s="413"/>
      <c r="F92" s="413"/>
      <c r="G92" s="413"/>
      <c r="H92" s="413"/>
      <c r="I92" s="413"/>
      <c r="J92" s="413"/>
    </row>
    <row r="93" spans="2:10">
      <c r="B93" s="413"/>
      <c r="C93" s="413"/>
      <c r="D93" s="413"/>
      <c r="E93" s="413"/>
      <c r="F93" s="413"/>
      <c r="G93" s="413"/>
      <c r="H93" s="413"/>
      <c r="I93" s="413"/>
      <c r="J93" s="413"/>
    </row>
    <row r="94" spans="2:10">
      <c r="B94" s="413"/>
      <c r="C94" s="413"/>
      <c r="D94" s="413"/>
      <c r="E94" s="413"/>
      <c r="F94" s="413"/>
      <c r="G94" s="413"/>
      <c r="H94" s="413"/>
      <c r="I94" s="413"/>
      <c r="J94" s="413"/>
    </row>
    <row r="95" spans="2:10">
      <c r="B95" s="413"/>
      <c r="C95" s="413"/>
      <c r="D95" s="413"/>
      <c r="E95" s="413"/>
      <c r="F95" s="413"/>
      <c r="G95" s="413"/>
      <c r="H95" s="413"/>
      <c r="I95" s="413"/>
      <c r="J95" s="413"/>
    </row>
    <row r="96" spans="2:10">
      <c r="B96" s="413"/>
      <c r="C96" s="413"/>
      <c r="D96" s="413"/>
      <c r="E96" s="413"/>
      <c r="F96" s="413"/>
      <c r="G96" s="413"/>
      <c r="H96" s="413"/>
      <c r="I96" s="413"/>
      <c r="J96" s="413"/>
    </row>
    <row r="97" spans="2:10">
      <c r="B97" s="413"/>
      <c r="C97" s="413"/>
      <c r="D97" s="413"/>
      <c r="E97" s="413"/>
      <c r="F97" s="413"/>
      <c r="G97" s="413"/>
      <c r="H97" s="413"/>
      <c r="I97" s="413"/>
      <c r="J97" s="413"/>
    </row>
    <row r="98" spans="2:10">
      <c r="B98" s="413"/>
      <c r="C98" s="413"/>
      <c r="D98" s="413"/>
      <c r="E98" s="413"/>
      <c r="F98" s="413"/>
      <c r="G98" s="413"/>
      <c r="H98" s="413"/>
      <c r="I98" s="413"/>
      <c r="J98" s="413"/>
    </row>
    <row r="99" spans="2:10">
      <c r="B99" s="413"/>
      <c r="C99" s="413"/>
      <c r="D99" s="413"/>
      <c r="E99" s="413"/>
      <c r="F99" s="413"/>
      <c r="G99" s="413"/>
      <c r="H99" s="413"/>
      <c r="I99" s="413"/>
      <c r="J99" s="413"/>
    </row>
    <row r="100" spans="2:10">
      <c r="B100" s="413"/>
      <c r="C100" s="413"/>
      <c r="D100" s="413"/>
      <c r="E100" s="413"/>
      <c r="F100" s="413"/>
      <c r="G100" s="413"/>
      <c r="H100" s="413"/>
      <c r="I100" s="413"/>
      <c r="J100" s="413"/>
    </row>
    <row r="101" spans="2:10">
      <c r="B101" s="413"/>
      <c r="C101" s="413"/>
      <c r="D101" s="413"/>
      <c r="E101" s="413"/>
      <c r="F101" s="413"/>
      <c r="G101" s="413"/>
      <c r="H101" s="413"/>
      <c r="I101" s="413"/>
      <c r="J101" s="413"/>
    </row>
    <row r="102" spans="2:10">
      <c r="B102" s="413"/>
      <c r="C102" s="413"/>
      <c r="D102" s="413"/>
      <c r="E102" s="413"/>
      <c r="F102" s="413"/>
      <c r="G102" s="413"/>
      <c r="H102" s="413"/>
      <c r="I102" s="413"/>
      <c r="J102" s="413"/>
    </row>
    <row r="103" spans="2:10">
      <c r="B103" s="413"/>
      <c r="C103" s="413"/>
      <c r="D103" s="413"/>
      <c r="E103" s="413"/>
      <c r="F103" s="413"/>
      <c r="G103" s="413"/>
      <c r="H103" s="413"/>
      <c r="I103" s="413"/>
      <c r="J103" s="413"/>
    </row>
    <row r="104" spans="2:10">
      <c r="B104" s="413"/>
      <c r="C104" s="413"/>
      <c r="D104" s="413"/>
      <c r="E104" s="413"/>
      <c r="F104" s="413"/>
      <c r="G104" s="413"/>
      <c r="H104" s="413"/>
      <c r="I104" s="413"/>
      <c r="J104" s="413"/>
    </row>
    <row r="105" spans="2:10">
      <c r="B105" s="413"/>
      <c r="C105" s="413"/>
      <c r="D105" s="413"/>
      <c r="E105" s="413"/>
      <c r="F105" s="413"/>
      <c r="G105" s="413"/>
      <c r="H105" s="413"/>
      <c r="I105" s="413"/>
      <c r="J105" s="413"/>
    </row>
    <row r="106" spans="2:10">
      <c r="B106" s="413"/>
      <c r="C106" s="413"/>
      <c r="D106" s="413"/>
      <c r="E106" s="413"/>
      <c r="F106" s="413"/>
      <c r="G106" s="413"/>
      <c r="H106" s="413"/>
      <c r="I106" s="413"/>
      <c r="J106" s="413"/>
    </row>
    <row r="107" spans="2:10">
      <c r="B107" s="413"/>
      <c r="C107" s="413"/>
      <c r="D107" s="413"/>
      <c r="E107" s="413"/>
      <c r="F107" s="413"/>
      <c r="G107" s="413"/>
      <c r="H107" s="413"/>
      <c r="I107" s="413"/>
      <c r="J107" s="413"/>
    </row>
    <row r="108" spans="2:10">
      <c r="B108" s="413"/>
      <c r="C108" s="413"/>
      <c r="D108" s="413"/>
      <c r="E108" s="413"/>
      <c r="F108" s="413"/>
      <c r="G108" s="413"/>
      <c r="H108" s="413"/>
      <c r="I108" s="413"/>
      <c r="J108" s="413"/>
    </row>
    <row r="109" spans="2:10">
      <c r="B109" s="413"/>
      <c r="C109" s="413"/>
      <c r="D109" s="413"/>
      <c r="E109" s="413"/>
      <c r="F109" s="413"/>
      <c r="G109" s="413"/>
      <c r="H109" s="413"/>
      <c r="I109" s="413"/>
      <c r="J109" s="413"/>
    </row>
    <row r="110" spans="2:10">
      <c r="B110" s="413"/>
      <c r="C110" s="413"/>
      <c r="D110" s="413"/>
      <c r="E110" s="413"/>
      <c r="F110" s="413"/>
      <c r="G110" s="413"/>
      <c r="H110" s="413"/>
      <c r="I110" s="413"/>
      <c r="J110" s="413"/>
    </row>
    <row r="111" spans="2:10">
      <c r="B111" s="413"/>
      <c r="C111" s="413"/>
      <c r="D111" s="413"/>
      <c r="E111" s="413"/>
      <c r="F111" s="413"/>
      <c r="G111" s="413"/>
      <c r="H111" s="413"/>
      <c r="I111" s="413"/>
      <c r="J111" s="413"/>
    </row>
    <row r="112" spans="2:10">
      <c r="B112" s="413"/>
      <c r="C112" s="413"/>
      <c r="D112" s="413"/>
      <c r="E112" s="413"/>
      <c r="F112" s="413"/>
      <c r="G112" s="413"/>
      <c r="H112" s="413"/>
      <c r="I112" s="413"/>
      <c r="J112" s="413"/>
    </row>
    <row r="113" spans="8:10">
      <c r="H113" s="413"/>
      <c r="I113" s="413"/>
      <c r="J113" s="413"/>
    </row>
  </sheetData>
  <customSheetViews>
    <customSheetView guid="{074EB09C-6289-46D7-9513-012B68BCA7BF}" showGridLines="0">
      <pane xSplit="1" ySplit="1" topLeftCell="C11" activePane="bottomRight" state="frozen"/>
      <selection pane="bottomRight" activeCell="F15" sqref="F15:H17"/>
      <pageMargins left="0.32" right="0.45" top="0.4" bottom="0.75" header="0.3" footer="0.3"/>
      <pageSetup paperSize="17" scale="65" orientation="landscape" r:id="rId1"/>
    </customSheetView>
    <customSheetView guid="{D9EFFE19-D14B-4C6F-BDF4-FF696F73968D}" showGridLines="0">
      <pane xSplit="1" ySplit="1" topLeftCell="B2" activePane="bottomRight" state="frozen"/>
      <selection pane="bottomRight" activeCell="A14" sqref="A14:XFD14"/>
      <pageMargins left="0.32" right="0.45" top="0.4" bottom="0.75" header="0.3" footer="0.3"/>
      <pageSetup paperSize="17" scale="65" orientation="landscape" r:id="rId2"/>
    </customSheetView>
  </customSheetViews>
  <mergeCells count="6">
    <mergeCell ref="B78:F78"/>
    <mergeCell ref="B83:F83"/>
    <mergeCell ref="B79:F79"/>
    <mergeCell ref="B80:F80"/>
    <mergeCell ref="B81:F81"/>
    <mergeCell ref="B82:F82"/>
  </mergeCells>
  <pageMargins left="0.32" right="0.45" top="0.4" bottom="0.75" header="0.3" footer="0.3"/>
  <pageSetup paperSize="17" scale="65" orientation="landscape" r:id="rId3"/>
  <ignoredErrors>
    <ignoredError sqref="C52:D52" formulaRange="1"/>
  </ignoredErrors>
  <drawing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ABF8F"/>
  </sheetPr>
  <dimension ref="A1:S99"/>
  <sheetViews>
    <sheetView showGridLines="0" zoomScaleNormal="100" workbookViewId="0">
      <pane xSplit="1" ySplit="1" topLeftCell="B2" activePane="bottomRight" state="frozen"/>
      <selection pane="topRight" activeCell="B1" sqref="B1"/>
      <selection pane="bottomLeft" activeCell="A2" sqref="A2"/>
      <selection pane="bottomRight" activeCell="D12" sqref="D12"/>
    </sheetView>
  </sheetViews>
  <sheetFormatPr defaultColWidth="58" defaultRowHeight="12.75"/>
  <cols>
    <col min="1" max="1" width="18.140625" style="1164" customWidth="1"/>
    <col min="3" max="5" width="23" customWidth="1"/>
    <col min="6" max="6" width="21.28515625" customWidth="1"/>
    <col min="7" max="7" width="21" customWidth="1"/>
    <col min="8" max="8" width="25.42578125" customWidth="1"/>
    <col min="9" max="9" width="24" customWidth="1"/>
    <col min="10" max="10" width="23.85546875" customWidth="1"/>
    <col min="11" max="11" width="22.85546875" customWidth="1"/>
    <col min="12" max="12" width="21.85546875" customWidth="1"/>
    <col min="13" max="13" width="22" customWidth="1"/>
    <col min="14" max="14" width="20.85546875" customWidth="1"/>
    <col min="15" max="15" width="25" customWidth="1"/>
    <col min="16" max="16" width="26.5703125" customWidth="1"/>
    <col min="17" max="17" width="26.85546875" customWidth="1"/>
    <col min="18" max="18" width="26.5703125" customWidth="1"/>
    <col min="19" max="19" width="25.7109375" customWidth="1"/>
  </cols>
  <sheetData>
    <row r="1" spans="1:19" ht="59.25" customHeight="1">
      <c r="B1" s="1835" t="s">
        <v>148</v>
      </c>
      <c r="C1" s="1812" t="s">
        <v>275</v>
      </c>
      <c r="D1" s="1835" t="s">
        <v>137</v>
      </c>
      <c r="E1" s="1810" t="s">
        <v>31</v>
      </c>
      <c r="H1" s="1812"/>
      <c r="I1" s="376"/>
      <c r="J1" s="355"/>
      <c r="K1" s="1835" t="s">
        <v>148</v>
      </c>
      <c r="L1" s="1812" t="s">
        <v>275</v>
      </c>
      <c r="M1" s="1835" t="s">
        <v>137</v>
      </c>
      <c r="N1" s="1810" t="s">
        <v>31</v>
      </c>
    </row>
    <row r="2" spans="1:19" ht="20.25">
      <c r="B2" s="363"/>
      <c r="C2" s="375"/>
      <c r="D2" s="375"/>
      <c r="E2" s="375"/>
      <c r="F2" s="375"/>
      <c r="G2" s="383"/>
      <c r="H2" s="376"/>
      <c r="I2" s="376"/>
      <c r="J2" s="355"/>
      <c r="K2" s="355"/>
      <c r="L2" s="355"/>
      <c r="M2" s="355"/>
      <c r="N2" s="355"/>
    </row>
    <row r="3" spans="1:19" ht="38.25">
      <c r="A3" s="1840" t="s">
        <v>148</v>
      </c>
      <c r="G3" s="1303"/>
      <c r="H3" s="359" t="s">
        <v>8</v>
      </c>
      <c r="I3" s="359" t="s">
        <v>9</v>
      </c>
      <c r="J3" s="359" t="s">
        <v>87</v>
      </c>
      <c r="K3" s="359" t="s">
        <v>11</v>
      </c>
      <c r="L3" s="509" t="s">
        <v>504</v>
      </c>
      <c r="M3" s="359" t="s">
        <v>12</v>
      </c>
      <c r="N3" s="359" t="s">
        <v>13</v>
      </c>
      <c r="O3" s="359" t="s">
        <v>14</v>
      </c>
      <c r="P3" s="359" t="s">
        <v>88</v>
      </c>
      <c r="Q3" s="509" t="s">
        <v>39</v>
      </c>
      <c r="R3" s="359" t="s">
        <v>16</v>
      </c>
      <c r="S3" s="2416" t="s">
        <v>40</v>
      </c>
    </row>
    <row r="4" spans="1:19" ht="15.75">
      <c r="A4" s="1808" t="s">
        <v>275</v>
      </c>
      <c r="G4" s="1704" t="s">
        <v>668</v>
      </c>
      <c r="H4" s="1689">
        <v>265100</v>
      </c>
      <c r="I4" s="1690">
        <v>4900</v>
      </c>
      <c r="J4" s="1690">
        <v>190900</v>
      </c>
      <c r="K4" s="1690">
        <v>7601</v>
      </c>
      <c r="L4" s="1690">
        <v>0</v>
      </c>
      <c r="M4" s="1690">
        <v>67759</v>
      </c>
      <c r="N4" s="1691">
        <v>0</v>
      </c>
      <c r="O4" s="1691">
        <v>0</v>
      </c>
      <c r="P4" s="2837">
        <v>100000</v>
      </c>
      <c r="Q4" s="2837"/>
      <c r="R4" s="2852">
        <v>636260</v>
      </c>
      <c r="S4" s="2857">
        <v>500000</v>
      </c>
    </row>
    <row r="5" spans="1:19" ht="25.5">
      <c r="A5" s="1840" t="s">
        <v>137</v>
      </c>
      <c r="G5" s="357">
        <v>2016</v>
      </c>
      <c r="H5" s="401">
        <f>C17</f>
        <v>161100</v>
      </c>
      <c r="I5" s="402">
        <f>C18</f>
        <v>0</v>
      </c>
      <c r="J5" s="402">
        <f>C37</f>
        <v>107500</v>
      </c>
      <c r="K5" s="402">
        <f>C35</f>
        <v>0</v>
      </c>
      <c r="L5" s="402">
        <f>C26</f>
        <v>8000</v>
      </c>
      <c r="M5" s="402">
        <f>C45</f>
        <v>40000</v>
      </c>
      <c r="N5" s="402">
        <f>C33</f>
        <v>1000</v>
      </c>
      <c r="O5" s="402">
        <f>C28</f>
        <v>5000</v>
      </c>
      <c r="P5" s="2838">
        <f>C12</f>
        <v>155000</v>
      </c>
      <c r="Q5" s="2838"/>
      <c r="R5" s="2841">
        <f>SUM(H5:P5)</f>
        <v>477600</v>
      </c>
      <c r="S5" s="2858">
        <f>C52</f>
        <v>500000</v>
      </c>
    </row>
    <row r="6" spans="1:19" ht="13.5" thickBot="1">
      <c r="A6" s="1842" t="s">
        <v>31</v>
      </c>
      <c r="G6" s="406">
        <v>2017</v>
      </c>
      <c r="H6" s="401">
        <f>D17</f>
        <v>165000</v>
      </c>
      <c r="I6" s="402">
        <f>D18</f>
        <v>0</v>
      </c>
      <c r="J6" s="402">
        <f>D37</f>
        <v>112200</v>
      </c>
      <c r="K6" s="402">
        <f>D35</f>
        <v>0</v>
      </c>
      <c r="L6" s="402">
        <f>D26</f>
        <v>8000</v>
      </c>
      <c r="M6" s="402">
        <f>D45</f>
        <v>40000</v>
      </c>
      <c r="N6" s="407">
        <f>D33</f>
        <v>1000</v>
      </c>
      <c r="O6" s="407">
        <f>D28</f>
        <v>5000</v>
      </c>
      <c r="P6" s="2839">
        <f>D12</f>
        <v>155000</v>
      </c>
      <c r="Q6" s="2839"/>
      <c r="R6" s="2853">
        <f>SUM(H6:P6)</f>
        <v>486200</v>
      </c>
      <c r="S6" s="2858">
        <f>D52</f>
        <v>550000</v>
      </c>
    </row>
    <row r="7" spans="1:19" s="1569" customFormat="1" ht="13.5" thickBot="1">
      <c r="G7" s="1688" t="s">
        <v>55</v>
      </c>
      <c r="H7" s="1596">
        <v>513822</v>
      </c>
      <c r="I7" s="1595">
        <v>21870</v>
      </c>
      <c r="J7" s="1595">
        <v>337485.96</v>
      </c>
      <c r="K7" s="1595">
        <v>12000</v>
      </c>
      <c r="L7" s="1595">
        <v>6195.1999999999989</v>
      </c>
      <c r="M7" s="1595">
        <v>314500</v>
      </c>
      <c r="N7" s="1595">
        <v>38046.5</v>
      </c>
      <c r="O7" s="1595">
        <v>1580.8</v>
      </c>
      <c r="P7" s="2450">
        <v>756000</v>
      </c>
      <c r="Q7" s="2450"/>
      <c r="R7" s="2452">
        <f>SUM(R5:R6)</f>
        <v>963800</v>
      </c>
      <c r="S7" s="2855">
        <f>SUM(S5:S6)</f>
        <v>1050000</v>
      </c>
    </row>
    <row r="8" spans="1:19" ht="20.25">
      <c r="A8" s="1808"/>
      <c r="B8" s="363"/>
      <c r="C8" s="375"/>
      <c r="D8" s="375"/>
      <c r="E8" s="375"/>
      <c r="F8" s="375"/>
      <c r="G8" s="383"/>
      <c r="H8" s="376"/>
      <c r="I8" s="376"/>
      <c r="J8" s="355"/>
      <c r="K8" s="355"/>
      <c r="L8" s="355"/>
      <c r="M8" s="355"/>
      <c r="N8" s="366"/>
    </row>
    <row r="9" spans="1:19" ht="18">
      <c r="C9" s="383"/>
      <c r="D9" s="383"/>
      <c r="E9" s="383"/>
      <c r="F9" s="374"/>
      <c r="G9" s="374"/>
      <c r="H9" s="374"/>
      <c r="I9" s="374"/>
      <c r="J9" s="355"/>
      <c r="K9" s="355"/>
      <c r="L9" s="355"/>
      <c r="M9" s="355"/>
      <c r="N9" s="355"/>
    </row>
    <row r="10" spans="1:19" ht="18">
      <c r="B10" s="364"/>
      <c r="C10" s="403">
        <v>2016</v>
      </c>
      <c r="D10" s="404">
        <v>2017</v>
      </c>
      <c r="E10" s="405" t="s">
        <v>23</v>
      </c>
      <c r="F10" s="369"/>
      <c r="G10" s="369"/>
      <c r="H10" s="369"/>
      <c r="I10" s="1429"/>
      <c r="J10" s="1420"/>
      <c r="K10" s="1420"/>
      <c r="L10" s="366"/>
      <c r="M10" s="408"/>
      <c r="N10" s="355"/>
    </row>
    <row r="11" spans="1:19" s="2177" customFormat="1">
      <c r="B11" s="1126" t="s">
        <v>90</v>
      </c>
      <c r="C11" s="2436"/>
      <c r="D11" s="2371"/>
      <c r="E11" s="2437"/>
      <c r="F11" s="2433"/>
      <c r="G11" s="2433"/>
      <c r="H11" s="2433"/>
      <c r="I11" s="1473"/>
      <c r="J11" s="1462"/>
      <c r="K11" s="1462"/>
      <c r="L11" s="1698"/>
      <c r="M11" s="521"/>
      <c r="N11" s="2414"/>
    </row>
    <row r="12" spans="1:19">
      <c r="B12" s="1319"/>
      <c r="C12" s="2431">
        <v>155000</v>
      </c>
      <c r="D12" s="2430">
        <v>155000</v>
      </c>
      <c r="E12" s="1085">
        <f>SUM(C12:D12)</f>
        <v>310000</v>
      </c>
      <c r="F12" s="1131"/>
      <c r="G12" s="369"/>
      <c r="H12" s="369"/>
      <c r="I12" s="1421"/>
      <c r="J12" s="1422"/>
      <c r="K12" s="1420"/>
      <c r="L12" s="355"/>
      <c r="M12" s="355"/>
      <c r="N12" s="355"/>
    </row>
    <row r="13" spans="1:19" ht="19.5">
      <c r="B13" s="1127"/>
      <c r="C13" s="2447">
        <v>0</v>
      </c>
      <c r="D13" s="2448">
        <v>0</v>
      </c>
      <c r="E13" s="2449">
        <f>SUM(C13:D13)</f>
        <v>0</v>
      </c>
      <c r="F13" s="1131"/>
      <c r="G13" s="369"/>
      <c r="H13" s="369"/>
      <c r="I13" s="1421"/>
      <c r="J13" s="1423"/>
      <c r="K13" s="1420"/>
      <c r="L13" s="355"/>
      <c r="M13" s="355"/>
      <c r="N13" s="355"/>
    </row>
    <row r="14" spans="1:19" s="2177" customFormat="1" ht="18">
      <c r="B14" s="1127"/>
      <c r="C14" s="2438">
        <f>SUM(C12:C13)</f>
        <v>155000</v>
      </c>
      <c r="D14" s="2429">
        <f>SUM(D12:D13)</f>
        <v>155000</v>
      </c>
      <c r="E14" s="2428">
        <f>SUM(E12:E13)</f>
        <v>310000</v>
      </c>
      <c r="F14" s="2433"/>
      <c r="G14" s="2433"/>
      <c r="H14" s="2433"/>
      <c r="I14" s="1465"/>
      <c r="J14" s="1468"/>
      <c r="K14" s="1462"/>
      <c r="L14" s="2414"/>
      <c r="M14" s="2414"/>
      <c r="N14" s="2414"/>
    </row>
    <row r="15" spans="1:19" s="2177" customFormat="1" ht="18">
      <c r="B15" s="1127"/>
      <c r="C15" s="1144"/>
      <c r="D15" s="3128"/>
      <c r="E15" s="3130"/>
      <c r="F15" s="2433"/>
      <c r="G15" s="2433"/>
      <c r="H15" s="2433"/>
      <c r="I15" s="1465"/>
      <c r="J15" s="1468"/>
      <c r="K15" s="1462"/>
      <c r="L15" s="2414"/>
      <c r="M15" s="2414"/>
      <c r="N15" s="2414"/>
    </row>
    <row r="16" spans="1:19">
      <c r="B16" s="1126" t="s">
        <v>93</v>
      </c>
      <c r="C16" s="1146">
        <f>SUM(C17:C18)</f>
        <v>161100</v>
      </c>
      <c r="D16" s="3137">
        <f>SUM(D17:D18)</f>
        <v>165000</v>
      </c>
      <c r="E16" s="2408">
        <f>C16+D16</f>
        <v>326100</v>
      </c>
      <c r="F16" s="3162">
        <v>2016</v>
      </c>
      <c r="G16" s="3163">
        <v>2017</v>
      </c>
      <c r="H16" s="1463"/>
      <c r="I16" s="1421"/>
      <c r="J16" s="1423"/>
      <c r="K16" s="1417"/>
      <c r="L16" s="355"/>
      <c r="M16" s="355"/>
      <c r="N16" s="355"/>
    </row>
    <row r="17" spans="2:19">
      <c r="B17" s="1130" t="s">
        <v>95</v>
      </c>
      <c r="C17" s="1170">
        <v>161100</v>
      </c>
      <c r="D17" s="3138">
        <v>165000</v>
      </c>
      <c r="E17" s="915">
        <f>SUM(C17:D17)</f>
        <v>326100</v>
      </c>
      <c r="F17" s="1137">
        <v>1.8</v>
      </c>
      <c r="G17" s="2177">
        <v>1.7</v>
      </c>
      <c r="H17" s="738" t="s">
        <v>96</v>
      </c>
      <c r="I17" s="1465"/>
      <c r="J17" s="1419"/>
      <c r="K17" s="1417"/>
      <c r="L17" s="355"/>
      <c r="M17" s="355"/>
      <c r="N17" s="355"/>
    </row>
    <row r="18" spans="2:19">
      <c r="B18" s="1130" t="s">
        <v>99</v>
      </c>
      <c r="C18" s="1170">
        <v>0</v>
      </c>
      <c r="D18" s="3138">
        <v>0</v>
      </c>
      <c r="E18" s="915">
        <f>SUM(C18:D18)</f>
        <v>0</v>
      </c>
      <c r="F18" s="2177">
        <v>0</v>
      </c>
      <c r="G18" s="2177">
        <v>0</v>
      </c>
      <c r="H18" s="738" t="s">
        <v>96</v>
      </c>
      <c r="I18" s="1421"/>
      <c r="J18" s="1419"/>
      <c r="K18" s="1417"/>
      <c r="L18" s="355"/>
      <c r="M18" s="355"/>
      <c r="N18" s="355"/>
    </row>
    <row r="19" spans="2:19">
      <c r="B19" s="1130"/>
      <c r="C19" s="3129"/>
      <c r="D19" s="3128"/>
      <c r="E19" s="3130"/>
      <c r="F19" s="1137"/>
      <c r="G19" s="368"/>
      <c r="H19" s="368"/>
      <c r="I19" s="1421"/>
      <c r="J19" s="1419"/>
      <c r="K19" s="1417"/>
      <c r="L19" s="355"/>
      <c r="M19" s="409"/>
      <c r="S19">
        <f>1095*3</f>
        <v>3285</v>
      </c>
    </row>
    <row r="20" spans="2:19">
      <c r="B20" s="1126" t="s">
        <v>506</v>
      </c>
      <c r="C20" s="3127">
        <v>8000</v>
      </c>
      <c r="D20" s="3128">
        <v>8000</v>
      </c>
      <c r="E20" s="3130"/>
      <c r="F20" s="1129"/>
      <c r="G20" s="367"/>
      <c r="H20" s="368"/>
      <c r="I20" s="1421"/>
      <c r="J20" s="1419"/>
      <c r="K20" s="1417"/>
      <c r="L20" s="355"/>
      <c r="M20" s="355"/>
      <c r="S20">
        <f>S19/15</f>
        <v>219</v>
      </c>
    </row>
    <row r="21" spans="2:19">
      <c r="B21" s="1121" t="s">
        <v>100</v>
      </c>
      <c r="C21" s="1182">
        <v>0</v>
      </c>
      <c r="D21" s="1175">
        <v>0</v>
      </c>
      <c r="E21" s="915">
        <f>SUM(C21:D21)</f>
        <v>0</v>
      </c>
      <c r="F21" s="1138"/>
      <c r="G21" s="377"/>
      <c r="H21" s="367"/>
      <c r="I21" s="1421"/>
      <c r="J21" s="1419"/>
      <c r="K21" s="1417"/>
      <c r="L21" s="355"/>
      <c r="M21" s="355"/>
    </row>
    <row r="22" spans="2:19">
      <c r="B22" s="1130" t="s">
        <v>101</v>
      </c>
      <c r="C22" s="3131">
        <v>0</v>
      </c>
      <c r="D22" s="1175">
        <v>0</v>
      </c>
      <c r="E22" s="915">
        <f>SUM(C22:D22)</f>
        <v>0</v>
      </c>
      <c r="F22" s="1121"/>
      <c r="G22" s="367"/>
      <c r="H22" s="377"/>
      <c r="I22" s="1421"/>
      <c r="J22" s="1428"/>
      <c r="K22" s="1417"/>
      <c r="L22" s="355"/>
      <c r="M22" s="355"/>
    </row>
    <row r="23" spans="2:19">
      <c r="B23" s="1130" t="s">
        <v>104</v>
      </c>
      <c r="C23" s="1182">
        <v>0</v>
      </c>
      <c r="D23" s="1175">
        <v>0</v>
      </c>
      <c r="E23" s="915">
        <f>SUM(C23:D23)</f>
        <v>0</v>
      </c>
      <c r="F23" s="1129"/>
      <c r="G23" s="367"/>
      <c r="H23" s="367"/>
      <c r="I23" s="1417"/>
      <c r="J23" s="1418"/>
      <c r="K23" s="1417"/>
      <c r="L23" s="355"/>
      <c r="M23" s="355"/>
    </row>
    <row r="24" spans="2:19" s="2177" customFormat="1">
      <c r="B24" s="1130" t="s">
        <v>540</v>
      </c>
      <c r="C24" s="1182">
        <v>0</v>
      </c>
      <c r="D24" s="1175">
        <v>0</v>
      </c>
      <c r="E24" s="915"/>
      <c r="F24" s="1129"/>
      <c r="G24" s="513"/>
      <c r="H24" s="513"/>
      <c r="I24" s="1458"/>
      <c r="J24" s="1460"/>
      <c r="K24" s="1458"/>
      <c r="L24" s="2414"/>
      <c r="M24" s="2414"/>
    </row>
    <row r="25" spans="2:19">
      <c r="B25" s="1130" t="s">
        <v>107</v>
      </c>
      <c r="C25" s="1182">
        <v>0</v>
      </c>
      <c r="D25" s="1175">
        <v>0</v>
      </c>
      <c r="E25" s="915">
        <f>SUM(C25:D25)</f>
        <v>0</v>
      </c>
      <c r="F25" s="1129"/>
      <c r="G25" s="367"/>
      <c r="H25" s="378"/>
      <c r="I25" s="1421"/>
      <c r="J25" s="1433"/>
      <c r="K25" s="1417"/>
      <c r="L25" s="355"/>
      <c r="M25" s="355"/>
    </row>
    <row r="26" spans="2:19">
      <c r="B26" s="1121"/>
      <c r="C26" s="3139">
        <f>SUM(C20:C25)</f>
        <v>8000</v>
      </c>
      <c r="D26" s="2435">
        <f>SUM(D20:D25)</f>
        <v>8000</v>
      </c>
      <c r="E26" s="2408">
        <f>SUM(C26:D26)</f>
        <v>16000</v>
      </c>
      <c r="F26" s="1129"/>
      <c r="G26" s="367"/>
      <c r="H26" s="378"/>
      <c r="I26" s="1426" t="s">
        <v>102</v>
      </c>
      <c r="J26" s="1431"/>
      <c r="K26" s="1424" t="s">
        <v>134</v>
      </c>
      <c r="L26" s="355"/>
      <c r="M26" s="355"/>
    </row>
    <row r="27" spans="2:19">
      <c r="B27" s="1122"/>
      <c r="C27" s="943"/>
      <c r="D27" s="3128"/>
      <c r="E27" s="3130"/>
      <c r="F27" s="1129"/>
      <c r="G27" s="367"/>
      <c r="H27" s="378"/>
      <c r="I27" s="1426" t="s">
        <v>105</v>
      </c>
      <c r="J27" s="1430"/>
      <c r="K27" s="1427" t="s">
        <v>135</v>
      </c>
      <c r="L27" s="355"/>
      <c r="M27" s="355"/>
    </row>
    <row r="28" spans="2:19">
      <c r="B28" s="1126" t="s">
        <v>94</v>
      </c>
      <c r="C28" s="3139">
        <v>5000</v>
      </c>
      <c r="D28" s="3137">
        <v>5000</v>
      </c>
      <c r="E28" s="2408">
        <f>SUM(C28:D28)</f>
        <v>10000</v>
      </c>
      <c r="F28" s="3158" t="s">
        <v>1649</v>
      </c>
      <c r="G28" s="367"/>
      <c r="H28" s="378"/>
      <c r="I28" s="1426" t="s">
        <v>108</v>
      </c>
      <c r="J28" s="1430"/>
      <c r="K28" s="1427" t="s">
        <v>135</v>
      </c>
      <c r="L28" s="355"/>
      <c r="M28" s="355"/>
    </row>
    <row r="29" spans="2:19">
      <c r="B29" s="1122"/>
      <c r="C29" s="943"/>
      <c r="D29" s="3128"/>
      <c r="E29" s="3130"/>
      <c r="F29" s="1129"/>
      <c r="G29" s="367"/>
      <c r="H29" s="378"/>
      <c r="I29" s="1425" t="s">
        <v>109</v>
      </c>
      <c r="J29" s="1432"/>
      <c r="K29" s="1427"/>
      <c r="L29" s="355"/>
      <c r="M29" s="355"/>
    </row>
    <row r="30" spans="2:19">
      <c r="B30" s="1125" t="s">
        <v>97</v>
      </c>
      <c r="C30" s="943">
        <v>1000</v>
      </c>
      <c r="D30" s="3128">
        <v>1000</v>
      </c>
      <c r="E30" s="915">
        <f>C30+D30</f>
        <v>2000</v>
      </c>
      <c r="F30" s="1139"/>
      <c r="H30" s="378"/>
      <c r="I30" s="1162"/>
      <c r="J30" s="1163"/>
      <c r="K30" s="373"/>
      <c r="L30" s="355"/>
      <c r="M30" s="355"/>
    </row>
    <row r="31" spans="2:19">
      <c r="B31" s="1121" t="s">
        <v>110</v>
      </c>
      <c r="C31" s="943">
        <v>0</v>
      </c>
      <c r="D31" s="1175">
        <v>0</v>
      </c>
      <c r="E31" s="915">
        <f>SUM(C31:D31)</f>
        <v>0</v>
      </c>
      <c r="F31" s="1139"/>
      <c r="H31" s="378"/>
      <c r="I31" s="400" t="s">
        <v>129</v>
      </c>
      <c r="J31" s="355"/>
      <c r="K31" s="355"/>
      <c r="L31" s="355"/>
      <c r="M31" s="355"/>
    </row>
    <row r="32" spans="2:19">
      <c r="B32" s="1122" t="s">
        <v>112</v>
      </c>
      <c r="C32" s="943">
        <v>0</v>
      </c>
      <c r="D32" s="1175">
        <v>0</v>
      </c>
      <c r="E32" s="915">
        <f>SUM(C32:D32)</f>
        <v>0</v>
      </c>
      <c r="F32" s="1139"/>
      <c r="G32" s="378"/>
      <c r="H32" s="378"/>
      <c r="I32" s="400" t="s">
        <v>130</v>
      </c>
      <c r="J32" s="355"/>
      <c r="K32" s="355"/>
      <c r="L32" s="355"/>
      <c r="M32" s="355"/>
    </row>
    <row r="33" spans="1:13">
      <c r="B33" s="1125" t="s">
        <v>113</v>
      </c>
      <c r="C33" s="3141">
        <f>SUM(C30:C32)</f>
        <v>1000</v>
      </c>
      <c r="D33" s="3142">
        <f>SUM(D30:D32)</f>
        <v>1000</v>
      </c>
      <c r="E33" s="2408">
        <f>SUM(C33:D33)</f>
        <v>2000</v>
      </c>
      <c r="F33" s="1139"/>
      <c r="G33" s="378"/>
      <c r="H33" s="378"/>
      <c r="J33" s="355"/>
      <c r="K33" s="355"/>
      <c r="L33" s="355"/>
      <c r="M33" s="355"/>
    </row>
    <row r="34" spans="1:13">
      <c r="B34" s="1122"/>
      <c r="C34" s="943"/>
      <c r="D34" s="3128"/>
      <c r="E34" s="3130"/>
      <c r="F34" s="1139"/>
      <c r="G34" s="378"/>
      <c r="H34" s="378"/>
      <c r="J34" s="355"/>
      <c r="K34" s="355"/>
      <c r="L34" s="355"/>
      <c r="M34" s="355"/>
    </row>
    <row r="35" spans="1:13" ht="38.25">
      <c r="A35" s="1840" t="s">
        <v>148</v>
      </c>
      <c r="B35" s="1125" t="s">
        <v>98</v>
      </c>
      <c r="C35" s="943"/>
      <c r="D35" s="3135"/>
      <c r="E35" s="915">
        <f>SUM(C35:D35)</f>
        <v>0</v>
      </c>
      <c r="F35" s="1139"/>
      <c r="G35" s="378"/>
      <c r="H35" s="378"/>
      <c r="I35" s="369"/>
    </row>
    <row r="36" spans="1:13">
      <c r="A36" s="1808" t="s">
        <v>275</v>
      </c>
      <c r="B36" s="1122"/>
      <c r="C36" s="943"/>
      <c r="D36" s="3128"/>
      <c r="E36" s="3130"/>
      <c r="F36" s="1139"/>
      <c r="G36" s="379"/>
      <c r="H36" s="378"/>
      <c r="I36" s="369"/>
    </row>
    <row r="37" spans="1:13" ht="25.5">
      <c r="A37" s="1840" t="s">
        <v>137</v>
      </c>
      <c r="B37" s="1125" t="s">
        <v>10</v>
      </c>
      <c r="C37" s="1265">
        <f>ROUND(SUM(C17:C18)*F37, -2)</f>
        <v>107500</v>
      </c>
      <c r="D37" s="1264">
        <f>ROUND(SUM(D17:D18)*F38, -2)</f>
        <v>112200</v>
      </c>
      <c r="E37" s="2408">
        <f>SUM(C37:D37)</f>
        <v>219700</v>
      </c>
      <c r="F37" s="2805">
        <v>0.66700000000000004</v>
      </c>
      <c r="G37" s="2827" t="s">
        <v>725</v>
      </c>
      <c r="H37" s="378"/>
      <c r="I37" s="369"/>
    </row>
    <row r="38" spans="1:13">
      <c r="A38" s="1867" t="s">
        <v>31</v>
      </c>
      <c r="B38" s="1122"/>
      <c r="C38" s="1155"/>
      <c r="D38" s="1140"/>
      <c r="E38" s="1156"/>
      <c r="F38" s="2805">
        <v>0.68</v>
      </c>
      <c r="G38" s="2803" t="s">
        <v>726</v>
      </c>
      <c r="H38" s="378"/>
      <c r="I38" s="369"/>
    </row>
    <row r="39" spans="1:13">
      <c r="B39" s="1123" t="s">
        <v>12</v>
      </c>
      <c r="C39" s="1155"/>
      <c r="D39" s="1140"/>
      <c r="E39" s="1156"/>
      <c r="F39" s="1139"/>
      <c r="G39" s="356"/>
      <c r="H39" s="378"/>
      <c r="I39" s="365"/>
    </row>
    <row r="40" spans="1:13">
      <c r="B40" s="1135" t="s">
        <v>565</v>
      </c>
      <c r="C40" s="1152"/>
      <c r="D40" s="1141"/>
      <c r="E40" s="1153">
        <f t="shared" ref="E40:E45" si="0">SUM(C40:D40)</f>
        <v>0</v>
      </c>
      <c r="F40" s="1139"/>
      <c r="G40" s="356"/>
      <c r="H40" s="378"/>
      <c r="I40" s="365"/>
    </row>
    <row r="41" spans="1:13">
      <c r="B41" s="2414" t="s">
        <v>541</v>
      </c>
      <c r="C41" s="1152"/>
      <c r="D41" s="1141"/>
      <c r="E41" s="1188">
        <f t="shared" si="0"/>
        <v>0</v>
      </c>
      <c r="F41" s="1139"/>
      <c r="G41" s="356"/>
      <c r="H41" s="378"/>
      <c r="I41" s="365"/>
    </row>
    <row r="42" spans="1:13">
      <c r="B42" s="1135" t="s">
        <v>125</v>
      </c>
      <c r="C42" s="1152"/>
      <c r="D42" s="1141"/>
      <c r="E42" s="1188">
        <f t="shared" si="0"/>
        <v>0</v>
      </c>
      <c r="F42" s="1139"/>
      <c r="G42" s="356"/>
      <c r="H42" s="378"/>
      <c r="I42" s="365"/>
    </row>
    <row r="43" spans="1:13">
      <c r="B43" s="1135" t="s">
        <v>126</v>
      </c>
      <c r="C43" s="1152">
        <v>25000</v>
      </c>
      <c r="D43" s="1141">
        <v>25000</v>
      </c>
      <c r="E43" s="1188">
        <f t="shared" si="0"/>
        <v>50000</v>
      </c>
      <c r="F43" s="1139"/>
      <c r="G43" s="356"/>
      <c r="H43" s="378"/>
      <c r="I43" s="365"/>
    </row>
    <row r="44" spans="1:13" ht="15">
      <c r="B44" s="1135" t="s">
        <v>1650</v>
      </c>
      <c r="C44" s="2441">
        <v>15000</v>
      </c>
      <c r="D44" s="2445">
        <v>15000</v>
      </c>
      <c r="E44" s="2446">
        <f t="shared" si="0"/>
        <v>30000</v>
      </c>
      <c r="F44" s="1139"/>
      <c r="G44" s="379"/>
      <c r="H44" s="378"/>
      <c r="I44" s="365"/>
    </row>
    <row r="45" spans="1:13">
      <c r="B45" s="1134" t="s">
        <v>117</v>
      </c>
      <c r="C45" s="1149">
        <f>SUM(C40:C44)</f>
        <v>40000</v>
      </c>
      <c r="D45" s="1136">
        <f>SUM(D40:D44)</f>
        <v>40000</v>
      </c>
      <c r="E45" s="1154">
        <f t="shared" si="0"/>
        <v>80000</v>
      </c>
      <c r="F45" s="1139"/>
      <c r="G45" s="379"/>
      <c r="H45" s="378"/>
      <c r="I45" s="365"/>
    </row>
    <row r="46" spans="1:13" ht="13.5" thickBot="1">
      <c r="B46" s="1128"/>
      <c r="C46" s="1152"/>
      <c r="D46" s="1141"/>
      <c r="E46" s="1153"/>
      <c r="F46" s="1139"/>
      <c r="G46" s="379"/>
      <c r="H46" s="378"/>
      <c r="I46" s="365"/>
    </row>
    <row r="47" spans="1:13" ht="13.5" thickBot="1">
      <c r="B47" s="1134" t="s">
        <v>118</v>
      </c>
      <c r="C47" s="1151">
        <f>C14+C16+C26+C28+C33+C35+C37+C45</f>
        <v>477600</v>
      </c>
      <c r="D47" s="1157">
        <f>D14+D16+D26+D28+D33+D35+D37+D45</f>
        <v>486200</v>
      </c>
      <c r="E47" s="1158">
        <f>SUM(C47:D47)</f>
        <v>963800</v>
      </c>
      <c r="F47" s="1139"/>
      <c r="G47" s="379"/>
      <c r="H47" s="378"/>
      <c r="I47" s="365"/>
    </row>
    <row r="48" spans="1:13">
      <c r="B48" s="1124"/>
      <c r="C48" s="1141"/>
      <c r="D48" s="1141"/>
      <c r="E48" s="1141"/>
      <c r="F48" s="1139"/>
      <c r="G48" s="379"/>
      <c r="H48" s="378"/>
      <c r="I48" s="365"/>
    </row>
    <row r="49" spans="2:10">
      <c r="B49" s="1142" t="s">
        <v>566</v>
      </c>
      <c r="C49" s="1159">
        <v>2016</v>
      </c>
      <c r="D49" s="1159">
        <v>2017</v>
      </c>
      <c r="E49" s="1159" t="s">
        <v>23</v>
      </c>
      <c r="F49" s="1121"/>
      <c r="G49" s="379"/>
      <c r="H49" s="378"/>
      <c r="I49" s="365"/>
    </row>
    <row r="50" spans="2:10">
      <c r="B50" s="1142" t="s">
        <v>542</v>
      </c>
      <c r="C50" s="2423">
        <v>500000</v>
      </c>
      <c r="D50" s="2423">
        <v>550000</v>
      </c>
      <c r="E50" s="2423">
        <f>SUM(C50:D50)</f>
        <v>1050000</v>
      </c>
      <c r="G50" s="378"/>
      <c r="H50" s="378"/>
      <c r="I50" s="365"/>
    </row>
    <row r="51" spans="2:10">
      <c r="B51" s="1142" t="s">
        <v>567</v>
      </c>
      <c r="C51" s="2423">
        <v>0</v>
      </c>
      <c r="D51" s="2423">
        <v>0</v>
      </c>
      <c r="E51" s="2423">
        <f>SUM(C51:D51)</f>
        <v>0</v>
      </c>
      <c r="F51" s="1133"/>
      <c r="G51" s="378"/>
      <c r="H51" s="378"/>
      <c r="I51" s="365"/>
      <c r="J51" s="355"/>
    </row>
    <row r="52" spans="2:10">
      <c r="C52" s="2422">
        <f>SUM(C50:C51)</f>
        <v>500000</v>
      </c>
      <c r="D52" s="2422">
        <f>SUM(D50:D51)</f>
        <v>550000</v>
      </c>
      <c r="E52" s="2439">
        <f>SUM(E50:E51)</f>
        <v>1050000</v>
      </c>
      <c r="F52" s="1136" t="s">
        <v>81</v>
      </c>
      <c r="G52" s="380"/>
      <c r="H52" s="380"/>
      <c r="I52" s="370"/>
      <c r="J52" s="358"/>
    </row>
    <row r="53" spans="2:10">
      <c r="B53" s="355"/>
      <c r="C53" s="380"/>
      <c r="D53" s="380"/>
      <c r="E53" s="380"/>
      <c r="F53" s="371"/>
      <c r="G53" s="371"/>
      <c r="H53" s="371"/>
      <c r="I53" s="371"/>
      <c r="J53" s="358"/>
    </row>
    <row r="54" spans="2:10">
      <c r="B54" s="1142" t="s">
        <v>122</v>
      </c>
      <c r="C54" s="1160">
        <f>C52/E52</f>
        <v>0.47619047619047616</v>
      </c>
      <c r="D54" s="1160">
        <f>D52/E52</f>
        <v>0.52380952380952384</v>
      </c>
      <c r="E54" s="371"/>
      <c r="F54" s="371"/>
      <c r="G54" s="371"/>
      <c r="H54" s="371"/>
      <c r="I54" s="371"/>
      <c r="J54" s="358"/>
    </row>
    <row r="55" spans="2:10">
      <c r="B55" s="355"/>
      <c r="C55" s="371"/>
      <c r="D55" s="371"/>
      <c r="E55" s="371"/>
      <c r="F55" s="380"/>
      <c r="G55" s="371"/>
      <c r="H55" s="371"/>
      <c r="I55" s="371"/>
      <c r="J55" s="358"/>
    </row>
    <row r="56" spans="2:10" ht="20.25">
      <c r="B56" s="363"/>
      <c r="C56" s="372"/>
      <c r="D56" s="372"/>
      <c r="E56" s="372"/>
      <c r="F56" s="380"/>
      <c r="G56" s="371"/>
      <c r="H56" s="371"/>
      <c r="I56" s="371"/>
      <c r="J56" s="358"/>
    </row>
    <row r="57" spans="2:10">
      <c r="B57" s="358"/>
      <c r="C57" s="358"/>
      <c r="D57" s="358"/>
      <c r="E57" s="358"/>
      <c r="F57" s="380"/>
      <c r="G57" s="371"/>
      <c r="H57" s="371"/>
      <c r="I57" s="371"/>
      <c r="J57" s="358"/>
    </row>
    <row r="58" spans="2:10">
      <c r="B58" s="390"/>
      <c r="C58" s="358"/>
      <c r="D58" s="358"/>
      <c r="E58" s="358"/>
      <c r="F58" s="380"/>
      <c r="G58" s="371"/>
      <c r="H58" s="371"/>
      <c r="I58" s="371"/>
      <c r="J58" s="358"/>
    </row>
    <row r="59" spans="2:10">
      <c r="B59" s="358"/>
      <c r="C59" s="358"/>
      <c r="D59" s="358"/>
      <c r="E59" s="358"/>
      <c r="F59" s="358"/>
      <c r="G59" s="380"/>
      <c r="H59" s="380"/>
      <c r="I59" s="371"/>
      <c r="J59" s="358"/>
    </row>
    <row r="60" spans="2:10">
      <c r="B60" s="358"/>
      <c r="C60" s="360"/>
      <c r="D60" s="360"/>
      <c r="E60" s="360"/>
      <c r="F60" s="358"/>
      <c r="G60" s="362"/>
      <c r="H60" s="380"/>
      <c r="I60" s="370"/>
      <c r="J60" s="358"/>
    </row>
    <row r="61" spans="2:10">
      <c r="B61" s="361"/>
      <c r="C61" s="391"/>
      <c r="D61" s="391"/>
      <c r="E61" s="391"/>
      <c r="F61" s="358"/>
      <c r="G61" s="360"/>
      <c r="H61" s="380"/>
      <c r="I61" s="370"/>
      <c r="J61" s="358"/>
    </row>
    <row r="62" spans="2:10">
      <c r="B62" s="361"/>
      <c r="C62" s="391"/>
      <c r="D62" s="391"/>
      <c r="E62" s="391"/>
      <c r="F62" s="358"/>
      <c r="G62" s="392"/>
      <c r="H62" s="380"/>
      <c r="I62" s="370"/>
      <c r="J62" s="358"/>
    </row>
    <row r="63" spans="2:10">
      <c r="B63" s="361"/>
      <c r="C63" s="391"/>
      <c r="D63" s="391"/>
      <c r="E63" s="391"/>
      <c r="F63" s="358"/>
      <c r="G63" s="392"/>
      <c r="H63" s="380"/>
      <c r="I63" s="370"/>
      <c r="J63" s="358"/>
    </row>
    <row r="64" spans="2:10">
      <c r="B64" s="361"/>
      <c r="C64" s="391"/>
      <c r="D64" s="391"/>
      <c r="E64" s="391"/>
      <c r="F64" s="358"/>
      <c r="G64" s="392"/>
      <c r="H64" s="380"/>
      <c r="I64" s="370"/>
      <c r="J64" s="358"/>
    </row>
    <row r="65" spans="2:10">
      <c r="B65" s="361"/>
      <c r="C65" s="391"/>
      <c r="D65" s="391"/>
      <c r="E65" s="391"/>
      <c r="F65" s="358"/>
      <c r="G65" s="392"/>
      <c r="H65" s="380"/>
      <c r="I65" s="370"/>
      <c r="J65" s="358"/>
    </row>
    <row r="66" spans="2:10">
      <c r="B66" s="361"/>
      <c r="C66" s="391"/>
      <c r="D66" s="391"/>
      <c r="E66" s="391"/>
      <c r="F66" s="358"/>
      <c r="G66" s="392"/>
      <c r="H66" s="380"/>
      <c r="I66" s="370"/>
      <c r="J66" s="358"/>
    </row>
    <row r="67" spans="2:10">
      <c r="B67" s="358"/>
      <c r="C67" s="384"/>
      <c r="D67" s="384"/>
      <c r="E67" s="384"/>
      <c r="F67" s="358"/>
      <c r="G67" s="392"/>
      <c r="H67" s="380"/>
      <c r="I67" s="370"/>
      <c r="J67" s="358"/>
    </row>
    <row r="68" spans="2:10">
      <c r="B68" s="358"/>
      <c r="C68" s="358"/>
      <c r="D68" s="358"/>
      <c r="E68" s="358"/>
      <c r="F68" s="380"/>
      <c r="G68" s="393"/>
      <c r="H68" s="380"/>
      <c r="I68" s="370"/>
      <c r="J68" s="358"/>
    </row>
    <row r="69" spans="2:10">
      <c r="B69" s="390"/>
      <c r="C69" s="358"/>
      <c r="D69" s="358"/>
      <c r="E69" s="358"/>
      <c r="F69" s="380"/>
      <c r="G69" s="380"/>
      <c r="H69" s="380"/>
      <c r="I69" s="370"/>
      <c r="J69" s="358"/>
    </row>
    <row r="70" spans="2:10" ht="18">
      <c r="B70" s="358"/>
      <c r="C70" s="358"/>
      <c r="D70" s="358"/>
      <c r="E70" s="358"/>
      <c r="F70" s="380"/>
      <c r="G70" s="394"/>
      <c r="H70" s="380"/>
      <c r="I70" s="370"/>
      <c r="J70" s="358"/>
    </row>
    <row r="71" spans="2:10" ht="18.75">
      <c r="B71" s="395"/>
      <c r="C71" s="394"/>
      <c r="D71" s="394"/>
      <c r="E71" s="394"/>
      <c r="F71" s="394"/>
      <c r="G71" s="382"/>
      <c r="H71" s="380"/>
      <c r="I71" s="370"/>
      <c r="J71" s="358"/>
    </row>
    <row r="72" spans="2:10">
      <c r="B72" s="396"/>
      <c r="C72" s="397"/>
      <c r="D72" s="397"/>
      <c r="E72" s="397"/>
      <c r="F72" s="386"/>
      <c r="G72" s="381"/>
      <c r="H72" s="380"/>
      <c r="I72" s="370"/>
      <c r="J72" s="358"/>
    </row>
    <row r="73" spans="2:10">
      <c r="B73" s="396"/>
      <c r="C73" s="397"/>
      <c r="D73" s="397"/>
      <c r="E73" s="397"/>
      <c r="F73" s="386"/>
      <c r="G73" s="387"/>
      <c r="H73" s="380"/>
      <c r="I73" s="370"/>
      <c r="J73" s="358"/>
    </row>
    <row r="74" spans="2:10">
      <c r="B74" s="396"/>
      <c r="C74" s="397"/>
      <c r="D74" s="397"/>
      <c r="E74" s="397"/>
      <c r="F74" s="386"/>
      <c r="G74" s="388"/>
      <c r="H74" s="380"/>
      <c r="I74" s="370"/>
      <c r="J74" s="358"/>
    </row>
    <row r="75" spans="2:10">
      <c r="B75" s="396"/>
      <c r="C75" s="397"/>
      <c r="D75" s="397"/>
      <c r="E75" s="397"/>
      <c r="F75" s="386"/>
      <c r="G75" s="389"/>
      <c r="H75" s="380"/>
      <c r="I75" s="370"/>
      <c r="J75" s="358"/>
    </row>
    <row r="76" spans="2:10">
      <c r="B76" s="396"/>
      <c r="C76" s="397"/>
      <c r="D76" s="397"/>
      <c r="E76" s="397"/>
      <c r="F76" s="386"/>
      <c r="G76" s="389"/>
      <c r="H76" s="380"/>
      <c r="I76" s="370"/>
      <c r="J76" s="358"/>
    </row>
    <row r="77" spans="2:10">
      <c r="B77" s="396"/>
      <c r="C77" s="397"/>
      <c r="D77" s="397"/>
      <c r="E77" s="397"/>
      <c r="F77" s="386"/>
      <c r="G77" s="371"/>
      <c r="H77" s="380"/>
      <c r="I77" s="370"/>
      <c r="J77" s="358"/>
    </row>
    <row r="78" spans="2:10" ht="18">
      <c r="B78" s="358"/>
      <c r="C78" s="358"/>
      <c r="D78" s="358"/>
      <c r="E78" s="358"/>
      <c r="F78" s="371"/>
      <c r="G78" s="394"/>
      <c r="H78" s="380"/>
      <c r="I78" s="370"/>
      <c r="J78" s="358"/>
    </row>
    <row r="79" spans="2:10" ht="18">
      <c r="B79" s="398"/>
      <c r="C79" s="394"/>
      <c r="D79" s="394"/>
      <c r="E79" s="394"/>
      <c r="F79" s="394"/>
      <c r="G79" s="382"/>
      <c r="H79" s="371"/>
      <c r="I79" s="371"/>
      <c r="J79" s="358"/>
    </row>
    <row r="80" spans="2:10">
      <c r="B80" s="3625"/>
      <c r="C80" s="3626"/>
      <c r="D80" s="3626"/>
      <c r="E80" s="3626"/>
      <c r="F80" s="3626"/>
      <c r="G80" s="381"/>
      <c r="H80" s="371"/>
      <c r="I80" s="371"/>
      <c r="J80" s="358"/>
    </row>
    <row r="81" spans="2:10">
      <c r="B81" s="3625"/>
      <c r="C81" s="3626"/>
      <c r="D81" s="3626"/>
      <c r="E81" s="3626"/>
      <c r="F81" s="3626"/>
      <c r="G81" s="387"/>
      <c r="H81" s="371"/>
      <c r="I81" s="371"/>
      <c r="J81" s="358"/>
    </row>
    <row r="82" spans="2:10">
      <c r="B82" s="3625"/>
      <c r="C82" s="3626"/>
      <c r="D82" s="3626"/>
      <c r="E82" s="3626"/>
      <c r="F82" s="3626"/>
      <c r="G82" s="399"/>
      <c r="H82" s="371"/>
      <c r="I82" s="371"/>
      <c r="J82" s="358"/>
    </row>
    <row r="83" spans="2:10">
      <c r="B83" s="3625"/>
      <c r="C83" s="3626"/>
      <c r="D83" s="3626"/>
      <c r="E83" s="3626"/>
      <c r="F83" s="3626"/>
      <c r="G83" s="399"/>
      <c r="H83" s="371"/>
      <c r="I83" s="371"/>
      <c r="J83" s="358"/>
    </row>
    <row r="84" spans="2:10">
      <c r="B84" s="3625"/>
      <c r="C84" s="3626"/>
      <c r="D84" s="3626"/>
      <c r="E84" s="3626"/>
      <c r="F84" s="3626"/>
      <c r="G84" s="399"/>
      <c r="H84" s="371"/>
      <c r="I84" s="371"/>
      <c r="J84" s="358"/>
    </row>
    <row r="85" spans="2:10" ht="15.75">
      <c r="B85" s="3625"/>
      <c r="C85" s="3626"/>
      <c r="D85" s="3626"/>
      <c r="E85" s="3626"/>
      <c r="F85" s="3626"/>
      <c r="G85" s="358"/>
      <c r="H85" s="372"/>
      <c r="I85" s="372"/>
      <c r="J85" s="358"/>
    </row>
    <row r="86" spans="2:10">
      <c r="B86" s="358"/>
      <c r="C86" s="358"/>
      <c r="D86" s="358"/>
      <c r="E86" s="358"/>
      <c r="F86" s="358"/>
      <c r="G86" s="381"/>
      <c r="H86" s="358"/>
      <c r="I86" s="358"/>
      <c r="J86" s="358"/>
    </row>
    <row r="87" spans="2:10">
      <c r="B87" s="358"/>
      <c r="C87" s="385"/>
      <c r="D87" s="385"/>
      <c r="E87" s="385"/>
      <c r="F87" s="358"/>
      <c r="G87" s="382"/>
      <c r="H87" s="358"/>
      <c r="I87" s="358"/>
      <c r="J87" s="358"/>
    </row>
    <row r="88" spans="2:10">
      <c r="B88" s="358"/>
      <c r="C88" s="385"/>
      <c r="D88" s="385"/>
      <c r="E88" s="385"/>
      <c r="F88" s="358"/>
      <c r="G88" s="381"/>
      <c r="H88" s="358"/>
      <c r="I88" s="358"/>
      <c r="J88" s="358"/>
    </row>
    <row r="89" spans="2:10">
      <c r="B89" s="358"/>
      <c r="C89" s="358"/>
      <c r="D89" s="358"/>
      <c r="E89" s="358"/>
      <c r="F89" s="358"/>
      <c r="G89" s="358"/>
      <c r="H89" s="358"/>
      <c r="I89" s="358"/>
      <c r="J89" s="358"/>
    </row>
    <row r="90" spans="2:10">
      <c r="B90" s="358"/>
      <c r="C90" s="358"/>
      <c r="D90" s="358"/>
      <c r="E90" s="358"/>
      <c r="F90" s="358"/>
      <c r="G90" s="358"/>
      <c r="H90" s="358"/>
      <c r="I90" s="358"/>
      <c r="J90" s="358"/>
    </row>
    <row r="91" spans="2:10">
      <c r="B91" s="358"/>
      <c r="C91" s="358"/>
      <c r="D91" s="358"/>
      <c r="E91" s="358"/>
      <c r="F91" s="358"/>
      <c r="G91" s="358"/>
      <c r="H91" s="358"/>
      <c r="I91" s="358"/>
      <c r="J91" s="358"/>
    </row>
    <row r="92" spans="2:10">
      <c r="B92" s="358"/>
      <c r="C92" s="358"/>
      <c r="D92" s="358"/>
      <c r="E92" s="358"/>
      <c r="F92" s="358"/>
      <c r="G92" s="358"/>
      <c r="H92" s="358"/>
      <c r="I92" s="358"/>
      <c r="J92" s="358"/>
    </row>
    <row r="93" spans="2:10">
      <c r="B93" s="390"/>
      <c r="C93" s="358"/>
      <c r="D93" s="358"/>
      <c r="E93" s="358"/>
      <c r="F93" s="358"/>
      <c r="G93" s="358"/>
      <c r="H93" s="358"/>
      <c r="I93" s="358"/>
      <c r="J93" s="358"/>
    </row>
    <row r="94" spans="2:10">
      <c r="B94" s="358"/>
      <c r="C94" s="358"/>
      <c r="D94" s="358"/>
      <c r="E94" s="358"/>
      <c r="F94" s="358"/>
      <c r="G94" s="358"/>
      <c r="H94" s="358"/>
      <c r="I94" s="358"/>
      <c r="J94" s="358"/>
    </row>
    <row r="95" spans="2:10">
      <c r="B95" s="358"/>
      <c r="C95" s="358"/>
      <c r="D95" s="358"/>
      <c r="E95" s="358"/>
      <c r="F95" s="358"/>
      <c r="G95" s="358"/>
      <c r="H95" s="358"/>
      <c r="I95" s="358"/>
      <c r="J95" s="358"/>
    </row>
    <row r="96" spans="2:10">
      <c r="B96" s="358"/>
      <c r="C96" s="358"/>
      <c r="D96" s="358"/>
      <c r="E96" s="358"/>
      <c r="F96" s="358"/>
      <c r="G96" s="358"/>
      <c r="H96" s="358"/>
      <c r="I96" s="358"/>
      <c r="J96" s="358"/>
    </row>
    <row r="97" spans="2:10">
      <c r="B97" s="358"/>
      <c r="C97" s="358"/>
      <c r="D97" s="358"/>
      <c r="E97" s="358"/>
      <c r="F97" s="358"/>
      <c r="G97" s="358"/>
      <c r="H97" s="358"/>
      <c r="I97" s="358"/>
      <c r="J97" s="358"/>
    </row>
    <row r="98" spans="2:10">
      <c r="B98" s="358"/>
      <c r="C98" s="358"/>
      <c r="D98" s="358"/>
      <c r="E98" s="358"/>
      <c r="F98" s="358"/>
      <c r="G98" s="358"/>
      <c r="H98" s="358"/>
      <c r="I98" s="358"/>
      <c r="J98" s="358"/>
    </row>
    <row r="99" spans="2:10">
      <c r="H99" s="358"/>
      <c r="I99" s="358"/>
      <c r="J99" s="358"/>
    </row>
  </sheetData>
  <customSheetViews>
    <customSheetView guid="{074EB09C-6289-46D7-9513-012B68BCA7BF}" showGridLines="0">
      <pane xSplit="1" ySplit="1" topLeftCell="C8" activePane="bottomRight" state="frozen"/>
      <selection pane="bottomRight" activeCell="G18" sqref="G18"/>
      <pageMargins left="0.23" right="0.34" top="0.41" bottom="0.75" header="0.3" footer="0.3"/>
      <pageSetup paperSize="17" scale="60" orientation="landscape" r:id="rId1"/>
    </customSheetView>
    <customSheetView guid="{D9EFFE19-D14B-4C6F-BDF4-FF696F73968D}" showGridLines="0">
      <pane xSplit="1" ySplit="1" topLeftCell="B14" activePane="bottomRight" state="frozen"/>
      <selection pane="bottomRight"/>
      <pageMargins left="0.23" right="0.34" top="0.41" bottom="0.75" header="0.3" footer="0.3"/>
      <pageSetup paperSize="17" scale="60" orientation="landscape" r:id="rId2"/>
    </customSheetView>
  </customSheetViews>
  <mergeCells count="6">
    <mergeCell ref="B80:F80"/>
    <mergeCell ref="B85:F85"/>
    <mergeCell ref="B81:F81"/>
    <mergeCell ref="B82:F82"/>
    <mergeCell ref="B83:F83"/>
    <mergeCell ref="B84:F84"/>
  </mergeCells>
  <pageMargins left="0.23" right="0.34" top="0.41" bottom="0.75" header="0.3" footer="0.3"/>
  <pageSetup paperSize="17" scale="60" orientation="landscape" r:id="rId3"/>
  <ignoredErrors>
    <ignoredError sqref="C52:D52" formulaRange="1"/>
  </ignoredErrors>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66"/>
  <sheetViews>
    <sheetView showGridLines="0"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5703125" style="2177" customWidth="1"/>
    <col min="2" max="2" width="16" style="2177" customWidth="1"/>
    <col min="3" max="3" width="29.140625" style="2177" customWidth="1"/>
    <col min="4" max="4" width="20.85546875" style="2192" customWidth="1"/>
    <col min="5" max="5" width="20.85546875" style="1790" customWidth="1"/>
    <col min="6" max="10" width="18.85546875" style="2177" customWidth="1"/>
    <col min="11" max="11" width="17.5703125" style="2177" customWidth="1"/>
    <col min="12" max="12" width="18.42578125" style="2177" customWidth="1"/>
    <col min="13" max="13" width="24.42578125" style="2177" customWidth="1"/>
    <col min="14" max="14" width="19.42578125" style="2177" customWidth="1"/>
    <col min="15" max="15" width="14.7109375" style="2177" customWidth="1"/>
    <col min="16" max="16" width="16.85546875" style="2177" customWidth="1"/>
    <col min="17" max="17" width="15.28515625" style="2177" customWidth="1"/>
    <col min="18" max="16384" width="9.140625" style="2177"/>
  </cols>
  <sheetData>
    <row r="1" spans="1:18" ht="57.75" customHeight="1">
      <c r="D1" s="1831" t="s">
        <v>1639</v>
      </c>
      <c r="E1" s="1811" t="s">
        <v>25</v>
      </c>
      <c r="F1" s="1882" t="s">
        <v>1619</v>
      </c>
      <c r="G1" s="1812" t="s">
        <v>31</v>
      </c>
      <c r="M1" s="1831" t="s">
        <v>1639</v>
      </c>
      <c r="N1" s="1811" t="s">
        <v>25</v>
      </c>
      <c r="O1" s="1882" t="s">
        <v>1619</v>
      </c>
      <c r="P1" s="1812" t="s">
        <v>31</v>
      </c>
    </row>
    <row r="2" spans="1:18" ht="19.5" customHeight="1" thickBot="1">
      <c r="D2" s="1800"/>
      <c r="E2" s="1800"/>
      <c r="F2" s="1800"/>
      <c r="G2" s="1805"/>
      <c r="H2" s="1576" t="s">
        <v>674</v>
      </c>
      <c r="I2" s="1805"/>
      <c r="J2" s="1805"/>
      <c r="K2" s="1805"/>
      <c r="L2" s="1805"/>
      <c r="M2" s="1805"/>
      <c r="N2" s="1805"/>
      <c r="O2" s="1805"/>
      <c r="P2" s="1805"/>
      <c r="Q2" s="1805"/>
    </row>
    <row r="3" spans="1:18" ht="26.25" thickBot="1">
      <c r="A3" s="1844"/>
      <c r="B3" s="3115"/>
      <c r="D3" s="1791"/>
      <c r="E3" s="1791"/>
      <c r="F3" s="1791"/>
      <c r="G3" s="1805"/>
      <c r="H3" s="1577" t="s">
        <v>8</v>
      </c>
      <c r="I3" s="1538" t="s">
        <v>9</v>
      </c>
      <c r="J3" s="1538" t="s">
        <v>10</v>
      </c>
      <c r="K3" s="1538" t="s">
        <v>11</v>
      </c>
      <c r="L3" s="2037" t="s">
        <v>504</v>
      </c>
      <c r="M3" s="1538" t="s">
        <v>12</v>
      </c>
      <c r="N3" s="1538" t="s">
        <v>13</v>
      </c>
      <c r="O3" s="1538" t="s">
        <v>14</v>
      </c>
      <c r="P3" s="2037" t="s">
        <v>15</v>
      </c>
      <c r="Q3" s="2037"/>
      <c r="R3" s="2037" t="s">
        <v>16</v>
      </c>
    </row>
    <row r="4" spans="1:18" ht="16.5" customHeight="1">
      <c r="A4" s="2193"/>
      <c r="B4" s="1748"/>
      <c r="E4" s="2192"/>
      <c r="F4" s="2192"/>
      <c r="G4" s="1804" t="s">
        <v>668</v>
      </c>
      <c r="H4" s="2003"/>
      <c r="I4" s="2002"/>
      <c r="J4" s="2002"/>
      <c r="K4" s="2002"/>
      <c r="L4" s="2002"/>
      <c r="M4" s="2002">
        <v>26404</v>
      </c>
      <c r="N4" s="2002"/>
      <c r="O4" s="2002"/>
      <c r="P4" s="2002"/>
      <c r="Q4" s="2002"/>
      <c r="R4" s="2002">
        <v>26404</v>
      </c>
    </row>
    <row r="5" spans="1:18" ht="25.5">
      <c r="A5" s="1831" t="s">
        <v>1639</v>
      </c>
      <c r="B5" s="1748"/>
      <c r="D5" s="2177"/>
      <c r="E5" s="2177"/>
      <c r="G5" s="1228">
        <v>2016</v>
      </c>
      <c r="H5" s="1582">
        <f>D15</f>
        <v>9907.68</v>
      </c>
      <c r="I5" s="1549">
        <f>D21</f>
        <v>500</v>
      </c>
      <c r="J5" s="1549">
        <f>D27</f>
        <v>6941.9225600000009</v>
      </c>
      <c r="K5" s="1549">
        <f>D34</f>
        <v>0</v>
      </c>
      <c r="L5" s="1549">
        <f>D40</f>
        <v>700</v>
      </c>
      <c r="M5" s="1549">
        <f>D46</f>
        <v>3250</v>
      </c>
      <c r="N5" s="1549">
        <f>D52</f>
        <v>0</v>
      </c>
      <c r="O5" s="1549">
        <f>D58</f>
        <v>0</v>
      </c>
      <c r="P5" s="1549">
        <v>0</v>
      </c>
      <c r="Q5" s="1549"/>
      <c r="R5" s="1549">
        <f>SUM(H5:P5)</f>
        <v>21299.602559999999</v>
      </c>
    </row>
    <row r="6" spans="1:18" ht="16.5" thickBot="1">
      <c r="A6" s="1974" t="s">
        <v>25</v>
      </c>
      <c r="B6" s="1882"/>
      <c r="C6" s="1803"/>
      <c r="D6" s="2177"/>
      <c r="E6" s="2177"/>
      <c r="G6" s="1228">
        <v>2017</v>
      </c>
      <c r="H6" s="57">
        <f>E15</f>
        <v>10155.370000000001</v>
      </c>
      <c r="I6" s="1990">
        <f>E21</f>
        <v>500</v>
      </c>
      <c r="J6" s="1989">
        <f>E27</f>
        <v>7245.6516000000011</v>
      </c>
      <c r="K6" s="58">
        <f>E34</f>
        <v>0</v>
      </c>
      <c r="L6" s="58">
        <f>E40</f>
        <v>700</v>
      </c>
      <c r="M6" s="58">
        <f>E46</f>
        <v>3250</v>
      </c>
      <c r="N6" s="58">
        <f>E52</f>
        <v>0</v>
      </c>
      <c r="O6" s="58">
        <f>E58</f>
        <v>0</v>
      </c>
      <c r="P6" s="58">
        <v>0</v>
      </c>
      <c r="Q6" s="58"/>
      <c r="R6" s="58">
        <f>SUM(H6:P6)</f>
        <v>21851.0216</v>
      </c>
    </row>
    <row r="7" spans="1:18" s="2194" customFormat="1" ht="13.5" thickBot="1">
      <c r="A7" s="1882" t="s">
        <v>1619</v>
      </c>
      <c r="B7" s="2195"/>
      <c r="G7" s="598" t="s">
        <v>23</v>
      </c>
      <c r="H7" s="1564">
        <f>SUM(H5:H6)</f>
        <v>20063.050000000003</v>
      </c>
      <c r="I7" s="1991">
        <f t="shared" ref="I7:P7" si="0">SUM(I5:I6)</f>
        <v>1000</v>
      </c>
      <c r="J7" s="1992">
        <f t="shared" si="0"/>
        <v>14187.574160000002</v>
      </c>
      <c r="K7" s="1993">
        <f t="shared" si="0"/>
        <v>0</v>
      </c>
      <c r="L7" s="1991">
        <f t="shared" si="0"/>
        <v>1400</v>
      </c>
      <c r="M7" s="1992">
        <f t="shared" si="0"/>
        <v>6500</v>
      </c>
      <c r="N7" s="1991">
        <f t="shared" si="0"/>
        <v>0</v>
      </c>
      <c r="O7" s="1992">
        <f t="shared" si="0"/>
        <v>0</v>
      </c>
      <c r="P7" s="1993">
        <f t="shared" si="0"/>
        <v>0</v>
      </c>
      <c r="Q7" s="1993"/>
      <c r="R7" s="1991">
        <f>SUM(R5:R6)</f>
        <v>43150.624159999999</v>
      </c>
    </row>
    <row r="8" spans="1:18" s="2194" customFormat="1" ht="25.5">
      <c r="A8" s="1976" t="s">
        <v>31</v>
      </c>
      <c r="B8" s="3115"/>
      <c r="G8" s="2192"/>
      <c r="H8" s="1790"/>
      <c r="I8" s="2177"/>
      <c r="J8" s="2177"/>
      <c r="K8" s="2177"/>
      <c r="L8" s="2177"/>
      <c r="M8" s="2177"/>
      <c r="N8" s="2177"/>
      <c r="O8" s="2177"/>
      <c r="P8" s="2178" t="s">
        <v>20</v>
      </c>
      <c r="Q8" s="2177"/>
    </row>
    <row r="9" spans="1:18" s="2194" customFormat="1">
      <c r="A9" s="1863"/>
      <c r="B9" s="1863"/>
      <c r="E9" s="2192"/>
      <c r="F9" s="1790"/>
      <c r="G9" s="2177"/>
      <c r="H9" s="2177"/>
      <c r="I9" s="2177"/>
      <c r="J9" s="2177"/>
      <c r="K9" s="2177"/>
      <c r="L9" s="2177"/>
      <c r="M9" s="2177"/>
      <c r="O9" s="2177"/>
      <c r="P9" s="2178" t="s">
        <v>21</v>
      </c>
    </row>
    <row r="10" spans="1:18" s="2193" customFormat="1">
      <c r="A10" s="2178"/>
      <c r="B10" s="2178"/>
      <c r="C10" s="1915" t="s">
        <v>329</v>
      </c>
      <c r="D10" s="1915"/>
      <c r="E10" s="1915"/>
      <c r="F10" s="1915"/>
    </row>
    <row r="11" spans="1:18" ht="18" customHeight="1">
      <c r="A11" s="2178"/>
      <c r="B11" s="2178"/>
      <c r="D11" s="2177"/>
      <c r="E11" s="2193"/>
    </row>
    <row r="12" spans="1:18">
      <c r="A12" s="2178"/>
      <c r="B12" s="2178"/>
      <c r="C12" s="1887" t="s">
        <v>314</v>
      </c>
      <c r="D12" s="2157">
        <f>D15+D21+D27+D34+D40+D46+D52+D58</f>
        <v>21299.602559999999</v>
      </c>
      <c r="E12" s="1948">
        <f>E15+E21+E27+E34+E40+E46+E52+E58</f>
        <v>21851.0216</v>
      </c>
      <c r="F12" s="2157">
        <f>D12+E12</f>
        <v>43150.624159999999</v>
      </c>
    </row>
    <row r="13" spans="1:18" ht="13.5" customHeight="1">
      <c r="A13" s="2178"/>
      <c r="B13" s="1863"/>
      <c r="C13" s="1947"/>
      <c r="D13" s="2177"/>
      <c r="E13" s="1787"/>
      <c r="G13" s="1802"/>
      <c r="H13" s="1802"/>
    </row>
    <row r="14" spans="1:18" s="2194" customFormat="1" ht="13.5" customHeight="1">
      <c r="A14" s="1863"/>
      <c r="B14" s="1863"/>
      <c r="C14" s="1888" t="s">
        <v>45</v>
      </c>
      <c r="D14" s="1969">
        <v>2016</v>
      </c>
      <c r="E14" s="1970">
        <v>2017</v>
      </c>
      <c r="F14" s="1950" t="s">
        <v>23</v>
      </c>
      <c r="G14" s="1796"/>
      <c r="H14" s="1796"/>
    </row>
    <row r="15" spans="1:18" s="2194" customFormat="1" ht="13.5" customHeight="1">
      <c r="A15" s="1863"/>
      <c r="B15" s="1886" t="s">
        <v>312</v>
      </c>
      <c r="C15" s="2106" t="s">
        <v>46</v>
      </c>
      <c r="D15" s="2158">
        <f>SUM(D16:D19)</f>
        <v>9907.68</v>
      </c>
      <c r="E15" s="1926">
        <f>SUM(E16:E19)</f>
        <v>10155.370000000001</v>
      </c>
      <c r="F15" s="2157">
        <f>SUM(F16:F19)</f>
        <v>20063.050000000003</v>
      </c>
      <c r="G15" s="1796"/>
      <c r="H15" s="1796"/>
    </row>
    <row r="16" spans="1:18" ht="13.5" customHeight="1">
      <c r="A16" s="2178"/>
      <c r="B16" s="2610">
        <v>0.13</v>
      </c>
      <c r="C16" s="2197" t="s">
        <v>801</v>
      </c>
      <c r="D16" s="2201">
        <v>9907.68</v>
      </c>
      <c r="E16" s="2200">
        <v>10155.370000000001</v>
      </c>
      <c r="F16" s="1879">
        <f>SUM(D16:E16)</f>
        <v>20063.050000000003</v>
      </c>
    </row>
    <row r="17" spans="1:7">
      <c r="A17" s="2178"/>
      <c r="B17" s="2610"/>
      <c r="C17" s="2197"/>
      <c r="D17" s="2199"/>
      <c r="E17" s="2198"/>
      <c r="F17" s="2191">
        <f>SUM(D17:E17)</f>
        <v>0</v>
      </c>
    </row>
    <row r="18" spans="1:7">
      <c r="A18" s="2178"/>
      <c r="B18" s="2610"/>
      <c r="C18" s="2197"/>
      <c r="D18" s="2199"/>
      <c r="E18" s="2198"/>
      <c r="F18" s="2191">
        <f>SUM(D18:E18)</f>
        <v>0</v>
      </c>
    </row>
    <row r="19" spans="1:7">
      <c r="A19" s="2178"/>
      <c r="B19" s="2610"/>
      <c r="C19" s="2197"/>
      <c r="D19" s="2242"/>
      <c r="E19" s="2079"/>
      <c r="F19" s="2191">
        <f>SUM(D19:E19)</f>
        <v>0</v>
      </c>
    </row>
    <row r="20" spans="1:7">
      <c r="A20" s="2178"/>
      <c r="B20" s="1908">
        <f>SUM(B16:B19)</f>
        <v>0.13</v>
      </c>
      <c r="C20" s="1952"/>
      <c r="D20" s="1954"/>
      <c r="E20" s="1955"/>
      <c r="F20" s="1957"/>
    </row>
    <row r="21" spans="1:7">
      <c r="A21" s="2178"/>
      <c r="B21" s="2178"/>
      <c r="C21" s="2106" t="s">
        <v>47</v>
      </c>
      <c r="D21" s="2158">
        <f>SUM(D22:D25)</f>
        <v>500</v>
      </c>
      <c r="E21" s="1926">
        <f>SUM(E22:E25)</f>
        <v>500</v>
      </c>
      <c r="F21" s="2157">
        <f>SUM(F22:F25)</f>
        <v>1000</v>
      </c>
      <c r="G21" s="1797" t="s">
        <v>7</v>
      </c>
    </row>
    <row r="22" spans="1:7">
      <c r="A22" s="2178"/>
      <c r="B22" s="2178"/>
      <c r="C22" s="2197"/>
      <c r="D22" s="2201">
        <v>500</v>
      </c>
      <c r="E22" s="2200">
        <v>500</v>
      </c>
      <c r="F22" s="1879">
        <f>SUM(D22:E22)</f>
        <v>1000</v>
      </c>
      <c r="G22" s="1798"/>
    </row>
    <row r="23" spans="1:7">
      <c r="A23" s="2178"/>
      <c r="B23" s="2178"/>
      <c r="C23" s="2197"/>
      <c r="D23" s="1900"/>
      <c r="E23" s="1899"/>
      <c r="F23" s="2191">
        <f>SUM(D23:E23)</f>
        <v>0</v>
      </c>
    </row>
    <row r="24" spans="1:7">
      <c r="A24" s="2178"/>
      <c r="B24" s="1863"/>
      <c r="C24" s="2197"/>
      <c r="D24" s="1898"/>
      <c r="E24" s="1897"/>
      <c r="F24" s="2191">
        <f>SUM(D24:E24)</f>
        <v>0</v>
      </c>
    </row>
    <row r="25" spans="1:7" s="2194" customFormat="1">
      <c r="A25" s="1863"/>
      <c r="B25" s="2178"/>
      <c r="C25" s="2197"/>
      <c r="D25" s="1896"/>
      <c r="E25" s="1899"/>
      <c r="F25" s="2191">
        <f>SUM(D25:E25)</f>
        <v>0</v>
      </c>
    </row>
    <row r="26" spans="1:7">
      <c r="A26" s="2178"/>
      <c r="B26" s="1863"/>
      <c r="C26" s="1877"/>
      <c r="D26" s="1892"/>
      <c r="E26" s="1884"/>
      <c r="F26" s="1892"/>
    </row>
    <row r="27" spans="1:7" s="2194" customFormat="1">
      <c r="A27" s="1863"/>
      <c r="B27" s="2178"/>
      <c r="C27" s="2106" t="s">
        <v>48</v>
      </c>
      <c r="D27" s="2158">
        <f>SUM(D29:D32)</f>
        <v>6941.9225600000009</v>
      </c>
      <c r="E27" s="1926">
        <f>SUM(E29:E32)</f>
        <v>7245.6516000000011</v>
      </c>
      <c r="F27" s="2157">
        <f>SUM(F29:F32)</f>
        <v>14187.574160000002</v>
      </c>
    </row>
    <row r="28" spans="1:7">
      <c r="A28" s="2178"/>
      <c r="B28" s="2178"/>
      <c r="C28" s="1909" t="s">
        <v>315</v>
      </c>
      <c r="D28" s="1912">
        <v>0.66700000000000004</v>
      </c>
      <c r="E28" s="1913">
        <v>0.68</v>
      </c>
      <c r="F28" s="1949"/>
    </row>
    <row r="29" spans="1:7">
      <c r="A29" s="2178"/>
      <c r="B29" s="2178"/>
      <c r="C29" s="2197" t="s">
        <v>778</v>
      </c>
      <c r="D29" s="2202">
        <f>D15*D28</f>
        <v>6608.4225600000009</v>
      </c>
      <c r="E29" s="2163">
        <f>E15*E28</f>
        <v>6905.6516000000011</v>
      </c>
      <c r="F29" s="2191">
        <f>SUM(D29:E29)</f>
        <v>13514.074160000002</v>
      </c>
    </row>
    <row r="30" spans="1:7">
      <c r="A30" s="2178"/>
      <c r="B30" s="2178"/>
      <c r="C30" s="2197" t="s">
        <v>779</v>
      </c>
      <c r="D30" s="1973">
        <f>D21*D28</f>
        <v>333.5</v>
      </c>
      <c r="E30" s="2163">
        <f>E21*E28</f>
        <v>340</v>
      </c>
      <c r="F30" s="2191">
        <f>SUM(D30:E30)</f>
        <v>673.5</v>
      </c>
    </row>
    <row r="31" spans="1:7">
      <c r="A31" s="2178"/>
      <c r="B31" s="2178"/>
      <c r="C31" s="1901"/>
      <c r="D31" s="1898"/>
      <c r="E31" s="1897"/>
      <c r="F31" s="2191">
        <f>SUM(D31:E31)</f>
        <v>0</v>
      </c>
    </row>
    <row r="32" spans="1:7">
      <c r="A32" s="2178"/>
      <c r="B32" s="2178"/>
      <c r="C32" s="1901"/>
      <c r="D32" s="1896"/>
      <c r="E32" s="1899"/>
      <c r="F32" s="2191">
        <f>SUM(D32:E32)</f>
        <v>0</v>
      </c>
    </row>
    <row r="33" spans="1:7">
      <c r="A33" s="2178"/>
      <c r="B33" s="1801"/>
      <c r="C33" s="1952"/>
      <c r="D33" s="1958"/>
      <c r="E33" s="1955"/>
      <c r="F33" s="1958"/>
    </row>
    <row r="34" spans="1:7">
      <c r="A34" s="1801"/>
      <c r="B34" s="2178"/>
      <c r="C34" s="2106" t="s">
        <v>49</v>
      </c>
      <c r="D34" s="2158">
        <v>0</v>
      </c>
      <c r="E34" s="1926">
        <v>0</v>
      </c>
      <c r="F34" s="2157">
        <v>0</v>
      </c>
      <c r="G34" s="1799"/>
    </row>
    <row r="35" spans="1:7" ht="25.5">
      <c r="A35" s="1831" t="s">
        <v>1639</v>
      </c>
      <c r="B35" s="1863"/>
      <c r="C35" s="2197"/>
      <c r="D35" s="2202"/>
      <c r="E35" s="2203"/>
      <c r="F35" s="2191">
        <v>0</v>
      </c>
    </row>
    <row r="36" spans="1:7" s="2194" customFormat="1">
      <c r="A36" s="1974" t="s">
        <v>25</v>
      </c>
      <c r="B36" s="2178"/>
      <c r="C36" s="2197"/>
      <c r="D36" s="2202"/>
      <c r="E36" s="2203"/>
      <c r="F36" s="2191">
        <v>0</v>
      </c>
    </row>
    <row r="37" spans="1:7">
      <c r="A37" s="1882" t="s">
        <v>1619</v>
      </c>
      <c r="B37" s="2178"/>
      <c r="C37" s="2197"/>
      <c r="D37" s="2202"/>
      <c r="E37" s="2203"/>
      <c r="F37" s="2191">
        <v>0</v>
      </c>
    </row>
    <row r="38" spans="1:7">
      <c r="A38" s="1976" t="s">
        <v>31</v>
      </c>
      <c r="B38" s="2178"/>
      <c r="C38" s="2197"/>
      <c r="D38" s="2202"/>
      <c r="E38" s="2203"/>
      <c r="F38" s="2191">
        <v>0</v>
      </c>
    </row>
    <row r="39" spans="1:7">
      <c r="A39" s="1882"/>
      <c r="B39" s="2178"/>
      <c r="C39" s="1952"/>
      <c r="D39" s="1958"/>
      <c r="E39" s="1955"/>
      <c r="F39" s="1958"/>
    </row>
    <row r="40" spans="1:7">
      <c r="A40" s="1976"/>
      <c r="B40" s="2178"/>
      <c r="C40" s="2106" t="s">
        <v>506</v>
      </c>
      <c r="D40" s="2158">
        <f>SUM(D41:D44)</f>
        <v>700</v>
      </c>
      <c r="E40" s="1926">
        <f>SUM(E41:E44)</f>
        <v>700</v>
      </c>
      <c r="F40" s="2157">
        <f t="shared" ref="F40:F56" si="1">SUM(D40:E40)</f>
        <v>1400</v>
      </c>
    </row>
    <row r="41" spans="1:7">
      <c r="A41" s="2178"/>
      <c r="B41" s="2178"/>
      <c r="C41" s="2197"/>
      <c r="D41" s="2202">
        <v>700</v>
      </c>
      <c r="E41" s="2203">
        <v>700</v>
      </c>
      <c r="F41" s="2191">
        <f t="shared" si="1"/>
        <v>1400</v>
      </c>
    </row>
    <row r="42" spans="1:7">
      <c r="A42" s="2178"/>
      <c r="B42" s="2178"/>
      <c r="C42" s="2197"/>
      <c r="D42" s="2202"/>
      <c r="E42" s="2203"/>
      <c r="F42" s="2191">
        <f t="shared" si="1"/>
        <v>0</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3250</v>
      </c>
      <c r="E46" s="1926">
        <f>SUM(E47:E50)</f>
        <v>3250</v>
      </c>
      <c r="F46" s="2157">
        <f t="shared" si="1"/>
        <v>6500</v>
      </c>
    </row>
    <row r="47" spans="1:7">
      <c r="A47" s="2178"/>
      <c r="B47" s="2178"/>
      <c r="C47" s="2197" t="s">
        <v>1609</v>
      </c>
      <c r="D47" s="2202">
        <v>3250</v>
      </c>
      <c r="E47" s="2203">
        <v>3250</v>
      </c>
      <c r="F47" s="2191">
        <f t="shared" si="1"/>
        <v>6500</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58">
        <f>SUM(D59:D60)</f>
        <v>0</v>
      </c>
      <c r="E58" s="1926">
        <f>SUM(E59:E60)</f>
        <v>0</v>
      </c>
      <c r="F58" s="2157">
        <f>SUM(F59:F60)</f>
        <v>0</v>
      </c>
    </row>
    <row r="59" spans="1:6">
      <c r="A59" s="2178"/>
      <c r="B59" s="2178"/>
      <c r="C59" s="2197"/>
      <c r="D59" s="2202"/>
      <c r="E59" s="2203"/>
      <c r="F59" s="2191">
        <f>SUM(D59:E59)</f>
        <v>0</v>
      </c>
    </row>
    <row r="60" spans="1:6">
      <c r="A60" s="2178"/>
      <c r="B60" s="2178"/>
      <c r="C60" s="2197"/>
      <c r="D60" s="2202"/>
      <c r="E60" s="2203"/>
      <c r="F60" s="2191">
        <f>SUM(D60:E60)</f>
        <v>0</v>
      </c>
    </row>
    <row r="61" spans="1:6">
      <c r="A61" s="2178"/>
      <c r="C61" s="2197"/>
      <c r="D61" s="2202"/>
      <c r="E61" s="2203"/>
      <c r="F61" s="1890">
        <v>0</v>
      </c>
    </row>
    <row r="62" spans="1:6">
      <c r="C62" s="2197"/>
      <c r="D62" s="2202"/>
      <c r="E62" s="2203"/>
      <c r="F62" s="2191">
        <v>0</v>
      </c>
    </row>
    <row r="63" spans="1:6">
      <c r="C63" s="2106"/>
      <c r="D63" s="2158"/>
      <c r="E63" s="1926"/>
      <c r="F63" s="2157"/>
    </row>
    <row r="64" spans="1:6">
      <c r="C64" s="1967"/>
      <c r="D64" s="1961"/>
      <c r="E64" s="1962"/>
      <c r="F64" s="1966"/>
    </row>
    <row r="65" spans="3:6">
      <c r="C65" s="1968"/>
      <c r="D65" s="1963"/>
      <c r="E65" s="1964"/>
      <c r="F65" s="1965"/>
    </row>
    <row r="66" spans="3:6">
      <c r="C66" s="1959"/>
      <c r="D66" s="2202"/>
      <c r="E66" s="2202"/>
      <c r="F66" s="1956"/>
    </row>
  </sheetData>
  <customSheetViews>
    <customSheetView guid="{074EB09C-6289-46D7-9513-012B68BCA7BF}" showGridLines="0">
      <pane xSplit="1" ySplit="1" topLeftCell="B5"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ABF8F"/>
  </sheetPr>
  <dimension ref="A1:S76"/>
  <sheetViews>
    <sheetView showGridLines="0" workbookViewId="0">
      <pane xSplit="1" ySplit="1" topLeftCell="B2" activePane="bottomRight" state="frozen"/>
      <selection pane="topRight" activeCell="B1" sqref="B1"/>
      <selection pane="bottomLeft" activeCell="A2" sqref="A2"/>
      <selection pane="bottomRight" activeCell="B5" sqref="B5"/>
    </sheetView>
  </sheetViews>
  <sheetFormatPr defaultRowHeight="12.75"/>
  <cols>
    <col min="1" max="1" width="18.140625" style="1164" customWidth="1"/>
    <col min="2" max="2" width="57.85546875" customWidth="1"/>
    <col min="3" max="5" width="17.5703125" customWidth="1"/>
    <col min="6" max="8" width="17.85546875" customWidth="1"/>
    <col min="9" max="9" width="20.7109375" customWidth="1"/>
    <col min="10" max="10" width="20.42578125" customWidth="1"/>
    <col min="11" max="11" width="22" customWidth="1"/>
    <col min="12" max="13" width="17.140625" customWidth="1"/>
    <col min="14" max="14" width="19.85546875" customWidth="1"/>
    <col min="15" max="19" width="19.5703125" customWidth="1"/>
  </cols>
  <sheetData>
    <row r="1" spans="1:19" ht="59.25" customHeight="1">
      <c r="B1" s="1840" t="s">
        <v>271</v>
      </c>
      <c r="C1" s="1808" t="s">
        <v>272</v>
      </c>
      <c r="D1" s="1840" t="s">
        <v>139</v>
      </c>
      <c r="E1" s="1841" t="s">
        <v>31</v>
      </c>
      <c r="H1" s="1808"/>
      <c r="I1" s="492"/>
      <c r="J1" s="467"/>
      <c r="K1" s="1840" t="s">
        <v>271</v>
      </c>
      <c r="L1" s="1808" t="s">
        <v>272</v>
      </c>
      <c r="M1" s="1840" t="s">
        <v>139</v>
      </c>
      <c r="N1" s="1866" t="s">
        <v>31</v>
      </c>
    </row>
    <row r="2" spans="1:19" ht="20.25">
      <c r="B2" s="472"/>
      <c r="C2" s="491"/>
      <c r="D2" s="491"/>
      <c r="E2" s="491"/>
      <c r="F2" s="491"/>
      <c r="G2" s="499"/>
      <c r="H2" s="492"/>
      <c r="I2" s="492"/>
      <c r="J2" s="467"/>
      <c r="K2" s="467"/>
      <c r="L2" s="467"/>
      <c r="M2" s="467"/>
      <c r="N2" s="467"/>
    </row>
    <row r="3" spans="1:19" ht="38.25">
      <c r="A3" s="1840" t="s">
        <v>271</v>
      </c>
      <c r="G3" s="1303"/>
      <c r="H3" s="471" t="s">
        <v>8</v>
      </c>
      <c r="I3" s="471" t="s">
        <v>9</v>
      </c>
      <c r="J3" s="471" t="s">
        <v>87</v>
      </c>
      <c r="K3" s="471" t="s">
        <v>11</v>
      </c>
      <c r="L3" s="510" t="s">
        <v>504</v>
      </c>
      <c r="M3" s="471" t="s">
        <v>12</v>
      </c>
      <c r="N3" s="471" t="s">
        <v>13</v>
      </c>
      <c r="O3" s="471" t="s">
        <v>14</v>
      </c>
      <c r="P3" s="471" t="s">
        <v>88</v>
      </c>
      <c r="Q3" s="510" t="s">
        <v>39</v>
      </c>
      <c r="R3" s="471" t="s">
        <v>16</v>
      </c>
      <c r="S3" s="471" t="s">
        <v>40</v>
      </c>
    </row>
    <row r="4" spans="1:19" ht="15.75">
      <c r="A4" s="1808" t="s">
        <v>272</v>
      </c>
      <c r="G4" s="1704" t="s">
        <v>668</v>
      </c>
      <c r="H4" s="1700">
        <v>0</v>
      </c>
      <c r="I4" s="1701">
        <v>0</v>
      </c>
      <c r="J4" s="1701">
        <v>0</v>
      </c>
      <c r="K4" s="1701">
        <v>0</v>
      </c>
      <c r="L4" s="1701">
        <v>11760</v>
      </c>
      <c r="M4" s="1703">
        <v>0</v>
      </c>
      <c r="N4" s="1702">
        <v>8240</v>
      </c>
      <c r="O4" s="1702">
        <v>0</v>
      </c>
      <c r="P4" s="2837">
        <v>0</v>
      </c>
      <c r="Q4" s="2837"/>
      <c r="R4" s="2852">
        <v>20000</v>
      </c>
      <c r="S4" s="2856">
        <v>0</v>
      </c>
    </row>
    <row r="5" spans="1:19" ht="25.5">
      <c r="A5" s="1840" t="s">
        <v>139</v>
      </c>
      <c r="G5" s="469">
        <v>2016</v>
      </c>
      <c r="H5" s="500">
        <f>C14</f>
        <v>0</v>
      </c>
      <c r="I5" s="501">
        <f>C15</f>
        <v>0</v>
      </c>
      <c r="J5" s="501">
        <f>C34</f>
        <v>0</v>
      </c>
      <c r="K5" s="501">
        <f>C32</f>
        <v>0</v>
      </c>
      <c r="L5" s="501">
        <f>C23</f>
        <v>0</v>
      </c>
      <c r="M5" s="501">
        <f>C38</f>
        <v>0</v>
      </c>
      <c r="N5" s="501">
        <f>C30</f>
        <v>0</v>
      </c>
      <c r="O5" s="501">
        <f>C25</f>
        <v>0</v>
      </c>
      <c r="P5" s="2838">
        <f>C11</f>
        <v>0</v>
      </c>
      <c r="Q5" s="2838"/>
      <c r="R5" s="2841">
        <f>SUM(H5:P5)</f>
        <v>0</v>
      </c>
      <c r="S5" s="2842">
        <v>0</v>
      </c>
    </row>
    <row r="6" spans="1:19" ht="13.5" thickBot="1">
      <c r="A6" s="1841" t="s">
        <v>31</v>
      </c>
      <c r="G6" s="506">
        <v>2017</v>
      </c>
      <c r="H6" s="500">
        <f>D14</f>
        <v>0</v>
      </c>
      <c r="I6" s="501">
        <f>D15</f>
        <v>0</v>
      </c>
      <c r="J6" s="501">
        <f>D34</f>
        <v>0</v>
      </c>
      <c r="K6" s="501">
        <f>D32</f>
        <v>0</v>
      </c>
      <c r="L6" s="501">
        <f>D23</f>
        <v>0</v>
      </c>
      <c r="M6" s="505">
        <f>D38</f>
        <v>0</v>
      </c>
      <c r="N6" s="507">
        <f>D30</f>
        <v>0</v>
      </c>
      <c r="O6" s="507">
        <f>D25</f>
        <v>0</v>
      </c>
      <c r="P6" s="2839">
        <f>D11</f>
        <v>0</v>
      </c>
      <c r="Q6" s="2839"/>
      <c r="R6" s="2853">
        <f>SUM(H6:P6)</f>
        <v>0</v>
      </c>
      <c r="S6" s="2842">
        <v>0</v>
      </c>
    </row>
    <row r="7" spans="1:19" s="1569" customFormat="1" ht="13.5" thickBot="1">
      <c r="G7" s="1699" t="s">
        <v>55</v>
      </c>
      <c r="H7" s="1596">
        <f t="shared" ref="H7:P7" si="0">SUM(H5:H6)</f>
        <v>0</v>
      </c>
      <c r="I7" s="1595">
        <f t="shared" si="0"/>
        <v>0</v>
      </c>
      <c r="J7" s="1595">
        <f t="shared" si="0"/>
        <v>0</v>
      </c>
      <c r="K7" s="1595">
        <f t="shared" si="0"/>
        <v>0</v>
      </c>
      <c r="L7" s="1595">
        <f t="shared" si="0"/>
        <v>0</v>
      </c>
      <c r="M7" s="1595">
        <f t="shared" si="0"/>
        <v>0</v>
      </c>
      <c r="N7" s="1595">
        <f t="shared" si="0"/>
        <v>0</v>
      </c>
      <c r="O7" s="1595">
        <f t="shared" si="0"/>
        <v>0</v>
      </c>
      <c r="P7" s="2450">
        <f t="shared" si="0"/>
        <v>0</v>
      </c>
      <c r="Q7" s="2450"/>
      <c r="R7" s="2452">
        <f>SUM(R5:R6)</f>
        <v>0</v>
      </c>
      <c r="S7" s="2854">
        <v>0</v>
      </c>
    </row>
    <row r="8" spans="1:19" ht="20.25">
      <c r="A8" s="1808"/>
      <c r="B8" s="472"/>
      <c r="C8" s="491"/>
      <c r="D8" s="491"/>
      <c r="E8" s="491"/>
      <c r="F8" s="491"/>
      <c r="G8" s="499"/>
      <c r="H8" s="492"/>
      <c r="I8" s="492"/>
      <c r="J8" s="467"/>
      <c r="K8" s="467"/>
      <c r="L8" s="467"/>
      <c r="M8" s="467"/>
      <c r="N8" s="475"/>
    </row>
    <row r="9" spans="1:19" ht="18">
      <c r="C9" s="499"/>
      <c r="D9" s="499"/>
      <c r="E9" s="499"/>
      <c r="F9" s="490"/>
      <c r="G9" s="490"/>
      <c r="H9" s="490"/>
      <c r="I9" s="490"/>
      <c r="J9" s="467"/>
      <c r="K9" s="467"/>
      <c r="L9" s="467"/>
      <c r="M9" s="467"/>
      <c r="N9" s="467"/>
    </row>
    <row r="10" spans="1:19" ht="18">
      <c r="B10" s="473"/>
      <c r="C10" s="502">
        <v>2016</v>
      </c>
      <c r="D10" s="503">
        <v>2017</v>
      </c>
      <c r="E10" s="504" t="s">
        <v>23</v>
      </c>
      <c r="F10" s="478"/>
      <c r="G10" s="478"/>
      <c r="H10" s="478"/>
      <c r="I10" s="1025"/>
      <c r="J10" s="1018"/>
      <c r="K10" s="475"/>
      <c r="L10" s="475"/>
      <c r="M10" s="475"/>
      <c r="N10" s="467"/>
    </row>
    <row r="11" spans="1:19">
      <c r="B11" s="983" t="s">
        <v>90</v>
      </c>
      <c r="C11" s="993">
        <v>0</v>
      </c>
      <c r="D11" s="1011">
        <v>0</v>
      </c>
      <c r="E11" s="1012">
        <f>SUM(C11:D11)</f>
        <v>0</v>
      </c>
      <c r="F11" s="478"/>
      <c r="G11" s="478"/>
      <c r="H11" s="478"/>
      <c r="I11" s="1019"/>
      <c r="J11" s="1020"/>
      <c r="K11" s="475"/>
      <c r="L11" s="467"/>
      <c r="M11" s="467"/>
      <c r="N11" s="467"/>
    </row>
    <row r="12" spans="1:19" ht="18">
      <c r="B12" s="984"/>
      <c r="C12" s="994"/>
      <c r="D12" s="979"/>
      <c r="E12" s="995"/>
      <c r="F12" s="478"/>
      <c r="G12" s="478"/>
      <c r="H12" s="478"/>
      <c r="I12" s="1019"/>
      <c r="J12" s="1021"/>
      <c r="K12" s="475"/>
      <c r="L12" s="467"/>
      <c r="M12" s="467"/>
      <c r="N12" s="467"/>
    </row>
    <row r="13" spans="1:19">
      <c r="B13" s="983" t="s">
        <v>93</v>
      </c>
      <c r="C13" s="996"/>
      <c r="D13" s="979"/>
      <c r="E13" s="995"/>
      <c r="F13" s="476"/>
      <c r="G13" s="476"/>
      <c r="H13" s="476"/>
      <c r="I13" s="1019"/>
      <c r="J13" s="1021"/>
      <c r="K13" s="467"/>
      <c r="L13" s="467"/>
      <c r="M13" s="467"/>
      <c r="N13" s="467"/>
    </row>
    <row r="14" spans="1:19">
      <c r="B14" s="985" t="s">
        <v>95</v>
      </c>
      <c r="C14" s="1014">
        <v>0</v>
      </c>
      <c r="D14" s="1009">
        <v>0</v>
      </c>
      <c r="E14" s="1007">
        <f>SUM(C14:D14)</f>
        <v>0</v>
      </c>
      <c r="F14" s="489"/>
      <c r="G14" s="479" t="s">
        <v>96</v>
      </c>
      <c r="H14" s="477"/>
      <c r="I14" s="1019"/>
      <c r="J14" s="1021"/>
      <c r="K14" s="467"/>
      <c r="L14" s="467"/>
      <c r="M14" s="467"/>
      <c r="N14" s="467"/>
    </row>
    <row r="15" spans="1:19">
      <c r="B15" s="985" t="s">
        <v>99</v>
      </c>
      <c r="C15" s="1014">
        <v>0</v>
      </c>
      <c r="D15" s="1009">
        <v>0</v>
      </c>
      <c r="E15" s="1189">
        <f>SUM(C15:D15)</f>
        <v>0</v>
      </c>
      <c r="F15" s="489"/>
      <c r="G15" s="479" t="s">
        <v>96</v>
      </c>
      <c r="H15" s="477"/>
      <c r="I15" s="1131"/>
      <c r="J15" s="1017"/>
      <c r="K15" s="467"/>
      <c r="L15" s="467"/>
      <c r="M15" s="467"/>
      <c r="N15" s="467"/>
    </row>
    <row r="16" spans="1:19">
      <c r="B16" s="985"/>
      <c r="C16" s="997"/>
      <c r="D16" s="979"/>
      <c r="E16" s="995"/>
      <c r="F16" s="477"/>
      <c r="G16" s="477"/>
      <c r="H16" s="477"/>
      <c r="I16" s="1019"/>
      <c r="J16" s="1017"/>
      <c r="K16" s="467"/>
      <c r="L16" s="467"/>
      <c r="M16" s="488"/>
    </row>
    <row r="17" spans="1:19">
      <c r="B17" s="1126" t="s">
        <v>506</v>
      </c>
      <c r="C17" s="996"/>
      <c r="D17" s="979"/>
      <c r="E17" s="995"/>
      <c r="F17" s="476"/>
      <c r="G17" s="476"/>
      <c r="H17" s="477"/>
      <c r="I17" s="1019"/>
      <c r="J17" s="1017"/>
      <c r="K17" s="467"/>
      <c r="L17" s="467"/>
      <c r="M17" s="467"/>
    </row>
    <row r="18" spans="1:19">
      <c r="B18" s="978" t="s">
        <v>100</v>
      </c>
      <c r="C18" s="1000">
        <v>0</v>
      </c>
      <c r="D18" s="1009">
        <v>0</v>
      </c>
      <c r="E18" s="1007">
        <f>SUM(C18:D18)</f>
        <v>0</v>
      </c>
      <c r="F18" s="493"/>
      <c r="G18" s="493"/>
      <c r="H18" s="476"/>
      <c r="I18" s="1019"/>
      <c r="J18" s="1017"/>
      <c r="K18" s="467"/>
      <c r="L18" s="467"/>
      <c r="M18" s="467"/>
    </row>
    <row r="19" spans="1:19">
      <c r="B19" s="985" t="s">
        <v>101</v>
      </c>
      <c r="C19" s="1000">
        <v>0</v>
      </c>
      <c r="D19" s="1009">
        <v>0</v>
      </c>
      <c r="E19" s="1189">
        <f>SUM(C19:D19)</f>
        <v>0</v>
      </c>
      <c r="F19" s="467"/>
      <c r="G19" s="476"/>
      <c r="H19" s="493"/>
      <c r="I19" s="1019"/>
      <c r="J19" s="1017"/>
      <c r="K19" s="467"/>
      <c r="L19" s="467"/>
      <c r="M19" s="467"/>
      <c r="S19">
        <f>1095*3</f>
        <v>3285</v>
      </c>
    </row>
    <row r="20" spans="1:19">
      <c r="B20" s="985" t="s">
        <v>104</v>
      </c>
      <c r="C20" s="1000">
        <v>0</v>
      </c>
      <c r="D20" s="1009">
        <v>0</v>
      </c>
      <c r="E20" s="1189">
        <f>SUM(C20:D20)</f>
        <v>0</v>
      </c>
      <c r="F20" s="476"/>
      <c r="G20" s="476"/>
      <c r="H20" s="476"/>
      <c r="I20" s="1019"/>
      <c r="J20" s="1024"/>
      <c r="K20" s="467"/>
      <c r="L20" s="467"/>
      <c r="M20" s="467"/>
      <c r="S20">
        <f>S19/15</f>
        <v>219</v>
      </c>
    </row>
    <row r="21" spans="1:19" s="2177" customFormat="1">
      <c r="B21" s="1130" t="s">
        <v>540</v>
      </c>
      <c r="C21" s="1183"/>
      <c r="D21" s="1174"/>
      <c r="E21" s="1189">
        <f>SUM(C21:D21)</f>
        <v>0</v>
      </c>
      <c r="F21" s="513"/>
      <c r="G21" s="513"/>
      <c r="H21" s="513"/>
      <c r="I21" s="2433"/>
      <c r="J21" s="1024"/>
      <c r="K21" s="2414"/>
      <c r="L21" s="2414"/>
      <c r="M21" s="2414"/>
    </row>
    <row r="22" spans="1:19" ht="15">
      <c r="B22" s="985" t="s">
        <v>107</v>
      </c>
      <c r="C22" s="2441">
        <v>0</v>
      </c>
      <c r="D22" s="2442">
        <v>0</v>
      </c>
      <c r="E22" s="2443">
        <f>SUM(C22:D22)</f>
        <v>0</v>
      </c>
      <c r="F22" s="476"/>
      <c r="G22" s="476"/>
      <c r="H22" s="494"/>
      <c r="I22" s="1015"/>
      <c r="J22" s="1016"/>
      <c r="K22" s="467"/>
      <c r="L22" s="467"/>
      <c r="M22" s="467"/>
    </row>
    <row r="23" spans="1:19">
      <c r="B23" s="978"/>
      <c r="C23" s="998">
        <f>SUM(C18:C22)</f>
        <v>0</v>
      </c>
      <c r="D23" s="989">
        <f>SUM(D18:D22)</f>
        <v>0</v>
      </c>
      <c r="E23" s="1013">
        <f>SUM(E18:E22)</f>
        <v>0</v>
      </c>
      <c r="F23" s="476"/>
      <c r="G23" s="476"/>
      <c r="H23" s="494"/>
      <c r="I23" s="1019"/>
      <c r="J23" s="1027"/>
      <c r="K23" s="467"/>
      <c r="L23" s="467"/>
      <c r="M23" s="467"/>
    </row>
    <row r="24" spans="1:19">
      <c r="B24" s="979"/>
      <c r="C24" s="1002"/>
      <c r="D24" s="979"/>
      <c r="E24" s="995"/>
      <c r="F24" s="476"/>
      <c r="G24" s="476"/>
      <c r="H24" s="494"/>
      <c r="I24" s="1023" t="s">
        <v>102</v>
      </c>
      <c r="J24" s="1026">
        <v>0</v>
      </c>
      <c r="K24" s="486" t="s">
        <v>134</v>
      </c>
      <c r="L24" s="467"/>
      <c r="M24" s="467"/>
    </row>
    <row r="25" spans="1:19">
      <c r="B25" s="983" t="s">
        <v>94</v>
      </c>
      <c r="C25" s="998">
        <v>0</v>
      </c>
      <c r="D25" s="992">
        <v>0</v>
      </c>
      <c r="E25" s="1013">
        <f>SUM(C25:D25)</f>
        <v>0</v>
      </c>
      <c r="F25" s="476"/>
      <c r="G25" s="476"/>
      <c r="H25" s="494"/>
      <c r="I25" s="1023" t="s">
        <v>105</v>
      </c>
      <c r="J25" s="2411" t="s">
        <v>18</v>
      </c>
      <c r="K25" s="487"/>
      <c r="L25" s="467"/>
      <c r="M25" s="467"/>
    </row>
    <row r="26" spans="1:19">
      <c r="B26" s="979"/>
      <c r="C26" s="1002"/>
      <c r="D26" s="979"/>
      <c r="E26" s="995"/>
      <c r="F26" s="476"/>
      <c r="G26" s="476"/>
      <c r="H26" s="494"/>
      <c r="I26" s="1023" t="s">
        <v>108</v>
      </c>
      <c r="J26" s="2411" t="s">
        <v>18</v>
      </c>
      <c r="K26" s="487"/>
      <c r="L26" s="467"/>
      <c r="M26" s="467"/>
    </row>
    <row r="27" spans="1:19">
      <c r="B27" s="982" t="s">
        <v>97</v>
      </c>
      <c r="C27" s="1002"/>
      <c r="D27" s="979"/>
      <c r="E27" s="995"/>
      <c r="F27" s="494"/>
      <c r="G27" s="494"/>
      <c r="H27" s="494"/>
      <c r="I27" s="1022" t="s">
        <v>109</v>
      </c>
      <c r="J27" s="2440" t="s">
        <v>18</v>
      </c>
      <c r="K27" s="467"/>
      <c r="L27" s="467"/>
      <c r="M27" s="467"/>
    </row>
    <row r="28" spans="1:19">
      <c r="B28" s="978" t="s">
        <v>110</v>
      </c>
      <c r="C28" s="1002"/>
      <c r="D28" s="1009"/>
      <c r="E28" s="1007">
        <f>SUM(C28:D28)</f>
        <v>0</v>
      </c>
      <c r="F28" s="494"/>
      <c r="G28" s="494"/>
      <c r="H28" s="494"/>
      <c r="I28" s="478"/>
      <c r="J28" s="467"/>
      <c r="K28" s="467"/>
      <c r="L28" s="467"/>
      <c r="M28" s="467"/>
    </row>
    <row r="29" spans="1:19" ht="15">
      <c r="B29" s="979" t="s">
        <v>112</v>
      </c>
      <c r="C29" s="2444">
        <v>0</v>
      </c>
      <c r="D29" s="2442">
        <v>0</v>
      </c>
      <c r="E29" s="2443">
        <f>SUM(C29:D29)</f>
        <v>0</v>
      </c>
      <c r="F29" s="494"/>
      <c r="G29" s="494"/>
      <c r="H29" s="494"/>
      <c r="I29" s="478"/>
      <c r="J29" s="467"/>
      <c r="K29" s="467"/>
      <c r="L29" s="467"/>
      <c r="M29" s="467"/>
    </row>
    <row r="30" spans="1:19">
      <c r="B30" s="982" t="s">
        <v>113</v>
      </c>
      <c r="C30" s="999">
        <f>SUM(C28:C29)</f>
        <v>0</v>
      </c>
      <c r="D30" s="986">
        <f>SUM(D28:D29)</f>
        <v>0</v>
      </c>
      <c r="E30" s="1013">
        <f>SUM(E28:E29)</f>
        <v>0</v>
      </c>
      <c r="F30" s="494"/>
      <c r="G30" s="494"/>
      <c r="H30" s="494"/>
      <c r="I30" s="478"/>
      <c r="J30" s="467"/>
      <c r="K30" s="467"/>
      <c r="L30" s="467"/>
      <c r="M30" s="467"/>
    </row>
    <row r="31" spans="1:19">
      <c r="B31" s="979"/>
      <c r="C31" s="1002"/>
      <c r="D31" s="979"/>
      <c r="E31" s="995"/>
      <c r="F31" s="494"/>
      <c r="G31" s="494"/>
      <c r="H31" s="494"/>
      <c r="I31" s="478"/>
      <c r="J31" s="467"/>
      <c r="K31" s="467"/>
      <c r="L31" s="467"/>
      <c r="M31" s="467"/>
    </row>
    <row r="32" spans="1:19" ht="38.25">
      <c r="A32" s="1840" t="s">
        <v>271</v>
      </c>
      <c r="B32" s="982" t="s">
        <v>98</v>
      </c>
      <c r="C32" s="999">
        <v>0</v>
      </c>
      <c r="D32" s="1010">
        <v>0</v>
      </c>
      <c r="E32" s="1013">
        <f>SUM(C32:D32)</f>
        <v>0</v>
      </c>
      <c r="F32" s="494"/>
      <c r="G32" s="494"/>
      <c r="H32" s="494"/>
      <c r="I32" s="478"/>
    </row>
    <row r="33" spans="1:10">
      <c r="A33" s="1808" t="s">
        <v>272</v>
      </c>
      <c r="B33" s="979"/>
      <c r="C33" s="1002"/>
      <c r="D33" s="979"/>
      <c r="E33" s="995"/>
      <c r="F33" s="494"/>
      <c r="G33" s="495"/>
      <c r="H33" s="494"/>
      <c r="I33" s="478"/>
    </row>
    <row r="34" spans="1:10" ht="25.5">
      <c r="A34" s="1840" t="s">
        <v>139</v>
      </c>
      <c r="B34" s="982" t="s">
        <v>10</v>
      </c>
      <c r="C34" s="999">
        <f>C14*F34</f>
        <v>0</v>
      </c>
      <c r="D34" s="986">
        <f>D14*F35</f>
        <v>0</v>
      </c>
      <c r="E34" s="1013">
        <f>SUM(C34:D34)</f>
        <v>0</v>
      </c>
      <c r="F34" s="2805">
        <v>0.66700000000000004</v>
      </c>
      <c r="G34" s="2827" t="s">
        <v>725</v>
      </c>
      <c r="H34" s="494"/>
      <c r="I34" s="478"/>
    </row>
    <row r="35" spans="1:10">
      <c r="A35" s="1866" t="s">
        <v>31</v>
      </c>
      <c r="B35" s="979"/>
      <c r="C35" s="1002"/>
      <c r="D35" s="990"/>
      <c r="E35" s="1003"/>
      <c r="F35" s="2805">
        <v>0.68</v>
      </c>
      <c r="G35" s="2803" t="s">
        <v>726</v>
      </c>
      <c r="H35" s="494"/>
      <c r="I35" s="478"/>
    </row>
    <row r="36" spans="1:10">
      <c r="B36" s="980" t="s">
        <v>12</v>
      </c>
      <c r="C36" s="1002"/>
      <c r="D36" s="990"/>
      <c r="E36" s="1003"/>
      <c r="F36" s="494"/>
      <c r="G36" s="468"/>
      <c r="H36" s="494"/>
      <c r="I36" s="474"/>
    </row>
    <row r="37" spans="1:10">
      <c r="B37" s="988" t="s">
        <v>131</v>
      </c>
      <c r="C37" s="1000">
        <v>0</v>
      </c>
      <c r="D37" s="991"/>
      <c r="E37" s="1001">
        <v>0</v>
      </c>
      <c r="F37" s="494"/>
      <c r="G37" s="468"/>
      <c r="H37" s="494"/>
      <c r="I37" s="474"/>
    </row>
    <row r="38" spans="1:10">
      <c r="B38" s="987" t="s">
        <v>117</v>
      </c>
      <c r="C38" s="998">
        <f>SUM(C37)</f>
        <v>0</v>
      </c>
      <c r="D38" s="989">
        <f>SUM(D37)</f>
        <v>0</v>
      </c>
      <c r="E38" s="1001">
        <f>SUM(E37)</f>
        <v>0</v>
      </c>
      <c r="F38" s="494"/>
      <c r="G38" s="468"/>
      <c r="H38" s="494"/>
      <c r="I38" s="474"/>
    </row>
    <row r="39" spans="1:10">
      <c r="B39" s="988"/>
      <c r="C39" s="1000"/>
      <c r="D39" s="991"/>
      <c r="E39" s="1001"/>
      <c r="F39" s="494"/>
      <c r="G39" s="468"/>
      <c r="H39" s="494"/>
      <c r="I39" s="474"/>
    </row>
    <row r="40" spans="1:10" ht="13.5" thickBot="1">
      <c r="B40" s="988"/>
      <c r="C40" s="1000"/>
      <c r="D40" s="991"/>
      <c r="E40" s="1001"/>
      <c r="F40" s="494"/>
      <c r="G40" s="468"/>
      <c r="H40" s="494"/>
      <c r="I40" s="474"/>
    </row>
    <row r="41" spans="1:10" ht="13.5" thickBot="1">
      <c r="B41" s="987" t="s">
        <v>118</v>
      </c>
      <c r="C41" s="1151">
        <f>C11+C14+C15+C23+C25+C30+C32+C34+C38</f>
        <v>0</v>
      </c>
      <c r="D41" s="1157">
        <f>D11+D14+D15+D23+D25+D30+D32+D34+D38</f>
        <v>0</v>
      </c>
      <c r="E41" s="2426">
        <f>E11+E14+E15+E23+E25+E30+E32+E34+E38</f>
        <v>0</v>
      </c>
      <c r="F41" s="494"/>
      <c r="G41" s="495"/>
      <c r="H41" s="494"/>
      <c r="I41" s="474"/>
    </row>
    <row r="42" spans="1:10">
      <c r="B42" s="981"/>
      <c r="C42" s="991"/>
      <c r="D42" s="991"/>
      <c r="E42" s="991"/>
      <c r="F42" s="494"/>
      <c r="G42" s="495"/>
      <c r="H42" s="494"/>
      <c r="I42" s="474"/>
    </row>
    <row r="43" spans="1:10">
      <c r="B43" s="978"/>
      <c r="C43" s="1008">
        <v>2016</v>
      </c>
      <c r="D43" s="1008">
        <v>2017</v>
      </c>
      <c r="E43" s="1008" t="s">
        <v>23</v>
      </c>
      <c r="F43" s="467"/>
      <c r="G43" s="495"/>
      <c r="H43" s="494"/>
      <c r="I43" s="474"/>
    </row>
    <row r="44" spans="1:10">
      <c r="B44" s="442" t="s">
        <v>136</v>
      </c>
      <c r="C44" s="1004">
        <v>0</v>
      </c>
      <c r="D44" s="1005">
        <v>0</v>
      </c>
      <c r="E44" s="1006">
        <v>0</v>
      </c>
      <c r="F44" s="485" t="s">
        <v>81</v>
      </c>
      <c r="G44" s="495"/>
      <c r="H44" s="494"/>
      <c r="I44" s="474"/>
    </row>
    <row r="45" spans="1:10">
      <c r="B45" s="467"/>
      <c r="C45" s="467"/>
      <c r="D45" s="467"/>
      <c r="E45" s="467"/>
      <c r="F45" s="467"/>
      <c r="G45" s="495"/>
      <c r="H45" s="494"/>
      <c r="I45" s="474"/>
    </row>
    <row r="46" spans="1:10">
      <c r="B46" s="498"/>
      <c r="C46" s="508"/>
      <c r="D46" s="508"/>
      <c r="E46" s="467"/>
      <c r="F46" s="467"/>
      <c r="G46" s="495"/>
      <c r="H46" s="494"/>
      <c r="I46" s="474"/>
    </row>
    <row r="47" spans="1:10">
      <c r="B47" s="467"/>
      <c r="C47" s="467"/>
      <c r="D47" s="467"/>
      <c r="E47" s="467"/>
      <c r="F47" s="467"/>
      <c r="G47" s="495"/>
      <c r="H47" s="494"/>
      <c r="I47" s="474"/>
    </row>
    <row r="48" spans="1:10">
      <c r="B48" s="467"/>
      <c r="C48" s="497"/>
      <c r="D48" s="497"/>
      <c r="E48" s="497"/>
      <c r="F48" s="480"/>
      <c r="G48" s="494"/>
      <c r="H48" s="494"/>
      <c r="I48" s="474"/>
      <c r="J48" s="467"/>
    </row>
    <row r="49" spans="2:10">
      <c r="B49" s="467"/>
      <c r="C49" s="497"/>
      <c r="D49" s="497"/>
      <c r="E49" s="497"/>
      <c r="F49" s="480"/>
      <c r="G49" s="494"/>
      <c r="H49" s="496"/>
      <c r="I49" s="481"/>
      <c r="J49" s="470"/>
    </row>
    <row r="50" spans="2:10">
      <c r="B50" s="467"/>
      <c r="C50" s="497"/>
      <c r="D50" s="497"/>
      <c r="E50" s="497"/>
      <c r="F50" s="480"/>
      <c r="G50" s="494"/>
      <c r="H50" s="482"/>
      <c r="I50" s="482"/>
      <c r="J50" s="470"/>
    </row>
    <row r="51" spans="2:10" ht="20.25">
      <c r="B51" s="472"/>
      <c r="C51" s="497"/>
      <c r="D51" s="497"/>
      <c r="E51" s="497"/>
      <c r="F51" s="480"/>
      <c r="G51" s="494"/>
      <c r="H51" s="482"/>
      <c r="I51" s="482"/>
      <c r="J51" s="470"/>
    </row>
    <row r="52" spans="2:10">
      <c r="B52" s="467"/>
      <c r="C52" s="497"/>
      <c r="D52" s="497"/>
      <c r="E52" s="497"/>
      <c r="F52" s="480"/>
      <c r="G52" s="496"/>
      <c r="H52" s="482"/>
      <c r="I52" s="482"/>
      <c r="J52" s="470"/>
    </row>
    <row r="53" spans="2:10">
      <c r="B53" s="469"/>
      <c r="C53" s="467"/>
      <c r="D53" s="467"/>
      <c r="E53" s="467"/>
      <c r="F53" s="467"/>
      <c r="G53" s="482"/>
      <c r="H53" s="482"/>
      <c r="I53" s="482"/>
      <c r="J53" s="470"/>
    </row>
    <row r="54" spans="2:10">
      <c r="B54" s="467"/>
      <c r="C54" s="496"/>
      <c r="D54" s="496"/>
      <c r="E54" s="496"/>
      <c r="F54" s="482"/>
      <c r="G54" s="482"/>
      <c r="H54" s="482"/>
      <c r="I54" s="482"/>
      <c r="J54" s="470"/>
    </row>
    <row r="55" spans="2:10">
      <c r="B55" s="467"/>
      <c r="C55" s="482"/>
      <c r="D55" s="482"/>
      <c r="E55" s="482"/>
      <c r="F55" s="482"/>
      <c r="G55" s="482"/>
      <c r="H55" s="482"/>
      <c r="I55" s="482"/>
      <c r="J55" s="470"/>
    </row>
    <row r="56" spans="2:10">
      <c r="B56" s="467"/>
      <c r="C56" s="482"/>
      <c r="D56" s="482"/>
      <c r="E56" s="482"/>
      <c r="F56" s="496"/>
      <c r="G56" s="482"/>
      <c r="H56" s="496"/>
      <c r="I56" s="482"/>
      <c r="J56" s="470"/>
    </row>
    <row r="57" spans="2:10" ht="15.75">
      <c r="B57" s="483"/>
      <c r="C57" s="484"/>
      <c r="D57" s="484"/>
      <c r="E57" s="484"/>
      <c r="F57" s="496"/>
      <c r="G57" s="482"/>
      <c r="H57" s="496"/>
      <c r="I57" s="481"/>
      <c r="J57" s="470"/>
    </row>
    <row r="58" spans="2:10">
      <c r="B58" s="470"/>
      <c r="C58" s="470"/>
      <c r="D58" s="470"/>
      <c r="E58" s="470"/>
      <c r="F58" s="496"/>
      <c r="G58" s="482"/>
      <c r="H58" s="496"/>
      <c r="I58" s="481"/>
      <c r="J58" s="470"/>
    </row>
    <row r="59" spans="2:10">
      <c r="B59" s="467"/>
      <c r="C59" s="467"/>
      <c r="D59" s="467"/>
      <c r="E59" s="467"/>
      <c r="F59" s="496"/>
      <c r="G59" s="496"/>
      <c r="H59" s="496"/>
      <c r="I59" s="481"/>
      <c r="J59" s="470"/>
    </row>
    <row r="60" spans="2:10">
      <c r="B60" s="467"/>
      <c r="C60" s="467"/>
      <c r="D60" s="467"/>
      <c r="E60" s="467"/>
      <c r="F60" s="496"/>
      <c r="G60" s="496"/>
      <c r="H60" s="496"/>
      <c r="I60" s="481"/>
      <c r="J60" s="470"/>
    </row>
    <row r="61" spans="2:10">
      <c r="B61" s="467"/>
      <c r="C61" s="467"/>
      <c r="D61" s="467"/>
      <c r="E61" s="467"/>
      <c r="F61" s="496"/>
      <c r="G61" s="496"/>
      <c r="H61" s="496"/>
      <c r="I61" s="481"/>
      <c r="J61" s="470"/>
    </row>
    <row r="62" spans="2:10">
      <c r="B62" s="467"/>
      <c r="C62" s="467"/>
      <c r="D62" s="467"/>
      <c r="E62" s="467"/>
      <c r="F62" s="467"/>
      <c r="G62" s="496"/>
      <c r="H62" s="496"/>
      <c r="I62" s="481"/>
      <c r="J62" s="470"/>
    </row>
    <row r="63" spans="2:10">
      <c r="F63" s="467"/>
      <c r="G63" s="496"/>
      <c r="H63" s="496"/>
      <c r="I63" s="481"/>
      <c r="J63" s="470"/>
    </row>
    <row r="64" spans="2:10">
      <c r="F64" s="467"/>
      <c r="G64" s="496"/>
      <c r="H64" s="496"/>
      <c r="I64" s="481"/>
      <c r="J64" s="470"/>
    </row>
    <row r="65" spans="6:10">
      <c r="F65" s="467"/>
      <c r="G65" s="496"/>
      <c r="H65" s="482"/>
      <c r="I65" s="482"/>
      <c r="J65" s="470"/>
    </row>
    <row r="66" spans="6:10">
      <c r="F66" s="467"/>
      <c r="G66" s="496"/>
      <c r="H66" s="482"/>
      <c r="I66" s="482"/>
      <c r="J66" s="470"/>
    </row>
    <row r="67" spans="6:10">
      <c r="F67" s="467"/>
      <c r="G67" s="496"/>
      <c r="H67" s="482"/>
      <c r="I67" s="482"/>
      <c r="J67" s="470"/>
    </row>
    <row r="68" spans="6:10">
      <c r="F68" s="482"/>
      <c r="G68" s="482"/>
      <c r="H68" s="482"/>
      <c r="I68" s="482"/>
      <c r="J68" s="470"/>
    </row>
    <row r="69" spans="6:10">
      <c r="F69" s="482"/>
      <c r="G69" s="482"/>
      <c r="H69" s="482"/>
      <c r="I69" s="482"/>
      <c r="J69" s="470"/>
    </row>
    <row r="70" spans="6:10">
      <c r="F70" s="482"/>
      <c r="G70" s="482"/>
      <c r="H70" s="482"/>
      <c r="I70" s="482"/>
      <c r="J70" s="470"/>
    </row>
    <row r="71" spans="6:10" ht="15.75">
      <c r="F71" s="484"/>
      <c r="G71" s="482"/>
      <c r="H71" s="484"/>
      <c r="I71" s="484"/>
      <c r="J71" s="470"/>
    </row>
    <row r="72" spans="6:10">
      <c r="F72" s="470"/>
      <c r="G72" s="482"/>
      <c r="H72" s="470"/>
      <c r="I72" s="470"/>
      <c r="J72" s="470"/>
    </row>
    <row r="73" spans="6:10">
      <c r="F73" s="467"/>
      <c r="G73" s="482"/>
      <c r="H73" s="467"/>
      <c r="I73" s="467"/>
      <c r="J73" s="467"/>
    </row>
    <row r="74" spans="6:10" ht="15.75">
      <c r="F74" s="467"/>
      <c r="G74" s="484"/>
      <c r="H74" s="467"/>
      <c r="I74" s="467"/>
      <c r="J74" s="467"/>
    </row>
    <row r="75" spans="6:10">
      <c r="F75" s="467"/>
      <c r="G75" s="470"/>
      <c r="H75" s="467"/>
      <c r="I75" s="467"/>
      <c r="J75" s="467"/>
    </row>
    <row r="76" spans="6:10">
      <c r="H76" s="467"/>
      <c r="I76" s="467"/>
      <c r="J76" s="467"/>
    </row>
  </sheetData>
  <customSheetViews>
    <customSheetView guid="{074EB09C-6289-46D7-9513-012B68BCA7BF}" showGridLines="0">
      <pane xSplit="1" ySplit="1" topLeftCell="B2" activePane="bottomRight" state="frozen"/>
      <selection pane="bottomRight" activeCell="C5" sqref="C5"/>
      <pageMargins left="0.31" right="0.21" top="0.37" bottom="0.75" header="0.3" footer="0.3"/>
      <pageSetup paperSize="17" scale="72" orientation="landscape" r:id="rId1"/>
    </customSheetView>
    <customSheetView guid="{D9EFFE19-D14B-4C6F-BDF4-FF696F73968D}" showGridLines="0">
      <pane xSplit="1" ySplit="1" topLeftCell="B17" activePane="bottomRight" state="frozen"/>
      <selection pane="bottomRight" activeCell="D35" sqref="D35"/>
      <pageMargins left="0.31" right="0.21" top="0.37" bottom="0.75" header="0.3" footer="0.3"/>
      <pageSetup paperSize="17" scale="72" orientation="landscape" r:id="rId2"/>
    </customSheetView>
  </customSheetViews>
  <pageMargins left="0.31" right="0.21" top="0.37" bottom="0.75" header="0.3" footer="0.3"/>
  <pageSetup paperSize="17" scale="72"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249977111117893"/>
  </sheetPr>
  <dimension ref="A1:L99"/>
  <sheetViews>
    <sheetView showGridLines="0" workbookViewId="0"/>
  </sheetViews>
  <sheetFormatPr defaultRowHeight="12.75"/>
  <cols>
    <col min="1" max="1" width="5.42578125" style="1164" customWidth="1"/>
    <col min="2" max="2" width="5.85546875" style="2177" customWidth="1"/>
    <col min="3" max="3" width="14.85546875" style="1164" customWidth="1"/>
    <col min="4" max="4" width="6.28515625" style="1164" customWidth="1"/>
    <col min="5" max="5" width="6.140625" style="1164" customWidth="1"/>
    <col min="6" max="6" width="33.28515625" style="1164" customWidth="1"/>
    <col min="7" max="7" width="17.140625" style="1164" customWidth="1"/>
    <col min="8" max="8" width="18.5703125" style="1164" customWidth="1"/>
    <col min="9" max="9" width="19.140625" style="1164" customWidth="1"/>
    <col min="10" max="10" width="18.140625" style="1164" customWidth="1"/>
    <col min="11" max="11" width="19.5703125" style="1164" customWidth="1"/>
    <col min="12" max="16384" width="9.140625" style="1164"/>
  </cols>
  <sheetData>
    <row r="1" spans="1:12" ht="54" customHeight="1">
      <c r="E1" s="610"/>
      <c r="F1" s="1800" t="s">
        <v>642</v>
      </c>
      <c r="I1" s="649"/>
      <c r="J1" s="1167"/>
      <c r="K1" s="1167"/>
    </row>
    <row r="2" spans="1:12" ht="21.75" customHeight="1" thickBot="1">
      <c r="E2" s="611" t="s">
        <v>178</v>
      </c>
      <c r="F2" s="646">
        <f ca="1">NOW()</f>
        <v>42310.409787268516</v>
      </c>
      <c r="G2" s="1488"/>
      <c r="H2" s="645"/>
      <c r="I2" s="648"/>
      <c r="J2" s="647"/>
      <c r="K2" s="647"/>
    </row>
    <row r="3" spans="1:12" ht="65.25">
      <c r="A3" s="1787"/>
      <c r="B3" s="2283" t="s">
        <v>439</v>
      </c>
      <c r="C3" s="2264" t="s">
        <v>264</v>
      </c>
      <c r="D3" s="2249" t="s">
        <v>179</v>
      </c>
      <c r="E3" s="2245"/>
      <c r="F3" s="2245"/>
      <c r="G3" s="2251" t="s">
        <v>587</v>
      </c>
      <c r="H3" s="2251" t="s">
        <v>180</v>
      </c>
      <c r="I3" s="2251" t="s">
        <v>181</v>
      </c>
      <c r="J3" s="2251" t="s">
        <v>182</v>
      </c>
      <c r="K3" s="2250" t="s">
        <v>183</v>
      </c>
    </row>
    <row r="4" spans="1:12" s="2177" customFormat="1" ht="16.5" thickBot="1">
      <c r="A4" s="1787"/>
      <c r="B4" s="1607"/>
      <c r="C4" s="2265"/>
      <c r="D4" s="2314" t="s">
        <v>618</v>
      </c>
      <c r="E4" s="2246"/>
      <c r="F4" s="2246"/>
      <c r="G4" s="2247"/>
      <c r="H4" s="2247"/>
      <c r="I4" s="2247"/>
      <c r="J4" s="2252"/>
      <c r="K4" s="2248"/>
    </row>
    <row r="5" spans="1:12" ht="15.75">
      <c r="A5" s="1787"/>
      <c r="B5" s="2895"/>
      <c r="C5" s="2896"/>
      <c r="D5" s="2897" t="s">
        <v>78</v>
      </c>
      <c r="E5" s="2897"/>
      <c r="F5" s="2897"/>
      <c r="G5" s="2898"/>
      <c r="H5" s="2899"/>
      <c r="I5" s="2898"/>
      <c r="J5" s="2898"/>
      <c r="K5" s="2900"/>
    </row>
    <row r="6" spans="1:12">
      <c r="A6" s="1787"/>
      <c r="B6" s="2295" t="s">
        <v>440</v>
      </c>
      <c r="C6" s="2267">
        <v>201</v>
      </c>
      <c r="D6" s="1229" t="s">
        <v>175</v>
      </c>
      <c r="E6" s="1197"/>
      <c r="F6" s="1198"/>
      <c r="G6" s="3372">
        <f>'2016 Sector View Elect'!T7/1000</f>
        <v>1560.3460600000001</v>
      </c>
      <c r="H6" s="1654">
        <f>'2016 Sector View Elect'!S7</f>
        <v>3386625.4933230001</v>
      </c>
      <c r="I6" s="3372">
        <f>'2016 Sector View Gas'!T7</f>
        <v>18641.260000000002</v>
      </c>
      <c r="J6" s="2795">
        <f>'2016 Sector View Gas'!S7</f>
        <v>283478.61693000002</v>
      </c>
      <c r="K6" s="2786">
        <f t="array" ref="K6:K21">H6:H21+J6:J21</f>
        <v>3670104.1102530002</v>
      </c>
    </row>
    <row r="7" spans="1:12">
      <c r="A7" s="1787"/>
      <c r="B7" s="2284" t="s">
        <v>441</v>
      </c>
      <c r="C7" s="2266">
        <v>214</v>
      </c>
      <c r="D7" s="652" t="s">
        <v>435</v>
      </c>
      <c r="E7" s="2026"/>
      <c r="F7" s="2025"/>
      <c r="G7" s="3375">
        <f>SUM(G8:G17)</f>
        <v>110402.08637999999</v>
      </c>
      <c r="H7" s="1246">
        <f>SUM(H8:H17)</f>
        <v>30687840.037950005</v>
      </c>
      <c r="I7" s="3373">
        <f>SUM(I8:I17)</f>
        <v>1684420.26</v>
      </c>
      <c r="J7" s="1246">
        <f>SUM(J8:J17)</f>
        <v>5873062.11754</v>
      </c>
      <c r="K7" s="1657">
        <v>36560902.155490004</v>
      </c>
    </row>
    <row r="8" spans="1:12" s="2689" customFormat="1">
      <c r="A8" s="2680"/>
      <c r="B8" s="2681" t="s">
        <v>442</v>
      </c>
      <c r="C8" s="2682"/>
      <c r="D8" s="2683"/>
      <c r="E8" s="2684" t="s">
        <v>184</v>
      </c>
      <c r="F8" s="2685"/>
      <c r="G8" s="3376">
        <f>'2016 Sector View Elect'!T14/1000</f>
        <v>71294.28</v>
      </c>
      <c r="H8" s="2686">
        <f>'2016 Sector View Elect'!S14</f>
        <v>14215007.132100001</v>
      </c>
      <c r="I8" s="3374"/>
      <c r="J8" s="2686"/>
      <c r="K8" s="2687">
        <v>14215007.132100001</v>
      </c>
      <c r="L8" s="2688"/>
    </row>
    <row r="9" spans="1:12" s="2689" customFormat="1">
      <c r="A9" s="2680"/>
      <c r="B9" s="2681" t="s">
        <v>443</v>
      </c>
      <c r="C9" s="2682"/>
      <c r="D9" s="2683"/>
      <c r="E9" s="2684" t="s">
        <v>185</v>
      </c>
      <c r="F9" s="2685"/>
      <c r="G9" s="3376">
        <f>'2016 Sector View Elect'!T11/1000</f>
        <v>7283.69</v>
      </c>
      <c r="H9" s="2686">
        <f>'2016 Sector View Elect'!S11</f>
        <v>4107421.9325600001</v>
      </c>
      <c r="I9" s="3374">
        <f>'2016 Sector View Gas'!T11</f>
        <v>645705</v>
      </c>
      <c r="J9" s="2686">
        <f>'2016 Sector View Gas'!S11</f>
        <v>2420720.5702800001</v>
      </c>
      <c r="K9" s="2687">
        <v>6528142.5028400002</v>
      </c>
      <c r="L9" s="2688"/>
    </row>
    <row r="10" spans="1:12" s="2689" customFormat="1">
      <c r="A10" s="2680"/>
      <c r="B10" s="2681" t="s">
        <v>444</v>
      </c>
      <c r="C10" s="2682"/>
      <c r="D10" s="2683"/>
      <c r="E10" s="2684" t="s">
        <v>186</v>
      </c>
      <c r="F10" s="2685"/>
      <c r="G10" s="3376">
        <f>'2016 Sector View Elect'!T9/1000</f>
        <v>571.29999999999995</v>
      </c>
      <c r="H10" s="2686">
        <f>'2016 Sector View Elect'!S9</f>
        <v>408508.86386000004</v>
      </c>
      <c r="I10" s="3374">
        <f>'2016 Sector View Gas'!T9</f>
        <v>0</v>
      </c>
      <c r="J10" s="2686">
        <f>'2016 Sector View Gas'!S9</f>
        <v>0</v>
      </c>
      <c r="K10" s="2687">
        <v>408508.86386000004</v>
      </c>
      <c r="L10" s="2688"/>
    </row>
    <row r="11" spans="1:12" s="2689" customFormat="1">
      <c r="A11" s="2680"/>
      <c r="B11" s="2681" t="s">
        <v>445</v>
      </c>
      <c r="C11" s="2682"/>
      <c r="D11" s="2683"/>
      <c r="E11" s="2684" t="s">
        <v>1655</v>
      </c>
      <c r="F11" s="2685"/>
      <c r="G11" s="3376">
        <f>'2016 Sector View Elect'!T8/1000</f>
        <v>3423.2020000000002</v>
      </c>
      <c r="H11" s="2686">
        <f>'2016 Sector View Elect'!S8</f>
        <v>2192476.9363299999</v>
      </c>
      <c r="I11" s="3374">
        <f>'2016 Sector View Gas'!T8</f>
        <v>0</v>
      </c>
      <c r="J11" s="2686">
        <f>'2016 Sector View Gas'!S8</f>
        <v>0</v>
      </c>
      <c r="K11" s="2687">
        <v>2192476.9363299999</v>
      </c>
      <c r="L11" s="2688"/>
    </row>
    <row r="12" spans="1:12" s="2689" customFormat="1">
      <c r="A12" s="2680"/>
      <c r="B12" s="2681" t="s">
        <v>446</v>
      </c>
      <c r="C12" s="2682"/>
      <c r="D12" s="2683"/>
      <c r="E12" s="2684" t="s">
        <v>68</v>
      </c>
      <c r="F12" s="2685"/>
      <c r="G12" s="3376">
        <f>'2016 Sector View Elect'!T12/1000</f>
        <v>10290.5</v>
      </c>
      <c r="H12" s="2686">
        <f>'2016 Sector View Elect'!S12</f>
        <v>5792810.5523199998</v>
      </c>
      <c r="I12" s="3374">
        <f>'2016 Sector View Gas'!T13</f>
        <v>46930</v>
      </c>
      <c r="J12" s="2686">
        <f>'2016 Sector View Gas'!S13</f>
        <v>16650</v>
      </c>
      <c r="K12" s="2687">
        <v>5809460.5523199998</v>
      </c>
      <c r="L12" s="2688"/>
    </row>
    <row r="13" spans="1:12" s="2689" customFormat="1">
      <c r="A13" s="2680"/>
      <c r="B13" s="2681" t="s">
        <v>447</v>
      </c>
      <c r="C13" s="2682"/>
      <c r="D13" s="2683"/>
      <c r="E13" s="2684" t="s">
        <v>292</v>
      </c>
      <c r="F13" s="2685"/>
      <c r="G13" s="3376">
        <f>'2016 Sector View Elect'!T15/1000</f>
        <v>2971.7</v>
      </c>
      <c r="H13" s="2686">
        <f>'2016 Sector View Elect'!S15</f>
        <v>1456037.1743300001</v>
      </c>
      <c r="I13" s="3374">
        <f>'2016 Sector View Gas'!T14</f>
        <v>0</v>
      </c>
      <c r="J13" s="2686">
        <f>'2016 Sector View Gas'!S14</f>
        <v>0</v>
      </c>
      <c r="K13" s="2687">
        <v>1456037.1743300001</v>
      </c>
      <c r="L13" s="2688"/>
    </row>
    <row r="14" spans="1:12" s="2689" customFormat="1">
      <c r="A14" s="2680"/>
      <c r="B14" s="2681" t="s">
        <v>326</v>
      </c>
      <c r="C14" s="2682"/>
      <c r="D14" s="2683"/>
      <c r="E14" s="2684" t="s">
        <v>345</v>
      </c>
      <c r="F14" s="2685"/>
      <c r="G14" s="3376">
        <f>'2016 Sector View Elect'!T17/1000</f>
        <v>848</v>
      </c>
      <c r="H14" s="2686">
        <f>'2016 Sector View Elect'!S17</f>
        <v>355653.72149999999</v>
      </c>
      <c r="I14" s="3374">
        <f>'2016 Sector View Gas'!T15</f>
        <v>34000</v>
      </c>
      <c r="J14" s="2686">
        <f>'2016 Sector View Gas'!S15</f>
        <v>202824.66518000001</v>
      </c>
      <c r="K14" s="2687">
        <v>558478.38668</v>
      </c>
      <c r="L14" s="2688"/>
    </row>
    <row r="15" spans="1:12" s="2689" customFormat="1">
      <c r="A15" s="2680"/>
      <c r="B15" s="2681" t="s">
        <v>448</v>
      </c>
      <c r="C15" s="2682"/>
      <c r="D15" s="2683"/>
      <c r="E15" s="2684" t="s">
        <v>187</v>
      </c>
      <c r="F15" s="2685"/>
      <c r="G15" s="3376">
        <f>'2016 Sector View Elect'!T13/1000</f>
        <v>4775.7380000000003</v>
      </c>
      <c r="H15" s="2686">
        <f>'2016 Sector View Elect'!S13</f>
        <v>652128.84010000003</v>
      </c>
      <c r="I15" s="3374">
        <f>'2016 Sector View Gas'!T12</f>
        <v>326630.76</v>
      </c>
      <c r="J15" s="2686">
        <f>'2016 Sector View Gas'!S12</f>
        <v>529322.36176</v>
      </c>
      <c r="K15" s="2687">
        <v>1181451.2018599999</v>
      </c>
      <c r="L15" s="2688"/>
    </row>
    <row r="16" spans="1:12" s="2689" customFormat="1">
      <c r="A16" s="2680"/>
      <c r="B16" s="2681" t="s">
        <v>449</v>
      </c>
      <c r="C16" s="2682"/>
      <c r="D16" s="2683"/>
      <c r="E16" s="2684" t="s">
        <v>188</v>
      </c>
      <c r="F16" s="2685"/>
      <c r="G16" s="3376">
        <f>'2016 Sector View Elect'!T10/1000</f>
        <v>3221.3863799999999</v>
      </c>
      <c r="H16" s="2686">
        <f>'2016 Sector View Elect'!S10</f>
        <v>1278574.1305999998</v>
      </c>
      <c r="I16" s="3374">
        <f>'2016 Sector View Gas'!T10</f>
        <v>391187.5</v>
      </c>
      <c r="J16" s="2686">
        <f>'2016 Sector View Gas'!S10</f>
        <v>2637366.9137399998</v>
      </c>
      <c r="K16" s="2687">
        <v>3915941.0443399996</v>
      </c>
      <c r="L16" s="2688"/>
    </row>
    <row r="17" spans="1:12" s="2689" customFormat="1">
      <c r="A17" s="2680"/>
      <c r="B17" s="2681" t="s">
        <v>450</v>
      </c>
      <c r="C17" s="2682"/>
      <c r="D17" s="2683"/>
      <c r="E17" s="2684" t="s">
        <v>192</v>
      </c>
      <c r="F17" s="2685"/>
      <c r="G17" s="3376">
        <f>'2016 Sector View Elect'!T16/1000</f>
        <v>5722.29</v>
      </c>
      <c r="H17" s="2686">
        <f>'2016 Sector View Elect'!S16</f>
        <v>229220.75425</v>
      </c>
      <c r="I17" s="3374">
        <f>'2016 Sector View Gas'!T16</f>
        <v>239967</v>
      </c>
      <c r="J17" s="2686">
        <f>'2016 Sector View Gas'!S16</f>
        <v>66177.606579999992</v>
      </c>
      <c r="K17" s="2687">
        <v>295398.36083000002</v>
      </c>
      <c r="L17" s="2688"/>
    </row>
    <row r="18" spans="1:12">
      <c r="A18" s="1787"/>
      <c r="B18" s="2284" t="s">
        <v>451</v>
      </c>
      <c r="C18" s="2266" t="s">
        <v>592</v>
      </c>
      <c r="D18" s="1233" t="s">
        <v>593</v>
      </c>
      <c r="E18" s="1197"/>
      <c r="F18" s="1198"/>
      <c r="G18" s="3372">
        <f>('2016 Sector View Elect'!T18+'2016 Sector View Elect'!T19+'2016 Sector View Elect'!T22)/1000</f>
        <v>2000.0000788</v>
      </c>
      <c r="H18" s="810">
        <f>'2016 Sector View Elect'!S18+'2016 Sector View Elect'!S19+'2016 Sector View Elect'!S22</f>
        <v>792218.5784</v>
      </c>
      <c r="I18" s="3372">
        <f>'2016 Sector View Gas'!T18+'2016 Sector View Gas'!T17+'2016 Sector View Gas'!T20</f>
        <v>52630</v>
      </c>
      <c r="J18" s="1246">
        <f>'2016 Sector View Gas'!S18+'2016 Sector View Gas'!S17+'2016 Sector View Gas'!S20</f>
        <v>228332.33840000001</v>
      </c>
      <c r="K18" s="1209">
        <v>1020550.9168</v>
      </c>
    </row>
    <row r="19" spans="1:12">
      <c r="A19" s="1787"/>
      <c r="B19" s="2284" t="s">
        <v>452</v>
      </c>
      <c r="C19" s="2266">
        <v>216</v>
      </c>
      <c r="D19" s="652" t="s">
        <v>190</v>
      </c>
      <c r="E19" s="644"/>
      <c r="F19" s="627"/>
      <c r="G19" s="3373">
        <f>'2016 Sector View Elect'!T20/1000</f>
        <v>1896.7</v>
      </c>
      <c r="H19" s="656">
        <f>'2016 Sector View Elect'!S20</f>
        <v>833282.20204999996</v>
      </c>
      <c r="I19" s="3373"/>
      <c r="J19" s="1246"/>
      <c r="K19" s="1209">
        <v>833282.20204999996</v>
      </c>
    </row>
    <row r="20" spans="1:12">
      <c r="A20" s="1787"/>
      <c r="B20" s="2284" t="s">
        <v>453</v>
      </c>
      <c r="C20" s="2266">
        <v>217</v>
      </c>
      <c r="D20" s="652" t="s">
        <v>191</v>
      </c>
      <c r="E20" s="644"/>
      <c r="F20" s="627"/>
      <c r="G20" s="3373">
        <f>'2016 Sector View Elect'!T21/1000</f>
        <v>17190.284</v>
      </c>
      <c r="H20" s="656">
        <f>'2016 Sector View Elect'!S21</f>
        <v>9775999.6147000007</v>
      </c>
      <c r="I20" s="3373">
        <f>'2016 Sector View Gas'!T19</f>
        <v>102945.8</v>
      </c>
      <c r="J20" s="1246">
        <f>'2016 Sector View Gas'!S19</f>
        <v>974655.0503</v>
      </c>
      <c r="K20" s="1209">
        <v>10750654.665000001</v>
      </c>
    </row>
    <row r="21" spans="1:12">
      <c r="A21" s="1787"/>
      <c r="B21" s="2285" t="s">
        <v>454</v>
      </c>
      <c r="C21" s="2268"/>
      <c r="D21" s="615" t="s">
        <v>193</v>
      </c>
      <c r="E21" s="615"/>
      <c r="F21" s="615"/>
      <c r="G21" s="3377">
        <f>G6+G7+SUM(G18:G20)</f>
        <v>133049.41651879999</v>
      </c>
      <c r="H21" s="665">
        <f>H6+H7+SUM(H18:H20)</f>
        <v>45475965.926423006</v>
      </c>
      <c r="I21" s="3378">
        <f>I6+I7+SUM(I18:I20)</f>
        <v>1858637.32</v>
      </c>
      <c r="J21" s="665">
        <f>J6+J7+SUM(J18:J20)</f>
        <v>7359528.1231700005</v>
      </c>
      <c r="K21" s="1210">
        <v>52835494.049593009</v>
      </c>
    </row>
    <row r="22" spans="1:12">
      <c r="A22" s="1787"/>
      <c r="B22" s="2286"/>
      <c r="C22" s="1555"/>
      <c r="D22" s="617"/>
      <c r="E22" s="1166"/>
      <c r="F22" s="1166"/>
      <c r="G22" s="659"/>
      <c r="H22" s="660"/>
      <c r="I22" s="661"/>
      <c r="J22" s="660"/>
      <c r="K22" s="1211"/>
    </row>
    <row r="23" spans="1:12" ht="15.75">
      <c r="A23" s="1787"/>
      <c r="B23" s="2890"/>
      <c r="C23" s="2891"/>
      <c r="D23" s="2892" t="s">
        <v>157</v>
      </c>
      <c r="E23" s="2892"/>
      <c r="F23" s="2892"/>
      <c r="G23" s="2893"/>
      <c r="H23" s="2893"/>
      <c r="I23" s="2893"/>
      <c r="J23" s="2893"/>
      <c r="K23" s="2894"/>
    </row>
    <row r="24" spans="1:12">
      <c r="A24" s="1787"/>
      <c r="B24" s="2288" t="s">
        <v>610</v>
      </c>
      <c r="C24" s="2267">
        <v>250</v>
      </c>
      <c r="D24" s="1197" t="s">
        <v>195</v>
      </c>
      <c r="E24" s="1197"/>
      <c r="F24" s="1198"/>
      <c r="G24" s="3383">
        <f>('2016 Sector View Elect'!T27+'2016 Sector View Elect'!T28)/1000</f>
        <v>67800</v>
      </c>
      <c r="H24" s="1244">
        <f>'2016 Sector View Elect'!S27+'2016 Sector View Elect'!S28</f>
        <v>18857082.575072665</v>
      </c>
      <c r="I24" s="3383">
        <f>'2016 Sector View Gas'!T25</f>
        <v>355000</v>
      </c>
      <c r="J24" s="1244">
        <f>'2016 Sector View Gas'!S25</f>
        <v>1857369</v>
      </c>
      <c r="K24" s="1213">
        <f t="array" ref="K24:K30">H24:H30+J24:J30</f>
        <v>20714451.575072665</v>
      </c>
    </row>
    <row r="25" spans="1:12">
      <c r="A25" s="1787"/>
      <c r="B25" s="2289" t="s">
        <v>588</v>
      </c>
      <c r="C25" s="2266">
        <v>251</v>
      </c>
      <c r="D25" s="644" t="s">
        <v>147</v>
      </c>
      <c r="E25" s="644"/>
      <c r="F25" s="627"/>
      <c r="G25" s="3384">
        <f>'2016 Sector View Elect'!T29/1000</f>
        <v>10108.434999999999</v>
      </c>
      <c r="H25" s="1245">
        <f>'2016 Sector View Elect'!S29</f>
        <v>2642724.7999999998</v>
      </c>
      <c r="I25" s="3384">
        <f>'2016 Sector View Gas'!T26</f>
        <v>157500</v>
      </c>
      <c r="J25" s="1245">
        <f>'2016 Sector View Gas'!S26</f>
        <v>630984</v>
      </c>
      <c r="K25" s="1215">
        <v>3273708.8</v>
      </c>
    </row>
    <row r="26" spans="1:12">
      <c r="A26" s="1787"/>
      <c r="B26" s="2288" t="s">
        <v>455</v>
      </c>
      <c r="C26" s="2266">
        <v>253</v>
      </c>
      <c r="D26" s="644" t="s">
        <v>748</v>
      </c>
      <c r="E26" s="644"/>
      <c r="F26" s="627"/>
      <c r="G26" s="3384">
        <f>'2016 Sector View Elect'!T30/1000</f>
        <v>14250</v>
      </c>
      <c r="H26" s="1245">
        <f>'2016 Sector View Elect'!S30</f>
        <v>2578517.9907399998</v>
      </c>
      <c r="I26" s="3384">
        <f>'2016 Sector View Gas'!T27</f>
        <v>500000</v>
      </c>
      <c r="J26" s="1245">
        <f>'2016 Sector View Gas'!S27</f>
        <v>498899.60256000003</v>
      </c>
      <c r="K26" s="1215">
        <v>3077417.5932999998</v>
      </c>
    </row>
    <row r="27" spans="1:12">
      <c r="A27" s="1787"/>
      <c r="B27" s="2288" t="s">
        <v>759</v>
      </c>
      <c r="C27" s="2266" t="s">
        <v>143</v>
      </c>
      <c r="D27" s="644" t="s">
        <v>196</v>
      </c>
      <c r="E27" s="644"/>
      <c r="F27" s="627"/>
      <c r="G27" s="3384">
        <f>'2016 Sector View Elect'!T34/1000</f>
        <v>13145.800999999999</v>
      </c>
      <c r="H27" s="1245">
        <f>'2016 Sector View Elect'!S34</f>
        <v>4968142.006490414</v>
      </c>
      <c r="I27" s="3384"/>
      <c r="J27" s="1246"/>
      <c r="K27" s="1215">
        <v>4968142.006490414</v>
      </c>
    </row>
    <row r="28" spans="1:12">
      <c r="A28" s="1787"/>
      <c r="B28" s="2289" t="s">
        <v>456</v>
      </c>
      <c r="C28" s="2298" t="s">
        <v>265</v>
      </c>
      <c r="D28" s="2049" t="s">
        <v>197</v>
      </c>
      <c r="E28" s="2050"/>
      <c r="F28" s="2025"/>
      <c r="G28" s="3380">
        <f>'2016 Sector View Elect'!T37/1000</f>
        <v>0</v>
      </c>
      <c r="H28" s="1626">
        <f>'2016 Sector View Elect'!S37</f>
        <v>0</v>
      </c>
      <c r="I28" s="3373">
        <f>'2016 Sector View Gas'!T30</f>
        <v>0</v>
      </c>
      <c r="J28" s="1626">
        <f>'2016 Sector View Gas'!S30</f>
        <v>0</v>
      </c>
      <c r="K28" s="1656">
        <v>0</v>
      </c>
    </row>
    <row r="29" spans="1:12">
      <c r="A29" s="1787"/>
      <c r="B29" s="2288" t="s">
        <v>457</v>
      </c>
      <c r="C29" s="2299">
        <v>262</v>
      </c>
      <c r="D29" s="1195" t="s">
        <v>198</v>
      </c>
      <c r="E29" s="1195"/>
      <c r="F29" s="1196"/>
      <c r="G29" s="3385">
        <f>'2016 Sector View Elect'!T38/1000</f>
        <v>28265.343499999999</v>
      </c>
      <c r="H29" s="1247">
        <f>'2016 Sector View Elect'!S38</f>
        <v>6883866.6972400006</v>
      </c>
      <c r="I29" s="3385">
        <f>'2016 Sector View Gas'!T31</f>
        <v>661796</v>
      </c>
      <c r="J29" s="1247">
        <f>'2016 Sector View Gas'!S31</f>
        <v>1761060.16017</v>
      </c>
      <c r="K29" s="1215">
        <v>8644926.8574100006</v>
      </c>
    </row>
    <row r="30" spans="1:12">
      <c r="A30" s="1787"/>
      <c r="B30" s="2285" t="s">
        <v>458</v>
      </c>
      <c r="C30" s="2268"/>
      <c r="D30" s="615" t="s">
        <v>199</v>
      </c>
      <c r="E30" s="615"/>
      <c r="F30" s="615"/>
      <c r="G30" s="3377">
        <f>SUM(G24:G29)</f>
        <v>133569.57949999999</v>
      </c>
      <c r="H30" s="665">
        <f>SUM(H24:H29)</f>
        <v>35930334.069543079</v>
      </c>
      <c r="I30" s="3377">
        <f>SUM(I24:I29)</f>
        <v>1674296</v>
      </c>
      <c r="J30" s="665">
        <f>SUM(J24:J29)</f>
        <v>4748312.7627300005</v>
      </c>
      <c r="K30" s="1216">
        <v>40678646.832273081</v>
      </c>
    </row>
    <row r="31" spans="1:12">
      <c r="A31" s="1787"/>
      <c r="B31" s="2286"/>
      <c r="C31" s="1555"/>
      <c r="D31" s="617"/>
      <c r="E31" s="1166"/>
      <c r="F31" s="1166"/>
      <c r="G31" s="659"/>
      <c r="H31" s="660"/>
      <c r="I31" s="661"/>
      <c r="J31" s="660"/>
      <c r="K31" s="1211"/>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'2016 Sector View Elect'!T50/1000</f>
        <v>17346.93</v>
      </c>
      <c r="H33" s="1235">
        <f>'2016 Sector View Elect'!S50</f>
        <v>976898.99827999994</v>
      </c>
      <c r="I33" s="3382">
        <f>'2016 Sector View Gas'!T42</f>
        <v>430529</v>
      </c>
      <c r="J33" s="1645">
        <f>'2016 Sector View Gas'!S42</f>
        <v>181028.99917999998</v>
      </c>
      <c r="K33" s="1214">
        <f t="array" ref="K33:K35">H33:H35+J33:J35</f>
        <v>1157927.99746</v>
      </c>
      <c r="L33" s="2153"/>
    </row>
    <row r="34" spans="1:12" s="2177" customFormat="1">
      <c r="A34" s="1787"/>
      <c r="B34" s="2292" t="s">
        <v>460</v>
      </c>
      <c r="C34" s="2275">
        <v>249</v>
      </c>
      <c r="D34" s="1238" t="s">
        <v>603</v>
      </c>
      <c r="E34" s="621"/>
      <c r="F34" s="621"/>
      <c r="G34" s="3387">
        <f>'2016 Sector View Elect'!T51</f>
        <v>0</v>
      </c>
      <c r="H34" s="1234">
        <f>'2016 Sector View Elect'!T51</f>
        <v>0</v>
      </c>
      <c r="I34" s="3388">
        <f>'2016 Sector View Gas'!T43</f>
        <v>0</v>
      </c>
      <c r="J34" s="672">
        <f>'2016 Sector View Gas'!S43</f>
        <v>0</v>
      </c>
      <c r="K34" s="1237">
        <v>0</v>
      </c>
      <c r="L34" s="2153"/>
    </row>
    <row r="35" spans="1:12" s="2177" customFormat="1">
      <c r="A35" s="1787"/>
      <c r="B35" s="2285" t="s">
        <v>461</v>
      </c>
      <c r="C35" s="2268"/>
      <c r="D35" s="615" t="s">
        <v>613</v>
      </c>
      <c r="E35" s="615"/>
      <c r="F35" s="615"/>
      <c r="G35" s="3378">
        <f>SUM(G33:G34)</f>
        <v>17346.93</v>
      </c>
      <c r="H35" s="2881">
        <f>SUM(H33:H34)</f>
        <v>976898.99827999994</v>
      </c>
      <c r="I35" s="3378">
        <f>SUM(I33:I34)</f>
        <v>430529</v>
      </c>
      <c r="J35" s="2881">
        <f>SUM(J33:J34)</f>
        <v>181028.99917999998</v>
      </c>
      <c r="K35" s="1210">
        <v>1157927.99746</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2636" t="s">
        <v>200</v>
      </c>
      <c r="E38" s="2636"/>
      <c r="F38" s="2636"/>
      <c r="G38" s="3379">
        <f>'2016 Sector View Elect'!T55/1000</f>
        <v>8760</v>
      </c>
      <c r="H38" s="1235">
        <f>'2016 Sector View Elect'!S55</f>
        <v>5200000</v>
      </c>
      <c r="I38" s="3382"/>
      <c r="J38" s="1240"/>
      <c r="K38" s="1214">
        <f t="array" ref="K38:K41">H38:H41+J38:J41</f>
        <v>5200000</v>
      </c>
    </row>
    <row r="39" spans="1:12" s="2177" customFormat="1">
      <c r="A39" s="1787"/>
      <c r="B39" s="2289" t="s">
        <v>463</v>
      </c>
      <c r="C39" s="2266"/>
      <c r="D39" s="652" t="s">
        <v>643</v>
      </c>
      <c r="E39" s="644"/>
      <c r="F39" s="627"/>
      <c r="G39" s="2144"/>
      <c r="H39" s="2773"/>
      <c r="I39" s="3380">
        <f>'2016 Sector View Gas'!T47</f>
        <v>0</v>
      </c>
      <c r="J39" s="2831">
        <f>'2016 Sector View Gas'!S47</f>
        <v>1086677</v>
      </c>
      <c r="K39" s="1660">
        <v>1086677</v>
      </c>
    </row>
    <row r="40" spans="1:12" ht="15">
      <c r="A40" s="1787"/>
      <c r="B40" s="2292" t="s">
        <v>464</v>
      </c>
      <c r="C40" s="2275"/>
      <c r="D40" s="2632" t="s">
        <v>238</v>
      </c>
      <c r="E40" s="2633"/>
      <c r="F40" s="2634"/>
      <c r="G40" s="3380">
        <f>'2016 Sector View Elect'!T56/1000</f>
        <v>1781.325</v>
      </c>
      <c r="H40" s="2712">
        <f>'2016 Sector View Elect'!S56</f>
        <v>0</v>
      </c>
      <c r="I40" s="3381"/>
      <c r="J40" s="2635"/>
      <c r="K40" s="1237">
        <v>0</v>
      </c>
    </row>
    <row r="41" spans="1:12">
      <c r="A41" s="1787"/>
      <c r="B41" s="2285" t="s">
        <v>465</v>
      </c>
      <c r="C41" s="2268"/>
      <c r="D41" s="615" t="s">
        <v>201</v>
      </c>
      <c r="E41" s="615"/>
      <c r="F41" s="615"/>
      <c r="G41" s="3378">
        <f>SUM(G38:G40)</f>
        <v>10541.325000000001</v>
      </c>
      <c r="H41" s="667">
        <f>SUM(H38:H40)</f>
        <v>5200000</v>
      </c>
      <c r="I41" s="3378">
        <f>SUM(I38:I40)</f>
        <v>0</v>
      </c>
      <c r="J41" s="667">
        <f>SUM(J38:J40)</f>
        <v>1086677</v>
      </c>
      <c r="K41" s="1210">
        <v>6286677</v>
      </c>
    </row>
    <row r="42" spans="1:12">
      <c r="A42" s="1787"/>
      <c r="B42" s="2286"/>
      <c r="C42" s="1555"/>
      <c r="D42" s="1166"/>
      <c r="E42" s="1166"/>
      <c r="F42" s="1166"/>
      <c r="G42" s="659"/>
      <c r="H42" s="669"/>
      <c r="I42" s="670"/>
      <c r="J42" s="669"/>
      <c r="K42" s="1218"/>
    </row>
    <row r="43" spans="1:12">
      <c r="A43" s="1787"/>
      <c r="B43" s="2293"/>
      <c r="C43" s="2276"/>
      <c r="D43" s="621"/>
      <c r="E43" s="621"/>
      <c r="F43" s="621"/>
      <c r="G43" s="671"/>
      <c r="H43" s="672"/>
      <c r="I43" s="671"/>
      <c r="J43" s="672"/>
      <c r="K43" s="1219"/>
    </row>
    <row r="44" spans="1:12" ht="15.75">
      <c r="A44" s="1787"/>
      <c r="B44" s="2294"/>
      <c r="C44" s="2277"/>
      <c r="D44" s="642" t="s">
        <v>335</v>
      </c>
      <c r="E44" s="642"/>
      <c r="F44" s="642"/>
      <c r="G44" s="673"/>
      <c r="H44" s="673"/>
      <c r="I44" s="673"/>
      <c r="J44" s="673"/>
      <c r="K44" s="1231"/>
    </row>
    <row r="45" spans="1:12" s="1761" customFormat="1" ht="15.75">
      <c r="A45" s="2659"/>
      <c r="B45" s="2289" t="s">
        <v>466</v>
      </c>
      <c r="C45" s="2660"/>
      <c r="D45" s="2679" t="s">
        <v>202</v>
      </c>
      <c r="E45" s="2678"/>
      <c r="F45" s="2258"/>
      <c r="G45" s="2662"/>
      <c r="H45" s="1626">
        <f>H46+H47+H48+H49</f>
        <v>1893683.9830519999</v>
      </c>
      <c r="I45" s="1634"/>
      <c r="J45" s="1626">
        <f>J46+J47+J48+J49</f>
        <v>214543.45241399997</v>
      </c>
      <c r="K45" s="1657">
        <f t="array" ref="K45:K60">H45:H60+J45:J60</f>
        <v>2108227.4354659999</v>
      </c>
      <c r="L45" s="2153"/>
    </row>
    <row r="46" spans="1:12" s="2701" customFormat="1" ht="12">
      <c r="A46" s="2692"/>
      <c r="B46" s="2681" t="s">
        <v>467</v>
      </c>
      <c r="C46" s="2693"/>
      <c r="D46" s="2694"/>
      <c r="E46" s="2677" t="s">
        <v>203</v>
      </c>
      <c r="F46" s="2695"/>
      <c r="G46" s="2696"/>
      <c r="H46" s="2697">
        <f>'2016 Sector View Elect'!S61</f>
        <v>1127545.2959399999</v>
      </c>
      <c r="I46" s="2698"/>
      <c r="J46" s="2697">
        <f>'2016 Sector View Gas'!S52</f>
        <v>83937.047000000006</v>
      </c>
      <c r="K46" s="2699">
        <v>1211482.3429399999</v>
      </c>
      <c r="L46" s="2700"/>
    </row>
    <row r="47" spans="1:12" s="2701" customFormat="1" ht="12">
      <c r="A47" s="2692"/>
      <c r="B47" s="2681" t="s">
        <v>468</v>
      </c>
      <c r="C47" s="2693"/>
      <c r="D47" s="2694"/>
      <c r="E47" s="2702" t="s">
        <v>204</v>
      </c>
      <c r="F47" s="2677"/>
      <c r="G47" s="2696"/>
      <c r="H47" s="2697">
        <f>'2016 Sector View Elect'!S62</f>
        <v>668909.12582199997</v>
      </c>
      <c r="I47" s="2698"/>
      <c r="J47" s="2697">
        <f>'2016 Sector View Gas'!S53</f>
        <v>115416.03261999998</v>
      </c>
      <c r="K47" s="2699">
        <v>784325.15844199993</v>
      </c>
      <c r="L47" s="2700"/>
    </row>
    <row r="48" spans="1:12" s="2701" customFormat="1" ht="12">
      <c r="A48" s="2692"/>
      <c r="B48" s="2681" t="s">
        <v>469</v>
      </c>
      <c r="C48" s="2693"/>
      <c r="D48" s="2694"/>
      <c r="E48" s="2677" t="s">
        <v>357</v>
      </c>
      <c r="F48" s="2695"/>
      <c r="G48" s="2696"/>
      <c r="H48" s="2697">
        <f>'2016 Sector View Elect'!S63</f>
        <v>88429.561290000012</v>
      </c>
      <c r="I48" s="2698"/>
      <c r="J48" s="2697">
        <f>'2016 Sector View Gas'!S54</f>
        <v>14215.372793999999</v>
      </c>
      <c r="K48" s="2699">
        <v>102644.93408400001</v>
      </c>
      <c r="L48" s="2700"/>
    </row>
    <row r="49" spans="1:12" s="2701" customFormat="1" ht="12">
      <c r="A49" s="2692"/>
      <c r="B49" s="2681" t="s">
        <v>470</v>
      </c>
      <c r="C49" s="2693">
        <v>202</v>
      </c>
      <c r="D49" s="2694"/>
      <c r="E49" s="2677" t="s">
        <v>205</v>
      </c>
      <c r="F49" s="2695"/>
      <c r="G49" s="2696"/>
      <c r="H49" s="2697">
        <f>'2016 Sector View Elect'!S64</f>
        <v>8800</v>
      </c>
      <c r="I49" s="2703"/>
      <c r="J49" s="2697">
        <f>'2016 Sector View Gas'!S55</f>
        <v>975</v>
      </c>
      <c r="K49" s="2699">
        <v>9775</v>
      </c>
      <c r="L49" s="2700"/>
    </row>
    <row r="50" spans="1:12" s="1761" customFormat="1">
      <c r="A50" s="2659"/>
      <c r="B50" s="2289" t="s">
        <v>471</v>
      </c>
      <c r="C50" s="2663"/>
      <c r="D50" s="2023" t="s">
        <v>756</v>
      </c>
      <c r="E50" s="2026"/>
      <c r="F50" s="2025"/>
      <c r="G50" s="2664"/>
      <c r="H50" s="2665">
        <f>H51+H52+H53</f>
        <v>1036967.04182</v>
      </c>
      <c r="I50" s="1634"/>
      <c r="J50" s="2665">
        <f>J51+J52+J53</f>
        <v>158916.07597999999</v>
      </c>
      <c r="K50" s="1657">
        <v>1195883.1178000001</v>
      </c>
      <c r="L50" s="2153"/>
    </row>
    <row r="51" spans="1:12" s="2675" customFormat="1">
      <c r="A51" s="2666"/>
      <c r="B51" s="2667" t="s">
        <v>472</v>
      </c>
      <c r="C51" s="2668"/>
      <c r="D51" s="2676"/>
      <c r="E51" s="2677" t="s">
        <v>786</v>
      </c>
      <c r="F51" s="2669"/>
      <c r="G51" s="2670"/>
      <c r="H51" s="2671">
        <f>'2016 Sector View Elect'!S66</f>
        <v>588990</v>
      </c>
      <c r="I51" s="2672"/>
      <c r="J51" s="2671">
        <f>'2016 Sector View Gas'!S57</f>
        <v>88010</v>
      </c>
      <c r="K51" s="2673">
        <v>677000</v>
      </c>
      <c r="L51" s="2674"/>
    </row>
    <row r="52" spans="1:12" s="2675" customFormat="1">
      <c r="A52" s="2666"/>
      <c r="B52" s="2667" t="s">
        <v>473</v>
      </c>
      <c r="C52" s="2668"/>
      <c r="D52" s="2676"/>
      <c r="E52" s="2677" t="s">
        <v>341</v>
      </c>
      <c r="F52" s="2669"/>
      <c r="G52" s="2670"/>
      <c r="H52" s="2671">
        <f>'2016 Sector View Elect'!S67</f>
        <v>323346.8</v>
      </c>
      <c r="I52" s="2672"/>
      <c r="J52" s="2671">
        <f>'2016 Sector View Gas'!S58</f>
        <v>51222.9</v>
      </c>
      <c r="K52" s="2673">
        <v>374569.7</v>
      </c>
      <c r="L52" s="2674"/>
    </row>
    <row r="53" spans="1:12" s="2675" customFormat="1">
      <c r="A53" s="2666"/>
      <c r="B53" s="2667" t="s">
        <v>474</v>
      </c>
      <c r="C53" s="2668"/>
      <c r="D53" s="2676"/>
      <c r="E53" s="2677" t="s">
        <v>1636</v>
      </c>
      <c r="F53" s="2677"/>
      <c r="G53" s="2670"/>
      <c r="H53" s="2671">
        <f>'2016 Sector View Elect'!S68</f>
        <v>124630.24182</v>
      </c>
      <c r="I53" s="2672"/>
      <c r="J53" s="2671">
        <f>'2016 Sector View Gas'!S59</f>
        <v>19683.17598</v>
      </c>
      <c r="K53" s="2673">
        <v>144313.4178</v>
      </c>
      <c r="L53" s="2674"/>
    </row>
    <row r="54" spans="1:12" s="1761" customFormat="1">
      <c r="A54" s="2659"/>
      <c r="B54" s="2289" t="s">
        <v>475</v>
      </c>
      <c r="C54" s="2663"/>
      <c r="D54" s="2023" t="s">
        <v>1564</v>
      </c>
      <c r="E54" s="2026"/>
      <c r="F54" s="2774"/>
      <c r="G54" s="2664"/>
      <c r="H54" s="1626">
        <f>'2016 Sector View Elect'!S69</f>
        <v>660029.45119199995</v>
      </c>
      <c r="I54" s="1634"/>
      <c r="J54" s="1626">
        <f>'2016 Sector View Gas'!S60</f>
        <v>98625.090408000004</v>
      </c>
      <c r="K54" s="1657">
        <v>758654.5416</v>
      </c>
      <c r="L54" s="2153"/>
    </row>
    <row r="55" spans="1:12" s="1761" customFormat="1">
      <c r="A55" s="2659"/>
      <c r="B55" s="2289" t="s">
        <v>476</v>
      </c>
      <c r="C55" s="2663"/>
      <c r="D55" s="2023" t="s">
        <v>636</v>
      </c>
      <c r="E55" s="2026"/>
      <c r="F55" s="2774"/>
      <c r="G55" s="2664"/>
      <c r="H55" s="1626">
        <f>'2016 Sector View Elect'!S70</f>
        <v>311174.73965</v>
      </c>
      <c r="I55" s="1634"/>
      <c r="J55" s="1626">
        <f>'2016 Sector View Gas'!S61</f>
        <v>45209.723550000002</v>
      </c>
      <c r="K55" s="1657">
        <v>356384.4632</v>
      </c>
      <c r="L55" s="2153"/>
    </row>
    <row r="56" spans="1:12" s="2675" customFormat="1">
      <c r="A56" s="2666"/>
      <c r="B56" s="2667" t="s">
        <v>477</v>
      </c>
      <c r="C56" s="2668"/>
      <c r="D56" s="2022" t="s">
        <v>637</v>
      </c>
      <c r="F56" s="2669"/>
      <c r="G56" s="2670"/>
      <c r="H56" s="1626">
        <f>'2016 Sector View Elect'!S71</f>
        <v>1196031.8907999999</v>
      </c>
      <c r="I56" s="1634"/>
      <c r="J56" s="1626">
        <f>'2016 Sector View Gas'!S62</f>
        <v>178924.2672</v>
      </c>
      <c r="K56" s="1657">
        <v>1374956.1579999998</v>
      </c>
      <c r="L56" s="2674"/>
    </row>
    <row r="57" spans="1:12" s="1761" customFormat="1">
      <c r="A57" s="2659"/>
      <c r="B57" s="2289" t="s">
        <v>478</v>
      </c>
      <c r="C57" s="2663"/>
      <c r="D57" s="2022" t="s">
        <v>26</v>
      </c>
      <c r="E57" s="2022"/>
      <c r="F57" s="2022"/>
      <c r="G57" s="2664"/>
      <c r="H57" s="1626">
        <f>'2016 Sector View Elect'!S72</f>
        <v>899299.02387999999</v>
      </c>
      <c r="I57" s="1634"/>
      <c r="J57" s="1626">
        <f>'2016 Sector View Gas'!S63</f>
        <v>130495.06785800002</v>
      </c>
      <c r="K57" s="1657">
        <v>1029794.091738</v>
      </c>
      <c r="L57" s="2153"/>
    </row>
    <row r="58" spans="1:12" s="1761" customFormat="1">
      <c r="A58" s="2659"/>
      <c r="B58" s="2289" t="s">
        <v>479</v>
      </c>
      <c r="C58" s="2790"/>
      <c r="D58" s="2022" t="s">
        <v>206</v>
      </c>
      <c r="E58" s="2022"/>
      <c r="F58" s="2022"/>
      <c r="G58" s="2664"/>
      <c r="H58" s="1626">
        <f>'2016 Sector View Elect'!S73</f>
        <v>117661</v>
      </c>
      <c r="I58" s="1634"/>
      <c r="J58" s="1626">
        <f>'2016 Sector View Gas'!S64</f>
        <v>21015</v>
      </c>
      <c r="K58" s="1657">
        <v>138676</v>
      </c>
      <c r="L58" s="2153"/>
    </row>
    <row r="59" spans="1:12" s="1761" customFormat="1">
      <c r="A59" s="2659"/>
      <c r="B59" s="2286" t="s">
        <v>480</v>
      </c>
      <c r="C59" s="2791"/>
      <c r="D59" s="2777" t="s">
        <v>644</v>
      </c>
      <c r="E59" s="2708"/>
      <c r="F59" s="2708"/>
      <c r="G59" s="2792"/>
      <c r="H59" s="2665">
        <f>'2016 Sector View Elect'!S74</f>
        <v>-18115.903040000005</v>
      </c>
      <c r="I59" s="2775"/>
      <c r="J59" s="2665">
        <f>'2016 Sector View Gas'!S65</f>
        <v>-18096.321929999976</v>
      </c>
      <c r="K59" s="2776">
        <v>-36212.224969999981</v>
      </c>
      <c r="L59" s="2153"/>
    </row>
    <row r="60" spans="1:12">
      <c r="A60" s="1787"/>
      <c r="B60" s="2285" t="s">
        <v>481</v>
      </c>
      <c r="C60" s="2268"/>
      <c r="D60" s="615" t="s">
        <v>207</v>
      </c>
      <c r="E60" s="615"/>
      <c r="F60" s="615"/>
      <c r="G60" s="657"/>
      <c r="H60" s="2881">
        <f>H45+H50+SUM(H54:H59)</f>
        <v>6096731.2273539994</v>
      </c>
      <c r="I60" s="668"/>
      <c r="J60" s="2881">
        <f>J45+J50+SUM(J54:J59)</f>
        <v>829632.35548000014</v>
      </c>
      <c r="K60" s="1210">
        <v>6926363.5828339998</v>
      </c>
    </row>
    <row r="61" spans="1:12">
      <c r="A61" s="1787"/>
      <c r="B61" s="2286"/>
      <c r="C61" s="1555"/>
      <c r="D61" s="1166"/>
      <c r="E61" s="623"/>
      <c r="F61" s="1166"/>
      <c r="G61" s="670"/>
      <c r="H61" s="669"/>
      <c r="I61" s="670"/>
      <c r="J61" s="669"/>
      <c r="K61" s="1218"/>
    </row>
    <row r="62" spans="1:12" ht="15.75">
      <c r="A62" s="1787"/>
      <c r="B62" s="2287"/>
      <c r="C62" s="2269"/>
      <c r="D62" s="640" t="s">
        <v>334</v>
      </c>
      <c r="E62" s="640"/>
      <c r="F62" s="640"/>
      <c r="G62" s="662"/>
      <c r="H62" s="662"/>
      <c r="I62" s="662"/>
      <c r="J62" s="662"/>
      <c r="K62" s="1212"/>
    </row>
    <row r="63" spans="1:12">
      <c r="A63" s="1787"/>
      <c r="B63" s="2295" t="s">
        <v>482</v>
      </c>
      <c r="C63" s="2267"/>
      <c r="D63" s="1200" t="s">
        <v>27</v>
      </c>
      <c r="E63" s="1200"/>
      <c r="F63" s="1200"/>
      <c r="G63" s="677"/>
      <c r="H63" s="678">
        <f>'2016 Sector View Elect'!S78</f>
        <v>440752.49893</v>
      </c>
      <c r="I63" s="679"/>
      <c r="J63" s="678">
        <f>'2016 Sector View Gas'!S69</f>
        <v>65859.57647</v>
      </c>
      <c r="K63" s="1213">
        <f t="array" ref="K63:K69">H63:H69+J63:J69</f>
        <v>506612.07539999997</v>
      </c>
    </row>
    <row r="64" spans="1:12" ht="15">
      <c r="A64" s="1787"/>
      <c r="B64" s="2284" t="s">
        <v>483</v>
      </c>
      <c r="C64" s="2266"/>
      <c r="D64" s="622" t="s">
        <v>32</v>
      </c>
      <c r="E64" s="622"/>
      <c r="F64" s="622"/>
      <c r="G64" s="680"/>
      <c r="H64" s="676">
        <f>'2016 Sector View Elect'!S79</f>
        <v>140934.03908000002</v>
      </c>
      <c r="I64" s="675"/>
      <c r="J64" s="678">
        <f>'2016 Sector View Gas'!S70</f>
        <v>21059.113120000002</v>
      </c>
      <c r="K64" s="1213">
        <v>161993.15220000001</v>
      </c>
    </row>
    <row r="65" spans="1:12" s="2177" customFormat="1" ht="15">
      <c r="A65" s="1787"/>
      <c r="B65" s="2284" t="s">
        <v>484</v>
      </c>
      <c r="C65" s="2266"/>
      <c r="D65" s="1663" t="s">
        <v>356</v>
      </c>
      <c r="E65" s="1663"/>
      <c r="F65" s="1663"/>
      <c r="G65" s="1641"/>
      <c r="H65" s="2243">
        <f>'2016 Sector View Elect'!S80</f>
        <v>281702.73749999999</v>
      </c>
      <c r="I65" s="1634"/>
      <c r="J65" s="1626">
        <f>'2016 Sector View Gas'!S71</f>
        <v>42093.512499999997</v>
      </c>
      <c r="K65" s="1657">
        <v>323796.25</v>
      </c>
    </row>
    <row r="66" spans="1:12">
      <c r="A66" s="1787"/>
      <c r="B66" s="2295" t="s">
        <v>485</v>
      </c>
      <c r="C66" s="2266"/>
      <c r="D66" s="622" t="s">
        <v>28</v>
      </c>
      <c r="E66" s="622"/>
      <c r="F66" s="622"/>
      <c r="G66" s="674"/>
      <c r="H66" s="681">
        <f>'2016 Sector View Elect'!S81</f>
        <v>1810698.9295600001</v>
      </c>
      <c r="I66" s="675"/>
      <c r="J66" s="682">
        <f>'2016 Sector View Gas'!S72</f>
        <v>270564.21438000002</v>
      </c>
      <c r="K66" s="1213">
        <v>2081263.1439400001</v>
      </c>
    </row>
    <row r="67" spans="1:12" s="2177" customFormat="1">
      <c r="A67" s="1787"/>
      <c r="B67" s="2284" t="s">
        <v>486</v>
      </c>
      <c r="C67" s="2278"/>
      <c r="D67" s="2130" t="s">
        <v>436</v>
      </c>
      <c r="E67" s="2150"/>
      <c r="F67" s="2151"/>
      <c r="G67" s="2148"/>
      <c r="H67" s="2132">
        <f>'2016 Sector View Elect'!S82</f>
        <v>70000</v>
      </c>
      <c r="I67" s="2149"/>
      <c r="J67" s="2147"/>
      <c r="K67" s="2152">
        <v>70000</v>
      </c>
    </row>
    <row r="68" spans="1:12" s="2140" customFormat="1">
      <c r="A68" s="1787"/>
      <c r="B68" s="2284" t="s">
        <v>487</v>
      </c>
      <c r="C68" s="2278"/>
      <c r="D68" s="2130" t="s">
        <v>267</v>
      </c>
      <c r="E68" s="2150"/>
      <c r="F68" s="2151"/>
      <c r="G68" s="2148"/>
      <c r="H68" s="2132">
        <f>'2016 Sector View Elect'!S83</f>
        <v>410402.72559599997</v>
      </c>
      <c r="I68" s="2149"/>
      <c r="J68" s="2147">
        <f>'2016 Sector View Gas'!S73</f>
        <v>108960.090408</v>
      </c>
      <c r="K68" s="2152">
        <v>519362.81600399996</v>
      </c>
    </row>
    <row r="69" spans="1:12">
      <c r="A69" s="1787"/>
      <c r="B69" s="2285" t="s">
        <v>488</v>
      </c>
      <c r="C69" s="2268"/>
      <c r="D69" s="615" t="s">
        <v>208</v>
      </c>
      <c r="E69" s="615"/>
      <c r="F69" s="615"/>
      <c r="G69" s="657"/>
      <c r="H69" s="667">
        <f>SUM(H63:H68)</f>
        <v>3154490.9306660001</v>
      </c>
      <c r="I69" s="668"/>
      <c r="J69" s="667">
        <f>SUM(J63:J68)</f>
        <v>508536.50687799999</v>
      </c>
      <c r="K69" s="1210">
        <v>3663027.4375440003</v>
      </c>
    </row>
    <row r="70" spans="1:12">
      <c r="A70" s="1787"/>
      <c r="B70" s="2293"/>
      <c r="C70" s="2276"/>
      <c r="D70" s="621"/>
      <c r="E70" s="621"/>
      <c r="F70" s="621"/>
      <c r="G70" s="671"/>
      <c r="H70" s="672"/>
      <c r="I70" s="671"/>
      <c r="J70" s="672"/>
      <c r="K70" s="1219"/>
    </row>
    <row r="71" spans="1:12" ht="15">
      <c r="A71" s="1787"/>
      <c r="B71" s="2300" t="s">
        <v>752</v>
      </c>
      <c r="C71" s="2279" t="s">
        <v>353</v>
      </c>
      <c r="D71" s="628"/>
      <c r="E71" s="629"/>
      <c r="F71" s="629"/>
      <c r="G71" s="683">
        <f>G21+G30+G35+G41</f>
        <v>294507.25101879996</v>
      </c>
      <c r="H71" s="2884">
        <f>H21+H30+H35+H41+H60+H69</f>
        <v>96834421.152266085</v>
      </c>
      <c r="I71" s="2234">
        <f>I21+I30+I35</f>
        <v>3963462.3200000003</v>
      </c>
      <c r="J71" s="2884">
        <f>J21+J30+J35+J41+J60+J69</f>
        <v>14713715.747438002</v>
      </c>
      <c r="K71" s="1232">
        <f>H71+J71</f>
        <v>111548136.89970408</v>
      </c>
    </row>
    <row r="72" spans="1:12">
      <c r="A72" s="1787"/>
      <c r="B72" s="2293"/>
      <c r="C72" s="2276"/>
      <c r="D72" s="621"/>
      <c r="E72" s="621"/>
      <c r="F72" s="621"/>
      <c r="G72" s="684"/>
      <c r="H72" s="672"/>
      <c r="I72" s="671"/>
      <c r="J72" s="672"/>
      <c r="K72" s="1219"/>
    </row>
    <row r="73" spans="1:12" ht="15.75">
      <c r="A73" s="1787"/>
      <c r="B73" s="2296"/>
      <c r="C73" s="2280"/>
      <c r="D73" s="643" t="s">
        <v>168</v>
      </c>
      <c r="E73" s="643"/>
      <c r="F73" s="643"/>
      <c r="G73" s="685"/>
      <c r="H73" s="685"/>
      <c r="I73" s="685"/>
      <c r="J73" s="685"/>
      <c r="K73" s="1222"/>
    </row>
    <row r="74" spans="1:12">
      <c r="A74" s="1787"/>
      <c r="B74" s="2789" t="s">
        <v>489</v>
      </c>
      <c r="C74" s="2274" t="s">
        <v>209</v>
      </c>
      <c r="D74" s="1618" t="s">
        <v>3</v>
      </c>
      <c r="E74" s="1621"/>
      <c r="F74" s="1620"/>
      <c r="G74" s="1644"/>
      <c r="H74" s="1645">
        <f>'2016 Sector View Elect'!S87</f>
        <v>911904.45929000003</v>
      </c>
      <c r="I74" s="1646"/>
      <c r="J74" s="1630"/>
      <c r="K74" s="1214">
        <f t="array" ref="K74:K76">H74:H76+J74:J76</f>
        <v>911904.45929000003</v>
      </c>
    </row>
    <row r="75" spans="1:12" s="2177" customFormat="1">
      <c r="A75" s="1787"/>
      <c r="B75" s="2295" t="s">
        <v>490</v>
      </c>
      <c r="C75" s="2267" t="s">
        <v>640</v>
      </c>
      <c r="D75" s="625" t="s">
        <v>641</v>
      </c>
      <c r="E75" s="1229"/>
      <c r="F75" s="624"/>
      <c r="G75" s="1638"/>
      <c r="H75" s="2787">
        <f>'2016 Sector View Elect'!S88</f>
        <v>853681.88290000008</v>
      </c>
      <c r="I75" s="2788"/>
      <c r="J75" s="1654"/>
      <c r="K75" s="2772">
        <v>853681.88290000008</v>
      </c>
    </row>
    <row r="76" spans="1:12">
      <c r="A76" s="1787"/>
      <c r="B76" s="2285" t="s">
        <v>491</v>
      </c>
      <c r="C76" s="2297"/>
      <c r="D76" s="2781" t="s">
        <v>211</v>
      </c>
      <c r="E76" s="2780"/>
      <c r="F76" s="633"/>
      <c r="G76" s="668"/>
      <c r="H76" s="667">
        <f>SUM(H74:H75)</f>
        <v>1765586.3421900002</v>
      </c>
      <c r="I76" s="668"/>
      <c r="J76" s="667"/>
      <c r="K76" s="1210">
        <v>1765586.3421900002</v>
      </c>
    </row>
    <row r="77" spans="1:12" ht="13.5" thickBot="1">
      <c r="A77" s="1787"/>
      <c r="B77" s="2281"/>
      <c r="C77" s="2282"/>
      <c r="D77" s="634"/>
      <c r="E77" s="634"/>
      <c r="F77" s="634"/>
      <c r="G77" s="686"/>
      <c r="H77" s="687"/>
      <c r="I77" s="686"/>
      <c r="J77" s="687"/>
      <c r="K77" s="1223"/>
    </row>
    <row r="78" spans="1:12">
      <c r="B78" s="2283"/>
      <c r="C78" s="1166"/>
      <c r="D78" s="1166"/>
      <c r="E78" s="1166"/>
      <c r="F78" s="1166"/>
      <c r="G78" s="688" t="s">
        <v>7</v>
      </c>
      <c r="H78" s="669"/>
      <c r="I78" s="670"/>
      <c r="J78" s="669"/>
      <c r="K78" s="669"/>
    </row>
    <row r="79" spans="1:12">
      <c r="C79" s="1166"/>
      <c r="D79" s="621"/>
      <c r="E79" s="621"/>
      <c r="F79" s="621"/>
      <c r="G79" s="671"/>
      <c r="H79" s="672"/>
      <c r="I79" s="671"/>
      <c r="J79" s="672"/>
      <c r="K79" s="672"/>
    </row>
    <row r="80" spans="1:12" s="2051" customFormat="1" ht="15">
      <c r="B80" s="2259" t="s">
        <v>492</v>
      </c>
      <c r="C80" s="3429"/>
      <c r="D80" s="3444" t="s">
        <v>332</v>
      </c>
      <c r="E80" s="3445"/>
      <c r="F80" s="3446"/>
      <c r="G80" s="3447">
        <f>G71</f>
        <v>294507.25101879996</v>
      </c>
      <c r="H80" s="3448">
        <f>H71+H76</f>
        <v>98600007.494456083</v>
      </c>
      <c r="I80" s="3449">
        <f>I71</f>
        <v>3963462.3200000003</v>
      </c>
      <c r="J80" s="3448">
        <f>J71+J76</f>
        <v>14713715.747438002</v>
      </c>
      <c r="K80" s="3450">
        <f>H80+J80</f>
        <v>113313723.24189408</v>
      </c>
      <c r="L80" s="3430"/>
    </row>
    <row r="81" spans="2:12" s="2051" customFormat="1" ht="15">
      <c r="B81" s="2259"/>
      <c r="C81" s="3429"/>
      <c r="D81" s="3451"/>
      <c r="E81" s="3452"/>
      <c r="F81" s="3452"/>
      <c r="G81" s="3453">
        <f>G80/8760</f>
        <v>33.619549203059357</v>
      </c>
      <c r="H81" s="3454"/>
      <c r="I81" s="3455"/>
      <c r="J81" s="3454"/>
      <c r="K81" s="3456"/>
      <c r="L81" s="3430"/>
    </row>
    <row r="82" spans="2:12" ht="15">
      <c r="B82" s="2872"/>
      <c r="C82" s="635"/>
      <c r="D82" s="636"/>
      <c r="E82" s="636"/>
      <c r="F82" s="636"/>
      <c r="G82" s="689"/>
      <c r="H82" s="690"/>
      <c r="I82" s="691"/>
      <c r="J82" s="690"/>
      <c r="K82" s="692"/>
    </row>
    <row r="83" spans="2:12" s="1761" customFormat="1" ht="15" customHeight="1">
      <c r="B83" s="2259" t="s">
        <v>753</v>
      </c>
      <c r="C83" s="2729"/>
      <c r="D83" s="3589" t="s">
        <v>1790</v>
      </c>
      <c r="E83" s="3590"/>
      <c r="F83" s="3590"/>
      <c r="G83" s="3457">
        <f>G71-(G38+G35)</f>
        <v>268400.32101879996</v>
      </c>
      <c r="H83" s="3459"/>
      <c r="I83" s="3460">
        <f>I71-(I39+I35)</f>
        <v>3532933.3200000003</v>
      </c>
      <c r="J83" s="3459"/>
      <c r="K83" s="3461"/>
      <c r="L83" s="2153"/>
    </row>
    <row r="84" spans="2:12" s="1761" customFormat="1" ht="15" customHeight="1">
      <c r="B84" s="2259"/>
      <c r="C84" s="2729"/>
      <c r="D84" s="3591"/>
      <c r="E84" s="3592"/>
      <c r="F84" s="3592"/>
      <c r="G84" s="3458">
        <f>G83/8760</f>
        <v>30.639306052374426</v>
      </c>
      <c r="H84" s="3462"/>
      <c r="I84" s="3462"/>
      <c r="J84" s="3462"/>
      <c r="K84" s="3463"/>
      <c r="L84" s="2153"/>
    </row>
    <row r="85" spans="2:12" ht="15.75">
      <c r="B85" s="2765"/>
      <c r="C85" s="637"/>
      <c r="D85" s="638"/>
      <c r="E85" s="638"/>
      <c r="F85" s="638"/>
      <c r="G85" s="693"/>
      <c r="H85" s="694"/>
      <c r="I85" s="695"/>
      <c r="J85" s="696"/>
      <c r="K85" s="697"/>
    </row>
    <row r="86" spans="2:12">
      <c r="B86" s="2259" t="s">
        <v>754</v>
      </c>
      <c r="E86" s="3584" t="s">
        <v>212</v>
      </c>
      <c r="F86" s="3585"/>
      <c r="G86" s="3585"/>
      <c r="H86" s="2882">
        <f>(H35+H60)/H71</f>
        <v>7.3048716989913706E-2</v>
      </c>
      <c r="I86" s="699"/>
      <c r="J86" s="2883">
        <f>(J35+J60)/J71</f>
        <v>6.8688383818749504E-2</v>
      </c>
      <c r="K86" s="698"/>
    </row>
    <row r="87" spans="2:12">
      <c r="B87" s="2259"/>
      <c r="E87" s="2177"/>
      <c r="F87" s="2177" t="s">
        <v>333</v>
      </c>
      <c r="G87" s="1652"/>
      <c r="H87" s="1653"/>
      <c r="I87" s="1652"/>
      <c r="J87" s="1653"/>
      <c r="K87" s="698"/>
    </row>
    <row r="88" spans="2:12">
      <c r="B88" s="2259"/>
      <c r="E88" s="2177"/>
      <c r="F88" s="2177" t="s">
        <v>242</v>
      </c>
      <c r="G88" s="1652"/>
      <c r="H88" s="1653"/>
      <c r="I88" s="1652"/>
      <c r="J88" s="1653"/>
      <c r="K88" s="698"/>
    </row>
    <row r="89" spans="2:12">
      <c r="B89" s="2259"/>
      <c r="E89" s="2235"/>
      <c r="F89" s="2235"/>
      <c r="G89" s="2236"/>
      <c r="H89" s="1653"/>
      <c r="I89" s="1652"/>
      <c r="J89" s="1653"/>
      <c r="K89" s="698"/>
    </row>
    <row r="90" spans="2:12">
      <c r="B90" s="2259" t="s">
        <v>493</v>
      </c>
      <c r="E90" s="3582" t="s">
        <v>351</v>
      </c>
      <c r="F90" s="3583"/>
      <c r="G90" s="3583"/>
      <c r="H90" s="700">
        <f>SUM(H66:H68)/(H21+H30)</f>
        <v>2.8144033757455271E-2</v>
      </c>
      <c r="I90" s="699"/>
      <c r="J90" s="2691">
        <f>SUM(J66:J68)/(J21+J30)</f>
        <v>3.1345333025475181E-2</v>
      </c>
      <c r="K90" s="698"/>
    </row>
    <row r="91" spans="2:12">
      <c r="E91" s="2177"/>
      <c r="F91" s="1762" t="s">
        <v>352</v>
      </c>
      <c r="G91" s="2177"/>
      <c r="H91" s="2177"/>
      <c r="I91" s="2177"/>
      <c r="J91" s="2177"/>
    </row>
    <row r="99" spans="8:8">
      <c r="H99" s="1194"/>
    </row>
  </sheetData>
  <customSheetViews>
    <customSheetView guid="{074EB09C-6289-46D7-9513-012B68BCA7BF}" showGridLines="0">
      <selection activeCell="D6" sqref="D6"/>
      <pageMargins left="0.28000000000000003" right="0.28000000000000003" top="0.75" bottom="0.75" header="0.28000000000000003" footer="0.3"/>
      <pageSetup paperSize="17" scale="80" orientation="portrait" r:id="rId1"/>
      <headerFooter>
        <oddFooter>&amp;L&amp;N&amp;R&amp;G</oddFooter>
      </headerFooter>
    </customSheetView>
    <customSheetView guid="{D9EFFE19-D14B-4C6F-BDF4-FF696F73968D}" showGridLines="0" topLeftCell="A36">
      <selection activeCell="J53" sqref="J53"/>
      <pageMargins left="0.28000000000000003" right="0.28000000000000003" top="0.75" bottom="0.75" header="0.28000000000000003" footer="0.3"/>
      <pageSetup paperSize="17" scale="80" orientation="portrait" r:id="rId2"/>
      <headerFooter>
        <oddFooter>&amp;L&amp;N&amp;R&amp;G</oddFooter>
      </headerFooter>
    </customSheetView>
  </customSheetViews>
  <mergeCells count="3">
    <mergeCell ref="E86:G86"/>
    <mergeCell ref="E90:G90"/>
    <mergeCell ref="D83:F84"/>
  </mergeCells>
  <hyperlinks>
    <hyperlink ref="G3" location="'2016 Sector View Elect'!A1" display="MWh Savings"/>
    <hyperlink ref="H3" location="'2016 Sector View Elect'!A1" display="Electric Rider Budget"/>
    <hyperlink ref="I3" location="'2016 Sector View Gas'!A1" display="Therm Savings"/>
    <hyperlink ref="J3" location="'2016 Sector View Gas'!A1" display="Gas Tracker Budget"/>
  </hyperlinks>
  <pageMargins left="0.28000000000000003" right="0.28000000000000003" top="0.75" bottom="0.75" header="0.28000000000000003" footer="0.3"/>
  <pageSetup paperSize="3" scale="80" orientation="portrait" r:id="rId3"/>
  <headerFooter>
    <oddFooter>&amp;L&amp;N&amp;R&amp;G</oddFooter>
  </headerFooter>
  <ignoredErrors>
    <ignoredError sqref="C28" numberStoredAsText="1"/>
    <ignoredError sqref="I80" formula="1"/>
    <ignoredError sqref="G7:J8 I21:J21 I39:J41 G41:H41 J67:J69 I14:J20 K63:K74 J80 I38:J38 I30:K37 K38 K6:K24 J90" emptyCellReference="1"/>
  </ignoredErrors>
  <drawing r:id="rId4"/>
  <legacyDrawingHF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X105"/>
  <sheetViews>
    <sheetView showGridLines="0" workbookViewId="0">
      <pane xSplit="1" ySplit="1" topLeftCell="B2" activePane="bottomRight" state="frozen"/>
      <selection pane="topRight" activeCell="B1" sqref="B1"/>
      <selection pane="bottomLeft" activeCell="A2" sqref="A2"/>
      <selection pane="bottomRight" activeCell="G9" sqref="G9"/>
    </sheetView>
  </sheetViews>
  <sheetFormatPr defaultRowHeight="12.75"/>
  <cols>
    <col min="1" max="1" width="18" customWidth="1"/>
    <col min="3" max="3" width="33.42578125" customWidth="1"/>
    <col min="4" max="4" width="12.140625" customWidth="1"/>
    <col min="5" max="5" width="12.28515625" customWidth="1"/>
    <col min="6" max="6" width="11.28515625" bestFit="1" customWidth="1"/>
    <col min="8" max="8" width="33.85546875" customWidth="1"/>
    <col min="9" max="32" width="14.140625" customWidth="1"/>
  </cols>
  <sheetData>
    <row r="1" spans="1:50" ht="57" customHeight="1" thickBot="1">
      <c r="A1" s="2177"/>
      <c r="B1" s="2177"/>
      <c r="C1" s="1812" t="s">
        <v>1563</v>
      </c>
      <c r="D1" s="1812" t="s">
        <v>278</v>
      </c>
      <c r="E1" s="1812" t="s">
        <v>6</v>
      </c>
      <c r="F1" s="1812" t="s">
        <v>1494</v>
      </c>
      <c r="G1" s="1812" t="s">
        <v>31</v>
      </c>
      <c r="H1" s="2177"/>
      <c r="I1" s="2177"/>
      <c r="J1" s="1592"/>
      <c r="K1" s="2177"/>
      <c r="L1" s="2177"/>
      <c r="M1" s="1812" t="s">
        <v>1563</v>
      </c>
      <c r="N1" s="1812" t="s">
        <v>278</v>
      </c>
      <c r="O1" s="1812" t="s">
        <v>6</v>
      </c>
      <c r="P1" s="1812" t="s">
        <v>1494</v>
      </c>
      <c r="Q1" s="1812" t="s">
        <v>31</v>
      </c>
      <c r="R1" s="2177"/>
      <c r="S1" s="2177"/>
      <c r="T1" s="2177"/>
      <c r="U1" s="2177"/>
      <c r="V1" s="1812" t="s">
        <v>1563</v>
      </c>
      <c r="W1" s="1812" t="s">
        <v>278</v>
      </c>
      <c r="X1" s="1812" t="s">
        <v>6</v>
      </c>
      <c r="Y1" s="1812" t="s">
        <v>1494</v>
      </c>
      <c r="Z1" s="1812" t="s">
        <v>31</v>
      </c>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row>
    <row r="2" spans="1:50" ht="17.25" customHeight="1" thickBot="1">
      <c r="A2" s="2177"/>
      <c r="B2" s="2177"/>
      <c r="C2" s="1592"/>
      <c r="D2" s="1575"/>
      <c r="E2" s="2193"/>
      <c r="F2" s="2177"/>
      <c r="G2" s="2177"/>
      <c r="H2" s="1576" t="s">
        <v>674</v>
      </c>
      <c r="I2" s="2177"/>
      <c r="J2" s="2177"/>
      <c r="K2" s="2177"/>
      <c r="L2" s="2177"/>
      <c r="M2" s="2177"/>
      <c r="N2" s="2177"/>
      <c r="O2" s="2177"/>
      <c r="P2" s="2177"/>
      <c r="Q2" s="2177"/>
      <c r="R2" s="2935"/>
      <c r="S2" s="2935"/>
      <c r="T2" s="2936" t="s">
        <v>36</v>
      </c>
      <c r="U2" s="2937"/>
      <c r="V2" s="2938"/>
      <c r="W2" s="2933" t="s">
        <v>37</v>
      </c>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row>
    <row r="3" spans="1:50" ht="26.25" thickBot="1">
      <c r="A3" s="2945" t="s">
        <v>1563</v>
      </c>
      <c r="B3" s="2945"/>
      <c r="C3" s="2177"/>
      <c r="D3" s="2177"/>
      <c r="E3" s="2193"/>
      <c r="F3" s="2177"/>
      <c r="G3" s="2177"/>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2934"/>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row>
    <row r="4" spans="1:50" ht="16.5" thickBot="1">
      <c r="A4" s="2945" t="s">
        <v>278</v>
      </c>
      <c r="B4" s="2945"/>
      <c r="C4" s="1575"/>
      <c r="D4" s="2177"/>
      <c r="E4" s="2193"/>
      <c r="F4" s="2177"/>
      <c r="G4" s="1804" t="s">
        <v>668</v>
      </c>
      <c r="H4" s="2003"/>
      <c r="I4" s="2002"/>
      <c r="J4" s="2002"/>
      <c r="K4" s="2002"/>
      <c r="L4" s="2002"/>
      <c r="M4" s="2002"/>
      <c r="N4" s="2002"/>
      <c r="O4" s="2002"/>
      <c r="P4" s="2002"/>
      <c r="Q4" s="2002"/>
      <c r="R4" s="2000"/>
      <c r="S4" s="2041"/>
      <c r="T4" s="1541" t="e">
        <f>P4/R4</f>
        <v>#DIV/0!</v>
      </c>
      <c r="U4" s="1541" t="e">
        <f>(K4+(I4*1.63))/R4</f>
        <v>#DIV/0!</v>
      </c>
      <c r="V4" s="1541" t="e">
        <f>M4/R4</f>
        <v>#DIV/0!</v>
      </c>
      <c r="W4" s="1539" t="e">
        <f>R4/S4</f>
        <v>#DIV/0!</v>
      </c>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row>
    <row r="5" spans="1:50" ht="16.5" thickBot="1">
      <c r="A5" s="2945" t="s">
        <v>6</v>
      </c>
      <c r="B5" s="2945"/>
      <c r="C5" s="1592"/>
      <c r="D5" s="2177"/>
      <c r="E5" s="2193"/>
      <c r="F5" s="2177"/>
      <c r="G5" s="1592">
        <v>2016</v>
      </c>
      <c r="H5" s="1582">
        <f>D15</f>
        <v>16313.94</v>
      </c>
      <c r="I5" s="1549">
        <f>D21</f>
        <v>0</v>
      </c>
      <c r="J5" s="1549">
        <f>D27</f>
        <v>10881.397980000002</v>
      </c>
      <c r="K5" s="1549">
        <f>D34</f>
        <v>0</v>
      </c>
      <c r="L5" s="1549">
        <f>D40</f>
        <v>0</v>
      </c>
      <c r="M5" s="1549">
        <f>D46</f>
        <v>315</v>
      </c>
      <c r="N5" s="1549">
        <f>D52</f>
        <v>0</v>
      </c>
      <c r="O5" s="1549">
        <f>D59</f>
        <v>4725</v>
      </c>
      <c r="P5" s="1549">
        <f>D64</f>
        <v>12549.1975</v>
      </c>
      <c r="Q5" s="1549">
        <f>D65</f>
        <v>0</v>
      </c>
      <c r="R5" s="2001">
        <f>SUM(H5:Q5)</f>
        <v>44784.535480000006</v>
      </c>
      <c r="S5" s="2042">
        <f>T15</f>
        <v>18915</v>
      </c>
      <c r="T5" s="1542">
        <f>P5/R5</f>
        <v>0.28021274231155646</v>
      </c>
      <c r="U5" s="1542">
        <f>(K5+(I5*1.63))/R5</f>
        <v>0</v>
      </c>
      <c r="V5" s="1542">
        <f>M5/R5</f>
        <v>7.0336779565498345E-3</v>
      </c>
      <c r="W5" s="1540">
        <f>R5/S5</f>
        <v>2.367673036214645</v>
      </c>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row>
    <row r="6" spans="1:50" ht="16.5" thickBot="1">
      <c r="A6" s="2945" t="s">
        <v>1494</v>
      </c>
      <c r="B6" s="2945"/>
      <c r="C6" s="2177"/>
      <c r="D6" s="1592"/>
      <c r="E6" s="2193"/>
      <c r="F6" s="2177"/>
      <c r="G6" s="1592">
        <v>2017</v>
      </c>
      <c r="H6" s="57">
        <f>E15</f>
        <v>16721.820000000003</v>
      </c>
      <c r="I6" s="1990">
        <f>E21</f>
        <v>0</v>
      </c>
      <c r="J6" s="1989">
        <f>E27</f>
        <v>11370.837600000003</v>
      </c>
      <c r="K6" s="58">
        <f>E34</f>
        <v>0</v>
      </c>
      <c r="L6" s="58">
        <f>E40</f>
        <v>0</v>
      </c>
      <c r="M6" s="58">
        <f>E46</f>
        <v>315</v>
      </c>
      <c r="N6" s="58">
        <f>E52</f>
        <v>0</v>
      </c>
      <c r="O6" s="58">
        <f>E59</f>
        <v>4725</v>
      </c>
      <c r="P6" s="58">
        <f>E64</f>
        <v>13277.1325</v>
      </c>
      <c r="Q6" s="58">
        <f>E65</f>
        <v>0</v>
      </c>
      <c r="R6" s="1997">
        <f>SUM(H6:Q6)</f>
        <v>46409.790100000006</v>
      </c>
      <c r="S6" s="2043">
        <f>U15</f>
        <v>19875</v>
      </c>
      <c r="T6" s="1542">
        <f>P6/R6</f>
        <v>0.28608473495336922</v>
      </c>
      <c r="U6" s="1542">
        <f>(K6+(I6*1.63))/R6</f>
        <v>0</v>
      </c>
      <c r="V6" s="1542">
        <f>M6/R6</f>
        <v>6.7873610141580875E-3</v>
      </c>
      <c r="W6" s="1540">
        <f>R6/S6</f>
        <v>2.3350837786163523</v>
      </c>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row>
    <row r="7" spans="1:50" ht="16.5" thickBot="1">
      <c r="A7" s="2945" t="s">
        <v>31</v>
      </c>
      <c r="B7" s="2945"/>
      <c r="C7" s="2177"/>
      <c r="D7" s="1592"/>
      <c r="E7" s="2193"/>
      <c r="F7" s="2177"/>
      <c r="G7" s="1608" t="s">
        <v>23</v>
      </c>
      <c r="H7" s="1564">
        <f>SUM(H5:H6)</f>
        <v>33035.760000000002</v>
      </c>
      <c r="I7" s="1991">
        <f t="shared" ref="I7:Q7" si="0">SUM(I5:I6)</f>
        <v>0</v>
      </c>
      <c r="J7" s="1992">
        <f t="shared" si="0"/>
        <v>22252.235580000004</v>
      </c>
      <c r="K7" s="1993">
        <f t="shared" si="0"/>
        <v>0</v>
      </c>
      <c r="L7" s="1991">
        <f t="shared" si="0"/>
        <v>0</v>
      </c>
      <c r="M7" s="1992">
        <f t="shared" si="0"/>
        <v>630</v>
      </c>
      <c r="N7" s="1991">
        <f t="shared" si="0"/>
        <v>0</v>
      </c>
      <c r="O7" s="1992">
        <f t="shared" si="0"/>
        <v>9450</v>
      </c>
      <c r="P7" s="1993">
        <f t="shared" si="0"/>
        <v>25826.33</v>
      </c>
      <c r="Q7" s="1991">
        <f t="shared" si="0"/>
        <v>0</v>
      </c>
      <c r="R7" s="1993">
        <f>SUM(H7:Q7)</f>
        <v>91194.325580000004</v>
      </c>
      <c r="S7" s="2600">
        <f>SUM(S5:S6)</f>
        <v>38790</v>
      </c>
      <c r="T7" s="1542">
        <f>P7/R7</f>
        <v>0.28320106361600222</v>
      </c>
      <c r="U7" s="1542">
        <f>(K7+(I7*1.63))/R7</f>
        <v>0</v>
      </c>
      <c r="V7" s="1542">
        <f>M7/R7</f>
        <v>6.9083245694638532E-3</v>
      </c>
      <c r="W7" s="1540">
        <f>R7/S7</f>
        <v>2.3509751374065484</v>
      </c>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2177"/>
      <c r="AU7" s="2177"/>
      <c r="AV7" s="2177"/>
      <c r="AW7" s="2177"/>
      <c r="AX7" s="2177"/>
    </row>
    <row r="8" spans="1:50" ht="15.75">
      <c r="A8" s="2193"/>
      <c r="B8" s="2945"/>
      <c r="C8" s="2177"/>
      <c r="D8" s="1592"/>
      <c r="E8" s="2193"/>
      <c r="F8" s="2177"/>
      <c r="G8" s="2177"/>
      <c r="H8" s="2177"/>
      <c r="I8" s="2177"/>
      <c r="J8" s="2177"/>
      <c r="K8" s="2177"/>
      <c r="L8" s="2177"/>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2177"/>
      <c r="AL8" s="2177"/>
      <c r="AM8" s="2177"/>
      <c r="AN8" s="2177"/>
      <c r="AO8" s="2177"/>
      <c r="AP8" s="2177"/>
      <c r="AQ8" s="2177"/>
      <c r="AR8" s="2177"/>
      <c r="AS8" s="2177"/>
      <c r="AT8" s="2177"/>
      <c r="AU8" s="2177"/>
      <c r="AV8" s="2177"/>
      <c r="AW8" s="2177"/>
      <c r="AX8" s="2177"/>
    </row>
    <row r="9" spans="1:50" ht="15.75">
      <c r="A9" s="2945"/>
      <c r="B9" s="2945"/>
      <c r="C9" s="2177"/>
      <c r="D9" s="1592"/>
      <c r="E9" s="2193"/>
      <c r="F9" s="2177"/>
      <c r="G9" s="2177"/>
      <c r="H9" s="2177"/>
      <c r="I9" s="2177"/>
      <c r="J9" s="2177"/>
      <c r="K9" s="2177"/>
      <c r="L9" s="2177"/>
      <c r="M9" s="2177"/>
      <c r="N9" s="2177"/>
      <c r="O9" s="2177"/>
      <c r="P9" s="2177"/>
      <c r="Q9" s="2177"/>
      <c r="R9" s="2177"/>
      <c r="S9" s="2177"/>
      <c r="T9" s="2177"/>
      <c r="U9" s="2177"/>
      <c r="V9" s="2177"/>
      <c r="W9" s="2177"/>
      <c r="X9" s="2177"/>
      <c r="Y9" s="2177"/>
      <c r="Z9" s="2177"/>
      <c r="AA9" s="2177"/>
      <c r="AB9" s="2177"/>
      <c r="AC9" s="2177"/>
      <c r="AD9" s="2177"/>
      <c r="AE9" s="2177"/>
      <c r="AF9" s="2177"/>
      <c r="AG9" s="2177"/>
      <c r="AH9" s="2177"/>
      <c r="AI9" s="2177"/>
      <c r="AJ9" s="2177"/>
      <c r="AK9" s="2177"/>
      <c r="AL9" s="2177"/>
      <c r="AM9" s="2177"/>
      <c r="AN9" s="2177"/>
      <c r="AO9" s="2177"/>
      <c r="AP9" s="2177"/>
      <c r="AQ9" s="2177"/>
      <c r="AR9" s="2177"/>
      <c r="AS9" s="2177"/>
      <c r="AT9" s="2177"/>
      <c r="AU9" s="2177"/>
      <c r="AV9" s="2177"/>
      <c r="AW9" s="2177"/>
      <c r="AX9" s="2177"/>
    </row>
    <row r="10" spans="1:50">
      <c r="A10" s="2945"/>
      <c r="B10" s="2945"/>
      <c r="C10" s="1915" t="s">
        <v>329</v>
      </c>
      <c r="D10" s="1915"/>
      <c r="E10" s="1915"/>
      <c r="F10" s="1915"/>
      <c r="G10" s="2177"/>
      <c r="H10" s="2940" t="s">
        <v>317</v>
      </c>
      <c r="I10" s="2940"/>
      <c r="J10" s="2940"/>
      <c r="K10" s="2940"/>
      <c r="L10" s="2940"/>
      <c r="M10" s="2940"/>
      <c r="N10" s="2940"/>
      <c r="O10" s="2940"/>
      <c r="P10" s="2940"/>
      <c r="Q10" s="1927"/>
      <c r="R10" s="1927"/>
      <c r="S10" s="1927"/>
      <c r="T10" s="1927"/>
      <c r="U10" s="1927"/>
      <c r="V10" s="1927"/>
      <c r="W10" s="2940" t="s">
        <v>317</v>
      </c>
      <c r="X10" s="1927"/>
      <c r="Y10" s="1927"/>
      <c r="Z10" s="2940" t="s">
        <v>317</v>
      </c>
      <c r="AA10" s="2940"/>
      <c r="AB10" s="2940"/>
      <c r="AC10" s="2940"/>
      <c r="AD10" s="2940"/>
      <c r="AE10" s="2940"/>
      <c r="AF10" s="2940"/>
      <c r="AG10" s="1927"/>
      <c r="AH10" s="2177"/>
      <c r="AI10" s="2177"/>
      <c r="AJ10" s="2177"/>
      <c r="AK10" s="2177"/>
      <c r="AL10" s="2177"/>
      <c r="AM10" s="2177"/>
      <c r="AN10" s="2177"/>
      <c r="AO10" s="2177"/>
      <c r="AP10" s="2177"/>
      <c r="AQ10" s="2177"/>
      <c r="AR10" s="2177"/>
      <c r="AS10" s="2177"/>
      <c r="AT10" s="2177"/>
      <c r="AU10" s="2177"/>
      <c r="AV10" s="2177"/>
      <c r="AW10" s="2177"/>
      <c r="AX10" s="2177"/>
    </row>
    <row r="11" spans="1:50">
      <c r="A11" s="2945"/>
      <c r="B11" s="2945"/>
      <c r="C11" s="2177"/>
      <c r="D11" s="2177"/>
      <c r="E11" s="2193"/>
      <c r="F11" s="2177"/>
      <c r="G11" s="2177"/>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2177"/>
      <c r="AI11" s="2177"/>
      <c r="AJ11" s="2177"/>
      <c r="AK11" s="2177"/>
      <c r="AL11" s="2177"/>
      <c r="AM11" s="2177"/>
      <c r="AN11" s="2177"/>
      <c r="AO11" s="2177"/>
      <c r="AP11" s="2177"/>
      <c r="AQ11" s="2177"/>
      <c r="AR11" s="2177"/>
      <c r="AS11" s="2177"/>
      <c r="AT11" s="2177"/>
      <c r="AU11" s="2177"/>
      <c r="AV11" s="2177"/>
      <c r="AW11" s="2177"/>
      <c r="AX11" s="2177"/>
    </row>
    <row r="12" spans="1:50">
      <c r="A12" s="2945"/>
      <c r="B12" s="2945"/>
      <c r="C12" s="1887" t="s">
        <v>314</v>
      </c>
      <c r="D12" s="2157">
        <f>D15+D21+D27+D34+D40+D46+D52+D58+D64</f>
        <v>44784.535480000006</v>
      </c>
      <c r="E12" s="1948">
        <f>E15+E21+E27+E34+E40+E46+E52+E58+E64</f>
        <v>46409.790100000006</v>
      </c>
      <c r="F12" s="2157">
        <f>D12+E12</f>
        <v>91194.325580000004</v>
      </c>
      <c r="G12" s="2177"/>
      <c r="H12" s="2941" t="s">
        <v>318</v>
      </c>
      <c r="I12" s="2941"/>
      <c r="J12" s="2941"/>
      <c r="K12" s="2941"/>
      <c r="L12" s="2941"/>
      <c r="M12" s="2941"/>
      <c r="N12" s="2941"/>
      <c r="O12" s="2941"/>
      <c r="P12" s="2941"/>
      <c r="Q12" s="2943" t="s">
        <v>43</v>
      </c>
      <c r="R12" s="2943"/>
      <c r="S12" s="2943"/>
      <c r="T12" s="2939" t="s">
        <v>44</v>
      </c>
      <c r="U12" s="2939"/>
      <c r="V12" s="2939"/>
      <c r="W12" s="2942" t="s">
        <v>56</v>
      </c>
      <c r="X12" s="2942"/>
      <c r="Y12" s="2942"/>
      <c r="Z12" s="2944" t="s">
        <v>319</v>
      </c>
      <c r="AA12" s="2944"/>
      <c r="AB12" s="2944"/>
      <c r="AC12" s="2944"/>
      <c r="AD12" s="2944"/>
      <c r="AE12" s="2944"/>
      <c r="AF12" s="2944"/>
      <c r="AG12" s="1917"/>
      <c r="AH12" s="2177"/>
      <c r="AI12" s="2177"/>
      <c r="AJ12" s="2177"/>
      <c r="AK12" s="2177"/>
      <c r="AL12" s="2177"/>
      <c r="AM12" s="2177"/>
      <c r="AN12" s="2177"/>
      <c r="AO12" s="2177"/>
      <c r="AP12" s="2177"/>
      <c r="AQ12" s="2177"/>
      <c r="AR12" s="2177"/>
      <c r="AS12" s="2177"/>
      <c r="AT12" s="2177"/>
      <c r="AU12" s="2177"/>
      <c r="AV12" s="2177"/>
      <c r="AW12" s="2177"/>
      <c r="AX12" s="2177"/>
    </row>
    <row r="13" spans="1:50">
      <c r="A13" s="2177"/>
      <c r="B13" s="2177"/>
      <c r="C13" s="1947"/>
      <c r="D13" s="2177"/>
      <c r="E13" s="1787"/>
      <c r="F13" s="2177"/>
      <c r="G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c r="AH13" s="2177"/>
      <c r="AI13" s="2177"/>
      <c r="AJ13" s="2177"/>
      <c r="AK13" s="2177"/>
      <c r="AL13" s="2177"/>
      <c r="AM13" s="2177"/>
      <c r="AN13" s="2177"/>
      <c r="AO13" s="2177"/>
      <c r="AP13" s="2177"/>
      <c r="AQ13" s="2177"/>
      <c r="AR13" s="2177"/>
      <c r="AS13" s="2177"/>
      <c r="AT13" s="2177"/>
      <c r="AU13" s="2177"/>
      <c r="AV13" s="2177"/>
      <c r="AW13" s="2177"/>
      <c r="AX13" s="2177"/>
    </row>
    <row r="14" spans="1:50" ht="15.75">
      <c r="A14" s="2177"/>
      <c r="B14" s="2177"/>
      <c r="C14" s="1888" t="s">
        <v>45</v>
      </c>
      <c r="D14" s="1969">
        <v>2016</v>
      </c>
      <c r="E14" s="1970">
        <v>2017</v>
      </c>
      <c r="F14" s="1950" t="s">
        <v>23</v>
      </c>
      <c r="G14" s="2177"/>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c r="AH14" s="2177"/>
      <c r="AI14" s="2177"/>
      <c r="AJ14" s="2177"/>
      <c r="AK14" s="2177"/>
      <c r="AL14" s="2177"/>
      <c r="AM14" s="2177"/>
      <c r="AN14" s="2177"/>
      <c r="AO14" s="2177"/>
      <c r="AP14" s="2177"/>
      <c r="AQ14" s="2177"/>
      <c r="AR14" s="2177"/>
      <c r="AS14" s="2177"/>
      <c r="AT14" s="2177"/>
      <c r="AU14" s="2177"/>
      <c r="AV14" s="2177"/>
      <c r="AW14" s="2177"/>
      <c r="AX14" s="2177"/>
    </row>
    <row r="15" spans="1:50">
      <c r="A15" s="2177"/>
      <c r="B15" s="1886" t="s">
        <v>312</v>
      </c>
      <c r="C15" s="2106" t="s">
        <v>46</v>
      </c>
      <c r="D15" s="2158">
        <f>SUM(D16:D19)</f>
        <v>16313.94</v>
      </c>
      <c r="E15" s="1926">
        <f>SUM(E16:E19)</f>
        <v>16721.820000000003</v>
      </c>
      <c r="F15" s="2157">
        <f>D15+E15</f>
        <v>33035.760000000002</v>
      </c>
      <c r="G15" s="2177"/>
      <c r="H15" s="1938" t="s">
        <v>327</v>
      </c>
      <c r="I15" s="1939"/>
      <c r="J15" s="1939"/>
      <c r="K15" s="1940"/>
      <c r="L15" s="1941">
        <f>SUMPRODUCT(L16:L165,S16:S165)</f>
        <v>44758.89</v>
      </c>
      <c r="M15" s="1941">
        <f>SUM(M16:M165)</f>
        <v>403.03</v>
      </c>
      <c r="N15" s="1942" t="s">
        <v>241</v>
      </c>
      <c r="O15" s="3112">
        <f>IFERROR(ROUND(SUMPRODUCT(O16:O165,V16:V165)/V15,0),"N/A")</f>
        <v>5</v>
      </c>
      <c r="P15" s="1940"/>
      <c r="Q15" s="1940"/>
      <c r="R15" s="1940"/>
      <c r="S15" s="1940"/>
      <c r="T15" s="1943">
        <f t="shared" ref="T15:X15" si="1">SUM(T16:T65)</f>
        <v>18915</v>
      </c>
      <c r="U15" s="1943">
        <f t="shared" si="1"/>
        <v>19875</v>
      </c>
      <c r="V15" s="1943">
        <f t="shared" si="1"/>
        <v>38790</v>
      </c>
      <c r="W15" s="1941">
        <f t="shared" si="1"/>
        <v>12549.1975</v>
      </c>
      <c r="X15" s="1941">
        <f t="shared" si="1"/>
        <v>13277.1325</v>
      </c>
      <c r="Y15" s="1941">
        <f>SUM(Y16:Y65)</f>
        <v>25826.33</v>
      </c>
      <c r="Z15" s="1945">
        <v>0</v>
      </c>
      <c r="AA15" s="1944" t="s">
        <v>328</v>
      </c>
      <c r="AB15" s="1944" t="s">
        <v>328</v>
      </c>
      <c r="AC15" s="1941">
        <v>0</v>
      </c>
      <c r="AD15" s="1941">
        <v>0</v>
      </c>
      <c r="AE15" s="1941">
        <v>0</v>
      </c>
      <c r="AF15" s="1941">
        <v>0</v>
      </c>
      <c r="AG15" s="1917"/>
      <c r="AH15" s="2177"/>
      <c r="AI15" s="2177"/>
      <c r="AJ15" s="2177"/>
      <c r="AK15" s="2177"/>
      <c r="AL15" s="2177"/>
      <c r="AM15" s="2177"/>
      <c r="AN15" s="2177"/>
      <c r="AO15" s="2177"/>
      <c r="AP15" s="2177"/>
      <c r="AQ15" s="2177"/>
      <c r="AR15" s="2177"/>
      <c r="AS15" s="2177"/>
      <c r="AT15" s="2177"/>
      <c r="AU15" s="2177"/>
      <c r="AV15" s="2177"/>
      <c r="AW15" s="2177"/>
      <c r="AX15" s="2177"/>
    </row>
    <row r="16" spans="1:50">
      <c r="A16" s="2177"/>
      <c r="B16" s="2610">
        <v>0.17</v>
      </c>
      <c r="C16" s="2197" t="s">
        <v>792</v>
      </c>
      <c r="D16" s="2201">
        <v>15407.61</v>
      </c>
      <c r="E16" s="2200">
        <v>15792.830000000002</v>
      </c>
      <c r="F16" s="1879">
        <f>SUM(D16:E16)</f>
        <v>31200.440000000002</v>
      </c>
      <c r="G16" s="2177"/>
      <c r="H16" s="1922" t="s">
        <v>1277</v>
      </c>
      <c r="I16" s="2927">
        <v>32</v>
      </c>
      <c r="J16" s="1932" t="s">
        <v>81</v>
      </c>
      <c r="K16" s="1922" t="s">
        <v>909</v>
      </c>
      <c r="L16" s="1929">
        <v>10.946</v>
      </c>
      <c r="M16" s="1929">
        <v>10.946</v>
      </c>
      <c r="N16" s="1923">
        <v>0.25573601443671051</v>
      </c>
      <c r="O16" s="1922">
        <v>5</v>
      </c>
      <c r="P16" s="1925" t="s">
        <v>1072</v>
      </c>
      <c r="Q16" s="1928">
        <v>170</v>
      </c>
      <c r="R16" s="1928">
        <v>140</v>
      </c>
      <c r="S16" s="1931">
        <f>SUM(Q16:R16)</f>
        <v>310</v>
      </c>
      <c r="T16" s="1931">
        <f>Q16*I16</f>
        <v>5440</v>
      </c>
      <c r="U16" s="1931">
        <f>R16*I16</f>
        <v>4480</v>
      </c>
      <c r="V16" s="1931">
        <f>SUM(T16:U16)</f>
        <v>9920</v>
      </c>
      <c r="W16" s="1921">
        <f>Q16*M16</f>
        <v>1860.82</v>
      </c>
      <c r="X16" s="1921">
        <f>R16*M16</f>
        <v>1532.44</v>
      </c>
      <c r="Y16" s="1921">
        <f>SUM(W16:X16)</f>
        <v>3393.26</v>
      </c>
      <c r="Z16" s="1946"/>
      <c r="AA16" s="1920" t="s">
        <v>241</v>
      </c>
      <c r="AB16" s="1920" t="s">
        <v>241</v>
      </c>
      <c r="AC16" s="1921" t="s">
        <v>241</v>
      </c>
      <c r="AD16" s="1921" t="s">
        <v>241</v>
      </c>
      <c r="AE16" s="1921" t="s">
        <v>241</v>
      </c>
      <c r="AF16" s="1921" t="s">
        <v>241</v>
      </c>
      <c r="AG16" s="1917"/>
      <c r="AH16" s="2177"/>
      <c r="AI16" s="2177"/>
      <c r="AJ16" s="2177"/>
      <c r="AK16" s="2177"/>
      <c r="AL16" s="2177"/>
      <c r="AM16" s="2177"/>
      <c r="AN16" s="2177"/>
      <c r="AO16" s="2177"/>
      <c r="AP16" s="2177"/>
      <c r="AQ16" s="2177"/>
      <c r="AR16" s="2177"/>
      <c r="AS16" s="2177"/>
      <c r="AT16" s="2177"/>
      <c r="AU16" s="2177"/>
      <c r="AV16" s="2177"/>
      <c r="AW16" s="2177"/>
      <c r="AX16" s="2177"/>
    </row>
    <row r="17" spans="1:50">
      <c r="A17" s="2177"/>
      <c r="B17" s="2610">
        <v>0.01</v>
      </c>
      <c r="C17" s="2197" t="s">
        <v>791</v>
      </c>
      <c r="D17" s="2199">
        <v>906.33</v>
      </c>
      <c r="E17" s="2198">
        <v>928.99</v>
      </c>
      <c r="F17" s="2191">
        <f t="shared" ref="F17:F30" si="2">SUM(D17:E17)</f>
        <v>1835.3200000000002</v>
      </c>
      <c r="G17" s="2177"/>
      <c r="H17" s="1922" t="s">
        <v>1278</v>
      </c>
      <c r="I17" s="2927">
        <v>16</v>
      </c>
      <c r="J17" s="1932" t="s">
        <v>81</v>
      </c>
      <c r="K17" s="1922" t="s">
        <v>909</v>
      </c>
      <c r="L17" s="1929">
        <v>10.946</v>
      </c>
      <c r="M17" s="1929">
        <v>10.946</v>
      </c>
      <c r="N17" s="1923">
        <v>0.12374323279195669</v>
      </c>
      <c r="O17" s="1922">
        <v>5</v>
      </c>
      <c r="P17" s="1925" t="s">
        <v>1072</v>
      </c>
      <c r="Q17" s="1928">
        <v>150</v>
      </c>
      <c r="R17" s="1928">
        <v>150</v>
      </c>
      <c r="S17" s="1931">
        <f t="shared" ref="S17:S65" si="3">SUM(Q17:R17)</f>
        <v>300</v>
      </c>
      <c r="T17" s="1931">
        <f t="shared" ref="T17:T65" si="4">Q17*I17</f>
        <v>2400</v>
      </c>
      <c r="U17" s="1931">
        <f t="shared" ref="U17:U65" si="5">R17*I17</f>
        <v>2400</v>
      </c>
      <c r="V17" s="1931">
        <f t="shared" ref="V17:V65" si="6">SUM(T17:U17)</f>
        <v>4800</v>
      </c>
      <c r="W17" s="1921">
        <f t="shared" ref="W17:W65" si="7">Q17*M17</f>
        <v>1641.8999999999999</v>
      </c>
      <c r="X17" s="1921">
        <f t="shared" ref="X17:X65" si="8">R17*M17</f>
        <v>1641.8999999999999</v>
      </c>
      <c r="Y17" s="1921">
        <f t="shared" ref="Y17:Y65" si="9">SUM(W17:X17)</f>
        <v>3283.7999999999997</v>
      </c>
      <c r="Z17" s="1946"/>
      <c r="AA17" s="1920" t="s">
        <v>241</v>
      </c>
      <c r="AB17" s="1920" t="s">
        <v>241</v>
      </c>
      <c r="AC17" s="1921" t="s">
        <v>241</v>
      </c>
      <c r="AD17" s="1921" t="s">
        <v>241</v>
      </c>
      <c r="AE17" s="1921" t="s">
        <v>241</v>
      </c>
      <c r="AF17" s="1921" t="s">
        <v>241</v>
      </c>
      <c r="AG17" s="1917"/>
      <c r="AH17" s="2177"/>
      <c r="AI17" s="2177"/>
      <c r="AJ17" s="2177"/>
      <c r="AK17" s="2177"/>
      <c r="AL17" s="2177"/>
      <c r="AM17" s="2177"/>
      <c r="AN17" s="2177"/>
      <c r="AO17" s="2177"/>
      <c r="AP17" s="2177"/>
      <c r="AQ17" s="2177"/>
      <c r="AR17" s="2177"/>
      <c r="AS17" s="2177"/>
      <c r="AT17" s="2177"/>
      <c r="AU17" s="2177"/>
      <c r="AV17" s="2177"/>
      <c r="AW17" s="2177"/>
      <c r="AX17" s="2177"/>
    </row>
    <row r="18" spans="1:50">
      <c r="A18" s="2177"/>
      <c r="B18" s="2610"/>
      <c r="C18" s="2197"/>
      <c r="D18" s="2199"/>
      <c r="E18" s="2198"/>
      <c r="F18" s="2191">
        <f t="shared" si="2"/>
        <v>0</v>
      </c>
      <c r="G18" s="2177"/>
      <c r="H18" s="1922" t="s">
        <v>1279</v>
      </c>
      <c r="I18" s="2927">
        <v>53</v>
      </c>
      <c r="J18" s="1932" t="s">
        <v>81</v>
      </c>
      <c r="K18" s="1922" t="s">
        <v>909</v>
      </c>
      <c r="L18" s="1929">
        <v>70.421000000000006</v>
      </c>
      <c r="M18" s="1929">
        <v>35.210500000000003</v>
      </c>
      <c r="N18" s="1923">
        <v>0.13663315287445219</v>
      </c>
      <c r="O18" s="1922">
        <v>5</v>
      </c>
      <c r="P18" s="1925" t="s">
        <v>1072</v>
      </c>
      <c r="Q18" s="1928">
        <v>50</v>
      </c>
      <c r="R18" s="1928">
        <v>50</v>
      </c>
      <c r="S18" s="1931">
        <f t="shared" si="3"/>
        <v>100</v>
      </c>
      <c r="T18" s="1931">
        <f t="shared" si="4"/>
        <v>2650</v>
      </c>
      <c r="U18" s="1931">
        <f t="shared" si="5"/>
        <v>2650</v>
      </c>
      <c r="V18" s="1931">
        <f t="shared" si="6"/>
        <v>5300</v>
      </c>
      <c r="W18" s="1921">
        <f t="shared" si="7"/>
        <v>1760.5250000000001</v>
      </c>
      <c r="X18" s="1921">
        <f t="shared" si="8"/>
        <v>1760.5250000000001</v>
      </c>
      <c r="Y18" s="1921">
        <f t="shared" si="9"/>
        <v>3521.05</v>
      </c>
      <c r="Z18" s="1946"/>
      <c r="AA18" s="1920" t="s">
        <v>241</v>
      </c>
      <c r="AB18" s="1920" t="s">
        <v>241</v>
      </c>
      <c r="AC18" s="1921" t="s">
        <v>241</v>
      </c>
      <c r="AD18" s="1921" t="s">
        <v>241</v>
      </c>
      <c r="AE18" s="1921" t="s">
        <v>241</v>
      </c>
      <c r="AF18" s="1921" t="s">
        <v>241</v>
      </c>
      <c r="AG18" s="1917"/>
      <c r="AH18" s="2177"/>
      <c r="AI18" s="2177"/>
      <c r="AJ18" s="2177"/>
      <c r="AK18" s="2177"/>
      <c r="AL18" s="2177"/>
      <c r="AM18" s="2177"/>
      <c r="AN18" s="2177"/>
      <c r="AO18" s="2177"/>
      <c r="AP18" s="2177"/>
      <c r="AQ18" s="2177"/>
      <c r="AR18" s="2177"/>
      <c r="AS18" s="2177"/>
      <c r="AT18" s="2177"/>
      <c r="AU18" s="2177"/>
      <c r="AV18" s="2177"/>
      <c r="AW18" s="2177"/>
      <c r="AX18" s="2177"/>
    </row>
    <row r="19" spans="1:50">
      <c r="A19" s="2177"/>
      <c r="B19" s="2610"/>
      <c r="C19" s="2197"/>
      <c r="D19" s="1903"/>
      <c r="E19" s="1902"/>
      <c r="F19" s="2191">
        <f t="shared" si="2"/>
        <v>0</v>
      </c>
      <c r="G19" s="2177"/>
      <c r="H19" s="1922" t="s">
        <v>1280</v>
      </c>
      <c r="I19" s="2927">
        <v>37</v>
      </c>
      <c r="J19" s="1932" t="s">
        <v>81</v>
      </c>
      <c r="K19" s="1922" t="s">
        <v>909</v>
      </c>
      <c r="L19" s="1929">
        <v>70.421000000000006</v>
      </c>
      <c r="M19" s="1929">
        <v>35.210500000000003</v>
      </c>
      <c r="N19" s="1923">
        <v>3.8154163444186644E-2</v>
      </c>
      <c r="O19" s="1922">
        <v>5</v>
      </c>
      <c r="P19" s="1925" t="s">
        <v>1072</v>
      </c>
      <c r="Q19" s="1928">
        <v>15</v>
      </c>
      <c r="R19" s="1928">
        <v>25</v>
      </c>
      <c r="S19" s="1931">
        <f t="shared" si="3"/>
        <v>40</v>
      </c>
      <c r="T19" s="1931">
        <f t="shared" si="4"/>
        <v>555</v>
      </c>
      <c r="U19" s="1931">
        <f t="shared" si="5"/>
        <v>925</v>
      </c>
      <c r="V19" s="1931">
        <f t="shared" si="6"/>
        <v>1480</v>
      </c>
      <c r="W19" s="1921">
        <f t="shared" si="7"/>
        <v>528.15750000000003</v>
      </c>
      <c r="X19" s="1921">
        <f t="shared" si="8"/>
        <v>880.26250000000005</v>
      </c>
      <c r="Y19" s="1921">
        <f t="shared" si="9"/>
        <v>1408.42</v>
      </c>
      <c r="Z19" s="1946"/>
      <c r="AA19" s="1920" t="s">
        <v>241</v>
      </c>
      <c r="AB19" s="1920" t="s">
        <v>241</v>
      </c>
      <c r="AC19" s="1921" t="s">
        <v>241</v>
      </c>
      <c r="AD19" s="1921" t="s">
        <v>241</v>
      </c>
      <c r="AE19" s="1921" t="s">
        <v>241</v>
      </c>
      <c r="AF19" s="1921" t="s">
        <v>241</v>
      </c>
      <c r="AG19" s="1917"/>
      <c r="AH19" s="2177"/>
      <c r="AI19" s="2177"/>
      <c r="AJ19" s="2177"/>
      <c r="AK19" s="2177"/>
      <c r="AL19" s="2177"/>
      <c r="AM19" s="2177"/>
      <c r="AN19" s="2177"/>
      <c r="AO19" s="2177"/>
      <c r="AP19" s="2177"/>
      <c r="AQ19" s="2177"/>
      <c r="AR19" s="2177"/>
      <c r="AS19" s="2177"/>
      <c r="AT19" s="2177"/>
      <c r="AU19" s="2177"/>
      <c r="AV19" s="2177"/>
      <c r="AW19" s="2177"/>
      <c r="AX19" s="2177"/>
    </row>
    <row r="20" spans="1:50">
      <c r="A20" s="2177"/>
      <c r="B20" s="2926">
        <f>SUM(B16:B19)</f>
        <v>0.18000000000000002</v>
      </c>
      <c r="C20" s="1952"/>
      <c r="D20" s="1954"/>
      <c r="E20" s="1955"/>
      <c r="F20" s="1957"/>
      <c r="G20" s="2177"/>
      <c r="H20" s="1922" t="s">
        <v>1281</v>
      </c>
      <c r="I20" s="2927">
        <v>58</v>
      </c>
      <c r="J20" s="1932" t="s">
        <v>81</v>
      </c>
      <c r="K20" s="1922" t="s">
        <v>909</v>
      </c>
      <c r="L20" s="1929">
        <v>70.421000000000006</v>
      </c>
      <c r="M20" s="1929">
        <v>35.210500000000003</v>
      </c>
      <c r="N20" s="1923">
        <v>5.9809229182779068E-2</v>
      </c>
      <c r="O20" s="1922">
        <v>5</v>
      </c>
      <c r="P20" s="1925" t="s">
        <v>1072</v>
      </c>
      <c r="Q20" s="1928">
        <v>15</v>
      </c>
      <c r="R20" s="1928">
        <v>25</v>
      </c>
      <c r="S20" s="1931">
        <f t="shared" si="3"/>
        <v>40</v>
      </c>
      <c r="T20" s="1931">
        <f t="shared" si="4"/>
        <v>870</v>
      </c>
      <c r="U20" s="1931">
        <f t="shared" si="5"/>
        <v>1450</v>
      </c>
      <c r="V20" s="1931">
        <f t="shared" si="6"/>
        <v>2320</v>
      </c>
      <c r="W20" s="1921">
        <f t="shared" si="7"/>
        <v>528.15750000000003</v>
      </c>
      <c r="X20" s="1921">
        <f t="shared" si="8"/>
        <v>880.26250000000005</v>
      </c>
      <c r="Y20" s="1921">
        <f t="shared" si="9"/>
        <v>1408.42</v>
      </c>
      <c r="Z20" s="1946"/>
      <c r="AA20" s="1920" t="s">
        <v>241</v>
      </c>
      <c r="AB20" s="1920" t="s">
        <v>241</v>
      </c>
      <c r="AC20" s="1921" t="s">
        <v>241</v>
      </c>
      <c r="AD20" s="1921" t="s">
        <v>241</v>
      </c>
      <c r="AE20" s="1921" t="s">
        <v>241</v>
      </c>
      <c r="AF20" s="1921" t="s">
        <v>241</v>
      </c>
      <c r="AG20" s="1917"/>
      <c r="AH20" s="2177"/>
      <c r="AI20" s="2177"/>
      <c r="AJ20" s="2177"/>
      <c r="AK20" s="2177"/>
      <c r="AL20" s="2177"/>
      <c r="AM20" s="2177"/>
      <c r="AN20" s="2177"/>
      <c r="AO20" s="2177"/>
      <c r="AP20" s="2177"/>
      <c r="AQ20" s="2177"/>
      <c r="AR20" s="2177"/>
      <c r="AS20" s="2177"/>
      <c r="AT20" s="2177"/>
      <c r="AU20" s="2177"/>
      <c r="AV20" s="2177"/>
      <c r="AW20" s="2177"/>
      <c r="AX20" s="2177"/>
    </row>
    <row r="21" spans="1:50">
      <c r="A21" s="2177"/>
      <c r="B21" s="2177"/>
      <c r="C21" s="2106" t="s">
        <v>47</v>
      </c>
      <c r="D21" s="2158">
        <f>SUM(D22:D25)</f>
        <v>0</v>
      </c>
      <c r="E21" s="1926">
        <f>SUM(E22:E25)</f>
        <v>0</v>
      </c>
      <c r="F21" s="2157">
        <f>D21+E21</f>
        <v>0</v>
      </c>
      <c r="G21" s="2177"/>
      <c r="H21" s="1922" t="s">
        <v>1282</v>
      </c>
      <c r="I21" s="2927">
        <v>97</v>
      </c>
      <c r="J21" s="1932" t="s">
        <v>81</v>
      </c>
      <c r="K21" s="1922" t="s">
        <v>909</v>
      </c>
      <c r="L21" s="1929">
        <v>70.421000000000006</v>
      </c>
      <c r="M21" s="1929">
        <v>35.210500000000003</v>
      </c>
      <c r="N21" s="1923">
        <v>0.10002577984016499</v>
      </c>
      <c r="O21" s="1922">
        <v>5</v>
      </c>
      <c r="P21" s="1925" t="s">
        <v>1072</v>
      </c>
      <c r="Q21" s="1928">
        <v>15</v>
      </c>
      <c r="R21" s="1928">
        <v>25</v>
      </c>
      <c r="S21" s="1931">
        <f t="shared" si="3"/>
        <v>40</v>
      </c>
      <c r="T21" s="1931">
        <f t="shared" si="4"/>
        <v>1455</v>
      </c>
      <c r="U21" s="1931">
        <f t="shared" si="5"/>
        <v>2425</v>
      </c>
      <c r="V21" s="1931">
        <f t="shared" si="6"/>
        <v>3880</v>
      </c>
      <c r="W21" s="1921">
        <f t="shared" si="7"/>
        <v>528.15750000000003</v>
      </c>
      <c r="X21" s="1921">
        <f t="shared" si="8"/>
        <v>880.26250000000005</v>
      </c>
      <c r="Y21" s="1921">
        <f t="shared" si="9"/>
        <v>1408.42</v>
      </c>
      <c r="Z21" s="1946"/>
      <c r="AA21" s="1920" t="s">
        <v>241</v>
      </c>
      <c r="AB21" s="1920" t="s">
        <v>241</v>
      </c>
      <c r="AC21" s="1921" t="s">
        <v>241</v>
      </c>
      <c r="AD21" s="1921" t="s">
        <v>241</v>
      </c>
      <c r="AE21" s="1921" t="s">
        <v>241</v>
      </c>
      <c r="AF21" s="1921" t="s">
        <v>241</v>
      </c>
      <c r="AG21" s="1917"/>
      <c r="AH21" s="2177"/>
      <c r="AI21" s="2177"/>
      <c r="AJ21" s="2177"/>
      <c r="AK21" s="2177"/>
      <c r="AL21" s="2177"/>
      <c r="AM21" s="2177"/>
      <c r="AN21" s="2177"/>
      <c r="AO21" s="2177"/>
      <c r="AP21" s="2177"/>
      <c r="AQ21" s="2177"/>
      <c r="AR21" s="2177"/>
      <c r="AS21" s="2177"/>
      <c r="AT21" s="2177"/>
      <c r="AU21" s="2177"/>
      <c r="AV21" s="2177"/>
      <c r="AW21" s="2177"/>
      <c r="AX21" s="2177"/>
    </row>
    <row r="22" spans="1:50">
      <c r="A22" s="2177"/>
      <c r="B22" s="2177"/>
      <c r="C22" s="2197"/>
      <c r="D22" s="2201"/>
      <c r="E22" s="2200"/>
      <c r="F22" s="1879">
        <f t="shared" si="2"/>
        <v>0</v>
      </c>
      <c r="G22" s="2177"/>
      <c r="H22" s="1922" t="s">
        <v>1283</v>
      </c>
      <c r="I22" s="2927">
        <v>10</v>
      </c>
      <c r="J22" s="1932" t="s">
        <v>81</v>
      </c>
      <c r="K22" s="1922" t="s">
        <v>909</v>
      </c>
      <c r="L22" s="1929">
        <v>21.671000000000003</v>
      </c>
      <c r="M22" s="1929">
        <v>21.671000000000003</v>
      </c>
      <c r="N22" s="1923">
        <v>2.5779840164990978E-3</v>
      </c>
      <c r="O22" s="1922">
        <v>10</v>
      </c>
      <c r="P22" s="1925" t="s">
        <v>1072</v>
      </c>
      <c r="Q22" s="1928">
        <v>5</v>
      </c>
      <c r="R22" s="1928">
        <v>5</v>
      </c>
      <c r="S22" s="1931">
        <f t="shared" si="3"/>
        <v>10</v>
      </c>
      <c r="T22" s="1931">
        <f t="shared" si="4"/>
        <v>50</v>
      </c>
      <c r="U22" s="1931">
        <f t="shared" si="5"/>
        <v>50</v>
      </c>
      <c r="V22" s="1931">
        <f t="shared" si="6"/>
        <v>100</v>
      </c>
      <c r="W22" s="1921">
        <f t="shared" si="7"/>
        <v>108.35500000000002</v>
      </c>
      <c r="X22" s="1921">
        <f t="shared" si="8"/>
        <v>108.35500000000002</v>
      </c>
      <c r="Y22" s="1921">
        <f t="shared" si="9"/>
        <v>216.71000000000004</v>
      </c>
      <c r="Z22" s="1946"/>
      <c r="AA22" s="1920" t="s">
        <v>241</v>
      </c>
      <c r="AB22" s="1920" t="s">
        <v>241</v>
      </c>
      <c r="AC22" s="1921" t="s">
        <v>241</v>
      </c>
      <c r="AD22" s="1921" t="s">
        <v>241</v>
      </c>
      <c r="AE22" s="1921" t="s">
        <v>241</v>
      </c>
      <c r="AF22" s="1921" t="s">
        <v>241</v>
      </c>
      <c r="AG22" s="1917"/>
      <c r="AH22" s="2177"/>
      <c r="AI22" s="2177"/>
      <c r="AJ22" s="2177"/>
      <c r="AK22" s="2177"/>
      <c r="AL22" s="2177"/>
      <c r="AM22" s="2177"/>
      <c r="AN22" s="2177"/>
      <c r="AO22" s="2177"/>
      <c r="AP22" s="2177"/>
      <c r="AQ22" s="2177"/>
      <c r="AR22" s="2177"/>
      <c r="AS22" s="2177"/>
      <c r="AT22" s="2177"/>
      <c r="AU22" s="2177"/>
      <c r="AV22" s="2177"/>
      <c r="AW22" s="2177"/>
      <c r="AX22" s="2177"/>
    </row>
    <row r="23" spans="1:50">
      <c r="A23" s="2177"/>
      <c r="B23" s="2177"/>
      <c r="C23" s="2197"/>
      <c r="D23" s="1900"/>
      <c r="E23" s="1899"/>
      <c r="F23" s="2191">
        <f t="shared" si="2"/>
        <v>0</v>
      </c>
      <c r="G23" s="2177"/>
      <c r="H23" s="1922" t="s">
        <v>1284</v>
      </c>
      <c r="I23" s="2927">
        <v>100</v>
      </c>
      <c r="J23" s="1932" t="s">
        <v>81</v>
      </c>
      <c r="K23" s="1922" t="s">
        <v>909</v>
      </c>
      <c r="L23" s="1929">
        <v>200</v>
      </c>
      <c r="M23" s="1929">
        <v>100</v>
      </c>
      <c r="N23" s="1923">
        <v>0.25779840164990975</v>
      </c>
      <c r="O23" s="1922">
        <v>5</v>
      </c>
      <c r="P23" s="1925" t="s">
        <v>1249</v>
      </c>
      <c r="Q23" s="1928">
        <v>50</v>
      </c>
      <c r="R23" s="1928">
        <v>50</v>
      </c>
      <c r="S23" s="1931">
        <f t="shared" si="3"/>
        <v>100</v>
      </c>
      <c r="T23" s="1931">
        <f t="shared" si="4"/>
        <v>5000</v>
      </c>
      <c r="U23" s="1931">
        <f t="shared" si="5"/>
        <v>5000</v>
      </c>
      <c r="V23" s="1931">
        <f t="shared" si="6"/>
        <v>10000</v>
      </c>
      <c r="W23" s="1921">
        <f t="shared" si="7"/>
        <v>5000</v>
      </c>
      <c r="X23" s="1921">
        <f t="shared" si="8"/>
        <v>5000</v>
      </c>
      <c r="Y23" s="1921">
        <f t="shared" si="9"/>
        <v>10000</v>
      </c>
      <c r="Z23" s="1946"/>
      <c r="AA23" s="1920" t="s">
        <v>241</v>
      </c>
      <c r="AB23" s="1920" t="s">
        <v>241</v>
      </c>
      <c r="AC23" s="1921" t="s">
        <v>241</v>
      </c>
      <c r="AD23" s="1921" t="s">
        <v>241</v>
      </c>
      <c r="AE23" s="1921" t="s">
        <v>241</v>
      </c>
      <c r="AF23" s="1921" t="s">
        <v>241</v>
      </c>
      <c r="AG23" s="1917"/>
      <c r="AH23" s="2177"/>
      <c r="AI23" s="2177"/>
      <c r="AJ23" s="2177"/>
      <c r="AK23" s="2177"/>
      <c r="AL23" s="2177"/>
      <c r="AM23" s="2177"/>
      <c r="AN23" s="2177"/>
      <c r="AO23" s="2177"/>
      <c r="AP23" s="2177"/>
      <c r="AQ23" s="2177"/>
      <c r="AR23" s="2177"/>
      <c r="AS23" s="2177"/>
      <c r="AT23" s="2177"/>
      <c r="AU23" s="2177"/>
      <c r="AV23" s="2177"/>
      <c r="AW23" s="2177"/>
      <c r="AX23" s="2177"/>
    </row>
    <row r="24" spans="1:50">
      <c r="A24" s="2177"/>
      <c r="B24" s="2177"/>
      <c r="C24" s="2197"/>
      <c r="D24" s="1898"/>
      <c r="E24" s="1897"/>
      <c r="F24" s="2191">
        <f t="shared" si="2"/>
        <v>0</v>
      </c>
      <c r="G24" s="2177"/>
      <c r="H24" s="1922" t="s">
        <v>1285</v>
      </c>
      <c r="I24" s="2927">
        <v>99</v>
      </c>
      <c r="J24" s="1932" t="s">
        <v>81</v>
      </c>
      <c r="K24" s="1922" t="s">
        <v>909</v>
      </c>
      <c r="L24" s="1929">
        <v>237.25</v>
      </c>
      <c r="M24" s="1929">
        <v>118.625</v>
      </c>
      <c r="N24" s="1923">
        <v>2.5522041763341066E-2</v>
      </c>
      <c r="O24" s="1922">
        <v>10</v>
      </c>
      <c r="P24" s="1925" t="s">
        <v>1249</v>
      </c>
      <c r="Q24" s="1928">
        <v>5</v>
      </c>
      <c r="R24" s="1928">
        <v>5</v>
      </c>
      <c r="S24" s="1931">
        <f t="shared" si="3"/>
        <v>10</v>
      </c>
      <c r="T24" s="1931">
        <f t="shared" si="4"/>
        <v>495</v>
      </c>
      <c r="U24" s="1931">
        <f t="shared" si="5"/>
        <v>495</v>
      </c>
      <c r="V24" s="1931">
        <f t="shared" si="6"/>
        <v>990</v>
      </c>
      <c r="W24" s="1921">
        <f t="shared" si="7"/>
        <v>593.125</v>
      </c>
      <c r="X24" s="1921">
        <f t="shared" si="8"/>
        <v>593.125</v>
      </c>
      <c r="Y24" s="1921">
        <f t="shared" si="9"/>
        <v>1186.25</v>
      </c>
      <c r="Z24" s="1946"/>
      <c r="AA24" s="1920" t="s">
        <v>241</v>
      </c>
      <c r="AB24" s="1920" t="s">
        <v>241</v>
      </c>
      <c r="AC24" s="1921" t="s">
        <v>241</v>
      </c>
      <c r="AD24" s="1921" t="s">
        <v>241</v>
      </c>
      <c r="AE24" s="1921" t="s">
        <v>241</v>
      </c>
      <c r="AF24" s="1921" t="s">
        <v>241</v>
      </c>
      <c r="AG24" s="1917"/>
      <c r="AH24" s="2177"/>
      <c r="AI24" s="2177"/>
      <c r="AJ24" s="2177"/>
      <c r="AK24" s="2177"/>
      <c r="AL24" s="2177"/>
      <c r="AM24" s="2177"/>
      <c r="AN24" s="2177"/>
      <c r="AO24" s="2177"/>
      <c r="AP24" s="2177"/>
      <c r="AQ24" s="2177"/>
      <c r="AR24" s="2177"/>
      <c r="AS24" s="2177"/>
      <c r="AT24" s="2177"/>
      <c r="AU24" s="2177"/>
      <c r="AV24" s="2177"/>
      <c r="AW24" s="2177"/>
      <c r="AX24" s="2177"/>
    </row>
    <row r="25" spans="1:50">
      <c r="A25" s="2177"/>
      <c r="B25" s="2177"/>
      <c r="C25" s="2197"/>
      <c r="D25" s="1896"/>
      <c r="E25" s="1899"/>
      <c r="F25" s="2191">
        <f t="shared" si="2"/>
        <v>0</v>
      </c>
      <c r="G25" s="2177"/>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c r="AH25" s="2177"/>
      <c r="AI25" s="2177"/>
      <c r="AJ25" s="2177"/>
      <c r="AK25" s="2177"/>
      <c r="AL25" s="2177"/>
      <c r="AM25" s="2177"/>
      <c r="AN25" s="2177"/>
      <c r="AO25" s="2177"/>
      <c r="AP25" s="2177"/>
      <c r="AQ25" s="2177"/>
      <c r="AR25" s="2177"/>
      <c r="AS25" s="2177"/>
      <c r="AT25" s="2177"/>
      <c r="AU25" s="2177"/>
      <c r="AV25" s="2177"/>
      <c r="AW25" s="2177"/>
      <c r="AX25" s="2177"/>
    </row>
    <row r="26" spans="1:50">
      <c r="A26" s="2177"/>
      <c r="B26" s="2177"/>
      <c r="C26" s="1877"/>
      <c r="D26" s="1892"/>
      <c r="E26" s="1884"/>
      <c r="F26" s="1892"/>
      <c r="G26" s="2177"/>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c r="AH26" s="2177"/>
      <c r="AI26" s="2177"/>
      <c r="AJ26" s="2177"/>
      <c r="AK26" s="2177"/>
      <c r="AL26" s="2177"/>
      <c r="AM26" s="2177"/>
      <c r="AN26" s="2177"/>
      <c r="AO26" s="2177"/>
      <c r="AP26" s="2177"/>
      <c r="AQ26" s="2177"/>
      <c r="AR26" s="2177"/>
      <c r="AS26" s="2177"/>
      <c r="AT26" s="2177"/>
      <c r="AU26" s="2177"/>
      <c r="AV26" s="2177"/>
      <c r="AW26" s="2177"/>
      <c r="AX26" s="2177"/>
    </row>
    <row r="27" spans="1:50">
      <c r="A27" s="2177"/>
      <c r="B27" s="2177"/>
      <c r="C27" s="2106" t="s">
        <v>48</v>
      </c>
      <c r="D27" s="2158">
        <f>SUM(D29:D32)</f>
        <v>10881.397980000002</v>
      </c>
      <c r="E27" s="1926">
        <f>SUM(E29:E32)</f>
        <v>11370.837600000003</v>
      </c>
      <c r="F27" s="2157">
        <f>D27+E27</f>
        <v>22252.235580000004</v>
      </c>
      <c r="G27" s="2177"/>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c r="AH27" s="2177"/>
      <c r="AI27" s="2177"/>
      <c r="AJ27" s="2177"/>
      <c r="AK27" s="2177"/>
      <c r="AL27" s="2177"/>
      <c r="AM27" s="2177"/>
      <c r="AN27" s="2177"/>
      <c r="AO27" s="2177"/>
      <c r="AP27" s="2177"/>
      <c r="AQ27" s="2177"/>
      <c r="AR27" s="2177"/>
      <c r="AS27" s="2177"/>
      <c r="AT27" s="2177"/>
      <c r="AU27" s="2177"/>
      <c r="AV27" s="2177"/>
      <c r="AW27" s="2177"/>
      <c r="AX27" s="2177"/>
    </row>
    <row r="28" spans="1:50">
      <c r="A28" s="2177"/>
      <c r="B28" s="2177"/>
      <c r="C28" s="1909" t="s">
        <v>315</v>
      </c>
      <c r="D28" s="1912">
        <v>0.66700000000000004</v>
      </c>
      <c r="E28" s="1913">
        <v>0.68</v>
      </c>
      <c r="F28" s="1949"/>
      <c r="G28" s="2177"/>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c r="AH28" s="2177"/>
      <c r="AI28" s="2177"/>
      <c r="AJ28" s="2177"/>
      <c r="AK28" s="2177"/>
      <c r="AL28" s="2177"/>
      <c r="AM28" s="2177"/>
      <c r="AN28" s="2177"/>
      <c r="AO28" s="2177"/>
      <c r="AP28" s="2177"/>
      <c r="AQ28" s="2177"/>
      <c r="AR28" s="2177"/>
      <c r="AS28" s="2177"/>
      <c r="AT28" s="2177"/>
      <c r="AU28" s="2177"/>
      <c r="AV28" s="2177"/>
      <c r="AW28" s="2177"/>
      <c r="AX28" s="2177"/>
    </row>
    <row r="29" spans="1:50">
      <c r="A29" s="2177"/>
      <c r="B29" s="2177"/>
      <c r="C29" s="2197" t="s">
        <v>778</v>
      </c>
      <c r="D29" s="2202">
        <f>D15*D28</f>
        <v>10881.397980000002</v>
      </c>
      <c r="E29" s="2163">
        <f>E15*E28</f>
        <v>11370.837600000003</v>
      </c>
      <c r="F29" s="2191">
        <f t="shared" si="2"/>
        <v>22252.235580000004</v>
      </c>
      <c r="G29" s="2177"/>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c r="AH29" s="2177"/>
      <c r="AI29" s="2177"/>
      <c r="AJ29" s="2177"/>
      <c r="AK29" s="2177"/>
      <c r="AL29" s="2177"/>
      <c r="AM29" s="2177"/>
      <c r="AN29" s="2177"/>
      <c r="AO29" s="2177"/>
      <c r="AP29" s="2177"/>
      <c r="AQ29" s="2177"/>
      <c r="AR29" s="2177"/>
      <c r="AS29" s="2177"/>
      <c r="AT29" s="2177"/>
      <c r="AU29" s="2177"/>
      <c r="AV29" s="2177"/>
      <c r="AW29" s="2177"/>
      <c r="AX29" s="2177"/>
    </row>
    <row r="30" spans="1:50">
      <c r="A30" s="2177"/>
      <c r="B30" s="2177"/>
      <c r="C30" s="2197" t="s">
        <v>779</v>
      </c>
      <c r="D30" s="1973">
        <f>D21*D28</f>
        <v>0</v>
      </c>
      <c r="E30" s="2163">
        <f>E21*E28</f>
        <v>0</v>
      </c>
      <c r="F30" s="2191">
        <f t="shared" si="2"/>
        <v>0</v>
      </c>
      <c r="G30" s="2177"/>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c r="AH30" s="2177"/>
      <c r="AI30" s="2177"/>
      <c r="AJ30" s="2177"/>
      <c r="AK30" s="2177"/>
      <c r="AL30" s="2177"/>
      <c r="AM30" s="2177"/>
      <c r="AN30" s="2177"/>
      <c r="AO30" s="2177"/>
      <c r="AP30" s="2177"/>
      <c r="AQ30" s="2177"/>
      <c r="AR30" s="2177"/>
      <c r="AS30" s="2177"/>
      <c r="AT30" s="2177"/>
      <c r="AU30" s="2177"/>
      <c r="AV30" s="2177"/>
      <c r="AW30" s="2177"/>
      <c r="AX30" s="2177"/>
    </row>
    <row r="31" spans="1:50">
      <c r="A31" s="2177"/>
      <c r="B31" s="2177"/>
      <c r="C31" s="1901"/>
      <c r="D31" s="1898"/>
      <c r="E31" s="1897"/>
      <c r="F31" s="1889"/>
      <c r="G31" s="2177"/>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c r="AH31" s="2177"/>
      <c r="AI31" s="2177"/>
      <c r="AJ31" s="2177"/>
      <c r="AK31" s="2177"/>
      <c r="AL31" s="2177"/>
      <c r="AM31" s="2177"/>
      <c r="AN31" s="2177"/>
      <c r="AO31" s="2177"/>
      <c r="AP31" s="2177"/>
      <c r="AQ31" s="2177"/>
      <c r="AR31" s="2177"/>
      <c r="AS31" s="2177"/>
      <c r="AT31" s="2177"/>
      <c r="AU31" s="2177"/>
      <c r="AV31" s="2177"/>
      <c r="AW31" s="2177"/>
      <c r="AX31" s="2177"/>
    </row>
    <row r="32" spans="1:50">
      <c r="A32" s="2177"/>
      <c r="B32" s="2177"/>
      <c r="C32" s="1901"/>
      <c r="D32" s="1896"/>
      <c r="E32" s="1899"/>
      <c r="F32" s="1890"/>
      <c r="G32" s="2177"/>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c r="AH32" s="2177"/>
      <c r="AI32" s="2177"/>
      <c r="AJ32" s="2177"/>
      <c r="AK32" s="2177"/>
      <c r="AL32" s="2177"/>
      <c r="AM32" s="2177"/>
      <c r="AN32" s="2177"/>
      <c r="AO32" s="2177"/>
      <c r="AP32" s="2177"/>
      <c r="AQ32" s="2177"/>
      <c r="AR32" s="2177"/>
      <c r="AS32" s="2177"/>
      <c r="AT32" s="2177"/>
      <c r="AU32" s="2177"/>
      <c r="AV32" s="2177"/>
      <c r="AW32" s="2177"/>
      <c r="AX32" s="2177"/>
    </row>
    <row r="33" spans="1:50">
      <c r="A33" s="2177"/>
      <c r="B33" s="2177"/>
      <c r="C33" s="1952"/>
      <c r="D33" s="1958"/>
      <c r="E33" s="1955"/>
      <c r="F33" s="1958"/>
      <c r="G33" s="2177"/>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c r="AH33" s="2177"/>
      <c r="AI33" s="2177"/>
      <c r="AJ33" s="2177"/>
      <c r="AK33" s="2177"/>
      <c r="AL33" s="2177"/>
      <c r="AM33" s="2177"/>
      <c r="AN33" s="2177"/>
      <c r="AO33" s="2177"/>
      <c r="AP33" s="2177"/>
      <c r="AQ33" s="2177"/>
      <c r="AR33" s="2177"/>
      <c r="AS33" s="2177"/>
      <c r="AT33" s="2177"/>
      <c r="AU33" s="2177"/>
      <c r="AV33" s="2177"/>
      <c r="AW33" s="2177"/>
      <c r="AX33" s="2177"/>
    </row>
    <row r="34" spans="1:50" ht="25.5">
      <c r="A34" s="2945" t="s">
        <v>1563</v>
      </c>
      <c r="B34" s="2177"/>
      <c r="C34" s="2106" t="s">
        <v>49</v>
      </c>
      <c r="D34" s="2158">
        <f>SUM(D35:D38)</f>
        <v>0</v>
      </c>
      <c r="E34" s="1926">
        <f>SUM(E35:E38)</f>
        <v>0</v>
      </c>
      <c r="F34" s="2157">
        <f>D34+E34</f>
        <v>0</v>
      </c>
      <c r="G34" s="2177"/>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c r="AH34" s="2177"/>
      <c r="AI34" s="2177"/>
      <c r="AJ34" s="2177"/>
      <c r="AK34" s="2177"/>
      <c r="AL34" s="2177"/>
      <c r="AM34" s="2177"/>
      <c r="AN34" s="2177"/>
      <c r="AO34" s="2177"/>
      <c r="AP34" s="2177"/>
      <c r="AQ34" s="2177"/>
      <c r="AR34" s="2177"/>
      <c r="AS34" s="2177"/>
      <c r="AT34" s="2177"/>
      <c r="AU34" s="2177"/>
      <c r="AV34" s="2177"/>
      <c r="AW34" s="2177"/>
      <c r="AX34" s="2177"/>
    </row>
    <row r="35" spans="1:50">
      <c r="A35" s="2945" t="s">
        <v>278</v>
      </c>
      <c r="B35" s="2177"/>
      <c r="C35" s="2197"/>
      <c r="D35" s="2202"/>
      <c r="E35" s="2203"/>
      <c r="F35" s="2191">
        <f t="shared" ref="F35:F44" si="10">SUM(D35:E35)</f>
        <v>0</v>
      </c>
      <c r="G35" s="2177"/>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c r="AH35" s="2177"/>
      <c r="AI35" s="2177"/>
      <c r="AJ35" s="2177"/>
      <c r="AK35" s="2177"/>
      <c r="AL35" s="2177"/>
      <c r="AM35" s="2177"/>
      <c r="AN35" s="2177"/>
      <c r="AO35" s="2177"/>
      <c r="AP35" s="2177"/>
      <c r="AQ35" s="2177"/>
      <c r="AR35" s="2177"/>
      <c r="AS35" s="2177"/>
      <c r="AT35" s="2177"/>
      <c r="AU35" s="2177"/>
      <c r="AV35" s="2177"/>
      <c r="AW35" s="2177"/>
      <c r="AX35" s="2177"/>
    </row>
    <row r="36" spans="1:50">
      <c r="A36" s="2945" t="s">
        <v>6</v>
      </c>
      <c r="B36" s="2177"/>
      <c r="C36" s="2197"/>
      <c r="D36" s="2202"/>
      <c r="E36" s="2203"/>
      <c r="F36" s="2191">
        <f t="shared" si="10"/>
        <v>0</v>
      </c>
      <c r="G36" s="2177"/>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c r="AH36" s="2177"/>
      <c r="AI36" s="2177"/>
      <c r="AJ36" s="2177"/>
      <c r="AK36" s="2177"/>
      <c r="AL36" s="2177"/>
      <c r="AM36" s="2177"/>
      <c r="AN36" s="2177"/>
      <c r="AO36" s="2177"/>
      <c r="AP36" s="2177"/>
      <c r="AQ36" s="2177"/>
      <c r="AR36" s="2177"/>
      <c r="AS36" s="2177"/>
      <c r="AT36" s="2177"/>
      <c r="AU36" s="2177"/>
      <c r="AV36" s="2177"/>
      <c r="AW36" s="2177"/>
      <c r="AX36" s="2177"/>
    </row>
    <row r="37" spans="1:50">
      <c r="A37" s="2945" t="s">
        <v>1494</v>
      </c>
      <c r="B37" s="2177"/>
      <c r="C37" s="2197"/>
      <c r="D37" s="2202"/>
      <c r="E37" s="2203"/>
      <c r="F37" s="2191">
        <f t="shared" si="10"/>
        <v>0</v>
      </c>
      <c r="G37" s="2177"/>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c r="AH37" s="2177"/>
      <c r="AI37" s="2177"/>
      <c r="AJ37" s="2177"/>
      <c r="AK37" s="2177"/>
      <c r="AL37" s="2177"/>
      <c r="AM37" s="2177"/>
      <c r="AN37" s="2177"/>
      <c r="AO37" s="2177"/>
      <c r="AP37" s="2177"/>
      <c r="AQ37" s="2177"/>
      <c r="AR37" s="2177"/>
      <c r="AS37" s="2177"/>
      <c r="AT37" s="2177"/>
      <c r="AU37" s="2177"/>
      <c r="AV37" s="2177"/>
      <c r="AW37" s="2177"/>
      <c r="AX37" s="2177"/>
    </row>
    <row r="38" spans="1:50">
      <c r="A38" s="2945" t="s">
        <v>31</v>
      </c>
      <c r="B38" s="2177"/>
      <c r="C38" s="2197"/>
      <c r="D38" s="2202"/>
      <c r="E38" s="2203"/>
      <c r="F38" s="2191">
        <f t="shared" si="10"/>
        <v>0</v>
      </c>
      <c r="G38" s="2177"/>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c r="AH38" s="2177"/>
      <c r="AI38" s="2177"/>
      <c r="AJ38" s="2177"/>
      <c r="AK38" s="2177"/>
      <c r="AL38" s="2177"/>
      <c r="AM38" s="2177"/>
      <c r="AN38" s="2177"/>
      <c r="AO38" s="2177"/>
      <c r="AP38" s="2177"/>
      <c r="AQ38" s="2177"/>
      <c r="AR38" s="2177"/>
      <c r="AS38" s="2177"/>
      <c r="AT38" s="2177"/>
      <c r="AU38" s="2177"/>
      <c r="AV38" s="2177"/>
      <c r="AW38" s="2177"/>
      <c r="AX38" s="2177"/>
    </row>
    <row r="39" spans="1:50">
      <c r="A39" s="2193"/>
      <c r="B39" s="2177"/>
      <c r="C39" s="1952"/>
      <c r="D39" s="1958"/>
      <c r="E39" s="1955"/>
      <c r="F39" s="1958"/>
      <c r="G39" s="2177"/>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c r="AH39" s="2177"/>
      <c r="AI39" s="2177"/>
      <c r="AJ39" s="2177"/>
      <c r="AK39" s="2177"/>
      <c r="AL39" s="2177"/>
      <c r="AM39" s="2177"/>
      <c r="AN39" s="2177"/>
      <c r="AO39" s="2177"/>
      <c r="AP39" s="2177"/>
      <c r="AQ39" s="2177"/>
      <c r="AR39" s="2177"/>
      <c r="AS39" s="2177"/>
      <c r="AT39" s="2177"/>
      <c r="AU39" s="2177"/>
      <c r="AV39" s="2177"/>
      <c r="AW39" s="2177"/>
      <c r="AX39" s="2177"/>
    </row>
    <row r="40" spans="1:50">
      <c r="A40" s="2193"/>
      <c r="B40" s="2177"/>
      <c r="C40" s="2106" t="s">
        <v>506</v>
      </c>
      <c r="D40" s="2158">
        <f>SUM(D41:D44)</f>
        <v>0</v>
      </c>
      <c r="E40" s="1926">
        <f>SUM(E41:E44)</f>
        <v>0</v>
      </c>
      <c r="F40" s="2157">
        <f>D40+E40</f>
        <v>0</v>
      </c>
      <c r="G40" s="2177"/>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c r="AH40" s="2177"/>
      <c r="AI40" s="2177"/>
      <c r="AJ40" s="2177"/>
      <c r="AK40" s="2177"/>
      <c r="AL40" s="2177"/>
      <c r="AM40" s="2177"/>
      <c r="AN40" s="2177"/>
      <c r="AO40" s="2177"/>
      <c r="AP40" s="2177"/>
      <c r="AQ40" s="2177"/>
      <c r="AR40" s="2177"/>
      <c r="AS40" s="2177"/>
      <c r="AT40" s="2177"/>
      <c r="AU40" s="2177"/>
      <c r="AV40" s="2177"/>
      <c r="AW40" s="2177"/>
      <c r="AX40" s="2177"/>
    </row>
    <row r="41" spans="1:50">
      <c r="A41" s="2177"/>
      <c r="B41" s="2177"/>
      <c r="C41" s="2197"/>
      <c r="D41" s="2202"/>
      <c r="E41" s="2203"/>
      <c r="F41" s="2191">
        <f t="shared" si="10"/>
        <v>0</v>
      </c>
      <c r="G41" s="2177"/>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c r="AH41" s="2177"/>
      <c r="AI41" s="2177"/>
      <c r="AJ41" s="2177"/>
      <c r="AK41" s="2177"/>
      <c r="AL41" s="2177"/>
      <c r="AM41" s="2177"/>
      <c r="AN41" s="2177"/>
      <c r="AO41" s="2177"/>
      <c r="AP41" s="2177"/>
      <c r="AQ41" s="2177"/>
      <c r="AR41" s="2177"/>
      <c r="AS41" s="2177"/>
      <c r="AT41" s="2177"/>
      <c r="AU41" s="2177"/>
      <c r="AV41" s="2177"/>
      <c r="AW41" s="2177"/>
      <c r="AX41" s="2177"/>
    </row>
    <row r="42" spans="1:50">
      <c r="A42" s="2177"/>
      <c r="B42" s="2177"/>
      <c r="C42" s="2197"/>
      <c r="D42" s="2202"/>
      <c r="E42" s="2203"/>
      <c r="F42" s="2191">
        <f t="shared" si="10"/>
        <v>0</v>
      </c>
      <c r="G42" s="2177"/>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c r="AH42" s="2177"/>
      <c r="AI42" s="2177"/>
      <c r="AJ42" s="2177"/>
      <c r="AK42" s="2177"/>
      <c r="AL42" s="2177"/>
      <c r="AM42" s="2177"/>
      <c r="AN42" s="2177"/>
      <c r="AO42" s="2177"/>
      <c r="AP42" s="2177"/>
      <c r="AQ42" s="2177"/>
      <c r="AR42" s="2177"/>
      <c r="AS42" s="2177"/>
      <c r="AT42" s="2177"/>
      <c r="AU42" s="2177"/>
      <c r="AV42" s="2177"/>
      <c r="AW42" s="2177"/>
      <c r="AX42" s="2177"/>
    </row>
    <row r="43" spans="1:50">
      <c r="A43" s="2177"/>
      <c r="B43" s="2177"/>
      <c r="C43" s="2197"/>
      <c r="D43" s="2202"/>
      <c r="E43" s="2203"/>
      <c r="F43" s="2191">
        <f t="shared" si="10"/>
        <v>0</v>
      </c>
      <c r="G43" s="2177"/>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c r="AH43" s="2177"/>
      <c r="AI43" s="2177"/>
      <c r="AJ43" s="2177"/>
      <c r="AK43" s="2177"/>
      <c r="AL43" s="2177"/>
      <c r="AM43" s="2177"/>
      <c r="AN43" s="2177"/>
      <c r="AO43" s="2177"/>
      <c r="AP43" s="2177"/>
      <c r="AQ43" s="2177"/>
      <c r="AR43" s="2177"/>
      <c r="AS43" s="2177"/>
      <c r="AT43" s="2177"/>
      <c r="AU43" s="2177"/>
      <c r="AV43" s="2177"/>
      <c r="AW43" s="2177"/>
      <c r="AX43" s="2177"/>
    </row>
    <row r="44" spans="1:50">
      <c r="A44" s="2177"/>
      <c r="B44" s="2177"/>
      <c r="C44" s="2197"/>
      <c r="D44" s="2202"/>
      <c r="E44" s="2203"/>
      <c r="F44" s="2191">
        <f t="shared" si="10"/>
        <v>0</v>
      </c>
      <c r="G44" s="2177"/>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c r="AH44" s="2177"/>
      <c r="AI44" s="2177"/>
      <c r="AJ44" s="2177"/>
      <c r="AK44" s="2177"/>
      <c r="AL44" s="2177"/>
      <c r="AM44" s="2177"/>
      <c r="AN44" s="2177"/>
      <c r="AO44" s="2177"/>
      <c r="AP44" s="2177"/>
      <c r="AQ44" s="2177"/>
      <c r="AR44" s="2177"/>
      <c r="AS44" s="2177"/>
      <c r="AT44" s="2177"/>
      <c r="AU44" s="2177"/>
      <c r="AV44" s="2177"/>
      <c r="AW44" s="2177"/>
      <c r="AX44" s="2177"/>
    </row>
    <row r="45" spans="1:50">
      <c r="A45" s="2177"/>
      <c r="B45" s="2177"/>
      <c r="C45" s="1952"/>
      <c r="D45" s="1958"/>
      <c r="E45" s="1955"/>
      <c r="F45" s="1958"/>
      <c r="G45" s="2177"/>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c r="AH45" s="2177"/>
      <c r="AI45" s="2177"/>
      <c r="AJ45" s="2177"/>
      <c r="AK45" s="2177"/>
      <c r="AL45" s="2177"/>
      <c r="AM45" s="2177"/>
      <c r="AN45" s="2177"/>
      <c r="AO45" s="2177"/>
      <c r="AP45" s="2177"/>
      <c r="AQ45" s="2177"/>
      <c r="AR45" s="2177"/>
      <c r="AS45" s="2177"/>
      <c r="AT45" s="2177"/>
      <c r="AU45" s="2177"/>
      <c r="AV45" s="2177"/>
      <c r="AW45" s="2177"/>
      <c r="AX45" s="2177"/>
    </row>
    <row r="46" spans="1:50">
      <c r="A46" s="2177"/>
      <c r="B46" s="2177"/>
      <c r="C46" s="2106" t="s">
        <v>50</v>
      </c>
      <c r="D46" s="2158">
        <f>SUM(D47:D50)</f>
        <v>315</v>
      </c>
      <c r="E46" s="1926">
        <f>SUM(E47:E50)</f>
        <v>315</v>
      </c>
      <c r="F46" s="2157">
        <f>D46+E46</f>
        <v>630</v>
      </c>
      <c r="G46" s="2177"/>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c r="AH46" s="2177"/>
      <c r="AI46" s="2177"/>
      <c r="AJ46" s="2177"/>
      <c r="AK46" s="2177"/>
      <c r="AL46" s="2177"/>
      <c r="AM46" s="2177"/>
      <c r="AN46" s="2177"/>
      <c r="AO46" s="2177"/>
      <c r="AP46" s="2177"/>
      <c r="AQ46" s="2177"/>
      <c r="AR46" s="2177"/>
      <c r="AS46" s="2177"/>
      <c r="AT46" s="2177"/>
      <c r="AU46" s="2177"/>
      <c r="AV46" s="2177"/>
      <c r="AW46" s="2177"/>
      <c r="AX46" s="2177"/>
    </row>
    <row r="47" spans="1:50">
      <c r="A47" s="2177"/>
      <c r="B47" s="2177"/>
      <c r="C47" s="2197" t="s">
        <v>1275</v>
      </c>
      <c r="D47" s="2202">
        <v>315</v>
      </c>
      <c r="E47" s="2203">
        <v>315</v>
      </c>
      <c r="F47" s="2191">
        <f t="shared" ref="F47:F62" si="11">SUM(D47:E47)</f>
        <v>630</v>
      </c>
      <c r="G47" s="2177"/>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c r="AH47" s="2177"/>
      <c r="AI47" s="2177"/>
      <c r="AJ47" s="2177"/>
      <c r="AK47" s="2177"/>
      <c r="AL47" s="2177"/>
      <c r="AM47" s="2177"/>
      <c r="AN47" s="2177"/>
      <c r="AO47" s="2177"/>
      <c r="AP47" s="2177"/>
      <c r="AQ47" s="2177"/>
      <c r="AR47" s="2177"/>
      <c r="AS47" s="2177"/>
      <c r="AT47" s="2177"/>
      <c r="AU47" s="2177"/>
      <c r="AV47" s="2177"/>
      <c r="AW47" s="2177"/>
      <c r="AX47" s="2177"/>
    </row>
    <row r="48" spans="1:50">
      <c r="A48" s="2177"/>
      <c r="B48" s="2177"/>
      <c r="C48" s="2197"/>
      <c r="D48" s="2202"/>
      <c r="E48" s="2203"/>
      <c r="F48" s="2191">
        <f t="shared" si="11"/>
        <v>0</v>
      </c>
      <c r="G48" s="2177"/>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c r="AH48" s="2177"/>
      <c r="AI48" s="2177"/>
      <c r="AJ48" s="2177"/>
      <c r="AK48" s="2177"/>
      <c r="AL48" s="2177"/>
      <c r="AM48" s="2177"/>
      <c r="AN48" s="2177"/>
      <c r="AO48" s="2177"/>
      <c r="AP48" s="2177"/>
      <c r="AQ48" s="2177"/>
      <c r="AR48" s="2177"/>
      <c r="AS48" s="2177"/>
      <c r="AT48" s="2177"/>
      <c r="AU48" s="2177"/>
      <c r="AV48" s="2177"/>
      <c r="AW48" s="2177"/>
      <c r="AX48" s="2177"/>
    </row>
    <row r="49" spans="1:50">
      <c r="A49" s="2177"/>
      <c r="B49" s="2177"/>
      <c r="C49" s="2197"/>
      <c r="D49" s="2202"/>
      <c r="E49" s="2203"/>
      <c r="F49" s="2191">
        <f t="shared" si="11"/>
        <v>0</v>
      </c>
      <c r="G49" s="2177"/>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c r="AH49" s="2177"/>
      <c r="AI49" s="2177"/>
      <c r="AJ49" s="2177"/>
      <c r="AK49" s="2177"/>
      <c r="AL49" s="2177"/>
      <c r="AM49" s="2177"/>
      <c r="AN49" s="2177"/>
      <c r="AO49" s="2177"/>
      <c r="AP49" s="2177"/>
      <c r="AQ49" s="2177"/>
      <c r="AR49" s="2177"/>
      <c r="AS49" s="2177"/>
      <c r="AT49" s="2177"/>
      <c r="AU49" s="2177"/>
      <c r="AV49" s="2177"/>
      <c r="AW49" s="2177"/>
      <c r="AX49" s="2177"/>
    </row>
    <row r="50" spans="1:50">
      <c r="A50" s="2177"/>
      <c r="B50" s="2177"/>
      <c r="C50" s="2197"/>
      <c r="D50" s="2202"/>
      <c r="E50" s="2203"/>
      <c r="F50" s="2191">
        <f t="shared" si="11"/>
        <v>0</v>
      </c>
      <c r="G50" s="2177"/>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c r="AH50" s="2177"/>
      <c r="AI50" s="2177"/>
      <c r="AJ50" s="2177"/>
      <c r="AK50" s="2177"/>
      <c r="AL50" s="2177"/>
      <c r="AM50" s="2177"/>
      <c r="AN50" s="2177"/>
      <c r="AO50" s="2177"/>
      <c r="AP50" s="2177"/>
      <c r="AQ50" s="2177"/>
      <c r="AR50" s="2177"/>
      <c r="AS50" s="2177"/>
      <c r="AT50" s="2177"/>
      <c r="AU50" s="2177"/>
      <c r="AV50" s="2177"/>
      <c r="AW50" s="2177"/>
      <c r="AX50" s="2177"/>
    </row>
    <row r="51" spans="1:50">
      <c r="A51" s="2177"/>
      <c r="B51" s="2177"/>
      <c r="C51" s="1952"/>
      <c r="D51" s="1958"/>
      <c r="E51" s="1955"/>
      <c r="F51" s="1958"/>
      <c r="G51" s="2177"/>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c r="AH51" s="2177"/>
      <c r="AI51" s="2177"/>
      <c r="AJ51" s="2177"/>
      <c r="AK51" s="2177"/>
      <c r="AL51" s="2177"/>
      <c r="AM51" s="2177"/>
      <c r="AN51" s="2177"/>
      <c r="AO51" s="2177"/>
      <c r="AP51" s="2177"/>
      <c r="AQ51" s="2177"/>
      <c r="AR51" s="2177"/>
      <c r="AS51" s="2177"/>
      <c r="AT51" s="2177"/>
      <c r="AU51" s="2177"/>
      <c r="AV51" s="2177"/>
      <c r="AW51" s="2177"/>
      <c r="AX51" s="2177"/>
    </row>
    <row r="52" spans="1:50">
      <c r="A52" s="2177"/>
      <c r="B52" s="2177"/>
      <c r="C52" s="2106" t="s">
        <v>51</v>
      </c>
      <c r="D52" s="2158">
        <f>SUM(D53:D56)</f>
        <v>0</v>
      </c>
      <c r="E52" s="1926">
        <f>SUM(E53:E56)</f>
        <v>0</v>
      </c>
      <c r="F52" s="2157">
        <f>D52+E52</f>
        <v>0</v>
      </c>
      <c r="G52" s="2177"/>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c r="AH52" s="2177"/>
      <c r="AI52" s="2177"/>
      <c r="AJ52" s="2177"/>
      <c r="AK52" s="2177"/>
      <c r="AL52" s="2177"/>
      <c r="AM52" s="2177"/>
      <c r="AN52" s="2177"/>
      <c r="AO52" s="2177"/>
      <c r="AP52" s="2177"/>
      <c r="AQ52" s="2177"/>
      <c r="AR52" s="2177"/>
      <c r="AS52" s="2177"/>
      <c r="AT52" s="2177"/>
      <c r="AU52" s="2177"/>
      <c r="AV52" s="2177"/>
      <c r="AW52" s="2177"/>
      <c r="AX52" s="2177"/>
    </row>
    <row r="53" spans="1:50">
      <c r="A53" s="2177"/>
      <c r="B53" s="2177"/>
      <c r="C53" s="2197"/>
      <c r="D53" s="2202"/>
      <c r="E53" s="2163"/>
      <c r="F53" s="2191">
        <f t="shared" si="11"/>
        <v>0</v>
      </c>
      <c r="G53" s="2177"/>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c r="AH53" s="2177"/>
      <c r="AI53" s="2177"/>
      <c r="AJ53" s="2177"/>
      <c r="AK53" s="2177"/>
      <c r="AL53" s="2177"/>
      <c r="AM53" s="2177"/>
      <c r="AN53" s="2177"/>
      <c r="AO53" s="2177"/>
      <c r="AP53" s="2177"/>
      <c r="AQ53" s="2177"/>
      <c r="AR53" s="2177"/>
      <c r="AS53" s="2177"/>
      <c r="AT53" s="2177"/>
      <c r="AU53" s="2177"/>
      <c r="AV53" s="2177"/>
      <c r="AW53" s="2177"/>
      <c r="AX53" s="2177"/>
    </row>
    <row r="54" spans="1:50">
      <c r="A54" s="2177"/>
      <c r="B54" s="2177"/>
      <c r="C54" s="2197"/>
      <c r="D54" s="2202"/>
      <c r="E54" s="2163"/>
      <c r="F54" s="2191">
        <f t="shared" si="11"/>
        <v>0</v>
      </c>
      <c r="G54" s="2177"/>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c r="AH54" s="2177"/>
      <c r="AI54" s="2177"/>
      <c r="AJ54" s="2177"/>
      <c r="AK54" s="2177"/>
      <c r="AL54" s="2177"/>
      <c r="AM54" s="2177"/>
      <c r="AN54" s="2177"/>
      <c r="AO54" s="2177"/>
      <c r="AP54" s="2177"/>
      <c r="AQ54" s="2177"/>
      <c r="AR54" s="2177"/>
      <c r="AS54" s="2177"/>
      <c r="AT54" s="2177"/>
      <c r="AU54" s="2177"/>
      <c r="AV54" s="2177"/>
      <c r="AW54" s="2177"/>
      <c r="AX54" s="2177"/>
    </row>
    <row r="55" spans="1:50">
      <c r="A55" s="2177"/>
      <c r="B55" s="2177"/>
      <c r="C55" s="2197"/>
      <c r="D55" s="2202"/>
      <c r="E55" s="2163"/>
      <c r="F55" s="2191">
        <f t="shared" si="11"/>
        <v>0</v>
      </c>
      <c r="G55" s="2177"/>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c r="AH55" s="2177"/>
      <c r="AI55" s="2177"/>
      <c r="AJ55" s="2177"/>
      <c r="AK55" s="2177"/>
      <c r="AL55" s="2177"/>
      <c r="AM55" s="2177"/>
      <c r="AN55" s="2177"/>
      <c r="AO55" s="2177"/>
      <c r="AP55" s="2177"/>
      <c r="AQ55" s="2177"/>
      <c r="AR55" s="2177"/>
      <c r="AS55" s="2177"/>
      <c r="AT55" s="2177"/>
      <c r="AU55" s="2177"/>
      <c r="AV55" s="2177"/>
      <c r="AW55" s="2177"/>
      <c r="AX55" s="2177"/>
    </row>
    <row r="56" spans="1:50">
      <c r="A56" s="2177"/>
      <c r="B56" s="2177"/>
      <c r="C56" s="2197"/>
      <c r="D56" s="2202"/>
      <c r="E56" s="2163"/>
      <c r="F56" s="2191">
        <f t="shared" si="11"/>
        <v>0</v>
      </c>
      <c r="G56" s="2177"/>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c r="AH56" s="2177"/>
      <c r="AI56" s="2177"/>
      <c r="AJ56" s="2177"/>
      <c r="AK56" s="2177"/>
      <c r="AL56" s="2177"/>
      <c r="AM56" s="2177"/>
      <c r="AN56" s="2177"/>
      <c r="AO56" s="2177"/>
      <c r="AP56" s="2177"/>
      <c r="AQ56" s="2177"/>
      <c r="AR56" s="2177"/>
      <c r="AS56" s="2177"/>
      <c r="AT56" s="2177"/>
      <c r="AU56" s="2177"/>
      <c r="AV56" s="2177"/>
      <c r="AW56" s="2177"/>
      <c r="AX56" s="2177"/>
    </row>
    <row r="57" spans="1:50">
      <c r="A57" s="2177"/>
      <c r="B57" s="2177"/>
      <c r="C57" s="1952"/>
      <c r="D57" s="1958"/>
      <c r="E57" s="1955"/>
      <c r="F57" s="1958"/>
      <c r="G57" s="2177"/>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c r="AH57" s="2177"/>
      <c r="AI57" s="2177"/>
      <c r="AJ57" s="2177"/>
      <c r="AK57" s="2177"/>
      <c r="AL57" s="2177"/>
      <c r="AM57" s="2177"/>
      <c r="AN57" s="2177"/>
      <c r="AO57" s="2177"/>
      <c r="AP57" s="2177"/>
      <c r="AQ57" s="2177"/>
      <c r="AR57" s="2177"/>
      <c r="AS57" s="2177"/>
      <c r="AT57" s="2177"/>
      <c r="AU57" s="2177"/>
      <c r="AV57" s="2177"/>
      <c r="AW57" s="2177"/>
      <c r="AX57" s="2177"/>
    </row>
    <row r="58" spans="1:50">
      <c r="A58" s="2177"/>
      <c r="B58" s="2177"/>
      <c r="C58" s="2106" t="s">
        <v>52</v>
      </c>
      <c r="D58" s="2158">
        <f>SUM(D59:D62)</f>
        <v>4725</v>
      </c>
      <c r="E58" s="1926">
        <f>SUM(E59:E62)</f>
        <v>4725</v>
      </c>
      <c r="F58" s="2157">
        <f>D58+E58</f>
        <v>9450</v>
      </c>
      <c r="G58" s="2177"/>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c r="AH58" s="2177"/>
      <c r="AI58" s="2177"/>
      <c r="AJ58" s="2177"/>
      <c r="AK58" s="2177"/>
      <c r="AL58" s="2177"/>
      <c r="AM58" s="2177"/>
      <c r="AN58" s="2177"/>
      <c r="AO58" s="2177"/>
      <c r="AP58" s="2177"/>
      <c r="AQ58" s="2177"/>
      <c r="AR58" s="2177"/>
      <c r="AS58" s="2177"/>
      <c r="AT58" s="2177"/>
      <c r="AU58" s="2177"/>
      <c r="AV58" s="2177"/>
      <c r="AW58" s="2177"/>
      <c r="AX58" s="2177"/>
    </row>
    <row r="59" spans="1:50">
      <c r="A59" s="2177"/>
      <c r="B59" s="2177"/>
      <c r="C59" s="2197" t="s">
        <v>1276</v>
      </c>
      <c r="D59" s="2202">
        <v>4725</v>
      </c>
      <c r="E59" s="2203">
        <v>4725</v>
      </c>
      <c r="F59" s="2191">
        <f t="shared" si="11"/>
        <v>9450</v>
      </c>
      <c r="G59" s="2177"/>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c r="AH59" s="2177"/>
      <c r="AI59" s="2177"/>
      <c r="AJ59" s="2177"/>
      <c r="AK59" s="2177"/>
      <c r="AL59" s="2177"/>
      <c r="AM59" s="2177"/>
      <c r="AN59" s="2177"/>
      <c r="AO59" s="2177"/>
      <c r="AP59" s="2177"/>
      <c r="AQ59" s="2177"/>
      <c r="AR59" s="2177"/>
      <c r="AS59" s="2177"/>
      <c r="AT59" s="2177"/>
      <c r="AU59" s="2177"/>
      <c r="AV59" s="2177"/>
      <c r="AW59" s="2177"/>
      <c r="AX59" s="2177"/>
    </row>
    <row r="60" spans="1:50">
      <c r="A60" s="2177"/>
      <c r="B60" s="2177"/>
      <c r="C60" s="3154"/>
      <c r="D60" s="2202"/>
      <c r="E60" s="2203"/>
      <c r="F60" s="2191">
        <f t="shared" si="11"/>
        <v>0</v>
      </c>
      <c r="G60" s="2177"/>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c r="AH60" s="2177"/>
      <c r="AI60" s="2177"/>
      <c r="AJ60" s="2177"/>
      <c r="AK60" s="2177"/>
      <c r="AL60" s="2177"/>
      <c r="AM60" s="2177"/>
      <c r="AN60" s="2177"/>
      <c r="AO60" s="2177"/>
      <c r="AP60" s="2177"/>
      <c r="AQ60" s="2177"/>
      <c r="AR60" s="2177"/>
      <c r="AS60" s="2177"/>
      <c r="AT60" s="2177"/>
      <c r="AU60" s="2177"/>
      <c r="AV60" s="2177"/>
      <c r="AW60" s="2177"/>
      <c r="AX60" s="2177"/>
    </row>
    <row r="61" spans="1:50">
      <c r="A61" s="2177"/>
      <c r="B61" s="2177"/>
      <c r="C61" s="3154"/>
      <c r="D61" s="2202"/>
      <c r="E61" s="2203"/>
      <c r="F61" s="1890">
        <f t="shared" si="11"/>
        <v>0</v>
      </c>
      <c r="G61" s="2177"/>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c r="AH61" s="2177"/>
      <c r="AI61" s="2177"/>
      <c r="AJ61" s="2177"/>
      <c r="AK61" s="2177"/>
      <c r="AL61" s="2177"/>
      <c r="AM61" s="2177"/>
      <c r="AN61" s="2177"/>
      <c r="AO61" s="2177"/>
      <c r="AP61" s="2177"/>
      <c r="AQ61" s="2177"/>
      <c r="AR61" s="2177"/>
      <c r="AS61" s="2177"/>
      <c r="AT61" s="2177"/>
      <c r="AU61" s="2177"/>
      <c r="AV61" s="2177"/>
      <c r="AW61" s="2177"/>
      <c r="AX61" s="2177"/>
    </row>
    <row r="62" spans="1:50">
      <c r="A62" s="2177"/>
      <c r="B62" s="2177"/>
      <c r="C62" s="2197"/>
      <c r="D62" s="2202"/>
      <c r="E62" s="2203"/>
      <c r="F62" s="2191">
        <f t="shared" si="11"/>
        <v>0</v>
      </c>
      <c r="G62" s="2177"/>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c r="AH62" s="2177"/>
      <c r="AI62" s="2177"/>
      <c r="AJ62" s="2177"/>
      <c r="AK62" s="2177"/>
      <c r="AL62" s="2177"/>
      <c r="AM62" s="2177"/>
      <c r="AN62" s="2177"/>
      <c r="AO62" s="2177"/>
      <c r="AP62" s="2177"/>
      <c r="AQ62" s="2177"/>
      <c r="AR62" s="2177"/>
      <c r="AS62" s="2177"/>
      <c r="AT62" s="2177"/>
      <c r="AU62" s="2177"/>
      <c r="AV62" s="2177"/>
      <c r="AW62" s="2177"/>
      <c r="AX62" s="2177"/>
    </row>
    <row r="63" spans="1:50">
      <c r="A63" s="2177"/>
      <c r="B63" s="2177"/>
      <c r="C63" s="1952"/>
      <c r="D63" s="1958"/>
      <c r="E63" s="1955"/>
      <c r="F63" s="1958"/>
      <c r="G63" s="2177"/>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c r="AH63" s="2177"/>
      <c r="AI63" s="2177"/>
      <c r="AJ63" s="2177"/>
      <c r="AK63" s="2177"/>
      <c r="AL63" s="2177"/>
      <c r="AM63" s="2177"/>
      <c r="AN63" s="2177"/>
      <c r="AO63" s="2177"/>
      <c r="AP63" s="2177"/>
      <c r="AQ63" s="2177"/>
      <c r="AR63" s="2177"/>
      <c r="AS63" s="2177"/>
      <c r="AT63" s="2177"/>
      <c r="AU63" s="2177"/>
      <c r="AV63" s="2177"/>
      <c r="AW63" s="2177"/>
      <c r="AX63" s="2177"/>
    </row>
    <row r="64" spans="1:50" ht="25.5">
      <c r="A64" s="2945" t="s">
        <v>706</v>
      </c>
      <c r="B64" s="2177"/>
      <c r="C64" s="2106" t="s">
        <v>53</v>
      </c>
      <c r="D64" s="2158">
        <f>W15</f>
        <v>12549.1975</v>
      </c>
      <c r="E64" s="1926">
        <f>X15</f>
        <v>13277.1325</v>
      </c>
      <c r="F64" s="2157">
        <f>D64+E64</f>
        <v>25826.33</v>
      </c>
      <c r="G64" s="2177"/>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c r="AH64" s="2177"/>
      <c r="AI64" s="2177"/>
      <c r="AJ64" s="2177"/>
      <c r="AK64" s="2177"/>
      <c r="AL64" s="2177"/>
      <c r="AM64" s="2177"/>
      <c r="AN64" s="2177"/>
      <c r="AO64" s="2177"/>
      <c r="AP64" s="2177"/>
      <c r="AQ64" s="2177"/>
      <c r="AR64" s="2177"/>
      <c r="AS64" s="2177"/>
      <c r="AT64" s="2177"/>
      <c r="AU64" s="2177"/>
      <c r="AV64" s="2177"/>
      <c r="AW64" s="2177"/>
      <c r="AX64" s="2177"/>
    </row>
    <row r="65" spans="1:50">
      <c r="A65" s="2945" t="s">
        <v>278</v>
      </c>
      <c r="B65" s="2177"/>
      <c r="C65" s="1967" t="s">
        <v>313</v>
      </c>
      <c r="D65" s="1961"/>
      <c r="E65" s="1962"/>
      <c r="F65" s="1966"/>
      <c r="G65" s="2177"/>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c r="AH65" s="2177"/>
      <c r="AI65" s="2177"/>
      <c r="AJ65" s="2177"/>
      <c r="AK65" s="2177"/>
      <c r="AL65" s="2177"/>
      <c r="AM65" s="2177"/>
      <c r="AN65" s="2177"/>
      <c r="AO65" s="2177"/>
      <c r="AP65" s="2177"/>
      <c r="AQ65" s="2177"/>
      <c r="AR65" s="2177"/>
      <c r="AS65" s="2177"/>
      <c r="AT65" s="2177"/>
      <c r="AU65" s="2177"/>
      <c r="AV65" s="2177"/>
      <c r="AW65" s="2177"/>
      <c r="AX65" s="2177"/>
    </row>
    <row r="66" spans="1:50">
      <c r="A66" s="2945" t="s">
        <v>6</v>
      </c>
      <c r="B66" s="2177"/>
      <c r="C66" s="1968"/>
      <c r="D66" s="1963"/>
      <c r="E66" s="1964"/>
      <c r="F66" s="1965"/>
      <c r="G66" s="2177"/>
      <c r="H66" s="2177"/>
      <c r="I66" s="2177"/>
      <c r="J66" s="2177"/>
      <c r="K66" s="2177"/>
      <c r="L66" s="2177"/>
      <c r="M66" s="2177"/>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7"/>
      <c r="AI66" s="2177"/>
      <c r="AJ66" s="2177"/>
      <c r="AK66" s="2177"/>
      <c r="AL66" s="2177"/>
      <c r="AM66" s="2177"/>
      <c r="AN66" s="2177"/>
      <c r="AO66" s="2177"/>
      <c r="AP66" s="2177"/>
      <c r="AQ66" s="2177"/>
      <c r="AR66" s="2177"/>
      <c r="AS66" s="2177"/>
      <c r="AT66" s="2177"/>
      <c r="AU66" s="2177"/>
      <c r="AV66" s="2177"/>
      <c r="AW66" s="2177"/>
      <c r="AX66" s="2177"/>
    </row>
    <row r="67" spans="1:50">
      <c r="A67" s="2945">
        <v>18231022</v>
      </c>
      <c r="B67" s="2177"/>
      <c r="C67" s="1959" t="s">
        <v>54</v>
      </c>
      <c r="D67" s="2202">
        <v>0</v>
      </c>
      <c r="E67" s="2202">
        <v>0</v>
      </c>
      <c r="F67" s="1956">
        <v>0</v>
      </c>
      <c r="G67" s="2177"/>
      <c r="H67" s="2177"/>
      <c r="I67" s="2177"/>
      <c r="J67" s="2177"/>
      <c r="K67" s="2177"/>
      <c r="L67" s="2177"/>
      <c r="M67" s="2177"/>
      <c r="N67" s="2177"/>
      <c r="O67" s="2177"/>
      <c r="P67" s="2177"/>
      <c r="Q67" s="2177"/>
      <c r="R67" s="2177"/>
      <c r="S67" s="2177"/>
      <c r="T67" s="2177"/>
      <c r="U67" s="2177"/>
      <c r="V67" s="2177"/>
      <c r="W67" s="2177"/>
      <c r="X67" s="2177"/>
      <c r="Y67" s="2177"/>
      <c r="Z67" s="2177"/>
      <c r="AA67" s="2177"/>
      <c r="AB67" s="2177"/>
      <c r="AC67" s="2177"/>
      <c r="AD67" s="2177"/>
      <c r="AE67" s="2177"/>
      <c r="AF67" s="2177"/>
      <c r="AG67" s="2177"/>
      <c r="AH67" s="2177"/>
      <c r="AI67" s="2177"/>
      <c r="AJ67" s="2177"/>
      <c r="AK67" s="2177"/>
      <c r="AL67" s="2177"/>
      <c r="AM67" s="2177"/>
      <c r="AN67" s="2177"/>
      <c r="AO67" s="2177"/>
      <c r="AP67" s="2177"/>
      <c r="AQ67" s="2177"/>
      <c r="AR67" s="2177"/>
      <c r="AS67" s="2177"/>
      <c r="AT67" s="2177"/>
      <c r="AU67" s="2177"/>
      <c r="AV67" s="2177"/>
      <c r="AW67" s="2177"/>
      <c r="AX67" s="2177"/>
    </row>
    <row r="68" spans="1:50">
      <c r="A68" s="2945" t="s">
        <v>31</v>
      </c>
      <c r="B68" s="2177"/>
      <c r="C68" s="2177"/>
      <c r="D68" s="2177"/>
      <c r="E68" s="2193"/>
      <c r="F68" s="2177"/>
      <c r="G68" s="2177"/>
      <c r="H68" s="2177"/>
      <c r="I68" s="2177"/>
      <c r="J68" s="2177"/>
      <c r="K68" s="2177"/>
      <c r="L68" s="2177"/>
      <c r="M68" s="2177"/>
      <c r="N68" s="2177"/>
      <c r="O68" s="2177"/>
      <c r="P68" s="2177"/>
      <c r="Q68" s="2177"/>
      <c r="R68" s="2177"/>
      <c r="S68" s="2177"/>
      <c r="T68" s="2177"/>
      <c r="U68" s="2177"/>
      <c r="V68" s="2177"/>
      <c r="W68" s="2177"/>
      <c r="X68" s="2177"/>
      <c r="Y68" s="2177"/>
      <c r="Z68" s="2177"/>
      <c r="AA68" s="2177"/>
      <c r="AB68" s="2177"/>
      <c r="AC68" s="2177"/>
      <c r="AD68" s="2177"/>
      <c r="AE68" s="2177"/>
      <c r="AF68" s="2177"/>
      <c r="AG68" s="2177"/>
      <c r="AH68" s="2177"/>
      <c r="AI68" s="2177"/>
      <c r="AJ68" s="2177"/>
      <c r="AK68" s="2177"/>
      <c r="AL68" s="2177"/>
      <c r="AM68" s="2177"/>
      <c r="AN68" s="2177"/>
      <c r="AO68" s="2177"/>
      <c r="AP68" s="2177"/>
      <c r="AQ68" s="2177"/>
      <c r="AR68" s="2177"/>
      <c r="AS68" s="2177"/>
      <c r="AT68" s="2177"/>
      <c r="AU68" s="2177"/>
      <c r="AV68" s="2177"/>
      <c r="AW68" s="2177"/>
      <c r="AX68" s="2177"/>
    </row>
    <row r="69" spans="1:50">
      <c r="A69" s="2193"/>
      <c r="B69" s="2177"/>
      <c r="C69" s="2177"/>
      <c r="D69" s="2177"/>
      <c r="E69" s="2193"/>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2177"/>
      <c r="AN69" s="2177"/>
      <c r="AO69" s="2177"/>
      <c r="AP69" s="2177"/>
      <c r="AQ69" s="2177"/>
      <c r="AR69" s="2177"/>
      <c r="AS69" s="2177"/>
      <c r="AT69" s="2177"/>
      <c r="AU69" s="2177"/>
      <c r="AV69" s="2177"/>
      <c r="AW69" s="2177"/>
      <c r="AX69" s="2177"/>
    </row>
    <row r="70" spans="1:50">
      <c r="A70" s="2193"/>
      <c r="B70" s="2177"/>
      <c r="C70" s="2177"/>
      <c r="D70" s="2177"/>
      <c r="E70" s="2193"/>
      <c r="F70" s="2177"/>
      <c r="G70" s="2177"/>
      <c r="H70" s="2177"/>
      <c r="I70" s="2177"/>
      <c r="J70" s="2177"/>
      <c r="K70" s="2177"/>
      <c r="L70" s="2177"/>
      <c r="M70" s="2177"/>
      <c r="N70" s="2177"/>
      <c r="O70" s="2177"/>
      <c r="P70" s="2177"/>
      <c r="Q70" s="2177"/>
      <c r="R70" s="2177"/>
      <c r="S70" s="2177"/>
      <c r="T70" s="2177"/>
      <c r="U70" s="2177"/>
      <c r="V70" s="2177"/>
      <c r="W70" s="2177"/>
      <c r="X70" s="2177"/>
      <c r="Y70" s="2177"/>
      <c r="Z70" s="2177"/>
      <c r="AA70" s="2177"/>
      <c r="AB70" s="2177"/>
      <c r="AC70" s="2177"/>
      <c r="AD70" s="2177"/>
      <c r="AE70" s="2177"/>
      <c r="AF70" s="2177"/>
      <c r="AG70" s="2177"/>
      <c r="AH70" s="2177"/>
      <c r="AI70" s="2177"/>
      <c r="AJ70" s="2177"/>
      <c r="AK70" s="2177"/>
      <c r="AL70" s="2177"/>
      <c r="AM70" s="2177"/>
      <c r="AN70" s="2177"/>
      <c r="AO70" s="2177"/>
      <c r="AP70" s="2177"/>
      <c r="AQ70" s="2177"/>
      <c r="AR70" s="2177"/>
      <c r="AS70" s="2177"/>
      <c r="AT70" s="2177"/>
      <c r="AU70" s="2177"/>
      <c r="AV70" s="2177"/>
      <c r="AW70" s="2177"/>
      <c r="AX70" s="2177"/>
    </row>
    <row r="71" spans="1:50">
      <c r="A71" s="2177"/>
      <c r="B71" s="2177"/>
      <c r="C71" s="2177"/>
      <c r="D71" s="2177"/>
      <c r="E71" s="2193"/>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2177"/>
      <c r="AB71" s="2177"/>
      <c r="AC71" s="2177"/>
      <c r="AD71" s="2177"/>
      <c r="AE71" s="2177"/>
      <c r="AF71" s="2177"/>
      <c r="AG71" s="2177"/>
      <c r="AH71" s="2177"/>
      <c r="AI71" s="2177"/>
      <c r="AJ71" s="2177"/>
      <c r="AK71" s="2177"/>
      <c r="AL71" s="2177"/>
      <c r="AM71" s="2177"/>
      <c r="AN71" s="2177"/>
      <c r="AO71" s="2177"/>
      <c r="AP71" s="2177"/>
      <c r="AQ71" s="2177"/>
      <c r="AR71" s="2177"/>
      <c r="AS71" s="2177"/>
      <c r="AT71" s="2177"/>
      <c r="AU71" s="2177"/>
      <c r="AV71" s="2177"/>
      <c r="AW71" s="2177"/>
      <c r="AX71" s="2177"/>
    </row>
    <row r="72" spans="1:50">
      <c r="A72" s="2177"/>
      <c r="B72" s="2177"/>
      <c r="C72" s="2177"/>
      <c r="D72" s="2177"/>
      <c r="E72" s="2193"/>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2177"/>
      <c r="AB72" s="2177"/>
      <c r="AC72" s="2177"/>
      <c r="AD72" s="2177"/>
      <c r="AE72" s="2177"/>
      <c r="AF72" s="2177"/>
      <c r="AG72" s="2177"/>
      <c r="AH72" s="2177"/>
      <c r="AI72" s="2177"/>
      <c r="AJ72" s="2177"/>
      <c r="AK72" s="2177"/>
      <c r="AL72" s="2177"/>
      <c r="AM72" s="2177"/>
      <c r="AN72" s="2177"/>
      <c r="AO72" s="2177"/>
      <c r="AP72" s="2177"/>
      <c r="AQ72" s="2177"/>
      <c r="AR72" s="2177"/>
      <c r="AS72" s="2177"/>
      <c r="AT72" s="2177"/>
      <c r="AU72" s="2177"/>
      <c r="AV72" s="2177"/>
      <c r="AW72" s="2177"/>
      <c r="AX72" s="2177"/>
    </row>
    <row r="73" spans="1:50">
      <c r="A73" s="2177"/>
      <c r="B73" s="2177"/>
      <c r="C73" s="2177"/>
      <c r="D73" s="2177"/>
      <c r="E73" s="2193"/>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2177"/>
      <c r="AB73" s="2177"/>
      <c r="AC73" s="2177"/>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row>
    <row r="74" spans="1:50">
      <c r="A74" s="2177"/>
      <c r="B74" s="2177"/>
      <c r="C74" s="2177"/>
      <c r="D74" s="2177"/>
      <c r="E74" s="2193"/>
      <c r="F74" s="2177"/>
      <c r="G74" s="2177"/>
      <c r="H74" s="2177"/>
      <c r="I74" s="2177"/>
      <c r="J74" s="2177"/>
      <c r="K74" s="2177"/>
      <c r="L74" s="2177"/>
      <c r="M74" s="2177"/>
      <c r="N74" s="2177"/>
      <c r="O74" s="2177"/>
      <c r="P74" s="2177"/>
      <c r="Q74" s="2177"/>
      <c r="R74" s="2177"/>
      <c r="S74" s="2177"/>
      <c r="T74" s="2177"/>
      <c r="U74" s="2177"/>
      <c r="V74" s="2177"/>
      <c r="W74" s="2177"/>
      <c r="X74" s="2177"/>
      <c r="Y74" s="2177"/>
      <c r="Z74" s="2177"/>
      <c r="AA74" s="2177"/>
      <c r="AB74" s="2177"/>
      <c r="AC74" s="2177"/>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row>
    <row r="75" spans="1:50">
      <c r="A75" s="2177"/>
      <c r="B75" s="2177"/>
      <c r="C75" s="2177"/>
      <c r="D75" s="2177"/>
      <c r="E75" s="2193"/>
      <c r="F75" s="2177"/>
      <c r="G75" s="2177"/>
      <c r="H75" s="2177"/>
      <c r="I75" s="2177"/>
      <c r="J75" s="2177"/>
      <c r="K75" s="2177"/>
      <c r="L75" s="2177"/>
      <c r="M75" s="2177"/>
      <c r="N75" s="2177"/>
      <c r="O75" s="2177"/>
      <c r="P75" s="2177"/>
      <c r="Q75" s="2177"/>
      <c r="R75" s="2177"/>
      <c r="S75" s="2177"/>
      <c r="T75" s="2177"/>
      <c r="U75" s="2177"/>
      <c r="V75" s="2177"/>
      <c r="W75" s="2177"/>
      <c r="X75" s="2177"/>
      <c r="Y75" s="2177"/>
      <c r="Z75" s="2177"/>
      <c r="AA75" s="2177"/>
      <c r="AB75" s="2177"/>
      <c r="AC75" s="2177"/>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row>
    <row r="76" spans="1:50">
      <c r="A76" s="2177"/>
      <c r="B76" s="2177"/>
      <c r="C76" s="2177"/>
      <c r="D76" s="2177"/>
      <c r="E76" s="2193"/>
      <c r="F76" s="2177"/>
      <c r="G76" s="2177"/>
      <c r="H76" s="2177"/>
      <c r="I76" s="2177"/>
      <c r="J76" s="2177"/>
      <c r="K76" s="2177"/>
      <c r="L76" s="2177"/>
      <c r="M76" s="2177"/>
      <c r="N76" s="2177"/>
      <c r="O76" s="2177"/>
      <c r="P76" s="2177"/>
      <c r="Q76" s="2177"/>
      <c r="R76" s="2177"/>
      <c r="S76" s="2177"/>
      <c r="T76" s="2177"/>
      <c r="U76" s="2177"/>
      <c r="V76" s="2177"/>
      <c r="W76" s="2177"/>
      <c r="X76" s="2177"/>
      <c r="Y76" s="2177"/>
      <c r="Z76" s="2177"/>
      <c r="AA76" s="2177"/>
      <c r="AB76" s="2177"/>
      <c r="AC76" s="2177"/>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row>
    <row r="77" spans="1:50">
      <c r="A77" s="2177"/>
      <c r="B77" s="2177"/>
      <c r="C77" s="2177"/>
      <c r="D77" s="2177"/>
      <c r="E77" s="2193"/>
      <c r="F77" s="2177"/>
      <c r="G77" s="2177"/>
      <c r="H77" s="2177"/>
      <c r="I77" s="2177"/>
      <c r="J77" s="2177"/>
      <c r="K77" s="2177"/>
      <c r="L77" s="2177"/>
      <c r="M77" s="2177"/>
      <c r="N77" s="2177"/>
      <c r="O77" s="2177"/>
      <c r="P77" s="2177"/>
      <c r="Q77" s="2177"/>
      <c r="R77" s="2177"/>
      <c r="S77" s="2177"/>
      <c r="T77" s="2177"/>
      <c r="U77" s="2177"/>
      <c r="V77" s="2177"/>
      <c r="W77" s="2177"/>
      <c r="X77" s="2177"/>
      <c r="Y77" s="2177"/>
      <c r="Z77" s="2177"/>
      <c r="AA77" s="2177"/>
      <c r="AB77" s="2177"/>
      <c r="AC77" s="2177"/>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row>
    <row r="78" spans="1:50">
      <c r="A78" s="2177"/>
      <c r="B78" s="2177"/>
      <c r="C78" s="2177"/>
      <c r="D78" s="2177"/>
      <c r="E78" s="2193"/>
      <c r="F78" s="2177"/>
      <c r="G78" s="2177"/>
      <c r="H78" s="2177"/>
      <c r="I78" s="2177"/>
      <c r="J78" s="2177"/>
      <c r="K78" s="2177"/>
      <c r="L78" s="2177"/>
      <c r="M78" s="2177"/>
      <c r="N78" s="2177"/>
      <c r="O78" s="2177"/>
      <c r="P78" s="2177"/>
      <c r="Q78" s="2177"/>
      <c r="R78" s="2177"/>
      <c r="S78" s="2177"/>
      <c r="T78" s="2177"/>
      <c r="U78" s="2177"/>
      <c r="V78" s="2177"/>
      <c r="W78" s="2177"/>
      <c r="X78" s="2177"/>
      <c r="Y78" s="2177"/>
      <c r="Z78" s="2177"/>
      <c r="AA78" s="2177"/>
      <c r="AB78" s="2177"/>
      <c r="AC78" s="2177"/>
      <c r="AD78" s="2177"/>
      <c r="AE78" s="2177"/>
      <c r="AF78" s="2177"/>
      <c r="AG78" s="2177"/>
      <c r="AH78" s="2177"/>
      <c r="AI78" s="2177"/>
      <c r="AJ78" s="2177"/>
      <c r="AK78" s="2177"/>
      <c r="AL78" s="2177"/>
      <c r="AM78" s="2177"/>
      <c r="AN78" s="2177"/>
      <c r="AO78" s="2177"/>
      <c r="AP78" s="2177"/>
      <c r="AQ78" s="2177"/>
      <c r="AR78" s="2177"/>
      <c r="AS78" s="2177"/>
      <c r="AT78" s="2177"/>
      <c r="AU78" s="2177"/>
      <c r="AV78" s="2177"/>
      <c r="AW78" s="2177"/>
      <c r="AX78" s="2177"/>
    </row>
    <row r="79" spans="1:50">
      <c r="A79" s="2177"/>
      <c r="B79" s="2177"/>
      <c r="C79" s="2177"/>
      <c r="D79" s="2177"/>
      <c r="E79" s="2193"/>
      <c r="F79" s="2177"/>
      <c r="G79" s="2177"/>
      <c r="H79" s="2177"/>
      <c r="I79" s="2177"/>
      <c r="J79" s="2177"/>
      <c r="K79" s="2177"/>
      <c r="L79" s="2177"/>
      <c r="M79" s="2177"/>
      <c r="N79" s="2177"/>
      <c r="O79" s="2177"/>
      <c r="P79" s="2177"/>
      <c r="Q79" s="2177"/>
      <c r="R79" s="2177"/>
      <c r="S79" s="2177"/>
      <c r="T79" s="2177"/>
      <c r="U79" s="2177"/>
      <c r="V79" s="2177"/>
      <c r="W79" s="2177"/>
      <c r="X79" s="2177"/>
      <c r="Y79" s="2177"/>
      <c r="Z79" s="2177"/>
      <c r="AA79" s="2177"/>
      <c r="AB79" s="2177"/>
      <c r="AC79" s="2177"/>
      <c r="AD79" s="2177"/>
      <c r="AE79" s="2177"/>
      <c r="AF79" s="2177"/>
      <c r="AG79" s="2177"/>
      <c r="AH79" s="2177"/>
      <c r="AI79" s="2177"/>
      <c r="AJ79" s="2177"/>
      <c r="AK79" s="2177"/>
      <c r="AL79" s="2177"/>
      <c r="AM79" s="2177"/>
      <c r="AN79" s="2177"/>
      <c r="AO79" s="2177"/>
      <c r="AP79" s="2177"/>
      <c r="AQ79" s="2177"/>
      <c r="AR79" s="2177"/>
      <c r="AS79" s="2177"/>
      <c r="AT79" s="2177"/>
      <c r="AU79" s="2177"/>
      <c r="AV79" s="2177"/>
      <c r="AW79" s="2177"/>
      <c r="AX79" s="2177"/>
    </row>
    <row r="80" spans="1:50">
      <c r="A80" s="2177"/>
      <c r="B80" s="2177"/>
      <c r="C80" s="2177"/>
      <c r="D80" s="2177"/>
      <c r="E80" s="2193"/>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row>
    <row r="81" spans="1:50">
      <c r="A81" s="2177"/>
      <c r="B81" s="2177"/>
      <c r="C81" s="2177"/>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row>
    <row r="82" spans="1:50">
      <c r="A82" s="2177"/>
      <c r="B82" s="2177"/>
      <c r="C82" s="2177"/>
      <c r="D82" s="2177"/>
      <c r="E82" s="2177"/>
      <c r="F82" s="2177"/>
      <c r="G82" s="2177"/>
      <c r="H82" s="2177"/>
      <c r="I82" s="2177"/>
      <c r="J82" s="2177"/>
      <c r="K82" s="2177"/>
      <c r="L82" s="2177"/>
      <c r="M82" s="2177"/>
      <c r="N82" s="2177"/>
      <c r="O82" s="2177"/>
      <c r="P82" s="2177"/>
      <c r="Q82" s="2177"/>
      <c r="R82" s="2177"/>
      <c r="S82" s="2177"/>
      <c r="T82" s="2177"/>
      <c r="U82" s="2177"/>
      <c r="V82" s="2177"/>
      <c r="W82" s="2177"/>
      <c r="X82" s="2177"/>
      <c r="Y82" s="2177"/>
      <c r="Z82" s="2177"/>
      <c r="AA82" s="2177"/>
      <c r="AB82" s="2177"/>
      <c r="AC82" s="2177"/>
      <c r="AD82" s="2177"/>
      <c r="AE82" s="2177"/>
      <c r="AF82" s="2177"/>
      <c r="AG82" s="2177"/>
      <c r="AH82" s="2177"/>
      <c r="AI82" s="2177"/>
      <c r="AJ82" s="2177"/>
      <c r="AK82" s="2177"/>
      <c r="AL82" s="2177"/>
      <c r="AM82" s="2177"/>
      <c r="AN82" s="2177"/>
      <c r="AO82" s="2177"/>
      <c r="AP82" s="2177"/>
      <c r="AQ82" s="2177"/>
      <c r="AR82" s="2177"/>
      <c r="AS82" s="2177"/>
      <c r="AT82" s="2177"/>
      <c r="AU82" s="2177"/>
      <c r="AV82" s="2177"/>
      <c r="AW82" s="2177"/>
      <c r="AX82" s="2177"/>
    </row>
    <row r="83" spans="1:50">
      <c r="A83" s="2177"/>
      <c r="B83" s="2177"/>
      <c r="C83" s="2177"/>
      <c r="D83" s="2177"/>
      <c r="E83" s="2177"/>
      <c r="F83" s="2177"/>
      <c r="G83" s="2177"/>
      <c r="H83" s="2177"/>
      <c r="I83" s="2177"/>
      <c r="J83" s="2177"/>
      <c r="K83" s="2177"/>
      <c r="L83" s="2177"/>
      <c r="M83" s="2177"/>
      <c r="N83" s="2177"/>
      <c r="O83" s="2177"/>
      <c r="P83" s="2177"/>
      <c r="Q83" s="2177"/>
      <c r="R83" s="2177"/>
      <c r="S83" s="2177"/>
      <c r="T83" s="2177"/>
      <c r="U83" s="2177"/>
      <c r="V83" s="2177"/>
      <c r="W83" s="2177"/>
      <c r="X83" s="2177"/>
      <c r="Y83" s="2177"/>
      <c r="Z83" s="2177"/>
      <c r="AA83" s="2177"/>
      <c r="AB83" s="2177"/>
      <c r="AC83" s="2177"/>
      <c r="AD83" s="2177"/>
      <c r="AE83" s="2177"/>
      <c r="AF83" s="2177"/>
      <c r="AG83" s="2177"/>
      <c r="AH83" s="2177"/>
      <c r="AI83" s="2177"/>
      <c r="AJ83" s="2177"/>
      <c r="AK83" s="2177"/>
      <c r="AL83" s="2177"/>
      <c r="AM83" s="2177"/>
      <c r="AN83" s="2177"/>
      <c r="AO83" s="2177"/>
      <c r="AP83" s="2177"/>
      <c r="AQ83" s="2177"/>
      <c r="AR83" s="2177"/>
      <c r="AS83" s="2177"/>
      <c r="AT83" s="2177"/>
      <c r="AU83" s="2177"/>
      <c r="AV83" s="2177"/>
      <c r="AW83" s="2177"/>
      <c r="AX83" s="2177"/>
    </row>
    <row r="84" spans="1:50">
      <c r="A84" s="2177"/>
      <c r="B84" s="2177"/>
      <c r="C84" s="2177"/>
      <c r="D84" s="2177"/>
      <c r="E84" s="2177"/>
      <c r="F84" s="2177"/>
      <c r="G84" s="2177"/>
      <c r="H84" s="2177"/>
      <c r="I84" s="2177"/>
      <c r="J84" s="2177"/>
      <c r="K84" s="2177"/>
      <c r="L84" s="2177"/>
      <c r="M84" s="2177"/>
      <c r="N84" s="2177"/>
      <c r="O84" s="2177"/>
      <c r="P84" s="2177"/>
      <c r="Q84" s="2177"/>
      <c r="R84" s="2177"/>
      <c r="S84" s="2177"/>
      <c r="T84" s="2177"/>
      <c r="U84" s="2177"/>
      <c r="V84" s="2177"/>
      <c r="W84" s="2177"/>
      <c r="X84" s="2177"/>
      <c r="Y84" s="2177"/>
      <c r="Z84" s="2177"/>
      <c r="AA84" s="2177"/>
      <c r="AB84" s="2177"/>
      <c r="AC84" s="2177"/>
      <c r="AD84" s="2177"/>
      <c r="AE84" s="2177"/>
      <c r="AF84" s="2177"/>
      <c r="AG84" s="2177"/>
      <c r="AH84" s="2177"/>
      <c r="AI84" s="2177"/>
      <c r="AJ84" s="2177"/>
      <c r="AK84" s="2177"/>
      <c r="AL84" s="2177"/>
      <c r="AM84" s="2177"/>
      <c r="AN84" s="2177"/>
      <c r="AO84" s="2177"/>
      <c r="AP84" s="2177"/>
      <c r="AQ84" s="2177"/>
      <c r="AR84" s="2177"/>
      <c r="AS84" s="2177"/>
      <c r="AT84" s="2177"/>
      <c r="AU84" s="2177"/>
      <c r="AV84" s="2177"/>
      <c r="AW84" s="2177"/>
      <c r="AX84" s="2177"/>
    </row>
    <row r="85" spans="1:50">
      <c r="A85" s="2177"/>
      <c r="B85" s="2177"/>
      <c r="C85" s="2177"/>
      <c r="D85" s="2177"/>
      <c r="E85" s="2177"/>
      <c r="F85" s="2177"/>
      <c r="G85" s="2177"/>
      <c r="H85" s="2177"/>
      <c r="I85" s="2177"/>
      <c r="J85" s="2177"/>
      <c r="K85" s="2177"/>
      <c r="L85" s="2177"/>
      <c r="M85" s="2177"/>
      <c r="N85" s="2177"/>
      <c r="O85" s="2177"/>
      <c r="P85" s="2177"/>
      <c r="Q85" s="2177"/>
      <c r="R85" s="2177"/>
      <c r="S85" s="2177"/>
      <c r="T85" s="2177"/>
      <c r="U85" s="2177"/>
      <c r="V85" s="2177"/>
      <c r="W85" s="2177"/>
      <c r="X85" s="2177"/>
      <c r="Y85" s="2177"/>
      <c r="Z85" s="2177"/>
      <c r="AA85" s="2177"/>
      <c r="AB85" s="2177"/>
      <c r="AC85" s="2177"/>
      <c r="AD85" s="2177"/>
      <c r="AE85" s="2177"/>
      <c r="AF85" s="2177"/>
      <c r="AG85" s="2177"/>
      <c r="AH85" s="2177"/>
      <c r="AI85" s="2177"/>
      <c r="AJ85" s="2177"/>
      <c r="AK85" s="2177"/>
      <c r="AL85" s="2177"/>
      <c r="AM85" s="2177"/>
      <c r="AN85" s="2177"/>
      <c r="AO85" s="2177"/>
      <c r="AP85" s="2177"/>
      <c r="AQ85" s="2177"/>
      <c r="AR85" s="2177"/>
      <c r="AS85" s="2177"/>
      <c r="AT85" s="2177"/>
      <c r="AU85" s="2177"/>
      <c r="AV85" s="2177"/>
      <c r="AW85" s="2177"/>
      <c r="AX85" s="2177"/>
    </row>
    <row r="86" spans="1:50">
      <c r="A86" s="2177"/>
      <c r="B86" s="2177"/>
      <c r="C86" s="2177"/>
      <c r="D86" s="2177"/>
      <c r="E86" s="2177"/>
      <c r="F86" s="2177"/>
      <c r="G86" s="2177"/>
      <c r="H86" s="2177"/>
      <c r="I86" s="2177"/>
      <c r="J86" s="2177"/>
      <c r="K86" s="2177"/>
      <c r="L86" s="2177"/>
      <c r="M86" s="2177"/>
      <c r="N86" s="2177"/>
      <c r="O86" s="2177"/>
      <c r="P86" s="2177"/>
      <c r="Q86" s="2177"/>
      <c r="R86" s="2177"/>
      <c r="S86" s="2177"/>
      <c r="T86" s="2177"/>
      <c r="U86" s="2177"/>
      <c r="V86" s="2177"/>
      <c r="W86" s="2177"/>
      <c r="X86" s="2177"/>
      <c r="Y86" s="2177"/>
      <c r="Z86" s="2177"/>
      <c r="AA86" s="2177"/>
      <c r="AB86" s="2177"/>
      <c r="AC86" s="2177"/>
      <c r="AD86" s="2177"/>
      <c r="AE86" s="2177"/>
      <c r="AF86" s="2177"/>
      <c r="AG86" s="2177"/>
      <c r="AH86" s="2177"/>
      <c r="AI86" s="2177"/>
      <c r="AJ86" s="2177"/>
      <c r="AK86" s="2177"/>
      <c r="AL86" s="2177"/>
      <c r="AM86" s="2177"/>
      <c r="AN86" s="2177"/>
      <c r="AO86" s="2177"/>
      <c r="AP86" s="2177"/>
      <c r="AQ86" s="2177"/>
      <c r="AR86" s="2177"/>
      <c r="AS86" s="2177"/>
      <c r="AT86" s="2177"/>
      <c r="AU86" s="2177"/>
      <c r="AV86" s="2177"/>
      <c r="AW86" s="2177"/>
      <c r="AX86" s="2177"/>
    </row>
    <row r="87" spans="1:50">
      <c r="A87" s="2177"/>
      <c r="B87" s="2177"/>
      <c r="C87" s="2177"/>
      <c r="D87" s="2177"/>
      <c r="E87" s="2177"/>
      <c r="F87" s="2177"/>
      <c r="G87" s="2177"/>
      <c r="H87" s="2177"/>
      <c r="I87" s="2177"/>
      <c r="J87" s="2177"/>
      <c r="K87" s="2177"/>
      <c r="L87" s="2177"/>
      <c r="M87" s="2177"/>
      <c r="N87" s="2177"/>
      <c r="O87" s="2177"/>
      <c r="P87" s="2177"/>
      <c r="Q87" s="2177"/>
      <c r="R87" s="2177"/>
      <c r="S87" s="2177"/>
      <c r="T87" s="2177"/>
      <c r="U87" s="2177"/>
      <c r="V87" s="2177"/>
      <c r="W87" s="2177"/>
      <c r="X87" s="2177"/>
      <c r="Y87" s="2177"/>
      <c r="Z87" s="2177"/>
      <c r="AA87" s="2177"/>
      <c r="AB87" s="2177"/>
      <c r="AC87" s="2177"/>
      <c r="AD87" s="2177"/>
      <c r="AE87" s="2177"/>
      <c r="AF87" s="2177"/>
      <c r="AG87" s="2177"/>
      <c r="AH87" s="2177"/>
      <c r="AI87" s="2177"/>
      <c r="AJ87" s="2177"/>
      <c r="AK87" s="2177"/>
      <c r="AL87" s="2177"/>
      <c r="AM87" s="2177"/>
      <c r="AN87" s="2177"/>
      <c r="AO87" s="2177"/>
      <c r="AP87" s="2177"/>
      <c r="AQ87" s="2177"/>
      <c r="AR87" s="2177"/>
      <c r="AS87" s="2177"/>
      <c r="AT87" s="2177"/>
      <c r="AU87" s="2177"/>
      <c r="AV87" s="2177"/>
      <c r="AW87" s="2177"/>
      <c r="AX87" s="2177"/>
    </row>
    <row r="88" spans="1:50">
      <c r="A88" s="2177"/>
      <c r="B88" s="2177"/>
      <c r="C88" s="2177"/>
      <c r="D88" s="2177"/>
      <c r="E88" s="2177"/>
      <c r="F88" s="2177"/>
      <c r="G88" s="2177"/>
      <c r="H88" s="2177"/>
      <c r="I88" s="2177"/>
      <c r="J88" s="2177"/>
      <c r="K88" s="2177"/>
      <c r="L88" s="2177"/>
      <c r="M88" s="2177"/>
      <c r="N88" s="2177"/>
      <c r="O88" s="2177"/>
      <c r="P88" s="2177"/>
      <c r="Q88" s="2177"/>
      <c r="R88" s="2177"/>
      <c r="S88" s="2177"/>
      <c r="T88" s="2177"/>
      <c r="U88" s="2177"/>
      <c r="V88" s="2177"/>
      <c r="W88" s="2177"/>
      <c r="X88" s="2177"/>
      <c r="Y88" s="2177"/>
      <c r="Z88" s="2177"/>
      <c r="AA88" s="2177"/>
      <c r="AB88" s="2177"/>
      <c r="AC88" s="2177"/>
      <c r="AD88" s="2177"/>
      <c r="AE88" s="2177"/>
      <c r="AF88" s="2177"/>
      <c r="AG88" s="2177"/>
      <c r="AH88" s="2177"/>
      <c r="AI88" s="2177"/>
      <c r="AJ88" s="2177"/>
      <c r="AK88" s="2177"/>
      <c r="AL88" s="2177"/>
      <c r="AM88" s="2177"/>
      <c r="AN88" s="2177"/>
      <c r="AO88" s="2177"/>
      <c r="AP88" s="2177"/>
      <c r="AQ88" s="2177"/>
      <c r="AR88" s="2177"/>
      <c r="AS88" s="2177"/>
      <c r="AT88" s="2177"/>
      <c r="AU88" s="2177"/>
      <c r="AV88" s="2177"/>
      <c r="AW88" s="2177"/>
      <c r="AX88" s="2177"/>
    </row>
    <row r="89" spans="1:50">
      <c r="A89" s="2177"/>
      <c r="B89" s="2177"/>
      <c r="C89" s="2177"/>
      <c r="D89" s="2177"/>
      <c r="E89" s="2177"/>
      <c r="F89" s="2177"/>
      <c r="G89" s="2177"/>
      <c r="H89" s="2177"/>
      <c r="I89" s="2177"/>
      <c r="J89" s="2177"/>
      <c r="K89" s="2177"/>
      <c r="L89" s="2177"/>
      <c r="M89" s="2177"/>
      <c r="N89" s="2177"/>
      <c r="O89" s="2177"/>
      <c r="P89" s="2177"/>
      <c r="Q89" s="2177"/>
      <c r="R89" s="2177"/>
      <c r="S89" s="2177"/>
      <c r="T89" s="2177"/>
      <c r="U89" s="2177"/>
      <c r="V89" s="2177"/>
      <c r="W89" s="2177"/>
      <c r="X89" s="2177"/>
      <c r="Y89" s="2177"/>
      <c r="Z89" s="2177"/>
      <c r="AA89" s="2177"/>
      <c r="AB89" s="2177"/>
      <c r="AC89" s="2177"/>
      <c r="AD89" s="2177"/>
      <c r="AE89" s="2177"/>
      <c r="AF89" s="2177"/>
      <c r="AG89" s="2177"/>
      <c r="AH89" s="2177"/>
      <c r="AI89" s="2177"/>
      <c r="AJ89" s="2177"/>
      <c r="AK89" s="2177"/>
      <c r="AL89" s="2177"/>
      <c r="AM89" s="2177"/>
      <c r="AN89" s="2177"/>
      <c r="AO89" s="2177"/>
      <c r="AP89" s="2177"/>
      <c r="AQ89" s="2177"/>
      <c r="AR89" s="2177"/>
      <c r="AS89" s="2177"/>
      <c r="AT89" s="2177"/>
      <c r="AU89" s="2177"/>
      <c r="AV89" s="2177"/>
      <c r="AW89" s="2177"/>
      <c r="AX89" s="2177"/>
    </row>
    <row r="90" spans="1:50">
      <c r="A90" s="2177"/>
      <c r="B90" s="2177"/>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c r="AB90" s="2177"/>
      <c r="AC90" s="2177"/>
      <c r="AD90" s="2177"/>
      <c r="AE90" s="2177"/>
      <c r="AF90" s="2177"/>
      <c r="AG90" s="2177"/>
      <c r="AH90" s="2177"/>
      <c r="AI90" s="2177"/>
      <c r="AJ90" s="2177"/>
      <c r="AK90" s="2177"/>
      <c r="AL90" s="2177"/>
      <c r="AM90" s="2177"/>
      <c r="AN90" s="2177"/>
      <c r="AO90" s="2177"/>
      <c r="AP90" s="2177"/>
      <c r="AQ90" s="2177"/>
      <c r="AR90" s="2177"/>
      <c r="AS90" s="2177"/>
      <c r="AT90" s="2177"/>
      <c r="AU90" s="2177"/>
      <c r="AV90" s="2177"/>
      <c r="AW90" s="2177"/>
      <c r="AX90" s="2177"/>
    </row>
    <row r="91" spans="1:50">
      <c r="A91" s="2177"/>
      <c r="B91" s="2177"/>
      <c r="C91" s="2177"/>
      <c r="D91" s="2177"/>
      <c r="E91" s="2177"/>
      <c r="F91" s="2177"/>
      <c r="G91" s="2177"/>
      <c r="H91" s="2177"/>
      <c r="I91" s="2177"/>
      <c r="J91" s="2177"/>
      <c r="K91" s="2177"/>
      <c r="L91" s="2177"/>
      <c r="M91" s="2177"/>
      <c r="N91" s="2177"/>
      <c r="O91" s="2177"/>
      <c r="P91" s="2177"/>
      <c r="Q91" s="2177"/>
      <c r="R91" s="2177"/>
      <c r="S91" s="2177"/>
      <c r="T91" s="2177"/>
      <c r="U91" s="2177"/>
      <c r="V91" s="2177"/>
      <c r="W91" s="2177"/>
      <c r="X91" s="2177"/>
      <c r="Y91" s="2177"/>
      <c r="Z91" s="2177"/>
      <c r="AA91" s="2177"/>
      <c r="AB91" s="2177"/>
      <c r="AC91" s="2177"/>
      <c r="AD91" s="2177"/>
      <c r="AE91" s="2177"/>
      <c r="AF91" s="2177"/>
      <c r="AG91" s="2177"/>
      <c r="AH91" s="2177"/>
      <c r="AI91" s="2177"/>
      <c r="AJ91" s="2177"/>
      <c r="AK91" s="2177"/>
      <c r="AL91" s="2177"/>
      <c r="AM91" s="2177"/>
      <c r="AN91" s="2177"/>
      <c r="AO91" s="2177"/>
      <c r="AP91" s="2177"/>
      <c r="AQ91" s="2177"/>
      <c r="AR91" s="2177"/>
      <c r="AS91" s="2177"/>
      <c r="AT91" s="2177"/>
      <c r="AU91" s="2177"/>
      <c r="AV91" s="2177"/>
      <c r="AW91" s="2177"/>
      <c r="AX91" s="2177"/>
    </row>
    <row r="92" spans="1:50">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c r="AA92" s="2177"/>
      <c r="AB92" s="2177"/>
      <c r="AC92" s="2177"/>
      <c r="AD92" s="2177"/>
      <c r="AE92" s="2177"/>
      <c r="AF92" s="2177"/>
      <c r="AG92" s="2177"/>
      <c r="AH92" s="2177"/>
      <c r="AI92" s="2177"/>
      <c r="AJ92" s="2177"/>
      <c r="AK92" s="2177"/>
      <c r="AL92" s="2177"/>
      <c r="AM92" s="2177"/>
      <c r="AN92" s="2177"/>
      <c r="AO92" s="2177"/>
      <c r="AP92" s="2177"/>
      <c r="AQ92" s="2177"/>
      <c r="AR92" s="2177"/>
      <c r="AS92" s="2177"/>
      <c r="AT92" s="2177"/>
      <c r="AU92" s="2177"/>
      <c r="AV92" s="2177"/>
      <c r="AW92" s="2177"/>
      <c r="AX92" s="2177"/>
    </row>
    <row r="93" spans="1:50">
      <c r="A93" s="2177"/>
      <c r="B93" s="2177"/>
      <c r="C93" s="2177"/>
      <c r="D93" s="2177"/>
      <c r="E93" s="2177"/>
      <c r="F93" s="2177"/>
      <c r="G93" s="2177"/>
      <c r="H93" s="2177"/>
      <c r="I93" s="2177"/>
      <c r="J93" s="2177"/>
      <c r="K93" s="2177"/>
      <c r="L93" s="2177"/>
      <c r="M93" s="2177"/>
      <c r="N93" s="2177"/>
      <c r="O93" s="2177"/>
      <c r="P93" s="2177"/>
      <c r="Q93" s="2177"/>
      <c r="R93" s="2177"/>
      <c r="S93" s="2177"/>
      <c r="T93" s="2177"/>
      <c r="U93" s="2177"/>
      <c r="V93" s="2177"/>
      <c r="W93" s="2177"/>
      <c r="X93" s="2177"/>
      <c r="Y93" s="2177"/>
      <c r="Z93" s="2177"/>
      <c r="AA93" s="2177"/>
      <c r="AB93" s="2177"/>
      <c r="AC93" s="2177"/>
      <c r="AD93" s="2177"/>
      <c r="AE93" s="2177"/>
      <c r="AF93" s="2177"/>
      <c r="AG93" s="2177"/>
      <c r="AH93" s="2177"/>
      <c r="AI93" s="2177"/>
      <c r="AJ93" s="2177"/>
      <c r="AK93" s="2177"/>
      <c r="AL93" s="2177"/>
      <c r="AM93" s="2177"/>
      <c r="AN93" s="2177"/>
      <c r="AO93" s="2177"/>
      <c r="AP93" s="2177"/>
      <c r="AQ93" s="2177"/>
      <c r="AR93" s="2177"/>
      <c r="AS93" s="2177"/>
      <c r="AT93" s="2177"/>
      <c r="AU93" s="2177"/>
      <c r="AV93" s="2177"/>
      <c r="AW93" s="2177"/>
      <c r="AX93" s="2177"/>
    </row>
    <row r="94" spans="1:50">
      <c r="A94" s="2177"/>
      <c r="B94" s="2177"/>
      <c r="C94" s="2177"/>
      <c r="D94" s="2177"/>
      <c r="E94" s="2177"/>
      <c r="F94" s="2177"/>
      <c r="G94" s="2177"/>
      <c r="H94" s="2177"/>
      <c r="I94" s="2177"/>
      <c r="J94" s="2177"/>
      <c r="K94" s="2177"/>
      <c r="L94" s="2177"/>
      <c r="M94" s="2177"/>
      <c r="N94" s="2177"/>
      <c r="O94" s="2177"/>
      <c r="P94" s="2177"/>
      <c r="Q94" s="2177"/>
      <c r="R94" s="2177"/>
      <c r="S94" s="2177"/>
      <c r="T94" s="2177"/>
      <c r="U94" s="2177"/>
      <c r="V94" s="2177"/>
      <c r="W94" s="2177"/>
      <c r="X94" s="2177"/>
      <c r="Y94" s="2177"/>
      <c r="Z94" s="2177"/>
      <c r="AA94" s="2177"/>
      <c r="AB94" s="2177"/>
      <c r="AC94" s="2177"/>
      <c r="AD94" s="2177"/>
      <c r="AE94" s="2177"/>
      <c r="AF94" s="2177"/>
      <c r="AG94" s="2177"/>
      <c r="AH94" s="2177"/>
      <c r="AI94" s="2177"/>
      <c r="AJ94" s="2177"/>
      <c r="AK94" s="2177"/>
      <c r="AL94" s="2177"/>
      <c r="AM94" s="2177"/>
      <c r="AN94" s="2177"/>
      <c r="AO94" s="2177"/>
      <c r="AP94" s="2177"/>
      <c r="AQ94" s="2177"/>
      <c r="AR94" s="2177"/>
      <c r="AS94" s="2177"/>
      <c r="AT94" s="2177"/>
      <c r="AU94" s="2177"/>
      <c r="AV94" s="2177"/>
      <c r="AW94" s="2177"/>
      <c r="AX94" s="2177"/>
    </row>
    <row r="95" spans="1:50">
      <c r="A95" s="2177"/>
      <c r="B95" s="2177"/>
      <c r="C95" s="2177"/>
      <c r="D95" s="2177"/>
      <c r="E95" s="2177"/>
      <c r="F95" s="2177"/>
      <c r="G95" s="2177"/>
      <c r="H95" s="2177"/>
      <c r="I95" s="2177"/>
      <c r="J95" s="2177"/>
      <c r="K95" s="2177"/>
      <c r="L95" s="2177"/>
      <c r="M95" s="2177"/>
      <c r="N95" s="2177"/>
      <c r="O95" s="2177"/>
      <c r="P95" s="2177"/>
      <c r="Q95" s="2177"/>
      <c r="R95" s="2177"/>
      <c r="S95" s="2177"/>
      <c r="T95" s="2177"/>
      <c r="U95" s="2177"/>
      <c r="V95" s="2177"/>
      <c r="W95" s="2177"/>
      <c r="X95" s="2177"/>
      <c r="Y95" s="2177"/>
      <c r="Z95" s="2177"/>
      <c r="AA95" s="2177"/>
      <c r="AB95" s="2177"/>
      <c r="AC95" s="2177"/>
      <c r="AD95" s="2177"/>
      <c r="AE95" s="2177"/>
      <c r="AF95" s="2177"/>
      <c r="AG95" s="2177"/>
      <c r="AH95" s="2177"/>
      <c r="AI95" s="2177"/>
      <c r="AJ95" s="2177"/>
      <c r="AK95" s="2177"/>
      <c r="AL95" s="2177"/>
      <c r="AM95" s="2177"/>
      <c r="AN95" s="2177"/>
      <c r="AO95" s="2177"/>
      <c r="AP95" s="2177"/>
      <c r="AQ95" s="2177"/>
      <c r="AR95" s="2177"/>
      <c r="AS95" s="2177"/>
      <c r="AT95" s="2177"/>
      <c r="AU95" s="2177"/>
      <c r="AV95" s="2177"/>
      <c r="AW95" s="2177"/>
      <c r="AX95" s="2177"/>
    </row>
    <row r="96" spans="1:50">
      <c r="A96" s="2177"/>
      <c r="B96" s="2177"/>
      <c r="C96" s="2177"/>
      <c r="D96" s="2177"/>
      <c r="E96" s="2177"/>
      <c r="F96" s="2177"/>
      <c r="G96" s="2177"/>
      <c r="H96" s="2177"/>
      <c r="I96" s="2177"/>
      <c r="J96" s="2177"/>
      <c r="K96" s="2177"/>
      <c r="L96" s="2177"/>
      <c r="M96" s="2177"/>
      <c r="N96" s="2177"/>
      <c r="O96" s="2177"/>
      <c r="P96" s="2177"/>
      <c r="Q96" s="2177"/>
      <c r="R96" s="2177"/>
      <c r="S96" s="2177"/>
      <c r="T96" s="2177"/>
      <c r="U96" s="2177"/>
      <c r="V96" s="2177"/>
      <c r="W96" s="2177"/>
      <c r="X96" s="2177"/>
      <c r="Y96" s="2177"/>
      <c r="Z96" s="2177"/>
      <c r="AA96" s="2177"/>
      <c r="AB96" s="2177"/>
      <c r="AC96" s="2177"/>
      <c r="AD96" s="2177"/>
      <c r="AE96" s="2177"/>
      <c r="AF96" s="2177"/>
      <c r="AG96" s="2177"/>
      <c r="AH96" s="2177"/>
      <c r="AI96" s="2177"/>
      <c r="AJ96" s="2177"/>
      <c r="AK96" s="2177"/>
      <c r="AL96" s="2177"/>
      <c r="AM96" s="2177"/>
      <c r="AN96" s="2177"/>
      <c r="AO96" s="2177"/>
      <c r="AP96" s="2177"/>
      <c r="AQ96" s="2177"/>
      <c r="AR96" s="2177"/>
      <c r="AS96" s="2177"/>
      <c r="AT96" s="2177"/>
      <c r="AU96" s="2177"/>
      <c r="AV96" s="2177"/>
      <c r="AW96" s="2177"/>
      <c r="AX96" s="2177"/>
    </row>
    <row r="97" spans="1:50">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c r="AA97" s="2177"/>
      <c r="AB97" s="2177"/>
      <c r="AC97" s="2177"/>
      <c r="AD97" s="2177"/>
      <c r="AE97" s="2177"/>
      <c r="AF97" s="2177"/>
      <c r="AG97" s="2177"/>
      <c r="AH97" s="2177"/>
      <c r="AI97" s="2177"/>
      <c r="AJ97" s="2177"/>
      <c r="AK97" s="2177"/>
      <c r="AL97" s="2177"/>
      <c r="AM97" s="2177"/>
      <c r="AN97" s="2177"/>
      <c r="AO97" s="2177"/>
      <c r="AP97" s="2177"/>
      <c r="AQ97" s="2177"/>
      <c r="AR97" s="2177"/>
      <c r="AS97" s="2177"/>
      <c r="AT97" s="2177"/>
      <c r="AU97" s="2177"/>
      <c r="AV97" s="2177"/>
      <c r="AW97" s="2177"/>
      <c r="AX97" s="2177"/>
    </row>
    <row r="98" spans="1:50">
      <c r="A98" s="2177"/>
      <c r="B98" s="2177"/>
      <c r="C98" s="2177"/>
      <c r="D98" s="2177"/>
      <c r="E98" s="2177"/>
      <c r="F98" s="2177"/>
      <c r="G98" s="2177"/>
      <c r="H98" s="2177"/>
      <c r="I98" s="2177"/>
      <c r="J98" s="2177"/>
      <c r="K98" s="2177"/>
      <c r="L98" s="2177"/>
      <c r="M98" s="2177"/>
      <c r="N98" s="2177"/>
      <c r="O98" s="2177"/>
      <c r="P98" s="2177"/>
      <c r="Q98" s="2177"/>
      <c r="R98" s="2177"/>
      <c r="S98" s="2177"/>
      <c r="T98" s="2177"/>
      <c r="U98" s="2177"/>
      <c r="V98" s="2177"/>
      <c r="W98" s="2177"/>
      <c r="X98" s="2177"/>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row>
    <row r="99" spans="1:50">
      <c r="A99" s="2177"/>
      <c r="B99" s="2177"/>
      <c r="C99" s="2177"/>
      <c r="D99" s="2177"/>
      <c r="E99" s="2177"/>
      <c r="F99" s="2177"/>
      <c r="G99" s="2177"/>
      <c r="H99" s="2177"/>
      <c r="I99" s="2177"/>
      <c r="J99" s="2177"/>
      <c r="K99" s="2177"/>
      <c r="L99" s="2177"/>
      <c r="M99" s="2177"/>
      <c r="N99" s="2177"/>
      <c r="O99" s="2177"/>
      <c r="P99" s="2177"/>
      <c r="Q99" s="2177"/>
      <c r="R99" s="2177"/>
      <c r="S99" s="2177"/>
      <c r="T99" s="2177"/>
      <c r="U99" s="2177"/>
      <c r="V99" s="2177"/>
      <c r="W99" s="2177"/>
      <c r="X99" s="2177"/>
      <c r="Y99" s="2177"/>
      <c r="Z99" s="2177"/>
      <c r="AA99" s="2177"/>
      <c r="AB99" s="2177"/>
      <c r="AC99" s="2177"/>
      <c r="AD99" s="2177"/>
      <c r="AE99" s="2177"/>
      <c r="AF99" s="2177"/>
      <c r="AG99" s="2177"/>
      <c r="AH99" s="2177"/>
      <c r="AI99" s="2177"/>
      <c r="AJ99" s="2177"/>
      <c r="AK99" s="2177"/>
      <c r="AL99" s="2177"/>
      <c r="AM99" s="2177"/>
      <c r="AN99" s="2177"/>
      <c r="AO99" s="2177"/>
      <c r="AP99" s="2177"/>
      <c r="AQ99" s="2177"/>
      <c r="AR99" s="2177"/>
      <c r="AS99" s="2177"/>
      <c r="AT99" s="2177"/>
      <c r="AU99" s="2177"/>
      <c r="AV99" s="2177"/>
      <c r="AW99" s="2177"/>
      <c r="AX99" s="2177"/>
    </row>
    <row r="100" spans="1:50">
      <c r="A100" s="2177"/>
      <c r="B100" s="2177"/>
      <c r="C100" s="2177"/>
      <c r="D100" s="2177"/>
      <c r="E100" s="2177"/>
      <c r="F100" s="2177"/>
      <c r="G100" s="2177"/>
      <c r="H100" s="2177"/>
      <c r="I100" s="2177"/>
      <c r="J100" s="2177"/>
      <c r="K100" s="2177"/>
      <c r="L100" s="2177"/>
      <c r="M100" s="2177"/>
      <c r="N100" s="2177"/>
      <c r="O100" s="2177"/>
      <c r="P100" s="2177"/>
      <c r="Q100" s="2177"/>
      <c r="R100" s="2177"/>
      <c r="S100" s="2177"/>
      <c r="T100" s="2177"/>
      <c r="U100" s="2177"/>
      <c r="V100" s="2177"/>
      <c r="W100" s="2177"/>
      <c r="X100" s="2177"/>
      <c r="Y100" s="2177"/>
      <c r="Z100" s="2177"/>
      <c r="AA100" s="2177"/>
      <c r="AB100" s="2177"/>
      <c r="AC100" s="2177"/>
      <c r="AD100" s="2177"/>
      <c r="AE100" s="2177"/>
      <c r="AF100" s="2177"/>
      <c r="AG100" s="2177"/>
      <c r="AH100" s="2177"/>
      <c r="AI100" s="2177"/>
      <c r="AJ100" s="2177"/>
      <c r="AK100" s="2177"/>
      <c r="AL100" s="2177"/>
      <c r="AM100" s="2177"/>
      <c r="AN100" s="2177"/>
      <c r="AO100" s="2177"/>
      <c r="AP100" s="2177"/>
      <c r="AQ100" s="2177"/>
      <c r="AR100" s="2177"/>
      <c r="AS100" s="2177"/>
      <c r="AT100" s="2177"/>
      <c r="AU100" s="2177"/>
      <c r="AV100" s="2177"/>
      <c r="AW100" s="2177"/>
      <c r="AX100" s="2177"/>
    </row>
    <row r="101" spans="1:50">
      <c r="A101" s="2177"/>
      <c r="B101" s="2177"/>
      <c r="C101" s="2177"/>
      <c r="D101" s="2177"/>
      <c r="E101" s="2177"/>
      <c r="F101" s="2177"/>
      <c r="G101" s="2177"/>
      <c r="H101" s="2177"/>
      <c r="I101" s="2177"/>
      <c r="J101" s="2177"/>
      <c r="K101" s="2177"/>
      <c r="L101" s="2177"/>
      <c r="M101" s="2177"/>
      <c r="N101" s="2177"/>
      <c r="O101" s="2177"/>
      <c r="P101" s="2177"/>
      <c r="Q101" s="2177"/>
      <c r="R101" s="2177"/>
      <c r="S101" s="2177"/>
      <c r="T101" s="2177"/>
      <c r="U101" s="2177"/>
      <c r="V101" s="2177"/>
      <c r="W101" s="2177"/>
      <c r="X101" s="2177"/>
      <c r="Y101" s="2177"/>
      <c r="Z101" s="2177"/>
      <c r="AA101" s="2177"/>
      <c r="AB101" s="2177"/>
      <c r="AC101" s="2177"/>
      <c r="AD101" s="2177"/>
      <c r="AE101" s="2177"/>
      <c r="AF101" s="2177"/>
      <c r="AG101" s="2177"/>
      <c r="AH101" s="2177"/>
      <c r="AI101" s="2177"/>
      <c r="AJ101" s="2177"/>
      <c r="AK101" s="2177"/>
      <c r="AL101" s="2177"/>
      <c r="AM101" s="2177"/>
      <c r="AN101" s="2177"/>
      <c r="AO101" s="2177"/>
      <c r="AP101" s="2177"/>
      <c r="AQ101" s="2177"/>
      <c r="AR101" s="2177"/>
      <c r="AS101" s="2177"/>
      <c r="AT101" s="2177"/>
      <c r="AU101" s="2177"/>
      <c r="AV101" s="2177"/>
      <c r="AW101" s="2177"/>
      <c r="AX101" s="2177"/>
    </row>
    <row r="102" spans="1:50">
      <c r="A102" s="2177"/>
      <c r="B102" s="2177"/>
      <c r="C102" s="2177"/>
      <c r="D102" s="2177"/>
      <c r="E102" s="2177"/>
      <c r="F102" s="2177"/>
      <c r="G102" s="2177"/>
      <c r="H102" s="2177"/>
      <c r="I102" s="2177"/>
      <c r="J102" s="2177"/>
      <c r="K102" s="2177"/>
      <c r="L102" s="2177"/>
      <c r="M102" s="2177"/>
      <c r="N102" s="2177"/>
      <c r="O102" s="2177"/>
      <c r="P102" s="2177"/>
      <c r="Q102" s="2177"/>
      <c r="R102" s="2177"/>
      <c r="S102" s="2177"/>
      <c r="T102" s="2177"/>
      <c r="U102" s="2177"/>
      <c r="V102" s="2177"/>
      <c r="W102" s="2177"/>
      <c r="X102" s="2177"/>
      <c r="Y102" s="2177"/>
      <c r="Z102" s="2177"/>
      <c r="AA102" s="2177"/>
      <c r="AB102" s="2177"/>
      <c r="AC102" s="2177"/>
      <c r="AD102" s="2177"/>
      <c r="AE102" s="2177"/>
      <c r="AF102" s="2177"/>
      <c r="AG102" s="2177"/>
      <c r="AH102" s="2177"/>
      <c r="AI102" s="2177"/>
      <c r="AJ102" s="2177"/>
      <c r="AK102" s="2177"/>
      <c r="AL102" s="2177"/>
      <c r="AM102" s="2177"/>
      <c r="AN102" s="2177"/>
      <c r="AO102" s="2177"/>
      <c r="AP102" s="2177"/>
      <c r="AQ102" s="2177"/>
      <c r="AR102" s="2177"/>
      <c r="AS102" s="2177"/>
      <c r="AT102" s="2177"/>
      <c r="AU102" s="2177"/>
      <c r="AV102" s="2177"/>
      <c r="AW102" s="2177"/>
      <c r="AX102" s="2177"/>
    </row>
    <row r="103" spans="1:50">
      <c r="A103" s="2177"/>
      <c r="B103" s="2177"/>
      <c r="C103" s="2177"/>
      <c r="D103" s="2177"/>
      <c r="E103" s="2177"/>
      <c r="F103" s="2177"/>
      <c r="G103" s="2177"/>
      <c r="H103" s="2177"/>
      <c r="I103" s="2177"/>
      <c r="J103" s="2177"/>
      <c r="K103" s="2177"/>
      <c r="L103" s="2177"/>
      <c r="M103" s="2177"/>
      <c r="N103" s="2177"/>
      <c r="O103" s="2177"/>
      <c r="P103" s="2177"/>
      <c r="Q103" s="2177"/>
      <c r="R103" s="2177"/>
      <c r="S103" s="2177"/>
      <c r="T103" s="2177"/>
      <c r="U103" s="2177"/>
      <c r="V103" s="2177"/>
      <c r="W103" s="2177"/>
      <c r="X103" s="2177"/>
      <c r="Y103" s="2177"/>
      <c r="Z103" s="2177"/>
      <c r="AA103" s="2177"/>
      <c r="AB103" s="2177"/>
      <c r="AC103" s="2177"/>
      <c r="AD103" s="2177"/>
      <c r="AE103" s="2177"/>
      <c r="AF103" s="2177"/>
      <c r="AG103" s="2177"/>
      <c r="AH103" s="2177"/>
      <c r="AI103" s="2177"/>
      <c r="AJ103" s="2177"/>
      <c r="AK103" s="2177"/>
      <c r="AL103" s="2177"/>
      <c r="AM103" s="2177"/>
      <c r="AN103" s="2177"/>
      <c r="AO103" s="2177"/>
      <c r="AP103" s="2177"/>
      <c r="AQ103" s="2177"/>
      <c r="AR103" s="2177"/>
      <c r="AS103" s="2177"/>
      <c r="AT103" s="2177"/>
      <c r="AU103" s="2177"/>
      <c r="AV103" s="2177"/>
      <c r="AW103" s="2177"/>
      <c r="AX103" s="2177"/>
    </row>
    <row r="104" spans="1:50">
      <c r="A104" s="2177"/>
      <c r="B104" s="2177"/>
      <c r="C104" s="2177"/>
      <c r="D104" s="2177"/>
      <c r="E104" s="2177"/>
      <c r="F104" s="2177"/>
      <c r="G104" s="2177"/>
      <c r="H104" s="2177"/>
      <c r="I104" s="2177"/>
      <c r="J104" s="2177"/>
      <c r="K104" s="2177"/>
      <c r="L104" s="2177"/>
      <c r="M104" s="2177"/>
      <c r="N104" s="2177"/>
      <c r="O104" s="2177"/>
      <c r="P104" s="2177"/>
      <c r="Q104" s="2177"/>
      <c r="R104" s="2177"/>
      <c r="S104" s="2177"/>
      <c r="T104" s="2177"/>
      <c r="U104" s="2177"/>
      <c r="V104" s="2177"/>
      <c r="W104" s="2177"/>
      <c r="X104" s="2177"/>
      <c r="Y104" s="2177"/>
      <c r="Z104" s="2177"/>
      <c r="AA104" s="2177"/>
      <c r="AB104" s="2177"/>
      <c r="AC104" s="2177"/>
      <c r="AD104" s="2177"/>
      <c r="AE104" s="2177"/>
      <c r="AF104" s="2177"/>
      <c r="AG104" s="2177"/>
      <c r="AH104" s="2177"/>
      <c r="AI104" s="2177"/>
      <c r="AJ104" s="2177"/>
      <c r="AK104" s="2177"/>
      <c r="AL104" s="2177"/>
      <c r="AM104" s="2177"/>
      <c r="AN104" s="2177"/>
      <c r="AO104" s="2177"/>
      <c r="AP104" s="2177"/>
      <c r="AQ104" s="2177"/>
      <c r="AR104" s="2177"/>
      <c r="AS104" s="2177"/>
      <c r="AT104" s="2177"/>
      <c r="AU104" s="2177"/>
      <c r="AV104" s="2177"/>
      <c r="AW104" s="2177"/>
      <c r="AX104" s="2177"/>
    </row>
    <row r="105" spans="1:50">
      <c r="A105" s="2177"/>
      <c r="B105" s="2177"/>
      <c r="C105" s="2177"/>
      <c r="D105" s="2177"/>
      <c r="E105" s="2177"/>
      <c r="F105" s="2177"/>
      <c r="G105" s="2177"/>
      <c r="H105" s="2177"/>
      <c r="I105" s="2177"/>
      <c r="J105" s="2177"/>
      <c r="K105" s="2177"/>
      <c r="L105" s="2177"/>
      <c r="M105" s="2177"/>
      <c r="N105" s="2177"/>
      <c r="O105" s="2177"/>
      <c r="P105" s="2177"/>
      <c r="Q105" s="2177"/>
      <c r="R105" s="2177"/>
      <c r="S105" s="2177"/>
      <c r="T105" s="2177"/>
      <c r="U105" s="2177"/>
      <c r="V105" s="2177"/>
      <c r="W105" s="2177"/>
      <c r="X105" s="2177"/>
      <c r="Y105" s="2177"/>
      <c r="Z105" s="2177"/>
      <c r="AA105" s="2177"/>
      <c r="AB105" s="2177"/>
      <c r="AC105" s="2177"/>
      <c r="AD105" s="2177"/>
      <c r="AE105" s="2177"/>
      <c r="AF105" s="2177"/>
      <c r="AG105" s="2177"/>
      <c r="AH105" s="2177"/>
      <c r="AI105" s="2177"/>
      <c r="AJ105" s="2177"/>
      <c r="AK105" s="2177"/>
      <c r="AL105" s="2177"/>
      <c r="AM105" s="2177"/>
      <c r="AN105" s="2177"/>
      <c r="AO105" s="2177"/>
      <c r="AP105" s="2177"/>
      <c r="AQ105" s="2177"/>
      <c r="AR105" s="2177"/>
      <c r="AS105" s="2177"/>
      <c r="AT105" s="2177"/>
      <c r="AU105" s="2177"/>
      <c r="AV105" s="2177"/>
      <c r="AW105" s="2177"/>
      <c r="AX105"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activeCell="L16" sqref="L16:R24"/>
      <pageMargins left="0.7" right="0.7" top="0.75" bottom="0.75" header="0.3" footer="0.3"/>
    </customSheetView>
  </customSheetView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X98"/>
  <sheetViews>
    <sheetView showGridLines="0" workbookViewId="0">
      <pane xSplit="1" ySplit="1" topLeftCell="B2" activePane="bottomRight" state="frozen"/>
      <selection pane="topRight" activeCell="B1" sqref="B1"/>
      <selection pane="bottomLeft" activeCell="A2" sqref="A2"/>
      <selection pane="bottomRight" activeCell="E64" sqref="E64"/>
    </sheetView>
  </sheetViews>
  <sheetFormatPr defaultRowHeight="12.75"/>
  <cols>
    <col min="1" max="1" width="18.85546875" customWidth="1"/>
    <col min="2" max="2" width="15" customWidth="1"/>
    <col min="3" max="3" width="26.28515625" customWidth="1"/>
    <col min="4" max="7" width="15" customWidth="1"/>
    <col min="8" max="8" width="33.28515625" customWidth="1"/>
    <col min="9" max="32" width="15" customWidth="1"/>
  </cols>
  <sheetData>
    <row r="1" spans="1:50" ht="54.75" customHeight="1" thickBot="1">
      <c r="A1" s="2177"/>
      <c r="B1" s="2177"/>
      <c r="C1" s="1812" t="s">
        <v>1492</v>
      </c>
      <c r="D1" s="1812" t="s">
        <v>278</v>
      </c>
      <c r="E1" s="1812" t="s">
        <v>6</v>
      </c>
      <c r="F1" s="1812" t="s">
        <v>1494</v>
      </c>
      <c r="G1" s="1812" t="s">
        <v>31</v>
      </c>
      <c r="H1" s="2177"/>
      <c r="I1" s="2177"/>
      <c r="J1" s="1592"/>
      <c r="K1" s="2177"/>
      <c r="L1" s="2177"/>
      <c r="M1" s="1812" t="s">
        <v>1492</v>
      </c>
      <c r="N1" s="1812" t="s">
        <v>278</v>
      </c>
      <c r="O1" s="1812" t="s">
        <v>6</v>
      </c>
      <c r="P1" s="1812" t="s">
        <v>1494</v>
      </c>
      <c r="Q1" s="1812" t="s">
        <v>31</v>
      </c>
      <c r="R1" s="2177"/>
      <c r="S1" s="2177"/>
      <c r="T1" s="2177"/>
      <c r="U1" s="2177"/>
      <c r="V1" s="1812" t="s">
        <v>1492</v>
      </c>
      <c r="W1" s="1812" t="s">
        <v>278</v>
      </c>
      <c r="X1" s="1812" t="s">
        <v>6</v>
      </c>
      <c r="Y1" s="1812" t="s">
        <v>1494</v>
      </c>
      <c r="Z1" s="1812" t="s">
        <v>31</v>
      </c>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row>
    <row r="2" spans="1:50" ht="16.5" thickBot="1">
      <c r="A2" s="2177"/>
      <c r="B2" s="2177"/>
      <c r="C2" s="1592"/>
      <c r="D2" s="1575"/>
      <c r="E2" s="2193"/>
      <c r="F2" s="2177"/>
      <c r="G2" s="2177"/>
      <c r="H2" s="1576" t="s">
        <v>674</v>
      </c>
      <c r="I2" s="2177"/>
      <c r="J2" s="2177"/>
      <c r="K2" s="2177"/>
      <c r="L2" s="2177"/>
      <c r="M2" s="2177"/>
      <c r="N2" s="2177"/>
      <c r="O2" s="2177"/>
      <c r="P2" s="2177"/>
      <c r="Q2" s="2177"/>
      <c r="R2" s="2935"/>
      <c r="S2" s="2935"/>
      <c r="T2" s="2936" t="s">
        <v>36</v>
      </c>
      <c r="U2" s="2937"/>
      <c r="V2" s="2938"/>
      <c r="W2" s="2933" t="s">
        <v>37</v>
      </c>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row>
    <row r="3" spans="1:50" ht="26.25" thickBot="1">
      <c r="A3" s="2945" t="s">
        <v>1616</v>
      </c>
      <c r="B3" s="2945"/>
      <c r="C3" s="2177"/>
      <c r="D3" s="2177"/>
      <c r="E3" s="2193"/>
      <c r="F3" s="2177"/>
      <c r="G3" s="2177"/>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2934"/>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row>
    <row r="4" spans="1:50" ht="16.5" thickBot="1">
      <c r="A4" s="2945" t="s">
        <v>278</v>
      </c>
      <c r="B4" s="2945"/>
      <c r="C4" s="1575"/>
      <c r="D4" s="2177"/>
      <c r="E4" s="2193"/>
      <c r="F4" s="2177"/>
      <c r="G4" s="1804" t="s">
        <v>668</v>
      </c>
      <c r="H4" s="2003"/>
      <c r="I4" s="2002"/>
      <c r="J4" s="2002"/>
      <c r="K4" s="2002"/>
      <c r="L4" s="2002"/>
      <c r="M4" s="2002"/>
      <c r="N4" s="2002"/>
      <c r="O4" s="2002"/>
      <c r="P4" s="2002"/>
      <c r="Q4" s="2002"/>
      <c r="R4" s="2000"/>
      <c r="S4" s="2041"/>
      <c r="T4" s="1541" t="e">
        <f>P4/R4</f>
        <v>#DIV/0!</v>
      </c>
      <c r="U4" s="1541" t="e">
        <f>(K4+(I4*1.63))/R4</f>
        <v>#DIV/0!</v>
      </c>
      <c r="V4" s="1541" t="e">
        <f>M4/R4</f>
        <v>#DIV/0!</v>
      </c>
      <c r="W4" s="1539" t="e">
        <f>R4/S4</f>
        <v>#DIV/0!</v>
      </c>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row>
    <row r="5" spans="1:50" ht="16.5" thickBot="1">
      <c r="A5" s="2945" t="s">
        <v>6</v>
      </c>
      <c r="B5" s="2945"/>
      <c r="C5" s="1592"/>
      <c r="D5" s="2177"/>
      <c r="E5" s="2193"/>
      <c r="F5" s="2177"/>
      <c r="G5" s="1592">
        <v>2016</v>
      </c>
      <c r="H5" s="1582">
        <f>D15</f>
        <v>9063.3000000000011</v>
      </c>
      <c r="I5" s="1549">
        <f>D21</f>
        <v>0</v>
      </c>
      <c r="J5" s="1549">
        <f>D27</f>
        <v>6045.2211000000007</v>
      </c>
      <c r="K5" s="1549">
        <f>D34</f>
        <v>10000</v>
      </c>
      <c r="L5" s="1549">
        <f>D40</f>
        <v>500</v>
      </c>
      <c r="M5" s="1549">
        <f>D46</f>
        <v>0</v>
      </c>
      <c r="N5" s="1549">
        <f>D52</f>
        <v>500</v>
      </c>
      <c r="O5" s="1549">
        <f>D58</f>
        <v>500</v>
      </c>
      <c r="P5" s="1549">
        <f>D64</f>
        <v>399551.63</v>
      </c>
      <c r="Q5" s="1549">
        <f>D65</f>
        <v>0</v>
      </c>
      <c r="R5" s="2001">
        <f>SUM(H5:Q5)</f>
        <v>426160.15110000002</v>
      </c>
      <c r="S5" s="2042">
        <f>T15</f>
        <v>133170</v>
      </c>
      <c r="T5" s="1542">
        <f>P5/R5</f>
        <v>0.93756215584371649</v>
      </c>
      <c r="U5" s="1542">
        <f>(K5+(I5*1.63))/R5</f>
        <v>2.3465356801165259E-2</v>
      </c>
      <c r="V5" s="1542">
        <f>M5/R5</f>
        <v>0</v>
      </c>
      <c r="W5" s="1540">
        <f>R5/S5</f>
        <v>3.20012128182023</v>
      </c>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row>
    <row r="6" spans="1:50" ht="16.5" thickBot="1">
      <c r="A6" s="2945" t="s">
        <v>1494</v>
      </c>
      <c r="B6" s="2945"/>
      <c r="C6" s="2177"/>
      <c r="D6" s="1592"/>
      <c r="E6" s="2193"/>
      <c r="F6" s="2177"/>
      <c r="G6" s="1592">
        <v>2017</v>
      </c>
      <c r="H6" s="57">
        <f>E15</f>
        <v>9289.9</v>
      </c>
      <c r="I6" s="1990">
        <f>E21</f>
        <v>0</v>
      </c>
      <c r="J6" s="1989">
        <f>E27</f>
        <v>6317.1320000000005</v>
      </c>
      <c r="K6" s="58">
        <f>E34</f>
        <v>10000</v>
      </c>
      <c r="L6" s="58">
        <f>E40</f>
        <v>500</v>
      </c>
      <c r="M6" s="58">
        <f>E46</f>
        <v>0</v>
      </c>
      <c r="N6" s="58">
        <f>E52</f>
        <v>500</v>
      </c>
      <c r="O6" s="58">
        <f>E58</f>
        <v>500</v>
      </c>
      <c r="P6" s="58">
        <f>E64</f>
        <v>399551.63</v>
      </c>
      <c r="Q6" s="58">
        <f>E65</f>
        <v>0</v>
      </c>
      <c r="R6" s="1997">
        <f>SUM(H6:Q6)</f>
        <v>426658.66200000001</v>
      </c>
      <c r="S6" s="2043">
        <f>U15</f>
        <v>133170</v>
      </c>
      <c r="T6" s="1542">
        <f>P6/R6</f>
        <v>0.93646670180576341</v>
      </c>
      <c r="U6" s="1542">
        <f>(K6+(I6*1.63))/R6</f>
        <v>2.3437939717722171E-2</v>
      </c>
      <c r="V6" s="1542">
        <f>M6/R6</f>
        <v>0</v>
      </c>
      <c r="W6" s="1540">
        <f>R6/S6</f>
        <v>3.2038646992565893</v>
      </c>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row>
    <row r="7" spans="1:50" ht="16.5" thickBot="1">
      <c r="A7" s="2945" t="s">
        <v>31</v>
      </c>
      <c r="B7" s="2945"/>
      <c r="C7" s="2177"/>
      <c r="D7" s="1592"/>
      <c r="E7" s="2193"/>
      <c r="F7" s="2177"/>
      <c r="G7" s="1608" t="s">
        <v>23</v>
      </c>
      <c r="H7" s="1564">
        <f>SUM(H5:H6)</f>
        <v>18353.2</v>
      </c>
      <c r="I7" s="1991">
        <f t="shared" ref="I7:Q7" si="0">SUM(I5:I6)</f>
        <v>0</v>
      </c>
      <c r="J7" s="1992">
        <f t="shared" si="0"/>
        <v>12362.3531</v>
      </c>
      <c r="K7" s="1993">
        <f t="shared" si="0"/>
        <v>20000</v>
      </c>
      <c r="L7" s="1991">
        <f t="shared" si="0"/>
        <v>1000</v>
      </c>
      <c r="M7" s="1992">
        <f t="shared" si="0"/>
        <v>0</v>
      </c>
      <c r="N7" s="1991">
        <f t="shared" si="0"/>
        <v>1000</v>
      </c>
      <c r="O7" s="1992">
        <f t="shared" si="0"/>
        <v>1000</v>
      </c>
      <c r="P7" s="1993">
        <f t="shared" si="0"/>
        <v>799103.26</v>
      </c>
      <c r="Q7" s="1991">
        <f t="shared" si="0"/>
        <v>0</v>
      </c>
      <c r="R7" s="1993">
        <f>SUM(H7:Q7)</f>
        <v>852818.81310000003</v>
      </c>
      <c r="S7" s="2600">
        <f>SUM(S5:S6)</f>
        <v>266340</v>
      </c>
      <c r="T7" s="1542">
        <f>P7/R7</f>
        <v>0.93701410865369661</v>
      </c>
      <c r="U7" s="1542">
        <f>(K7+(I7*1.63))/R7</f>
        <v>2.345164024618537E-2</v>
      </c>
      <c r="V7" s="1542">
        <f>M7/R7</f>
        <v>0</v>
      </c>
      <c r="W7" s="1540">
        <f>R7/S7</f>
        <v>3.2019929905384097</v>
      </c>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2177"/>
      <c r="AU7" s="2177"/>
      <c r="AV7" s="2177"/>
      <c r="AW7" s="2177"/>
      <c r="AX7" s="2177"/>
    </row>
    <row r="8" spans="1:50" ht="15.75">
      <c r="A8" s="2193"/>
      <c r="B8" s="2945"/>
      <c r="C8" s="2177"/>
      <c r="D8" s="1592"/>
      <c r="E8" s="2193"/>
      <c r="F8" s="2177"/>
      <c r="G8" s="2177"/>
      <c r="H8" s="2177"/>
      <c r="I8" s="2177"/>
      <c r="J8" s="2177"/>
      <c r="K8" s="2177"/>
      <c r="L8" s="2177"/>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2177"/>
      <c r="AL8" s="2177"/>
      <c r="AM8" s="2177"/>
      <c r="AN8" s="2177"/>
      <c r="AO8" s="2177"/>
      <c r="AP8" s="2177"/>
      <c r="AQ8" s="2177"/>
      <c r="AR8" s="2177"/>
      <c r="AS8" s="2177"/>
      <c r="AT8" s="2177"/>
      <c r="AU8" s="2177"/>
      <c r="AV8" s="2177"/>
      <c r="AW8" s="2177"/>
      <c r="AX8" s="2177"/>
    </row>
    <row r="9" spans="1:50" ht="15.75">
      <c r="A9" s="2945"/>
      <c r="B9" s="2945"/>
      <c r="C9" s="2177"/>
      <c r="D9" s="1592"/>
      <c r="E9" s="2193"/>
      <c r="F9" s="2177"/>
      <c r="G9" s="2177"/>
      <c r="H9" s="2177"/>
      <c r="I9" s="2177"/>
      <c r="J9" s="2177"/>
      <c r="K9" s="2177"/>
      <c r="L9" s="2177"/>
      <c r="M9" s="2177"/>
      <c r="N9" s="2177"/>
      <c r="O9" s="2177"/>
      <c r="P9" s="2177"/>
      <c r="Q9" s="2177"/>
      <c r="R9" s="2177"/>
      <c r="S9" s="2177"/>
      <c r="T9" s="2177"/>
      <c r="U9" s="2177"/>
      <c r="V9" s="2177"/>
      <c r="W9" s="2177"/>
      <c r="X9" s="2177"/>
      <c r="Y9" s="2177"/>
      <c r="Z9" s="2177"/>
      <c r="AA9" s="2177"/>
      <c r="AB9" s="2177"/>
      <c r="AC9" s="2177"/>
      <c r="AD9" s="2177"/>
      <c r="AE9" s="2177"/>
      <c r="AF9" s="2177"/>
      <c r="AG9" s="2177"/>
      <c r="AH9" s="2177"/>
      <c r="AI9" s="2177"/>
      <c r="AJ9" s="2177"/>
      <c r="AK9" s="2177"/>
      <c r="AL9" s="2177"/>
      <c r="AM9" s="2177"/>
      <c r="AN9" s="2177"/>
      <c r="AO9" s="2177"/>
      <c r="AP9" s="2177"/>
      <c r="AQ9" s="2177"/>
      <c r="AR9" s="2177"/>
      <c r="AS9" s="2177"/>
      <c r="AT9" s="2177"/>
      <c r="AU9" s="2177"/>
      <c r="AV9" s="2177"/>
      <c r="AW9" s="2177"/>
      <c r="AX9" s="2177"/>
    </row>
    <row r="10" spans="1:50">
      <c r="A10" s="2945"/>
      <c r="B10" s="2945"/>
      <c r="C10" s="1915" t="s">
        <v>329</v>
      </c>
      <c r="D10" s="1915"/>
      <c r="E10" s="1915"/>
      <c r="F10" s="1915"/>
      <c r="G10" s="2177"/>
      <c r="H10" s="2940" t="s">
        <v>317</v>
      </c>
      <c r="I10" s="2940"/>
      <c r="J10" s="2940"/>
      <c r="K10" s="2940"/>
      <c r="L10" s="2940"/>
      <c r="M10" s="2940"/>
      <c r="N10" s="2940"/>
      <c r="O10" s="2940"/>
      <c r="P10" s="2940"/>
      <c r="Q10" s="1927"/>
      <c r="R10" s="1927"/>
      <c r="S10" s="1927"/>
      <c r="T10" s="1927"/>
      <c r="U10" s="1927"/>
      <c r="V10" s="1927"/>
      <c r="W10" s="2940" t="s">
        <v>317</v>
      </c>
      <c r="X10" s="1927"/>
      <c r="Y10" s="1927"/>
      <c r="Z10" s="2940" t="s">
        <v>317</v>
      </c>
      <c r="AA10" s="2940"/>
      <c r="AB10" s="2940"/>
      <c r="AC10" s="2940"/>
      <c r="AD10" s="2940"/>
      <c r="AE10" s="2940"/>
      <c r="AF10" s="2940"/>
      <c r="AG10" s="1927"/>
      <c r="AH10" s="2177"/>
      <c r="AI10" s="2177"/>
      <c r="AJ10" s="2177"/>
      <c r="AK10" s="2177"/>
      <c r="AL10" s="2177"/>
      <c r="AM10" s="2177"/>
      <c r="AN10" s="2177"/>
      <c r="AO10" s="2177"/>
      <c r="AP10" s="2177"/>
      <c r="AQ10" s="2177"/>
      <c r="AR10" s="2177"/>
      <c r="AS10" s="2177"/>
      <c r="AT10" s="2177"/>
      <c r="AU10" s="2177"/>
      <c r="AV10" s="2177"/>
      <c r="AW10" s="2177"/>
      <c r="AX10" s="2177"/>
    </row>
    <row r="11" spans="1:50">
      <c r="A11" s="2945"/>
      <c r="B11" s="2945"/>
      <c r="C11" s="2177"/>
      <c r="D11" s="2177"/>
      <c r="E11" s="2193"/>
      <c r="F11" s="2177"/>
      <c r="G11" s="2177"/>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2177"/>
      <c r="AI11" s="2177"/>
      <c r="AJ11" s="2177"/>
      <c r="AK11" s="2177"/>
      <c r="AL11" s="2177"/>
      <c r="AM11" s="2177"/>
      <c r="AN11" s="2177"/>
      <c r="AO11" s="2177"/>
      <c r="AP11" s="2177"/>
      <c r="AQ11" s="2177"/>
      <c r="AR11" s="2177"/>
      <c r="AS11" s="2177"/>
      <c r="AT11" s="2177"/>
      <c r="AU11" s="2177"/>
      <c r="AV11" s="2177"/>
      <c r="AW11" s="2177"/>
      <c r="AX11" s="2177"/>
    </row>
    <row r="12" spans="1:50">
      <c r="A12" s="2945"/>
      <c r="B12" s="2945"/>
      <c r="C12" s="1887" t="s">
        <v>314</v>
      </c>
      <c r="D12" s="2157">
        <f>D15+D21+D27+D34+D40+D46+D52+D58+D64</f>
        <v>426160.15110000002</v>
      </c>
      <c r="E12" s="1948">
        <f>E15+E21+E27+E34+E40+E46+E52+E58+E64</f>
        <v>426658.66200000001</v>
      </c>
      <c r="F12" s="2157">
        <f>D12+E12</f>
        <v>852818.81310000003</v>
      </c>
      <c r="G12" s="2177"/>
      <c r="H12" s="2941" t="s">
        <v>318</v>
      </c>
      <c r="I12" s="2941"/>
      <c r="J12" s="2941"/>
      <c r="K12" s="2941"/>
      <c r="L12" s="2941"/>
      <c r="M12" s="2941"/>
      <c r="N12" s="2941"/>
      <c r="O12" s="2941"/>
      <c r="P12" s="2941"/>
      <c r="Q12" s="2943" t="s">
        <v>43</v>
      </c>
      <c r="R12" s="2943"/>
      <c r="S12" s="2943"/>
      <c r="T12" s="2939" t="s">
        <v>44</v>
      </c>
      <c r="U12" s="2939"/>
      <c r="V12" s="2939"/>
      <c r="W12" s="2942" t="s">
        <v>56</v>
      </c>
      <c r="X12" s="2942"/>
      <c r="Y12" s="2942"/>
      <c r="Z12" s="2944" t="s">
        <v>319</v>
      </c>
      <c r="AA12" s="2944"/>
      <c r="AB12" s="2944"/>
      <c r="AC12" s="2944"/>
      <c r="AD12" s="2944"/>
      <c r="AE12" s="2944"/>
      <c r="AF12" s="2944"/>
      <c r="AG12" s="1917"/>
      <c r="AH12" s="2177"/>
      <c r="AI12" s="2177"/>
      <c r="AJ12" s="2177"/>
      <c r="AK12" s="2177"/>
      <c r="AL12" s="2177"/>
      <c r="AM12" s="2177"/>
      <c r="AN12" s="2177"/>
      <c r="AO12" s="2177"/>
      <c r="AP12" s="2177"/>
      <c r="AQ12" s="2177"/>
      <c r="AR12" s="2177"/>
      <c r="AS12" s="2177"/>
      <c r="AT12" s="2177"/>
      <c r="AU12" s="2177"/>
      <c r="AV12" s="2177"/>
      <c r="AW12" s="2177"/>
      <c r="AX12" s="2177"/>
    </row>
    <row r="13" spans="1:50">
      <c r="A13" s="2177"/>
      <c r="B13" s="2177"/>
      <c r="C13" s="1947"/>
      <c r="D13" s="2177"/>
      <c r="E13" s="1787"/>
      <c r="F13" s="2177"/>
      <c r="G13" s="217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c r="AH13" s="2177"/>
      <c r="AI13" s="2177"/>
      <c r="AJ13" s="2177"/>
      <c r="AK13" s="2177"/>
      <c r="AL13" s="2177"/>
      <c r="AM13" s="2177"/>
      <c r="AN13" s="2177"/>
      <c r="AO13" s="2177"/>
      <c r="AP13" s="2177"/>
      <c r="AQ13" s="2177"/>
      <c r="AR13" s="2177"/>
      <c r="AS13" s="2177"/>
      <c r="AT13" s="2177"/>
      <c r="AU13" s="2177"/>
      <c r="AV13" s="2177"/>
      <c r="AW13" s="2177"/>
      <c r="AX13" s="2177"/>
    </row>
    <row r="14" spans="1:50" ht="15.75">
      <c r="A14" s="2177"/>
      <c r="B14" s="2177"/>
      <c r="C14" s="1888" t="s">
        <v>45</v>
      </c>
      <c r="D14" s="1969">
        <v>2016</v>
      </c>
      <c r="E14" s="1970">
        <v>2017</v>
      </c>
      <c r="F14" s="1950" t="s">
        <v>23</v>
      </c>
      <c r="G14" s="2177"/>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c r="AH14" s="2177"/>
      <c r="AI14" s="2177"/>
      <c r="AJ14" s="2177"/>
      <c r="AK14" s="2177"/>
      <c r="AL14" s="2177"/>
      <c r="AM14" s="2177"/>
      <c r="AN14" s="2177"/>
      <c r="AO14" s="2177"/>
      <c r="AP14" s="2177"/>
      <c r="AQ14" s="2177"/>
      <c r="AR14" s="2177"/>
      <c r="AS14" s="2177"/>
      <c r="AT14" s="2177"/>
      <c r="AU14" s="2177"/>
      <c r="AV14" s="2177"/>
      <c r="AW14" s="2177"/>
      <c r="AX14" s="2177"/>
    </row>
    <row r="15" spans="1:50">
      <c r="A15" s="2177"/>
      <c r="B15" s="1886" t="s">
        <v>312</v>
      </c>
      <c r="C15" s="2106" t="s">
        <v>46</v>
      </c>
      <c r="D15" s="2158">
        <f>SUM(D16:D19)</f>
        <v>9063.3000000000011</v>
      </c>
      <c r="E15" s="1926">
        <f>SUM(E16:E19)</f>
        <v>9289.9</v>
      </c>
      <c r="F15" s="2157">
        <f>D15+E15</f>
        <v>18353.2</v>
      </c>
      <c r="G15" s="2177"/>
      <c r="H15" s="1938" t="s">
        <v>327</v>
      </c>
      <c r="I15" s="1939"/>
      <c r="J15" s="1939"/>
      <c r="K15" s="1940"/>
      <c r="L15" s="1941">
        <f>SUMPRODUCT(L16:L165,S16:S165)</f>
        <v>799103.26</v>
      </c>
      <c r="M15" s="1941">
        <f>SUM(M16:M165)</f>
        <v>160578.28899999999</v>
      </c>
      <c r="N15" s="1942" t="s">
        <v>241</v>
      </c>
      <c r="O15" s="1940">
        <v>9</v>
      </c>
      <c r="P15" s="1940"/>
      <c r="Q15" s="1940"/>
      <c r="R15" s="1940"/>
      <c r="S15" s="1940"/>
      <c r="T15" s="1943">
        <f t="shared" ref="T15:X15" si="1">SUM(T16:T65)</f>
        <v>133170</v>
      </c>
      <c r="U15" s="1943">
        <f t="shared" si="1"/>
        <v>133170</v>
      </c>
      <c r="V15" s="1943">
        <f t="shared" si="1"/>
        <v>266340</v>
      </c>
      <c r="W15" s="1941">
        <f t="shared" si="1"/>
        <v>399551.63</v>
      </c>
      <c r="X15" s="1941">
        <f t="shared" si="1"/>
        <v>399551.63</v>
      </c>
      <c r="Y15" s="1941">
        <f>SUM(Y16:Y65)</f>
        <v>799103.26</v>
      </c>
      <c r="Z15" s="1945">
        <v>0</v>
      </c>
      <c r="AA15" s="1944" t="s">
        <v>328</v>
      </c>
      <c r="AB15" s="1944" t="s">
        <v>328</v>
      </c>
      <c r="AC15" s="1941">
        <v>0</v>
      </c>
      <c r="AD15" s="1941">
        <v>0</v>
      </c>
      <c r="AE15" s="1941">
        <v>0</v>
      </c>
      <c r="AF15" s="1941">
        <v>0</v>
      </c>
      <c r="AG15" s="1917"/>
      <c r="AH15" s="2177"/>
      <c r="AI15" s="2177"/>
      <c r="AJ15" s="2177"/>
      <c r="AK15" s="2177"/>
      <c r="AL15" s="2177"/>
      <c r="AM15" s="2177"/>
      <c r="AN15" s="2177"/>
      <c r="AO15" s="2177"/>
      <c r="AP15" s="2177"/>
      <c r="AQ15" s="2177"/>
      <c r="AR15" s="2177"/>
      <c r="AS15" s="2177"/>
      <c r="AT15" s="2177"/>
      <c r="AU15" s="2177"/>
      <c r="AV15" s="2177"/>
      <c r="AW15" s="2177"/>
      <c r="AX15" s="2177"/>
    </row>
    <row r="16" spans="1:50">
      <c r="A16" s="2177"/>
      <c r="B16" s="2610">
        <v>0.1</v>
      </c>
      <c r="C16" s="2197" t="s">
        <v>792</v>
      </c>
      <c r="D16" s="2201">
        <v>9063.3000000000011</v>
      </c>
      <c r="E16" s="2200">
        <v>9289.9</v>
      </c>
      <c r="F16" s="1879">
        <f>SUM(D16:E16)</f>
        <v>18353.2</v>
      </c>
      <c r="G16" s="2177"/>
      <c r="H16" s="1922" t="s">
        <v>1277</v>
      </c>
      <c r="I16" s="2927">
        <v>32</v>
      </c>
      <c r="J16" s="1932" t="s">
        <v>81</v>
      </c>
      <c r="K16" s="1922" t="s">
        <v>909</v>
      </c>
      <c r="L16" s="1929">
        <v>11.787999999999998</v>
      </c>
      <c r="M16" s="1929">
        <v>11.787999999999998</v>
      </c>
      <c r="N16" s="1923">
        <v>0.12014718029586244</v>
      </c>
      <c r="O16" s="1922">
        <v>5</v>
      </c>
      <c r="P16" s="1925" t="s">
        <v>1072</v>
      </c>
      <c r="Q16" s="1928">
        <v>500</v>
      </c>
      <c r="R16" s="1928">
        <v>500</v>
      </c>
      <c r="S16" s="1931">
        <f>SUM(Q16:R16)</f>
        <v>1000</v>
      </c>
      <c r="T16" s="1931">
        <f>Q16*I16</f>
        <v>16000</v>
      </c>
      <c r="U16" s="1931">
        <f>R16*I16</f>
        <v>16000</v>
      </c>
      <c r="V16" s="1931">
        <f>SUM(T16:U16)</f>
        <v>32000</v>
      </c>
      <c r="W16" s="1921">
        <f>Q16*M16</f>
        <v>5893.9999999999991</v>
      </c>
      <c r="X16" s="1921">
        <f>R16*M16</f>
        <v>5893.9999999999991</v>
      </c>
      <c r="Y16" s="1921">
        <f>SUM(W16:X16)</f>
        <v>11787.999999999998</v>
      </c>
      <c r="Z16" s="1946"/>
      <c r="AA16" s="1920" t="s">
        <v>241</v>
      </c>
      <c r="AB16" s="1920" t="s">
        <v>241</v>
      </c>
      <c r="AC16" s="1921" t="s">
        <v>241</v>
      </c>
      <c r="AD16" s="1921" t="s">
        <v>241</v>
      </c>
      <c r="AE16" s="1921" t="s">
        <v>241</v>
      </c>
      <c r="AF16" s="1921" t="s">
        <v>241</v>
      </c>
      <c r="AG16" s="1917"/>
      <c r="AH16" s="2177"/>
      <c r="AI16" s="2177"/>
      <c r="AJ16" s="2177"/>
      <c r="AK16" s="2177"/>
      <c r="AL16" s="2177"/>
      <c r="AM16" s="2177"/>
      <c r="AN16" s="2177"/>
      <c r="AO16" s="2177"/>
      <c r="AP16" s="2177"/>
      <c r="AQ16" s="2177"/>
      <c r="AR16" s="2177"/>
      <c r="AS16" s="2177"/>
      <c r="AT16" s="2177"/>
      <c r="AU16" s="2177"/>
      <c r="AV16" s="2177"/>
      <c r="AW16" s="2177"/>
      <c r="AX16" s="2177"/>
    </row>
    <row r="17" spans="1:50">
      <c r="A17" s="2177"/>
      <c r="B17" s="2610"/>
      <c r="C17" s="2197"/>
      <c r="D17" s="2199"/>
      <c r="E17" s="2198"/>
      <c r="F17" s="2191">
        <f t="shared" ref="F17:F30" si="2">SUM(D17:E17)</f>
        <v>0</v>
      </c>
      <c r="G17" s="2177"/>
      <c r="H17" s="1922" t="s">
        <v>1278</v>
      </c>
      <c r="I17" s="2927">
        <v>16</v>
      </c>
      <c r="J17" s="1932" t="s">
        <v>81</v>
      </c>
      <c r="K17" s="1922" t="s">
        <v>909</v>
      </c>
      <c r="L17" s="1929">
        <v>10.946</v>
      </c>
      <c r="M17" s="1929">
        <v>10.946</v>
      </c>
      <c r="N17" s="1923">
        <v>4.8058872118344975E-2</v>
      </c>
      <c r="O17" s="1922">
        <v>5</v>
      </c>
      <c r="P17" s="1925" t="s">
        <v>1072</v>
      </c>
      <c r="Q17" s="1928">
        <v>400</v>
      </c>
      <c r="R17" s="1928">
        <v>400</v>
      </c>
      <c r="S17" s="1931">
        <f t="shared" ref="S17:S65" si="3">SUM(Q17:R17)</f>
        <v>800</v>
      </c>
      <c r="T17" s="1931">
        <f t="shared" ref="T17:T65" si="4">Q17*I17</f>
        <v>6400</v>
      </c>
      <c r="U17" s="1931">
        <f t="shared" ref="U17:U65" si="5">R17*I17</f>
        <v>6400</v>
      </c>
      <c r="V17" s="1931">
        <f t="shared" ref="V17:V65" si="6">SUM(T17:U17)</f>
        <v>12800</v>
      </c>
      <c r="W17" s="1921">
        <f t="shared" ref="W17:W65" si="7">Q17*M17</f>
        <v>4378.3999999999996</v>
      </c>
      <c r="X17" s="1921">
        <f t="shared" ref="X17:X65" si="8">R17*M17</f>
        <v>4378.3999999999996</v>
      </c>
      <c r="Y17" s="1921">
        <f t="shared" ref="Y17:Y65" si="9">SUM(W17:X17)</f>
        <v>8756.7999999999993</v>
      </c>
      <c r="Z17" s="1946"/>
      <c r="AA17" s="1920" t="s">
        <v>241</v>
      </c>
      <c r="AB17" s="1920" t="s">
        <v>241</v>
      </c>
      <c r="AC17" s="1921" t="s">
        <v>241</v>
      </c>
      <c r="AD17" s="1921" t="s">
        <v>241</v>
      </c>
      <c r="AE17" s="1921" t="s">
        <v>241</v>
      </c>
      <c r="AF17" s="1921" t="s">
        <v>241</v>
      </c>
      <c r="AG17" s="1917"/>
      <c r="AH17" s="2177"/>
      <c r="AI17" s="2177"/>
      <c r="AJ17" s="2177"/>
      <c r="AK17" s="2177"/>
      <c r="AL17" s="2177"/>
      <c r="AM17" s="2177"/>
      <c r="AN17" s="2177"/>
      <c r="AO17" s="2177"/>
      <c r="AP17" s="2177"/>
      <c r="AQ17" s="2177"/>
      <c r="AR17" s="2177"/>
      <c r="AS17" s="2177"/>
      <c r="AT17" s="2177"/>
      <c r="AU17" s="2177"/>
      <c r="AV17" s="2177"/>
      <c r="AW17" s="2177"/>
      <c r="AX17" s="2177"/>
    </row>
    <row r="18" spans="1:50">
      <c r="A18" s="2177"/>
      <c r="B18" s="2610"/>
      <c r="C18" s="2197"/>
      <c r="D18" s="2199"/>
      <c r="E18" s="2198"/>
      <c r="F18" s="2191">
        <f t="shared" si="2"/>
        <v>0</v>
      </c>
      <c r="G18" s="2177"/>
      <c r="H18" s="1922" t="s">
        <v>1279</v>
      </c>
      <c r="I18" s="2927">
        <v>53</v>
      </c>
      <c r="J18" s="1932" t="s">
        <v>81</v>
      </c>
      <c r="K18" s="1922" t="s">
        <v>909</v>
      </c>
      <c r="L18" s="1929">
        <v>70.421000000000006</v>
      </c>
      <c r="M18" s="1929">
        <v>70.421000000000006</v>
      </c>
      <c r="N18" s="1923">
        <v>3.9798753473004427E-3</v>
      </c>
      <c r="O18" s="1922">
        <v>5</v>
      </c>
      <c r="P18" s="1925" t="s">
        <v>1072</v>
      </c>
      <c r="Q18" s="1928">
        <v>10</v>
      </c>
      <c r="R18" s="1928">
        <v>10</v>
      </c>
      <c r="S18" s="1931">
        <f t="shared" si="3"/>
        <v>20</v>
      </c>
      <c r="T18" s="1931">
        <f t="shared" si="4"/>
        <v>530</v>
      </c>
      <c r="U18" s="1931">
        <f t="shared" si="5"/>
        <v>530</v>
      </c>
      <c r="V18" s="1931">
        <f t="shared" si="6"/>
        <v>1060</v>
      </c>
      <c r="W18" s="1921">
        <f t="shared" si="7"/>
        <v>704.21</v>
      </c>
      <c r="X18" s="1921">
        <f t="shared" si="8"/>
        <v>704.21</v>
      </c>
      <c r="Y18" s="1921">
        <f t="shared" si="9"/>
        <v>1408.42</v>
      </c>
      <c r="Z18" s="1946"/>
      <c r="AA18" s="1920" t="s">
        <v>241</v>
      </c>
      <c r="AB18" s="1920" t="s">
        <v>241</v>
      </c>
      <c r="AC18" s="1921" t="s">
        <v>241</v>
      </c>
      <c r="AD18" s="1921" t="s">
        <v>241</v>
      </c>
      <c r="AE18" s="1921" t="s">
        <v>241</v>
      </c>
      <c r="AF18" s="1921" t="s">
        <v>241</v>
      </c>
      <c r="AG18" s="1917"/>
      <c r="AH18" s="2177"/>
      <c r="AI18" s="2177"/>
      <c r="AJ18" s="2177"/>
      <c r="AK18" s="2177"/>
      <c r="AL18" s="2177"/>
      <c r="AM18" s="2177"/>
      <c r="AN18" s="2177"/>
      <c r="AO18" s="2177"/>
      <c r="AP18" s="2177"/>
      <c r="AQ18" s="2177"/>
      <c r="AR18" s="2177"/>
      <c r="AS18" s="2177"/>
      <c r="AT18" s="2177"/>
      <c r="AU18" s="2177"/>
      <c r="AV18" s="2177"/>
      <c r="AW18" s="2177"/>
      <c r="AX18" s="2177"/>
    </row>
    <row r="19" spans="1:50">
      <c r="A19" s="2177"/>
      <c r="B19" s="2610"/>
      <c r="C19" s="2197"/>
      <c r="D19" s="1903"/>
      <c r="E19" s="1902"/>
      <c r="F19" s="2191">
        <f t="shared" si="2"/>
        <v>0</v>
      </c>
      <c r="G19" s="2177"/>
      <c r="H19" s="1922" t="s">
        <v>1280</v>
      </c>
      <c r="I19" s="2927">
        <v>37</v>
      </c>
      <c r="J19" s="1932" t="s">
        <v>81</v>
      </c>
      <c r="K19" s="1922" t="s">
        <v>909</v>
      </c>
      <c r="L19" s="1929">
        <v>70.421000000000006</v>
      </c>
      <c r="M19" s="1929">
        <v>70.421000000000006</v>
      </c>
      <c r="N19" s="1923">
        <v>2.7784035443418186E-3</v>
      </c>
      <c r="O19" s="1922">
        <v>5</v>
      </c>
      <c r="P19" s="1925" t="s">
        <v>1072</v>
      </c>
      <c r="Q19" s="1928">
        <v>10</v>
      </c>
      <c r="R19" s="1928">
        <v>10</v>
      </c>
      <c r="S19" s="1931">
        <f t="shared" si="3"/>
        <v>20</v>
      </c>
      <c r="T19" s="1931">
        <f t="shared" si="4"/>
        <v>370</v>
      </c>
      <c r="U19" s="1931">
        <f t="shared" si="5"/>
        <v>370</v>
      </c>
      <c r="V19" s="1931">
        <f t="shared" si="6"/>
        <v>740</v>
      </c>
      <c r="W19" s="1921">
        <f t="shared" si="7"/>
        <v>704.21</v>
      </c>
      <c r="X19" s="1921">
        <f t="shared" si="8"/>
        <v>704.21</v>
      </c>
      <c r="Y19" s="1921">
        <f t="shared" si="9"/>
        <v>1408.42</v>
      </c>
      <c r="Z19" s="1946"/>
      <c r="AA19" s="1920" t="s">
        <v>241</v>
      </c>
      <c r="AB19" s="1920" t="s">
        <v>241</v>
      </c>
      <c r="AC19" s="1921" t="s">
        <v>241</v>
      </c>
      <c r="AD19" s="1921" t="s">
        <v>241</v>
      </c>
      <c r="AE19" s="1921" t="s">
        <v>241</v>
      </c>
      <c r="AF19" s="1921" t="s">
        <v>241</v>
      </c>
      <c r="AG19" s="1917"/>
      <c r="AH19" s="2177"/>
      <c r="AI19" s="2177"/>
      <c r="AJ19" s="2177"/>
      <c r="AK19" s="2177"/>
      <c r="AL19" s="2177"/>
      <c r="AM19" s="2177"/>
      <c r="AN19" s="2177"/>
      <c r="AO19" s="2177"/>
      <c r="AP19" s="2177"/>
      <c r="AQ19" s="2177"/>
      <c r="AR19" s="2177"/>
      <c r="AS19" s="2177"/>
      <c r="AT19" s="2177"/>
      <c r="AU19" s="2177"/>
      <c r="AV19" s="2177"/>
      <c r="AW19" s="2177"/>
      <c r="AX19" s="2177"/>
    </row>
    <row r="20" spans="1:50">
      <c r="A20" s="2177"/>
      <c r="B20" s="2926">
        <f>SUM(B16:B19)</f>
        <v>0.1</v>
      </c>
      <c r="C20" s="1952"/>
      <c r="D20" s="1954"/>
      <c r="E20" s="1955"/>
      <c r="F20" s="1957"/>
      <c r="G20" s="2177"/>
      <c r="H20" s="1922" t="s">
        <v>1281</v>
      </c>
      <c r="I20" s="2927">
        <v>58</v>
      </c>
      <c r="J20" s="1932" t="s">
        <v>81</v>
      </c>
      <c r="K20" s="1922" t="s">
        <v>909</v>
      </c>
      <c r="L20" s="1929">
        <v>70.421000000000006</v>
      </c>
      <c r="M20" s="1929">
        <v>70.421000000000006</v>
      </c>
      <c r="N20" s="1923">
        <v>4.3553352857250129E-2</v>
      </c>
      <c r="O20" s="1922">
        <v>5</v>
      </c>
      <c r="P20" s="1925" t="s">
        <v>1072</v>
      </c>
      <c r="Q20" s="1928">
        <v>100</v>
      </c>
      <c r="R20" s="1928">
        <v>100</v>
      </c>
      <c r="S20" s="1931">
        <f t="shared" si="3"/>
        <v>200</v>
      </c>
      <c r="T20" s="1931">
        <f t="shared" si="4"/>
        <v>5800</v>
      </c>
      <c r="U20" s="1931">
        <f t="shared" si="5"/>
        <v>5800</v>
      </c>
      <c r="V20" s="1931">
        <f t="shared" si="6"/>
        <v>11600</v>
      </c>
      <c r="W20" s="1921">
        <f t="shared" si="7"/>
        <v>7042.1</v>
      </c>
      <c r="X20" s="1921">
        <f t="shared" si="8"/>
        <v>7042.1</v>
      </c>
      <c r="Y20" s="1921">
        <f t="shared" si="9"/>
        <v>14084.2</v>
      </c>
      <c r="Z20" s="1946"/>
      <c r="AA20" s="1920" t="s">
        <v>241</v>
      </c>
      <c r="AB20" s="1920" t="s">
        <v>241</v>
      </c>
      <c r="AC20" s="1921" t="s">
        <v>241</v>
      </c>
      <c r="AD20" s="1921" t="s">
        <v>241</v>
      </c>
      <c r="AE20" s="1921" t="s">
        <v>241</v>
      </c>
      <c r="AF20" s="1921" t="s">
        <v>241</v>
      </c>
      <c r="AG20" s="1917"/>
      <c r="AH20" s="2177"/>
      <c r="AI20" s="2177"/>
      <c r="AJ20" s="2177"/>
      <c r="AK20" s="2177"/>
      <c r="AL20" s="2177"/>
      <c r="AM20" s="2177"/>
      <c r="AN20" s="2177"/>
      <c r="AO20" s="2177"/>
      <c r="AP20" s="2177"/>
      <c r="AQ20" s="2177"/>
      <c r="AR20" s="2177"/>
      <c r="AS20" s="2177"/>
      <c r="AT20" s="2177"/>
      <c r="AU20" s="2177"/>
      <c r="AV20" s="2177"/>
      <c r="AW20" s="2177"/>
      <c r="AX20" s="2177"/>
    </row>
    <row r="21" spans="1:50">
      <c r="A21" s="2177"/>
      <c r="B21" s="2177"/>
      <c r="C21" s="2106" t="s">
        <v>47</v>
      </c>
      <c r="D21" s="2158">
        <f>SUM(D22:D25)</f>
        <v>0</v>
      </c>
      <c r="E21" s="1926">
        <f>SUM(E22:E25)</f>
        <v>0</v>
      </c>
      <c r="F21" s="2157">
        <f>D21+E21</f>
        <v>0</v>
      </c>
      <c r="G21" s="2177"/>
      <c r="H21" s="1922" t="s">
        <v>1282</v>
      </c>
      <c r="I21" s="2927">
        <v>97</v>
      </c>
      <c r="J21" s="1932" t="s">
        <v>81</v>
      </c>
      <c r="K21" s="1922" t="s">
        <v>909</v>
      </c>
      <c r="L21" s="1929">
        <v>70.421000000000006</v>
      </c>
      <c r="M21" s="1929">
        <v>70.421000000000006</v>
      </c>
      <c r="N21" s="1923">
        <v>7.28392280543666E-3</v>
      </c>
      <c r="O21" s="1922">
        <v>5</v>
      </c>
      <c r="P21" s="1925" t="s">
        <v>1072</v>
      </c>
      <c r="Q21" s="1928">
        <v>10</v>
      </c>
      <c r="R21" s="1928">
        <v>10</v>
      </c>
      <c r="S21" s="1931">
        <f t="shared" si="3"/>
        <v>20</v>
      </c>
      <c r="T21" s="1931">
        <f t="shared" si="4"/>
        <v>970</v>
      </c>
      <c r="U21" s="1931">
        <f t="shared" si="5"/>
        <v>970</v>
      </c>
      <c r="V21" s="1931">
        <f t="shared" si="6"/>
        <v>1940</v>
      </c>
      <c r="W21" s="1921">
        <f t="shared" si="7"/>
        <v>704.21</v>
      </c>
      <c r="X21" s="1921">
        <f t="shared" si="8"/>
        <v>704.21</v>
      </c>
      <c r="Y21" s="1921">
        <f t="shared" si="9"/>
        <v>1408.42</v>
      </c>
      <c r="Z21" s="1946"/>
      <c r="AA21" s="1920" t="s">
        <v>241</v>
      </c>
      <c r="AB21" s="1920" t="s">
        <v>241</v>
      </c>
      <c r="AC21" s="1921" t="s">
        <v>241</v>
      </c>
      <c r="AD21" s="1921" t="s">
        <v>241</v>
      </c>
      <c r="AE21" s="1921" t="s">
        <v>241</v>
      </c>
      <c r="AF21" s="1921" t="s">
        <v>241</v>
      </c>
      <c r="AG21" s="1917"/>
      <c r="AH21" s="2177"/>
      <c r="AI21" s="2177"/>
      <c r="AJ21" s="2177"/>
      <c r="AK21" s="2177"/>
      <c r="AL21" s="2177"/>
      <c r="AM21" s="2177"/>
      <c r="AN21" s="2177"/>
      <c r="AO21" s="2177"/>
      <c r="AP21" s="2177"/>
      <c r="AQ21" s="2177"/>
      <c r="AR21" s="2177"/>
      <c r="AS21" s="2177"/>
      <c r="AT21" s="2177"/>
      <c r="AU21" s="2177"/>
      <c r="AV21" s="2177"/>
      <c r="AW21" s="2177"/>
      <c r="AX21" s="2177"/>
    </row>
    <row r="22" spans="1:50">
      <c r="A22" s="2177"/>
      <c r="B22" s="2177"/>
      <c r="C22" s="2197"/>
      <c r="D22" s="2201"/>
      <c r="E22" s="2200"/>
      <c r="F22" s="1879">
        <f t="shared" si="2"/>
        <v>0</v>
      </c>
      <c r="G22" s="2177"/>
      <c r="H22" s="1922" t="s">
        <v>1283</v>
      </c>
      <c r="I22" s="2927">
        <v>5</v>
      </c>
      <c r="J22" s="1932" t="s">
        <v>81</v>
      </c>
      <c r="K22" s="1922" t="s">
        <v>909</v>
      </c>
      <c r="L22" s="1929">
        <v>21.671000000000003</v>
      </c>
      <c r="M22" s="1929">
        <v>21.671000000000003</v>
      </c>
      <c r="N22" s="1923">
        <v>0.45055192610948414</v>
      </c>
      <c r="O22" s="1922">
        <v>10</v>
      </c>
      <c r="P22" s="1925" t="s">
        <v>1072</v>
      </c>
      <c r="Q22" s="1928">
        <v>12000</v>
      </c>
      <c r="R22" s="1928">
        <v>12000</v>
      </c>
      <c r="S22" s="1931">
        <f t="shared" si="3"/>
        <v>24000</v>
      </c>
      <c r="T22" s="1931">
        <f t="shared" si="4"/>
        <v>60000</v>
      </c>
      <c r="U22" s="1931">
        <f t="shared" si="5"/>
        <v>60000</v>
      </c>
      <c r="V22" s="1931">
        <f t="shared" si="6"/>
        <v>120000</v>
      </c>
      <c r="W22" s="1921">
        <f t="shared" si="7"/>
        <v>260052.00000000003</v>
      </c>
      <c r="X22" s="1921">
        <f t="shared" si="8"/>
        <v>260052.00000000003</v>
      </c>
      <c r="Y22" s="1921">
        <f t="shared" si="9"/>
        <v>520104.00000000006</v>
      </c>
      <c r="Z22" s="1946"/>
      <c r="AA22" s="1920" t="s">
        <v>241</v>
      </c>
      <c r="AB22" s="1920" t="s">
        <v>241</v>
      </c>
      <c r="AC22" s="1921" t="s">
        <v>241</v>
      </c>
      <c r="AD22" s="1921" t="s">
        <v>241</v>
      </c>
      <c r="AE22" s="1921" t="s">
        <v>241</v>
      </c>
      <c r="AF22" s="1921" t="s">
        <v>241</v>
      </c>
      <c r="AG22" s="1917"/>
      <c r="AH22" s="2177"/>
      <c r="AI22" s="2177"/>
      <c r="AJ22" s="2177"/>
      <c r="AK22" s="2177"/>
      <c r="AL22" s="2177"/>
      <c r="AM22" s="2177"/>
      <c r="AN22" s="2177"/>
      <c r="AO22" s="2177"/>
      <c r="AP22" s="2177"/>
      <c r="AQ22" s="2177"/>
      <c r="AR22" s="2177"/>
      <c r="AS22" s="2177"/>
      <c r="AT22" s="2177"/>
      <c r="AU22" s="2177"/>
      <c r="AV22" s="2177"/>
      <c r="AW22" s="2177"/>
      <c r="AX22" s="2177"/>
    </row>
    <row r="23" spans="1:50">
      <c r="A23" s="2177"/>
      <c r="B23" s="2177"/>
      <c r="C23" s="2197"/>
      <c r="D23" s="1900"/>
      <c r="E23" s="1899"/>
      <c r="F23" s="2191">
        <f t="shared" si="2"/>
        <v>0</v>
      </c>
      <c r="G23" s="2177"/>
      <c r="H23" s="1922" t="s">
        <v>1569</v>
      </c>
      <c r="I23" s="2927">
        <v>2</v>
      </c>
      <c r="J23" s="1932" t="s">
        <v>81</v>
      </c>
      <c r="K23" s="1922" t="s">
        <v>909</v>
      </c>
      <c r="L23" s="1929">
        <v>14.950000000000001</v>
      </c>
      <c r="M23" s="1929">
        <v>14.950000000000001</v>
      </c>
      <c r="N23" s="1923">
        <v>4.5055192610948414E-3</v>
      </c>
      <c r="O23" s="1922">
        <v>5</v>
      </c>
      <c r="P23" s="1925" t="s">
        <v>1072</v>
      </c>
      <c r="Q23" s="1928">
        <v>300</v>
      </c>
      <c r="R23" s="1928">
        <v>300</v>
      </c>
      <c r="S23" s="1931">
        <f t="shared" si="3"/>
        <v>600</v>
      </c>
      <c r="T23" s="1931">
        <f t="shared" si="4"/>
        <v>600</v>
      </c>
      <c r="U23" s="1931">
        <f t="shared" si="5"/>
        <v>600</v>
      </c>
      <c r="V23" s="1931">
        <f t="shared" si="6"/>
        <v>1200</v>
      </c>
      <c r="W23" s="1921">
        <f t="shared" si="7"/>
        <v>4485</v>
      </c>
      <c r="X23" s="1921">
        <f t="shared" si="8"/>
        <v>4485</v>
      </c>
      <c r="Y23" s="1921">
        <f t="shared" si="9"/>
        <v>8970</v>
      </c>
      <c r="Z23" s="1946"/>
      <c r="AA23" s="1920" t="s">
        <v>241</v>
      </c>
      <c r="AB23" s="1920" t="s">
        <v>241</v>
      </c>
      <c r="AC23" s="1921" t="s">
        <v>241</v>
      </c>
      <c r="AD23" s="1921" t="s">
        <v>241</v>
      </c>
      <c r="AE23" s="1921" t="s">
        <v>241</v>
      </c>
      <c r="AF23" s="1921" t="s">
        <v>241</v>
      </c>
      <c r="AG23" s="1917"/>
      <c r="AH23" s="2177"/>
      <c r="AI23" s="2177"/>
      <c r="AJ23" s="2177"/>
      <c r="AK23" s="2177"/>
      <c r="AL23" s="2177"/>
      <c r="AM23" s="2177"/>
      <c r="AN23" s="2177"/>
      <c r="AO23" s="2177"/>
      <c r="AP23" s="2177"/>
      <c r="AQ23" s="2177"/>
      <c r="AR23" s="2177"/>
      <c r="AS23" s="2177"/>
      <c r="AT23" s="2177"/>
      <c r="AU23" s="2177"/>
      <c r="AV23" s="2177"/>
      <c r="AW23" s="2177"/>
      <c r="AX23" s="2177"/>
    </row>
    <row r="24" spans="1:50">
      <c r="A24" s="2177"/>
      <c r="B24" s="2177"/>
      <c r="C24" s="2197"/>
      <c r="D24" s="1898"/>
      <c r="E24" s="1897"/>
      <c r="F24" s="2191">
        <f t="shared" si="2"/>
        <v>0</v>
      </c>
      <c r="G24" s="2177"/>
      <c r="H24" s="1922" t="s">
        <v>1285</v>
      </c>
      <c r="I24" s="2927">
        <v>50</v>
      </c>
      <c r="J24" s="1932" t="s">
        <v>81</v>
      </c>
      <c r="K24" s="1922" t="s">
        <v>909</v>
      </c>
      <c r="L24" s="1929">
        <v>237.25</v>
      </c>
      <c r="M24" s="1929">
        <v>237.25</v>
      </c>
      <c r="N24" s="1923">
        <v>5.6318990763685517E-2</v>
      </c>
      <c r="O24" s="1922">
        <v>10</v>
      </c>
      <c r="P24" s="1925" t="s">
        <v>1249</v>
      </c>
      <c r="Q24" s="1928">
        <v>150</v>
      </c>
      <c r="R24" s="1928">
        <v>150</v>
      </c>
      <c r="S24" s="1931">
        <f t="shared" si="3"/>
        <v>300</v>
      </c>
      <c r="T24" s="1931">
        <f t="shared" si="4"/>
        <v>7500</v>
      </c>
      <c r="U24" s="1931">
        <f t="shared" si="5"/>
        <v>7500</v>
      </c>
      <c r="V24" s="1931">
        <f t="shared" si="6"/>
        <v>15000</v>
      </c>
      <c r="W24" s="1921">
        <f t="shared" si="7"/>
        <v>35587.5</v>
      </c>
      <c r="X24" s="1921">
        <f t="shared" si="8"/>
        <v>35587.5</v>
      </c>
      <c r="Y24" s="1921">
        <f t="shared" si="9"/>
        <v>71175</v>
      </c>
      <c r="Z24" s="1946"/>
      <c r="AA24" s="1920" t="s">
        <v>241</v>
      </c>
      <c r="AB24" s="1920" t="s">
        <v>241</v>
      </c>
      <c r="AC24" s="1921" t="s">
        <v>241</v>
      </c>
      <c r="AD24" s="1921" t="s">
        <v>241</v>
      </c>
      <c r="AE24" s="1921" t="s">
        <v>241</v>
      </c>
      <c r="AF24" s="1921" t="s">
        <v>241</v>
      </c>
      <c r="AG24" s="1917"/>
      <c r="AH24" s="2177"/>
      <c r="AI24" s="2177"/>
      <c r="AJ24" s="2177"/>
      <c r="AK24" s="2177"/>
      <c r="AL24" s="2177"/>
      <c r="AM24" s="2177"/>
      <c r="AN24" s="2177"/>
      <c r="AO24" s="2177"/>
      <c r="AP24" s="2177"/>
      <c r="AQ24" s="2177"/>
      <c r="AR24" s="2177"/>
      <c r="AS24" s="2177"/>
      <c r="AT24" s="2177"/>
      <c r="AU24" s="2177"/>
      <c r="AV24" s="2177"/>
      <c r="AW24" s="2177"/>
      <c r="AX24" s="2177"/>
    </row>
    <row r="25" spans="1:50">
      <c r="A25" s="2177"/>
      <c r="B25" s="2177"/>
      <c r="C25" s="2197"/>
      <c r="D25" s="1896"/>
      <c r="E25" s="1899"/>
      <c r="F25" s="2191">
        <f t="shared" si="2"/>
        <v>0</v>
      </c>
      <c r="G25" s="2177"/>
      <c r="H25" s="1922" t="s">
        <v>1720</v>
      </c>
      <c r="I25" s="2927">
        <v>70000</v>
      </c>
      <c r="J25" s="1932" t="s">
        <v>81</v>
      </c>
      <c r="K25" s="1922" t="s">
        <v>1066</v>
      </c>
      <c r="L25" s="1929">
        <v>160000</v>
      </c>
      <c r="M25" s="1929">
        <v>160000</v>
      </c>
      <c r="N25" s="1923">
        <v>0.26282195689719906</v>
      </c>
      <c r="O25" s="1922">
        <v>10</v>
      </c>
      <c r="P25" s="1925" t="s">
        <v>1249</v>
      </c>
      <c r="Q25" s="1928">
        <v>0.5</v>
      </c>
      <c r="R25" s="1928">
        <v>0.5</v>
      </c>
      <c r="S25" s="1931">
        <f t="shared" si="3"/>
        <v>1</v>
      </c>
      <c r="T25" s="1931">
        <f t="shared" si="4"/>
        <v>35000</v>
      </c>
      <c r="U25" s="1931">
        <f t="shared" si="5"/>
        <v>35000</v>
      </c>
      <c r="V25" s="1931">
        <f t="shared" si="6"/>
        <v>70000</v>
      </c>
      <c r="W25" s="1921">
        <f t="shared" si="7"/>
        <v>80000</v>
      </c>
      <c r="X25" s="1921">
        <f t="shared" si="8"/>
        <v>80000</v>
      </c>
      <c r="Y25" s="1921">
        <f t="shared" si="9"/>
        <v>160000</v>
      </c>
      <c r="Z25" s="1946"/>
      <c r="AA25" s="1920" t="s">
        <v>241</v>
      </c>
      <c r="AB25" s="1920" t="s">
        <v>241</v>
      </c>
      <c r="AC25" s="1921" t="s">
        <v>241</v>
      </c>
      <c r="AD25" s="1921" t="s">
        <v>241</v>
      </c>
      <c r="AE25" s="1921" t="s">
        <v>241</v>
      </c>
      <c r="AF25" s="1921" t="s">
        <v>241</v>
      </c>
      <c r="AG25" s="1917"/>
      <c r="AH25" s="2177"/>
      <c r="AI25" s="2177"/>
      <c r="AJ25" s="2177"/>
      <c r="AK25" s="2177"/>
      <c r="AL25" s="2177"/>
      <c r="AM25" s="2177"/>
      <c r="AN25" s="2177"/>
      <c r="AO25" s="2177"/>
      <c r="AP25" s="2177"/>
      <c r="AQ25" s="2177"/>
      <c r="AR25" s="2177"/>
      <c r="AS25" s="2177"/>
      <c r="AT25" s="2177"/>
      <c r="AU25" s="2177"/>
      <c r="AV25" s="2177"/>
      <c r="AW25" s="2177"/>
      <c r="AX25" s="2177"/>
    </row>
    <row r="26" spans="1:50">
      <c r="A26" s="2177"/>
      <c r="B26" s="2177"/>
      <c r="C26" s="1877"/>
      <c r="D26" s="1892"/>
      <c r="E26" s="1884"/>
      <c r="F26" s="1892"/>
      <c r="G26" s="2177"/>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c r="AH26" s="2177"/>
      <c r="AI26" s="2177"/>
      <c r="AJ26" s="2177"/>
      <c r="AK26" s="2177"/>
      <c r="AL26" s="2177"/>
      <c r="AM26" s="2177"/>
      <c r="AN26" s="2177"/>
      <c r="AO26" s="2177"/>
      <c r="AP26" s="2177"/>
      <c r="AQ26" s="2177"/>
      <c r="AR26" s="2177"/>
      <c r="AS26" s="2177"/>
      <c r="AT26" s="2177"/>
      <c r="AU26" s="2177"/>
      <c r="AV26" s="2177"/>
      <c r="AW26" s="2177"/>
      <c r="AX26" s="2177"/>
    </row>
    <row r="27" spans="1:50">
      <c r="A27" s="2177"/>
      <c r="B27" s="2177"/>
      <c r="C27" s="2106" t="s">
        <v>48</v>
      </c>
      <c r="D27" s="2158">
        <f>SUM(D29:D32)</f>
        <v>6045.2211000000007</v>
      </c>
      <c r="E27" s="1926">
        <f>SUM(E29:E32)</f>
        <v>6317.1320000000005</v>
      </c>
      <c r="F27" s="2157">
        <f>D27+E27</f>
        <v>12362.3531</v>
      </c>
      <c r="G27" s="2177"/>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c r="AH27" s="2177"/>
      <c r="AI27" s="2177"/>
      <c r="AJ27" s="2177"/>
      <c r="AK27" s="2177"/>
      <c r="AL27" s="2177"/>
      <c r="AM27" s="2177"/>
      <c r="AN27" s="2177"/>
      <c r="AO27" s="2177"/>
      <c r="AP27" s="2177"/>
      <c r="AQ27" s="2177"/>
      <c r="AR27" s="2177"/>
      <c r="AS27" s="2177"/>
      <c r="AT27" s="2177"/>
      <c r="AU27" s="2177"/>
      <c r="AV27" s="2177"/>
      <c r="AW27" s="2177"/>
      <c r="AX27" s="2177"/>
    </row>
    <row r="28" spans="1:50">
      <c r="A28" s="2177"/>
      <c r="B28" s="2177"/>
      <c r="C28" s="1909" t="s">
        <v>315</v>
      </c>
      <c r="D28" s="1912">
        <v>0.66700000000000004</v>
      </c>
      <c r="E28" s="1913">
        <v>0.68</v>
      </c>
      <c r="F28" s="1949"/>
      <c r="G28" s="2177"/>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c r="AH28" s="2177"/>
      <c r="AI28" s="2177"/>
      <c r="AJ28" s="2177"/>
      <c r="AK28" s="2177"/>
      <c r="AL28" s="2177"/>
      <c r="AM28" s="2177"/>
      <c r="AN28" s="2177"/>
      <c r="AO28" s="2177"/>
      <c r="AP28" s="2177"/>
      <c r="AQ28" s="2177"/>
      <c r="AR28" s="2177"/>
      <c r="AS28" s="2177"/>
      <c r="AT28" s="2177"/>
      <c r="AU28" s="2177"/>
      <c r="AV28" s="2177"/>
      <c r="AW28" s="2177"/>
      <c r="AX28" s="2177"/>
    </row>
    <row r="29" spans="1:50">
      <c r="A29" s="2177"/>
      <c r="B29" s="2177"/>
      <c r="C29" s="2197" t="s">
        <v>958</v>
      </c>
      <c r="D29" s="2202">
        <v>6045.2211000000007</v>
      </c>
      <c r="E29" s="2163">
        <v>6317.1320000000005</v>
      </c>
      <c r="F29" s="2191">
        <f t="shared" si="2"/>
        <v>12362.3531</v>
      </c>
      <c r="G29" s="2177"/>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c r="AH29" s="2177"/>
      <c r="AI29" s="2177"/>
      <c r="AJ29" s="2177"/>
      <c r="AK29" s="2177"/>
      <c r="AL29" s="2177"/>
      <c r="AM29" s="2177"/>
      <c r="AN29" s="2177"/>
      <c r="AO29" s="2177"/>
      <c r="AP29" s="2177"/>
      <c r="AQ29" s="2177"/>
      <c r="AR29" s="2177"/>
      <c r="AS29" s="2177"/>
      <c r="AT29" s="2177"/>
      <c r="AU29" s="2177"/>
      <c r="AV29" s="2177"/>
      <c r="AW29" s="2177"/>
      <c r="AX29" s="2177"/>
    </row>
    <row r="30" spans="1:50">
      <c r="A30" s="2177"/>
      <c r="B30" s="2177"/>
      <c r="C30" s="2197" t="s">
        <v>959</v>
      </c>
      <c r="D30" s="1973">
        <v>0</v>
      </c>
      <c r="E30" s="2163">
        <v>0</v>
      </c>
      <c r="F30" s="2191">
        <f t="shared" si="2"/>
        <v>0</v>
      </c>
      <c r="G30" s="2177"/>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c r="AH30" s="2177"/>
      <c r="AI30" s="2177"/>
      <c r="AJ30" s="2177"/>
      <c r="AK30" s="2177"/>
      <c r="AL30" s="2177"/>
      <c r="AM30" s="2177"/>
      <c r="AN30" s="2177"/>
      <c r="AO30" s="2177"/>
      <c r="AP30" s="2177"/>
      <c r="AQ30" s="2177"/>
      <c r="AR30" s="2177"/>
      <c r="AS30" s="2177"/>
      <c r="AT30" s="2177"/>
      <c r="AU30" s="2177"/>
      <c r="AV30" s="2177"/>
      <c r="AW30" s="2177"/>
      <c r="AX30" s="2177"/>
    </row>
    <row r="31" spans="1:50">
      <c r="A31" s="2177"/>
      <c r="B31" s="2177"/>
      <c r="C31" s="1901"/>
      <c r="D31" s="1898"/>
      <c r="E31" s="1897"/>
      <c r="F31" s="1889"/>
      <c r="G31" s="2177"/>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c r="AH31" s="2177"/>
      <c r="AI31" s="2177"/>
      <c r="AJ31" s="2177"/>
      <c r="AK31" s="2177"/>
      <c r="AL31" s="2177"/>
      <c r="AM31" s="2177"/>
      <c r="AN31" s="2177"/>
      <c r="AO31" s="2177"/>
      <c r="AP31" s="2177"/>
      <c r="AQ31" s="2177"/>
      <c r="AR31" s="2177"/>
      <c r="AS31" s="2177"/>
      <c r="AT31" s="2177"/>
      <c r="AU31" s="2177"/>
      <c r="AV31" s="2177"/>
      <c r="AW31" s="2177"/>
      <c r="AX31" s="2177"/>
    </row>
    <row r="32" spans="1:50">
      <c r="A32" s="2177"/>
      <c r="B32" s="2177"/>
      <c r="C32" s="1901"/>
      <c r="D32" s="1896"/>
      <c r="E32" s="1899"/>
      <c r="F32" s="1890"/>
      <c r="G32" s="2177"/>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c r="AH32" s="2177"/>
      <c r="AI32" s="2177"/>
      <c r="AJ32" s="2177"/>
      <c r="AK32" s="2177"/>
      <c r="AL32" s="2177"/>
      <c r="AM32" s="2177"/>
      <c r="AN32" s="2177"/>
      <c r="AO32" s="2177"/>
      <c r="AP32" s="2177"/>
      <c r="AQ32" s="2177"/>
      <c r="AR32" s="2177"/>
      <c r="AS32" s="2177"/>
      <c r="AT32" s="2177"/>
      <c r="AU32" s="2177"/>
      <c r="AV32" s="2177"/>
      <c r="AW32" s="2177"/>
      <c r="AX32" s="2177"/>
    </row>
    <row r="33" spans="1:50">
      <c r="A33" s="2177"/>
      <c r="B33" s="2177"/>
      <c r="C33" s="1952"/>
      <c r="D33" s="1958"/>
      <c r="E33" s="1955"/>
      <c r="F33" s="1958"/>
      <c r="G33" s="2177"/>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c r="AH33" s="2177"/>
      <c r="AI33" s="2177"/>
      <c r="AJ33" s="2177"/>
      <c r="AK33" s="2177"/>
      <c r="AL33" s="2177"/>
      <c r="AM33" s="2177"/>
      <c r="AN33" s="2177"/>
      <c r="AO33" s="2177"/>
      <c r="AP33" s="2177"/>
      <c r="AQ33" s="2177"/>
      <c r="AR33" s="2177"/>
      <c r="AS33" s="2177"/>
      <c r="AT33" s="2177"/>
      <c r="AU33" s="2177"/>
      <c r="AV33" s="2177"/>
      <c r="AW33" s="2177"/>
      <c r="AX33" s="2177"/>
    </row>
    <row r="34" spans="1:50">
      <c r="A34" s="1812" t="s">
        <v>1492</v>
      </c>
      <c r="B34" s="2177"/>
      <c r="C34" s="2106" t="s">
        <v>49</v>
      </c>
      <c r="D34" s="2158">
        <f>SUM(D35:D38)</f>
        <v>10000</v>
      </c>
      <c r="E34" s="1926">
        <f>SUM(E35:E38)</f>
        <v>10000</v>
      </c>
      <c r="F34" s="2157">
        <f>D34+E34</f>
        <v>20000</v>
      </c>
      <c r="G34" s="2177"/>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c r="AH34" s="2177"/>
      <c r="AI34" s="2177"/>
      <c r="AJ34" s="2177"/>
      <c r="AK34" s="2177"/>
      <c r="AL34" s="2177"/>
      <c r="AM34" s="2177"/>
      <c r="AN34" s="2177"/>
      <c r="AO34" s="2177"/>
      <c r="AP34" s="2177"/>
      <c r="AQ34" s="2177"/>
      <c r="AR34" s="2177"/>
      <c r="AS34" s="2177"/>
      <c r="AT34" s="2177"/>
      <c r="AU34" s="2177"/>
      <c r="AV34" s="2177"/>
      <c r="AW34" s="2177"/>
      <c r="AX34" s="2177"/>
    </row>
    <row r="35" spans="1:50">
      <c r="A35" s="2945" t="s">
        <v>278</v>
      </c>
      <c r="B35" s="2177"/>
      <c r="C35" s="2197"/>
      <c r="D35" s="2202">
        <v>10000</v>
      </c>
      <c r="E35" s="2203">
        <v>10000</v>
      </c>
      <c r="F35" s="2191">
        <f t="shared" ref="F35:F44" si="10">SUM(D35:E35)</f>
        <v>20000</v>
      </c>
      <c r="G35" s="2177"/>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c r="AH35" s="2177"/>
      <c r="AI35" s="2177"/>
      <c r="AJ35" s="2177"/>
      <c r="AK35" s="2177"/>
      <c r="AL35" s="2177"/>
      <c r="AM35" s="2177"/>
      <c r="AN35" s="2177"/>
      <c r="AO35" s="2177"/>
      <c r="AP35" s="2177"/>
      <c r="AQ35" s="2177"/>
      <c r="AR35" s="2177"/>
      <c r="AS35" s="2177"/>
      <c r="AT35" s="2177"/>
      <c r="AU35" s="2177"/>
      <c r="AV35" s="2177"/>
      <c r="AW35" s="2177"/>
      <c r="AX35" s="2177"/>
    </row>
    <row r="36" spans="1:50">
      <c r="A36" s="2945" t="s">
        <v>6</v>
      </c>
      <c r="B36" s="2177"/>
      <c r="C36" s="2197"/>
      <c r="D36" s="2202"/>
      <c r="E36" s="2203"/>
      <c r="F36" s="2191">
        <f t="shared" si="10"/>
        <v>0</v>
      </c>
      <c r="G36" s="2177"/>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c r="AH36" s="2177"/>
      <c r="AI36" s="2177"/>
      <c r="AJ36" s="2177"/>
      <c r="AK36" s="2177"/>
      <c r="AL36" s="2177"/>
      <c r="AM36" s="2177"/>
      <c r="AN36" s="2177"/>
      <c r="AO36" s="2177"/>
      <c r="AP36" s="2177"/>
      <c r="AQ36" s="2177"/>
      <c r="AR36" s="2177"/>
      <c r="AS36" s="2177"/>
      <c r="AT36" s="2177"/>
      <c r="AU36" s="2177"/>
      <c r="AV36" s="2177"/>
      <c r="AW36" s="2177"/>
      <c r="AX36" s="2177"/>
    </row>
    <row r="37" spans="1:50">
      <c r="A37" s="2945" t="s">
        <v>1494</v>
      </c>
      <c r="B37" s="2177"/>
      <c r="C37" s="2197"/>
      <c r="D37" s="2202"/>
      <c r="E37" s="2203"/>
      <c r="F37" s="2191">
        <f t="shared" si="10"/>
        <v>0</v>
      </c>
      <c r="G37" s="2177"/>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c r="AH37" s="2177"/>
      <c r="AI37" s="2177"/>
      <c r="AJ37" s="2177"/>
      <c r="AK37" s="2177"/>
      <c r="AL37" s="2177"/>
      <c r="AM37" s="2177"/>
      <c r="AN37" s="2177"/>
      <c r="AO37" s="2177"/>
      <c r="AP37" s="2177"/>
      <c r="AQ37" s="2177"/>
      <c r="AR37" s="2177"/>
      <c r="AS37" s="2177"/>
      <c r="AT37" s="2177"/>
      <c r="AU37" s="2177"/>
      <c r="AV37" s="2177"/>
      <c r="AW37" s="2177"/>
      <c r="AX37" s="2177"/>
    </row>
    <row r="38" spans="1:50">
      <c r="A38" s="2945" t="s">
        <v>31</v>
      </c>
      <c r="B38" s="2177"/>
      <c r="C38" s="2197"/>
      <c r="D38" s="2202"/>
      <c r="E38" s="2203"/>
      <c r="F38" s="2191">
        <f t="shared" si="10"/>
        <v>0</v>
      </c>
      <c r="G38" s="2177"/>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c r="AH38" s="2177"/>
      <c r="AI38" s="2177"/>
      <c r="AJ38" s="2177"/>
      <c r="AK38" s="2177"/>
      <c r="AL38" s="2177"/>
      <c r="AM38" s="2177"/>
      <c r="AN38" s="2177"/>
      <c r="AO38" s="2177"/>
      <c r="AP38" s="2177"/>
      <c r="AQ38" s="2177"/>
      <c r="AR38" s="2177"/>
      <c r="AS38" s="2177"/>
      <c r="AT38" s="2177"/>
      <c r="AU38" s="2177"/>
      <c r="AV38" s="2177"/>
      <c r="AW38" s="2177"/>
      <c r="AX38" s="2177"/>
    </row>
    <row r="39" spans="1:50">
      <c r="A39" s="2193"/>
      <c r="B39" s="2177"/>
      <c r="C39" s="1952"/>
      <c r="D39" s="1958"/>
      <c r="E39" s="1955"/>
      <c r="F39" s="1958"/>
      <c r="G39" s="2177"/>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c r="AH39" s="2177"/>
      <c r="AI39" s="2177"/>
      <c r="AJ39" s="2177"/>
      <c r="AK39" s="2177"/>
      <c r="AL39" s="2177"/>
      <c r="AM39" s="2177"/>
      <c r="AN39" s="2177"/>
      <c r="AO39" s="2177"/>
      <c r="AP39" s="2177"/>
      <c r="AQ39" s="2177"/>
      <c r="AR39" s="2177"/>
      <c r="AS39" s="2177"/>
      <c r="AT39" s="2177"/>
      <c r="AU39" s="2177"/>
      <c r="AV39" s="2177"/>
      <c r="AW39" s="2177"/>
      <c r="AX39" s="2177"/>
    </row>
    <row r="40" spans="1:50">
      <c r="A40" s="2193"/>
      <c r="B40" s="2177"/>
      <c r="C40" s="2106" t="s">
        <v>506</v>
      </c>
      <c r="D40" s="2158">
        <f>SUM(D41:D44)</f>
        <v>500</v>
      </c>
      <c r="E40" s="1926">
        <f>SUM(E41:E44)</f>
        <v>500</v>
      </c>
      <c r="F40" s="2157">
        <f>D40+E40</f>
        <v>1000</v>
      </c>
      <c r="G40" s="2177"/>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c r="AH40" s="2177"/>
      <c r="AI40" s="2177"/>
      <c r="AJ40" s="2177"/>
      <c r="AK40" s="2177"/>
      <c r="AL40" s="2177"/>
      <c r="AM40" s="2177"/>
      <c r="AN40" s="2177"/>
      <c r="AO40" s="2177"/>
      <c r="AP40" s="2177"/>
      <c r="AQ40" s="2177"/>
      <c r="AR40" s="2177"/>
      <c r="AS40" s="2177"/>
      <c r="AT40" s="2177"/>
      <c r="AU40" s="2177"/>
      <c r="AV40" s="2177"/>
      <c r="AW40" s="2177"/>
      <c r="AX40" s="2177"/>
    </row>
    <row r="41" spans="1:50">
      <c r="A41" s="2177"/>
      <c r="B41" s="2177"/>
      <c r="C41" s="2197"/>
      <c r="D41" s="2202">
        <v>500</v>
      </c>
      <c r="E41" s="2203">
        <v>500</v>
      </c>
      <c r="F41" s="2191">
        <f t="shared" si="10"/>
        <v>1000</v>
      </c>
      <c r="G41" s="2177"/>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c r="AH41" s="2177"/>
      <c r="AI41" s="2177"/>
      <c r="AJ41" s="2177"/>
      <c r="AK41" s="2177"/>
      <c r="AL41" s="2177"/>
      <c r="AM41" s="2177"/>
      <c r="AN41" s="2177"/>
      <c r="AO41" s="2177"/>
      <c r="AP41" s="2177"/>
      <c r="AQ41" s="2177"/>
      <c r="AR41" s="2177"/>
      <c r="AS41" s="2177"/>
      <c r="AT41" s="2177"/>
      <c r="AU41" s="2177"/>
      <c r="AV41" s="2177"/>
      <c r="AW41" s="2177"/>
      <c r="AX41" s="2177"/>
    </row>
    <row r="42" spans="1:50">
      <c r="A42" s="2177"/>
      <c r="B42" s="2177"/>
      <c r="C42" s="2197"/>
      <c r="D42" s="2202"/>
      <c r="E42" s="2203"/>
      <c r="F42" s="2191">
        <f t="shared" si="10"/>
        <v>0</v>
      </c>
      <c r="G42" s="2177"/>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c r="AH42" s="2177"/>
      <c r="AI42" s="2177"/>
      <c r="AJ42" s="2177"/>
      <c r="AK42" s="2177"/>
      <c r="AL42" s="2177"/>
      <c r="AM42" s="2177"/>
      <c r="AN42" s="2177"/>
      <c r="AO42" s="2177"/>
      <c r="AP42" s="2177"/>
      <c r="AQ42" s="2177"/>
      <c r="AR42" s="2177"/>
      <c r="AS42" s="2177"/>
      <c r="AT42" s="2177"/>
      <c r="AU42" s="2177"/>
      <c r="AV42" s="2177"/>
      <c r="AW42" s="2177"/>
      <c r="AX42" s="2177"/>
    </row>
    <row r="43" spans="1:50">
      <c r="A43" s="2177"/>
      <c r="B43" s="2177"/>
      <c r="C43" s="2197"/>
      <c r="D43" s="2202"/>
      <c r="E43" s="2203"/>
      <c r="F43" s="2191">
        <f t="shared" si="10"/>
        <v>0</v>
      </c>
      <c r="G43" s="2177"/>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c r="AH43" s="2177"/>
      <c r="AI43" s="2177"/>
      <c r="AJ43" s="2177"/>
      <c r="AK43" s="2177"/>
      <c r="AL43" s="2177"/>
      <c r="AM43" s="2177"/>
      <c r="AN43" s="2177"/>
      <c r="AO43" s="2177"/>
      <c r="AP43" s="2177"/>
      <c r="AQ43" s="2177"/>
      <c r="AR43" s="2177"/>
      <c r="AS43" s="2177"/>
      <c r="AT43" s="2177"/>
      <c r="AU43" s="2177"/>
      <c r="AV43" s="2177"/>
      <c r="AW43" s="2177"/>
      <c r="AX43" s="2177"/>
    </row>
    <row r="44" spans="1:50">
      <c r="A44" s="2177"/>
      <c r="B44" s="2177"/>
      <c r="C44" s="2197"/>
      <c r="D44" s="2202"/>
      <c r="E44" s="2203"/>
      <c r="F44" s="2191">
        <f t="shared" si="10"/>
        <v>0</v>
      </c>
      <c r="G44" s="2177"/>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c r="AH44" s="2177"/>
      <c r="AI44" s="2177"/>
      <c r="AJ44" s="2177"/>
      <c r="AK44" s="2177"/>
      <c r="AL44" s="2177"/>
      <c r="AM44" s="2177"/>
      <c r="AN44" s="2177"/>
      <c r="AO44" s="2177"/>
      <c r="AP44" s="2177"/>
      <c r="AQ44" s="2177"/>
      <c r="AR44" s="2177"/>
      <c r="AS44" s="2177"/>
      <c r="AT44" s="2177"/>
      <c r="AU44" s="2177"/>
      <c r="AV44" s="2177"/>
      <c r="AW44" s="2177"/>
      <c r="AX44" s="2177"/>
    </row>
    <row r="45" spans="1:50">
      <c r="A45" s="2177"/>
      <c r="B45" s="2177"/>
      <c r="C45" s="1952"/>
      <c r="D45" s="1958"/>
      <c r="E45" s="1955"/>
      <c r="F45" s="1958"/>
      <c r="G45" s="2177"/>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c r="AH45" s="2177"/>
      <c r="AI45" s="2177"/>
      <c r="AJ45" s="2177"/>
      <c r="AK45" s="2177"/>
      <c r="AL45" s="2177"/>
      <c r="AM45" s="2177"/>
      <c r="AN45" s="2177"/>
      <c r="AO45" s="2177"/>
      <c r="AP45" s="2177"/>
      <c r="AQ45" s="2177"/>
      <c r="AR45" s="2177"/>
      <c r="AS45" s="2177"/>
      <c r="AT45" s="2177"/>
      <c r="AU45" s="2177"/>
      <c r="AV45" s="2177"/>
      <c r="AW45" s="2177"/>
      <c r="AX45" s="2177"/>
    </row>
    <row r="46" spans="1:50">
      <c r="A46" s="2177"/>
      <c r="B46" s="2177"/>
      <c r="C46" s="2106" t="s">
        <v>50</v>
      </c>
      <c r="D46" s="2158">
        <f>SUM(D47:D50)</f>
        <v>0</v>
      </c>
      <c r="E46" s="1926">
        <f>SUM(E47:E50)</f>
        <v>0</v>
      </c>
      <c r="F46" s="2157">
        <f>D46+E46</f>
        <v>0</v>
      </c>
      <c r="G46" s="2177"/>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c r="AH46" s="2177"/>
      <c r="AI46" s="2177"/>
      <c r="AJ46" s="2177"/>
      <c r="AK46" s="2177"/>
      <c r="AL46" s="2177"/>
      <c r="AM46" s="2177"/>
      <c r="AN46" s="2177"/>
      <c r="AO46" s="2177"/>
      <c r="AP46" s="2177"/>
      <c r="AQ46" s="2177"/>
      <c r="AR46" s="2177"/>
      <c r="AS46" s="2177"/>
      <c r="AT46" s="2177"/>
      <c r="AU46" s="2177"/>
      <c r="AV46" s="2177"/>
      <c r="AW46" s="2177"/>
      <c r="AX46" s="2177"/>
    </row>
    <row r="47" spans="1:50">
      <c r="A47" s="2177"/>
      <c r="B47" s="2177"/>
      <c r="C47" s="2197"/>
      <c r="D47" s="2202"/>
      <c r="E47" s="2203"/>
      <c r="F47" s="2191">
        <f t="shared" ref="F47:F62" si="11">SUM(D47:E47)</f>
        <v>0</v>
      </c>
      <c r="G47" s="2177"/>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c r="AH47" s="2177"/>
      <c r="AI47" s="2177"/>
      <c r="AJ47" s="2177"/>
      <c r="AK47" s="2177"/>
      <c r="AL47" s="2177"/>
      <c r="AM47" s="2177"/>
      <c r="AN47" s="2177"/>
      <c r="AO47" s="2177"/>
      <c r="AP47" s="2177"/>
      <c r="AQ47" s="2177"/>
      <c r="AR47" s="2177"/>
      <c r="AS47" s="2177"/>
      <c r="AT47" s="2177"/>
      <c r="AU47" s="2177"/>
      <c r="AV47" s="2177"/>
      <c r="AW47" s="2177"/>
      <c r="AX47" s="2177"/>
    </row>
    <row r="48" spans="1:50">
      <c r="A48" s="2177"/>
      <c r="B48" s="2177"/>
      <c r="C48" s="2197"/>
      <c r="D48" s="2202"/>
      <c r="E48" s="2203"/>
      <c r="F48" s="2191">
        <f t="shared" si="11"/>
        <v>0</v>
      </c>
      <c r="G48" s="2177"/>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c r="AH48" s="2177"/>
      <c r="AI48" s="2177"/>
      <c r="AJ48" s="2177"/>
      <c r="AK48" s="2177"/>
      <c r="AL48" s="2177"/>
      <c r="AM48" s="2177"/>
      <c r="AN48" s="2177"/>
      <c r="AO48" s="2177"/>
      <c r="AP48" s="2177"/>
      <c r="AQ48" s="2177"/>
      <c r="AR48" s="2177"/>
      <c r="AS48" s="2177"/>
      <c r="AT48" s="2177"/>
      <c r="AU48" s="2177"/>
      <c r="AV48" s="2177"/>
      <c r="AW48" s="2177"/>
      <c r="AX48" s="2177"/>
    </row>
    <row r="49" spans="1:50">
      <c r="A49" s="2177"/>
      <c r="B49" s="2177"/>
      <c r="C49" s="2197"/>
      <c r="D49" s="2202"/>
      <c r="E49" s="2203"/>
      <c r="F49" s="2191">
        <f t="shared" si="11"/>
        <v>0</v>
      </c>
      <c r="G49" s="2177"/>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c r="AH49" s="2177"/>
      <c r="AI49" s="2177"/>
      <c r="AJ49" s="2177"/>
      <c r="AK49" s="2177"/>
      <c r="AL49" s="2177"/>
      <c r="AM49" s="2177"/>
      <c r="AN49" s="2177"/>
      <c r="AO49" s="2177"/>
      <c r="AP49" s="2177"/>
      <c r="AQ49" s="2177"/>
      <c r="AR49" s="2177"/>
      <c r="AS49" s="2177"/>
      <c r="AT49" s="2177"/>
      <c r="AU49" s="2177"/>
      <c r="AV49" s="2177"/>
      <c r="AW49" s="2177"/>
      <c r="AX49" s="2177"/>
    </row>
    <row r="50" spans="1:50">
      <c r="A50" s="2177"/>
      <c r="B50" s="2177"/>
      <c r="C50" s="2197"/>
      <c r="D50" s="2202"/>
      <c r="E50" s="2203"/>
      <c r="F50" s="2191">
        <f t="shared" si="11"/>
        <v>0</v>
      </c>
      <c r="G50" s="2177"/>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c r="AH50" s="2177"/>
      <c r="AI50" s="2177"/>
      <c r="AJ50" s="2177"/>
      <c r="AK50" s="2177"/>
      <c r="AL50" s="2177"/>
      <c r="AM50" s="2177"/>
      <c r="AN50" s="2177"/>
      <c r="AO50" s="2177"/>
      <c r="AP50" s="2177"/>
      <c r="AQ50" s="2177"/>
      <c r="AR50" s="2177"/>
      <c r="AS50" s="2177"/>
      <c r="AT50" s="2177"/>
      <c r="AU50" s="2177"/>
      <c r="AV50" s="2177"/>
      <c r="AW50" s="2177"/>
      <c r="AX50" s="2177"/>
    </row>
    <row r="51" spans="1:50">
      <c r="A51" s="2177"/>
      <c r="B51" s="2177"/>
      <c r="C51" s="1952"/>
      <c r="D51" s="1958"/>
      <c r="E51" s="1955"/>
      <c r="F51" s="1958"/>
      <c r="G51" s="2177"/>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c r="AH51" s="2177"/>
      <c r="AI51" s="2177"/>
      <c r="AJ51" s="2177"/>
      <c r="AK51" s="2177"/>
      <c r="AL51" s="2177"/>
      <c r="AM51" s="2177"/>
      <c r="AN51" s="2177"/>
      <c r="AO51" s="2177"/>
      <c r="AP51" s="2177"/>
      <c r="AQ51" s="2177"/>
      <c r="AR51" s="2177"/>
      <c r="AS51" s="2177"/>
      <c r="AT51" s="2177"/>
      <c r="AU51" s="2177"/>
      <c r="AV51" s="2177"/>
      <c r="AW51" s="2177"/>
      <c r="AX51" s="2177"/>
    </row>
    <row r="52" spans="1:50">
      <c r="A52" s="2177"/>
      <c r="B52" s="2177"/>
      <c r="C52" s="2106" t="s">
        <v>51</v>
      </c>
      <c r="D52" s="2158">
        <f>SUM(D53:D56)</f>
        <v>500</v>
      </c>
      <c r="E52" s="1926">
        <f>SUM(E53:E56)</f>
        <v>500</v>
      </c>
      <c r="F52" s="2157">
        <f>D52+E52</f>
        <v>1000</v>
      </c>
      <c r="G52" s="2177"/>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c r="AH52" s="2177"/>
      <c r="AI52" s="2177"/>
      <c r="AJ52" s="2177"/>
      <c r="AK52" s="2177"/>
      <c r="AL52" s="2177"/>
      <c r="AM52" s="2177"/>
      <c r="AN52" s="2177"/>
      <c r="AO52" s="2177"/>
      <c r="AP52" s="2177"/>
      <c r="AQ52" s="2177"/>
      <c r="AR52" s="2177"/>
      <c r="AS52" s="2177"/>
      <c r="AT52" s="2177"/>
      <c r="AU52" s="2177"/>
      <c r="AV52" s="2177"/>
      <c r="AW52" s="2177"/>
      <c r="AX52" s="2177"/>
    </row>
    <row r="53" spans="1:50">
      <c r="A53" s="2177"/>
      <c r="B53" s="2177"/>
      <c r="C53" s="2197"/>
      <c r="D53" s="2202">
        <v>500</v>
      </c>
      <c r="E53" s="2163">
        <v>500</v>
      </c>
      <c r="F53" s="2191">
        <f t="shared" si="11"/>
        <v>1000</v>
      </c>
      <c r="G53" s="2177"/>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c r="AH53" s="2177"/>
      <c r="AI53" s="2177"/>
      <c r="AJ53" s="2177"/>
      <c r="AK53" s="2177"/>
      <c r="AL53" s="2177"/>
      <c r="AM53" s="2177"/>
      <c r="AN53" s="2177"/>
      <c r="AO53" s="2177"/>
      <c r="AP53" s="2177"/>
      <c r="AQ53" s="2177"/>
      <c r="AR53" s="2177"/>
      <c r="AS53" s="2177"/>
      <c r="AT53" s="2177"/>
      <c r="AU53" s="2177"/>
      <c r="AV53" s="2177"/>
      <c r="AW53" s="2177"/>
      <c r="AX53" s="2177"/>
    </row>
    <row r="54" spans="1:50">
      <c r="A54" s="2177"/>
      <c r="B54" s="2177"/>
      <c r="C54" s="2197"/>
      <c r="D54" s="2202"/>
      <c r="E54" s="2163"/>
      <c r="F54" s="2191">
        <f t="shared" si="11"/>
        <v>0</v>
      </c>
      <c r="G54" s="2177"/>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c r="AH54" s="2177"/>
      <c r="AI54" s="2177"/>
      <c r="AJ54" s="2177"/>
      <c r="AK54" s="2177"/>
      <c r="AL54" s="2177"/>
      <c r="AM54" s="2177"/>
      <c r="AN54" s="2177"/>
      <c r="AO54" s="2177"/>
      <c r="AP54" s="2177"/>
      <c r="AQ54" s="2177"/>
      <c r="AR54" s="2177"/>
      <c r="AS54" s="2177"/>
      <c r="AT54" s="2177"/>
      <c r="AU54" s="2177"/>
      <c r="AV54" s="2177"/>
      <c r="AW54" s="2177"/>
      <c r="AX54" s="2177"/>
    </row>
    <row r="55" spans="1:50">
      <c r="A55" s="2177"/>
      <c r="B55" s="2177"/>
      <c r="C55" s="2197"/>
      <c r="D55" s="2202"/>
      <c r="E55" s="2163"/>
      <c r="F55" s="2191">
        <f t="shared" si="11"/>
        <v>0</v>
      </c>
      <c r="G55" s="2177"/>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c r="AH55" s="2177"/>
      <c r="AI55" s="2177"/>
      <c r="AJ55" s="2177"/>
      <c r="AK55" s="2177"/>
      <c r="AL55" s="2177"/>
      <c r="AM55" s="2177"/>
      <c r="AN55" s="2177"/>
      <c r="AO55" s="2177"/>
      <c r="AP55" s="2177"/>
      <c r="AQ55" s="2177"/>
      <c r="AR55" s="2177"/>
      <c r="AS55" s="2177"/>
      <c r="AT55" s="2177"/>
      <c r="AU55" s="2177"/>
      <c r="AV55" s="2177"/>
      <c r="AW55" s="2177"/>
      <c r="AX55" s="2177"/>
    </row>
    <row r="56" spans="1:50">
      <c r="A56" s="2177"/>
      <c r="B56" s="2177"/>
      <c r="C56" s="2197"/>
      <c r="D56" s="2202"/>
      <c r="E56" s="2163"/>
      <c r="F56" s="2191">
        <f t="shared" si="11"/>
        <v>0</v>
      </c>
      <c r="G56" s="2177"/>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c r="AH56" s="2177"/>
      <c r="AI56" s="2177"/>
      <c r="AJ56" s="2177"/>
      <c r="AK56" s="2177"/>
      <c r="AL56" s="2177"/>
      <c r="AM56" s="2177"/>
      <c r="AN56" s="2177"/>
      <c r="AO56" s="2177"/>
      <c r="AP56" s="2177"/>
      <c r="AQ56" s="2177"/>
      <c r="AR56" s="2177"/>
      <c r="AS56" s="2177"/>
      <c r="AT56" s="2177"/>
      <c r="AU56" s="2177"/>
      <c r="AV56" s="2177"/>
      <c r="AW56" s="2177"/>
      <c r="AX56" s="2177"/>
    </row>
    <row r="57" spans="1:50">
      <c r="A57" s="2177"/>
      <c r="B57" s="2177"/>
      <c r="C57" s="1952"/>
      <c r="D57" s="1958"/>
      <c r="E57" s="1955"/>
      <c r="F57" s="1958"/>
      <c r="G57" s="2177"/>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c r="AH57" s="2177"/>
      <c r="AI57" s="2177"/>
      <c r="AJ57" s="2177"/>
      <c r="AK57" s="2177"/>
      <c r="AL57" s="2177"/>
      <c r="AM57" s="2177"/>
      <c r="AN57" s="2177"/>
      <c r="AO57" s="2177"/>
      <c r="AP57" s="2177"/>
      <c r="AQ57" s="2177"/>
      <c r="AR57" s="2177"/>
      <c r="AS57" s="2177"/>
      <c r="AT57" s="2177"/>
      <c r="AU57" s="2177"/>
      <c r="AV57" s="2177"/>
      <c r="AW57" s="2177"/>
      <c r="AX57" s="2177"/>
    </row>
    <row r="58" spans="1:50">
      <c r="A58" s="2177"/>
      <c r="B58" s="2177"/>
      <c r="C58" s="2106" t="s">
        <v>52</v>
      </c>
      <c r="D58" s="2158">
        <f>SUM(D59:D62)</f>
        <v>500</v>
      </c>
      <c r="E58" s="1926">
        <f>SUM(E59:E62)</f>
        <v>500</v>
      </c>
      <c r="F58" s="2157">
        <f>D58+E58</f>
        <v>1000</v>
      </c>
      <c r="G58" s="2177"/>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c r="AH58" s="2177"/>
      <c r="AI58" s="2177"/>
      <c r="AJ58" s="2177"/>
      <c r="AK58" s="2177"/>
      <c r="AL58" s="2177"/>
      <c r="AM58" s="2177"/>
      <c r="AN58" s="2177"/>
      <c r="AO58" s="2177"/>
      <c r="AP58" s="2177"/>
      <c r="AQ58" s="2177"/>
      <c r="AR58" s="2177"/>
      <c r="AS58" s="2177"/>
      <c r="AT58" s="2177"/>
      <c r="AU58" s="2177"/>
      <c r="AV58" s="2177"/>
      <c r="AW58" s="2177"/>
      <c r="AX58" s="2177"/>
    </row>
    <row r="59" spans="1:50">
      <c r="A59" s="2177"/>
      <c r="B59" s="2177"/>
      <c r="C59" s="2197"/>
      <c r="D59" s="2202">
        <v>500</v>
      </c>
      <c r="E59" s="2203">
        <v>500</v>
      </c>
      <c r="F59" s="2191">
        <f t="shared" si="11"/>
        <v>1000</v>
      </c>
      <c r="G59" s="2177"/>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c r="AH59" s="2177"/>
      <c r="AI59" s="2177"/>
      <c r="AJ59" s="2177"/>
      <c r="AK59" s="2177"/>
      <c r="AL59" s="2177"/>
      <c r="AM59" s="2177"/>
      <c r="AN59" s="2177"/>
      <c r="AO59" s="2177"/>
      <c r="AP59" s="2177"/>
      <c r="AQ59" s="2177"/>
      <c r="AR59" s="2177"/>
      <c r="AS59" s="2177"/>
      <c r="AT59" s="2177"/>
      <c r="AU59" s="2177"/>
      <c r="AV59" s="2177"/>
      <c r="AW59" s="2177"/>
      <c r="AX59" s="2177"/>
    </row>
    <row r="60" spans="1:50">
      <c r="A60" s="2177"/>
      <c r="B60" s="2177"/>
      <c r="C60" s="2197"/>
      <c r="D60" s="2202"/>
      <c r="E60" s="2203"/>
      <c r="F60" s="2191">
        <f t="shared" si="11"/>
        <v>0</v>
      </c>
      <c r="G60" s="2177"/>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c r="AH60" s="2177"/>
      <c r="AI60" s="2177"/>
      <c r="AJ60" s="2177"/>
      <c r="AK60" s="2177"/>
      <c r="AL60" s="2177"/>
      <c r="AM60" s="2177"/>
      <c r="AN60" s="2177"/>
      <c r="AO60" s="2177"/>
      <c r="AP60" s="2177"/>
      <c r="AQ60" s="2177"/>
      <c r="AR60" s="2177"/>
      <c r="AS60" s="2177"/>
      <c r="AT60" s="2177"/>
      <c r="AU60" s="2177"/>
      <c r="AV60" s="2177"/>
      <c r="AW60" s="2177"/>
      <c r="AX60" s="2177"/>
    </row>
    <row r="61" spans="1:50">
      <c r="A61" s="2177"/>
      <c r="B61" s="2177"/>
      <c r="C61" s="2197"/>
      <c r="D61" s="2202"/>
      <c r="E61" s="2203"/>
      <c r="F61" s="1890">
        <f t="shared" si="11"/>
        <v>0</v>
      </c>
      <c r="G61" s="2177"/>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c r="AH61" s="2177"/>
      <c r="AI61" s="2177"/>
      <c r="AJ61" s="2177"/>
      <c r="AK61" s="2177"/>
      <c r="AL61" s="2177"/>
      <c r="AM61" s="2177"/>
      <c r="AN61" s="2177"/>
      <c r="AO61" s="2177"/>
      <c r="AP61" s="2177"/>
      <c r="AQ61" s="2177"/>
      <c r="AR61" s="2177"/>
      <c r="AS61" s="2177"/>
      <c r="AT61" s="2177"/>
      <c r="AU61" s="2177"/>
      <c r="AV61" s="2177"/>
      <c r="AW61" s="2177"/>
      <c r="AX61" s="2177"/>
    </row>
    <row r="62" spans="1:50">
      <c r="A62" s="2177"/>
      <c r="B62" s="2177"/>
      <c r="C62" s="2197"/>
      <c r="D62" s="2202"/>
      <c r="E62" s="2203"/>
      <c r="F62" s="2191">
        <f t="shared" si="11"/>
        <v>0</v>
      </c>
      <c r="G62" s="2177"/>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c r="AH62" s="2177"/>
      <c r="AI62" s="2177"/>
      <c r="AJ62" s="2177"/>
      <c r="AK62" s="2177"/>
      <c r="AL62" s="2177"/>
      <c r="AM62" s="2177"/>
      <c r="AN62" s="2177"/>
      <c r="AO62" s="2177"/>
      <c r="AP62" s="2177"/>
      <c r="AQ62" s="2177"/>
      <c r="AR62" s="2177"/>
      <c r="AS62" s="2177"/>
      <c r="AT62" s="2177"/>
      <c r="AU62" s="2177"/>
      <c r="AV62" s="2177"/>
      <c r="AW62" s="2177"/>
      <c r="AX62" s="2177"/>
    </row>
    <row r="63" spans="1:50">
      <c r="A63" s="2177"/>
      <c r="B63" s="2177"/>
      <c r="C63" s="1952"/>
      <c r="D63" s="1958"/>
      <c r="E63" s="1955"/>
      <c r="F63" s="1958"/>
      <c r="G63" s="2177"/>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c r="AH63" s="2177"/>
      <c r="AI63" s="2177"/>
      <c r="AJ63" s="2177"/>
      <c r="AK63" s="2177"/>
      <c r="AL63" s="2177"/>
      <c r="AM63" s="2177"/>
      <c r="AN63" s="2177"/>
      <c r="AO63" s="2177"/>
      <c r="AP63" s="2177"/>
      <c r="AQ63" s="2177"/>
      <c r="AR63" s="2177"/>
      <c r="AS63" s="2177"/>
      <c r="AT63" s="2177"/>
      <c r="AU63" s="2177"/>
      <c r="AV63" s="2177"/>
      <c r="AW63" s="2177"/>
      <c r="AX63" s="2177"/>
    </row>
    <row r="64" spans="1:50">
      <c r="A64" s="1812" t="s">
        <v>1492</v>
      </c>
      <c r="B64" s="2177"/>
      <c r="C64" s="2106" t="s">
        <v>53</v>
      </c>
      <c r="D64" s="2158">
        <f>W15</f>
        <v>399551.63</v>
      </c>
      <c r="E64" s="1926">
        <f>X15</f>
        <v>399551.63</v>
      </c>
      <c r="F64" s="2157">
        <f>D64+E64</f>
        <v>799103.26</v>
      </c>
      <c r="G64" s="2177"/>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c r="AH64" s="2177"/>
      <c r="AI64" s="2177"/>
      <c r="AJ64" s="2177"/>
      <c r="AK64" s="2177"/>
      <c r="AL64" s="2177"/>
      <c r="AM64" s="2177"/>
      <c r="AN64" s="2177"/>
      <c r="AO64" s="2177"/>
      <c r="AP64" s="2177"/>
      <c r="AQ64" s="2177"/>
      <c r="AR64" s="2177"/>
      <c r="AS64" s="2177"/>
      <c r="AT64" s="2177"/>
      <c r="AU64" s="2177"/>
      <c r="AV64" s="2177"/>
      <c r="AW64" s="2177"/>
      <c r="AX64" s="2177"/>
    </row>
    <row r="65" spans="1:50">
      <c r="A65" s="2945" t="s">
        <v>278</v>
      </c>
      <c r="B65" s="2177"/>
      <c r="C65" s="1967" t="s">
        <v>313</v>
      </c>
      <c r="D65" s="1961"/>
      <c r="E65" s="1962"/>
      <c r="F65" s="1966"/>
      <c r="G65" s="2177"/>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c r="AH65" s="2177"/>
      <c r="AI65" s="2177"/>
      <c r="AJ65" s="2177"/>
      <c r="AK65" s="2177"/>
      <c r="AL65" s="2177"/>
      <c r="AM65" s="2177"/>
      <c r="AN65" s="2177"/>
      <c r="AO65" s="2177"/>
      <c r="AP65" s="2177"/>
      <c r="AQ65" s="2177"/>
      <c r="AR65" s="2177"/>
      <c r="AS65" s="2177"/>
      <c r="AT65" s="2177"/>
      <c r="AU65" s="2177"/>
      <c r="AV65" s="2177"/>
      <c r="AW65" s="2177"/>
      <c r="AX65" s="2177"/>
    </row>
    <row r="66" spans="1:50">
      <c r="A66" s="2945" t="s">
        <v>6</v>
      </c>
      <c r="B66" s="2177"/>
      <c r="C66" s="1968"/>
      <c r="D66" s="1963"/>
      <c r="E66" s="1964"/>
      <c r="F66" s="1965"/>
      <c r="G66" s="2177"/>
      <c r="H66" s="2177"/>
      <c r="I66" s="2177"/>
      <c r="J66" s="2177"/>
      <c r="K66" s="2177"/>
      <c r="L66" s="2177"/>
      <c r="M66" s="2177"/>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7"/>
      <c r="AI66" s="2177"/>
      <c r="AJ66" s="2177"/>
      <c r="AK66" s="2177"/>
      <c r="AL66" s="2177"/>
      <c r="AM66" s="2177"/>
      <c r="AN66" s="2177"/>
      <c r="AO66" s="2177"/>
      <c r="AP66" s="2177"/>
      <c r="AQ66" s="2177"/>
      <c r="AR66" s="2177"/>
      <c r="AS66" s="2177"/>
      <c r="AT66" s="2177"/>
      <c r="AU66" s="2177"/>
      <c r="AV66" s="2177"/>
      <c r="AW66" s="2177"/>
      <c r="AX66" s="2177"/>
    </row>
    <row r="67" spans="1:50">
      <c r="A67" s="2945">
        <v>18231022</v>
      </c>
      <c r="B67" s="2177"/>
      <c r="C67" s="1959" t="s">
        <v>54</v>
      </c>
      <c r="D67" s="2202">
        <v>0</v>
      </c>
      <c r="E67" s="2202">
        <v>0</v>
      </c>
      <c r="F67" s="1956">
        <v>0</v>
      </c>
      <c r="G67" s="2177"/>
      <c r="H67" s="2177"/>
      <c r="I67" s="2177"/>
      <c r="J67" s="2177"/>
      <c r="K67" s="2177"/>
      <c r="L67" s="2177"/>
      <c r="M67" s="2177"/>
      <c r="N67" s="2177"/>
      <c r="O67" s="2177"/>
      <c r="P67" s="2177"/>
      <c r="Q67" s="2177"/>
      <c r="R67" s="2177"/>
      <c r="S67" s="2177"/>
      <c r="T67" s="2177"/>
      <c r="U67" s="2177"/>
      <c r="V67" s="2177"/>
      <c r="W67" s="2177"/>
      <c r="X67" s="2177"/>
      <c r="Y67" s="2177"/>
      <c r="Z67" s="2177"/>
      <c r="AA67" s="2177"/>
      <c r="AB67" s="2177"/>
      <c r="AC67" s="2177"/>
      <c r="AD67" s="2177"/>
      <c r="AE67" s="2177"/>
      <c r="AF67" s="2177"/>
      <c r="AG67" s="2177"/>
      <c r="AH67" s="2177"/>
      <c r="AI67" s="2177"/>
      <c r="AJ67" s="2177"/>
      <c r="AK67" s="2177"/>
      <c r="AL67" s="2177"/>
      <c r="AM67" s="2177"/>
      <c r="AN67" s="2177"/>
      <c r="AO67" s="2177"/>
      <c r="AP67" s="2177"/>
      <c r="AQ67" s="2177"/>
      <c r="AR67" s="2177"/>
      <c r="AS67" s="2177"/>
      <c r="AT67" s="2177"/>
      <c r="AU67" s="2177"/>
      <c r="AV67" s="2177"/>
      <c r="AW67" s="2177"/>
      <c r="AX67" s="2177"/>
    </row>
    <row r="68" spans="1:50">
      <c r="A68" s="2945" t="s">
        <v>31</v>
      </c>
      <c r="B68" s="2177"/>
      <c r="C68" s="2177"/>
      <c r="D68" s="2177"/>
      <c r="E68" s="2193"/>
      <c r="F68" s="2177"/>
      <c r="G68" s="2177"/>
      <c r="H68" s="2177"/>
      <c r="I68" s="2177"/>
      <c r="J68" s="2177"/>
      <c r="K68" s="2177"/>
      <c r="L68" s="2177"/>
      <c r="M68" s="2177"/>
      <c r="N68" s="2177"/>
      <c r="O68" s="2177"/>
      <c r="P68" s="2177"/>
      <c r="Q68" s="2177"/>
      <c r="R68" s="2177"/>
      <c r="S68" s="2177"/>
      <c r="T68" s="2177"/>
      <c r="U68" s="2177"/>
      <c r="V68" s="2177"/>
      <c r="W68" s="2177"/>
      <c r="X68" s="2177"/>
      <c r="Y68" s="2177"/>
      <c r="Z68" s="2177"/>
      <c r="AA68" s="2177"/>
      <c r="AB68" s="2177"/>
      <c r="AC68" s="2177"/>
      <c r="AD68" s="2177"/>
      <c r="AE68" s="2177"/>
      <c r="AF68" s="2177"/>
      <c r="AG68" s="2177"/>
      <c r="AH68" s="2177"/>
      <c r="AI68" s="2177"/>
      <c r="AJ68" s="2177"/>
      <c r="AK68" s="2177"/>
      <c r="AL68" s="2177"/>
      <c r="AM68" s="2177"/>
      <c r="AN68" s="2177"/>
      <c r="AO68" s="2177"/>
      <c r="AP68" s="2177"/>
      <c r="AQ68" s="2177"/>
      <c r="AR68" s="2177"/>
      <c r="AS68" s="2177"/>
      <c r="AT68" s="2177"/>
      <c r="AU68" s="2177"/>
      <c r="AV68" s="2177"/>
      <c r="AW68" s="2177"/>
      <c r="AX68" s="2177"/>
    </row>
    <row r="69" spans="1:50">
      <c r="A69" s="2193"/>
      <c r="B69" s="2177"/>
      <c r="C69" s="2177"/>
      <c r="D69" s="2177"/>
      <c r="E69" s="2193"/>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2177"/>
      <c r="AN69" s="2177"/>
      <c r="AO69" s="2177"/>
      <c r="AP69" s="2177"/>
      <c r="AQ69" s="2177"/>
      <c r="AR69" s="2177"/>
      <c r="AS69" s="2177"/>
      <c r="AT69" s="2177"/>
      <c r="AU69" s="2177"/>
      <c r="AV69" s="2177"/>
      <c r="AW69" s="2177"/>
      <c r="AX69" s="2177"/>
    </row>
    <row r="70" spans="1:50">
      <c r="A70" s="2193"/>
      <c r="B70" s="2177"/>
      <c r="C70" s="2177"/>
      <c r="D70" s="2177"/>
      <c r="E70" s="2193"/>
      <c r="F70" s="2177"/>
      <c r="G70" s="2177"/>
      <c r="H70" s="2177"/>
      <c r="I70" s="2177"/>
      <c r="J70" s="2177"/>
      <c r="K70" s="2177"/>
      <c r="L70" s="2177"/>
      <c r="M70" s="2177"/>
      <c r="N70" s="2177"/>
      <c r="O70" s="2177"/>
      <c r="P70" s="2177"/>
      <c r="Q70" s="2177"/>
      <c r="R70" s="2177"/>
      <c r="S70" s="2177"/>
      <c r="T70" s="2177"/>
      <c r="U70" s="2177"/>
      <c r="V70" s="2177"/>
      <c r="W70" s="2177"/>
      <c r="X70" s="2177"/>
      <c r="Y70" s="2177"/>
      <c r="Z70" s="2177"/>
      <c r="AA70" s="2177"/>
      <c r="AB70" s="2177"/>
      <c r="AC70" s="2177"/>
      <c r="AD70" s="2177"/>
      <c r="AE70" s="2177"/>
      <c r="AF70" s="2177"/>
      <c r="AG70" s="2177"/>
      <c r="AH70" s="2177"/>
      <c r="AI70" s="2177"/>
      <c r="AJ70" s="2177"/>
      <c r="AK70" s="2177"/>
      <c r="AL70" s="2177"/>
      <c r="AM70" s="2177"/>
      <c r="AN70" s="2177"/>
      <c r="AO70" s="2177"/>
      <c r="AP70" s="2177"/>
      <c r="AQ70" s="2177"/>
      <c r="AR70" s="2177"/>
      <c r="AS70" s="2177"/>
      <c r="AT70" s="2177"/>
      <c r="AU70" s="2177"/>
      <c r="AV70" s="2177"/>
      <c r="AW70" s="2177"/>
      <c r="AX70" s="2177"/>
    </row>
    <row r="71" spans="1:50">
      <c r="A71" s="2177"/>
      <c r="B71" s="2177"/>
      <c r="C71" s="2177"/>
      <c r="D71" s="2177"/>
      <c r="E71" s="2193"/>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2177"/>
      <c r="AB71" s="2177"/>
      <c r="AC71" s="2177"/>
      <c r="AD71" s="2177"/>
      <c r="AE71" s="2177"/>
      <c r="AF71" s="2177"/>
      <c r="AG71" s="2177"/>
      <c r="AH71" s="2177"/>
      <c r="AI71" s="2177"/>
      <c r="AJ71" s="2177"/>
      <c r="AK71" s="2177"/>
      <c r="AL71" s="2177"/>
      <c r="AM71" s="2177"/>
      <c r="AN71" s="2177"/>
      <c r="AO71" s="2177"/>
      <c r="AP71" s="2177"/>
      <c r="AQ71" s="2177"/>
      <c r="AR71" s="2177"/>
      <c r="AS71" s="2177"/>
      <c r="AT71" s="2177"/>
      <c r="AU71" s="2177"/>
      <c r="AV71" s="2177"/>
      <c r="AW71" s="2177"/>
      <c r="AX71" s="2177"/>
    </row>
    <row r="72" spans="1:50">
      <c r="A72" s="2177"/>
      <c r="B72" s="2177"/>
      <c r="C72" s="2177"/>
      <c r="D72" s="2177"/>
      <c r="E72" s="2193"/>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2177"/>
      <c r="AB72" s="2177"/>
      <c r="AC72" s="2177"/>
      <c r="AD72" s="2177"/>
      <c r="AE72" s="2177"/>
      <c r="AF72" s="2177"/>
      <c r="AG72" s="2177"/>
      <c r="AH72" s="2177"/>
      <c r="AI72" s="2177"/>
      <c r="AJ72" s="2177"/>
      <c r="AK72" s="2177"/>
      <c r="AL72" s="2177"/>
      <c r="AM72" s="2177"/>
      <c r="AN72" s="2177"/>
      <c r="AO72" s="2177"/>
      <c r="AP72" s="2177"/>
      <c r="AQ72" s="2177"/>
      <c r="AR72" s="2177"/>
      <c r="AS72" s="2177"/>
      <c r="AT72" s="2177"/>
      <c r="AU72" s="2177"/>
      <c r="AV72" s="2177"/>
      <c r="AW72" s="2177"/>
      <c r="AX72" s="2177"/>
    </row>
    <row r="73" spans="1:50">
      <c r="A73" s="2177"/>
      <c r="B73" s="2177"/>
      <c r="C73" s="2177"/>
      <c r="D73" s="2177"/>
      <c r="E73" s="2193"/>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2177"/>
      <c r="AB73" s="2177"/>
      <c r="AC73" s="2177"/>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row>
    <row r="74" spans="1:50">
      <c r="A74" s="2177"/>
      <c r="B74" s="2177"/>
      <c r="C74" s="2177"/>
      <c r="D74" s="2177"/>
      <c r="E74" s="2193"/>
      <c r="F74" s="2177"/>
      <c r="G74" s="2177"/>
      <c r="H74" s="2177"/>
      <c r="I74" s="2177"/>
      <c r="J74" s="2177"/>
      <c r="K74" s="2177"/>
      <c r="L74" s="2177"/>
      <c r="M74" s="2177"/>
      <c r="N74" s="2177"/>
      <c r="O74" s="2177"/>
      <c r="P74" s="2177"/>
      <c r="Q74" s="2177"/>
      <c r="R74" s="2177"/>
      <c r="S74" s="2177"/>
      <c r="T74" s="2177"/>
      <c r="U74" s="2177"/>
      <c r="V74" s="2177"/>
      <c r="W74" s="2177"/>
      <c r="X74" s="2177"/>
      <c r="Y74" s="2177"/>
      <c r="Z74" s="2177"/>
      <c r="AA74" s="2177"/>
      <c r="AB74" s="2177"/>
      <c r="AC74" s="2177"/>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row>
    <row r="75" spans="1:50">
      <c r="A75" s="2177"/>
      <c r="B75" s="2177"/>
      <c r="C75" s="2177"/>
      <c r="D75" s="2177"/>
      <c r="E75" s="2193"/>
      <c r="F75" s="2177"/>
      <c r="G75" s="2177"/>
      <c r="H75" s="2177"/>
      <c r="I75" s="2177"/>
      <c r="J75" s="2177"/>
      <c r="K75" s="2177"/>
      <c r="L75" s="2177"/>
      <c r="M75" s="2177"/>
      <c r="N75" s="2177"/>
      <c r="O75" s="2177"/>
      <c r="P75" s="2177"/>
      <c r="Q75" s="2177"/>
      <c r="R75" s="2177"/>
      <c r="S75" s="2177"/>
      <c r="T75" s="2177"/>
      <c r="U75" s="2177"/>
      <c r="V75" s="2177"/>
      <c r="W75" s="2177"/>
      <c r="X75" s="2177"/>
      <c r="Y75" s="2177"/>
      <c r="Z75" s="2177"/>
      <c r="AA75" s="2177"/>
      <c r="AB75" s="2177"/>
      <c r="AC75" s="2177"/>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row>
    <row r="76" spans="1:50">
      <c r="A76" s="2177"/>
      <c r="B76" s="2177"/>
      <c r="C76" s="2177"/>
      <c r="D76" s="2177"/>
      <c r="E76" s="2193"/>
      <c r="F76" s="2177"/>
      <c r="G76" s="2177"/>
      <c r="H76" s="2177"/>
      <c r="I76" s="2177"/>
      <c r="J76" s="2177"/>
      <c r="K76" s="2177"/>
      <c r="L76" s="2177"/>
      <c r="M76" s="2177"/>
      <c r="N76" s="2177"/>
      <c r="O76" s="2177"/>
      <c r="P76" s="2177"/>
      <c r="Q76" s="2177"/>
      <c r="R76" s="2177"/>
      <c r="S76" s="2177"/>
      <c r="T76" s="2177"/>
      <c r="U76" s="2177"/>
      <c r="V76" s="2177"/>
      <c r="W76" s="2177"/>
      <c r="X76" s="2177"/>
      <c r="Y76" s="2177"/>
      <c r="Z76" s="2177"/>
      <c r="AA76" s="2177"/>
      <c r="AB76" s="2177"/>
      <c r="AC76" s="2177"/>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row>
    <row r="77" spans="1:50">
      <c r="A77" s="2177"/>
      <c r="B77" s="2177"/>
      <c r="C77" s="2177"/>
      <c r="D77" s="2177"/>
      <c r="E77" s="2193"/>
      <c r="F77" s="2177"/>
      <c r="G77" s="2177"/>
      <c r="H77" s="2177"/>
      <c r="I77" s="2177"/>
      <c r="J77" s="2177"/>
      <c r="K77" s="2177"/>
      <c r="L77" s="2177"/>
      <c r="M77" s="2177"/>
      <c r="N77" s="2177"/>
      <c r="O77" s="2177"/>
      <c r="P77" s="2177"/>
      <c r="Q77" s="2177"/>
      <c r="R77" s="2177"/>
      <c r="S77" s="2177"/>
      <c r="T77" s="2177"/>
      <c r="U77" s="2177"/>
      <c r="V77" s="2177"/>
      <c r="W77" s="2177"/>
      <c r="X77" s="2177"/>
      <c r="Y77" s="2177"/>
      <c r="Z77" s="2177"/>
      <c r="AA77" s="2177"/>
      <c r="AB77" s="2177"/>
      <c r="AC77" s="2177"/>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row>
    <row r="78" spans="1:50">
      <c r="A78" s="2177"/>
      <c r="B78" s="2177"/>
      <c r="C78" s="2177"/>
      <c r="D78" s="2177"/>
      <c r="E78" s="2193"/>
      <c r="F78" s="2177"/>
      <c r="G78" s="2177"/>
      <c r="H78" s="2177"/>
      <c r="I78" s="2177"/>
      <c r="J78" s="2177"/>
      <c r="K78" s="2177"/>
      <c r="L78" s="2177"/>
      <c r="M78" s="2177"/>
      <c r="N78" s="2177"/>
      <c r="O78" s="2177"/>
      <c r="P78" s="2177"/>
      <c r="Q78" s="2177"/>
      <c r="R78" s="2177"/>
      <c r="S78" s="2177"/>
      <c r="T78" s="2177"/>
      <c r="U78" s="2177"/>
      <c r="V78" s="2177"/>
      <c r="W78" s="2177"/>
      <c r="X78" s="2177"/>
      <c r="Y78" s="2177"/>
      <c r="Z78" s="2177"/>
      <c r="AA78" s="2177"/>
      <c r="AB78" s="2177"/>
      <c r="AC78" s="2177"/>
      <c r="AD78" s="2177"/>
      <c r="AE78" s="2177"/>
      <c r="AF78" s="2177"/>
      <c r="AG78" s="2177"/>
      <c r="AH78" s="2177"/>
      <c r="AI78" s="2177"/>
      <c r="AJ78" s="2177"/>
      <c r="AK78" s="2177"/>
      <c r="AL78" s="2177"/>
      <c r="AM78" s="2177"/>
      <c r="AN78" s="2177"/>
      <c r="AO78" s="2177"/>
      <c r="AP78" s="2177"/>
      <c r="AQ78" s="2177"/>
      <c r="AR78" s="2177"/>
      <c r="AS78" s="2177"/>
      <c r="AT78" s="2177"/>
      <c r="AU78" s="2177"/>
      <c r="AV78" s="2177"/>
      <c r="AW78" s="2177"/>
      <c r="AX78" s="2177"/>
    </row>
    <row r="79" spans="1:50">
      <c r="A79" s="2177"/>
      <c r="B79" s="2177"/>
      <c r="C79" s="2177"/>
      <c r="D79" s="2177"/>
      <c r="E79" s="2193"/>
      <c r="F79" s="2177"/>
      <c r="G79" s="2177"/>
      <c r="H79" s="2177"/>
      <c r="I79" s="2177"/>
      <c r="J79" s="2177"/>
      <c r="K79" s="2177"/>
      <c r="L79" s="2177"/>
      <c r="M79" s="2177"/>
      <c r="N79" s="2177"/>
      <c r="O79" s="2177"/>
      <c r="P79" s="2177"/>
      <c r="Q79" s="2177"/>
      <c r="R79" s="2177"/>
      <c r="S79" s="2177"/>
      <c r="T79" s="2177"/>
      <c r="U79" s="2177"/>
      <c r="V79" s="2177"/>
      <c r="W79" s="2177"/>
      <c r="X79" s="2177"/>
      <c r="Y79" s="2177"/>
      <c r="Z79" s="2177"/>
      <c r="AA79" s="2177"/>
      <c r="AB79" s="2177"/>
      <c r="AC79" s="2177"/>
      <c r="AD79" s="2177"/>
      <c r="AE79" s="2177"/>
      <c r="AF79" s="2177"/>
      <c r="AG79" s="2177"/>
      <c r="AH79" s="2177"/>
      <c r="AI79" s="2177"/>
      <c r="AJ79" s="2177"/>
      <c r="AK79" s="2177"/>
      <c r="AL79" s="2177"/>
      <c r="AM79" s="2177"/>
      <c r="AN79" s="2177"/>
      <c r="AO79" s="2177"/>
      <c r="AP79" s="2177"/>
      <c r="AQ79" s="2177"/>
      <c r="AR79" s="2177"/>
      <c r="AS79" s="2177"/>
      <c r="AT79" s="2177"/>
      <c r="AU79" s="2177"/>
      <c r="AV79" s="2177"/>
      <c r="AW79" s="2177"/>
      <c r="AX79" s="2177"/>
    </row>
    <row r="80" spans="1:50">
      <c r="A80" s="2177"/>
      <c r="B80" s="2177"/>
      <c r="C80" s="2177"/>
      <c r="D80" s="2177"/>
      <c r="E80" s="2193"/>
      <c r="F80" s="2177"/>
      <c r="G80" s="2177"/>
      <c r="H80" s="2177"/>
      <c r="I80" s="2177"/>
      <c r="J80" s="2177"/>
      <c r="K80" s="2177"/>
      <c r="L80" s="2177"/>
      <c r="M80" s="2177"/>
      <c r="N80" s="2177"/>
      <c r="O80" s="2177"/>
      <c r="P80" s="2177"/>
      <c r="Q80" s="2177"/>
      <c r="R80" s="2177"/>
      <c r="S80" s="2177"/>
      <c r="T80" s="2177"/>
      <c r="U80" s="2177"/>
      <c r="V80" s="2177"/>
      <c r="W80" s="2177"/>
      <c r="X80" s="2177"/>
      <c r="Y80" s="2177"/>
      <c r="Z80" s="2177"/>
      <c r="AA80" s="2177"/>
      <c r="AB80" s="2177"/>
      <c r="AC80" s="2177"/>
      <c r="AD80" s="2177"/>
      <c r="AE80" s="2177"/>
      <c r="AF80" s="2177"/>
      <c r="AG80" s="2177"/>
      <c r="AH80" s="2177"/>
      <c r="AI80" s="2177"/>
      <c r="AJ80" s="2177"/>
      <c r="AK80" s="2177"/>
      <c r="AL80" s="2177"/>
      <c r="AM80" s="2177"/>
      <c r="AN80" s="2177"/>
      <c r="AO80" s="2177"/>
      <c r="AP80" s="2177"/>
      <c r="AQ80" s="2177"/>
      <c r="AR80" s="2177"/>
      <c r="AS80" s="2177"/>
      <c r="AT80" s="2177"/>
      <c r="AU80" s="2177"/>
      <c r="AV80" s="2177"/>
      <c r="AW80" s="2177"/>
      <c r="AX80" s="2177"/>
    </row>
    <row r="81" spans="1:50">
      <c r="A81" s="2177"/>
      <c r="B81" s="2177"/>
      <c r="C81" s="2177"/>
      <c r="D81" s="2177"/>
      <c r="E81" s="2177"/>
      <c r="F81" s="2177"/>
      <c r="G81" s="2177"/>
      <c r="H81" s="2177"/>
      <c r="I81" s="2177"/>
      <c r="J81" s="2177"/>
      <c r="K81" s="2177"/>
      <c r="L81" s="2177"/>
      <c r="M81" s="2177"/>
      <c r="N81" s="2177"/>
      <c r="O81" s="2177"/>
      <c r="P81" s="2177"/>
      <c r="Q81" s="2177"/>
      <c r="R81" s="2177"/>
      <c r="S81" s="2177"/>
      <c r="T81" s="2177"/>
      <c r="U81" s="2177"/>
      <c r="V81" s="2177"/>
      <c r="W81" s="2177"/>
      <c r="X81" s="2177"/>
      <c r="Y81" s="2177"/>
      <c r="Z81" s="2177"/>
      <c r="AA81" s="2177"/>
      <c r="AB81" s="2177"/>
      <c r="AC81" s="2177"/>
      <c r="AD81" s="2177"/>
      <c r="AE81" s="2177"/>
      <c r="AF81" s="2177"/>
      <c r="AG81" s="2177"/>
      <c r="AH81" s="2177"/>
      <c r="AI81" s="2177"/>
      <c r="AJ81" s="2177"/>
      <c r="AK81" s="2177"/>
      <c r="AL81" s="2177"/>
      <c r="AM81" s="2177"/>
      <c r="AN81" s="2177"/>
      <c r="AO81" s="2177"/>
      <c r="AP81" s="2177"/>
      <c r="AQ81" s="2177"/>
      <c r="AR81" s="2177"/>
      <c r="AS81" s="2177"/>
      <c r="AT81" s="2177"/>
      <c r="AU81" s="2177"/>
      <c r="AV81" s="2177"/>
      <c r="AW81" s="2177"/>
      <c r="AX81" s="2177"/>
    </row>
    <row r="82" spans="1:50">
      <c r="A82" s="2177"/>
      <c r="B82" s="2177"/>
      <c r="C82" s="2177"/>
      <c r="D82" s="2177"/>
      <c r="E82" s="2177"/>
      <c r="F82" s="2177"/>
      <c r="G82" s="2177"/>
      <c r="H82" s="2177"/>
      <c r="I82" s="2177"/>
      <c r="J82" s="2177"/>
      <c r="K82" s="2177"/>
      <c r="L82" s="2177"/>
      <c r="M82" s="2177"/>
      <c r="N82" s="2177"/>
      <c r="O82" s="2177"/>
      <c r="P82" s="2177"/>
      <c r="Q82" s="2177"/>
      <c r="R82" s="2177"/>
      <c r="S82" s="2177"/>
      <c r="T82" s="2177"/>
      <c r="U82" s="2177"/>
      <c r="V82" s="2177"/>
      <c r="W82" s="2177"/>
      <c r="X82" s="2177"/>
      <c r="Y82" s="2177"/>
      <c r="Z82" s="2177"/>
      <c r="AA82" s="2177"/>
      <c r="AB82" s="2177"/>
      <c r="AC82" s="2177"/>
      <c r="AD82" s="2177"/>
      <c r="AE82" s="2177"/>
      <c r="AF82" s="2177"/>
      <c r="AG82" s="2177"/>
      <c r="AH82" s="2177"/>
      <c r="AI82" s="2177"/>
      <c r="AJ82" s="2177"/>
      <c r="AK82" s="2177"/>
      <c r="AL82" s="2177"/>
      <c r="AM82" s="2177"/>
      <c r="AN82" s="2177"/>
      <c r="AO82" s="2177"/>
      <c r="AP82" s="2177"/>
      <c r="AQ82" s="2177"/>
      <c r="AR82" s="2177"/>
      <c r="AS82" s="2177"/>
      <c r="AT82" s="2177"/>
      <c r="AU82" s="2177"/>
      <c r="AV82" s="2177"/>
      <c r="AW82" s="2177"/>
      <c r="AX82" s="2177"/>
    </row>
    <row r="83" spans="1:50">
      <c r="A83" s="2177"/>
      <c r="B83" s="2177"/>
      <c r="C83" s="2177"/>
      <c r="D83" s="2177"/>
      <c r="E83" s="2177"/>
      <c r="F83" s="2177"/>
      <c r="G83" s="2177"/>
      <c r="H83" s="2177"/>
      <c r="I83" s="2177"/>
      <c r="J83" s="2177"/>
      <c r="K83" s="2177"/>
      <c r="L83" s="2177"/>
      <c r="M83" s="2177"/>
      <c r="N83" s="2177"/>
      <c r="O83" s="2177"/>
      <c r="P83" s="2177"/>
      <c r="Q83" s="2177"/>
      <c r="R83" s="2177"/>
      <c r="S83" s="2177"/>
      <c r="T83" s="2177"/>
      <c r="U83" s="2177"/>
      <c r="V83" s="2177"/>
      <c r="W83" s="2177"/>
      <c r="X83" s="2177"/>
      <c r="Y83" s="2177"/>
      <c r="Z83" s="2177"/>
      <c r="AA83" s="2177"/>
      <c r="AB83" s="2177"/>
      <c r="AC83" s="2177"/>
      <c r="AD83" s="2177"/>
      <c r="AE83" s="2177"/>
      <c r="AF83" s="2177"/>
      <c r="AG83" s="2177"/>
      <c r="AH83" s="2177"/>
      <c r="AI83" s="2177"/>
      <c r="AJ83" s="2177"/>
      <c r="AK83" s="2177"/>
      <c r="AL83" s="2177"/>
      <c r="AM83" s="2177"/>
      <c r="AN83" s="2177"/>
      <c r="AO83" s="2177"/>
      <c r="AP83" s="2177"/>
      <c r="AQ83" s="2177"/>
      <c r="AR83" s="2177"/>
      <c r="AS83" s="2177"/>
      <c r="AT83" s="2177"/>
      <c r="AU83" s="2177"/>
      <c r="AV83" s="2177"/>
      <c r="AW83" s="2177"/>
      <c r="AX83" s="2177"/>
    </row>
    <row r="84" spans="1:50">
      <c r="A84" s="2177"/>
      <c r="B84" s="2177"/>
      <c r="C84" s="2177"/>
      <c r="D84" s="2177"/>
      <c r="E84" s="2177"/>
      <c r="F84" s="2177"/>
      <c r="G84" s="2177"/>
      <c r="H84" s="2177"/>
      <c r="I84" s="2177"/>
      <c r="J84" s="2177"/>
      <c r="K84" s="2177"/>
      <c r="L84" s="2177"/>
      <c r="M84" s="2177"/>
      <c r="N84" s="2177"/>
      <c r="O84" s="2177"/>
      <c r="P84" s="2177"/>
      <c r="Q84" s="2177"/>
      <c r="R84" s="2177"/>
      <c r="S84" s="2177"/>
      <c r="T84" s="2177"/>
      <c r="U84" s="2177"/>
      <c r="V84" s="2177"/>
      <c r="W84" s="2177"/>
      <c r="X84" s="2177"/>
      <c r="Y84" s="2177"/>
      <c r="Z84" s="2177"/>
      <c r="AA84" s="2177"/>
      <c r="AB84" s="2177"/>
      <c r="AC84" s="2177"/>
      <c r="AD84" s="2177"/>
      <c r="AE84" s="2177"/>
      <c r="AF84" s="2177"/>
      <c r="AG84" s="2177"/>
      <c r="AH84" s="2177"/>
      <c r="AI84" s="2177"/>
      <c r="AJ84" s="2177"/>
      <c r="AK84" s="2177"/>
      <c r="AL84" s="2177"/>
      <c r="AM84" s="2177"/>
      <c r="AN84" s="2177"/>
      <c r="AO84" s="2177"/>
      <c r="AP84" s="2177"/>
      <c r="AQ84" s="2177"/>
      <c r="AR84" s="2177"/>
      <c r="AS84" s="2177"/>
      <c r="AT84" s="2177"/>
      <c r="AU84" s="2177"/>
      <c r="AV84" s="2177"/>
      <c r="AW84" s="2177"/>
      <c r="AX84" s="2177"/>
    </row>
    <row r="85" spans="1:50">
      <c r="A85" s="2177"/>
      <c r="B85" s="2177"/>
      <c r="C85" s="2177"/>
      <c r="D85" s="2177"/>
      <c r="E85" s="2177"/>
      <c r="F85" s="2177"/>
      <c r="G85" s="2177"/>
      <c r="H85" s="2177"/>
      <c r="I85" s="2177"/>
      <c r="J85" s="2177"/>
      <c r="K85" s="2177"/>
      <c r="L85" s="2177"/>
      <c r="M85" s="2177"/>
      <c r="N85" s="2177"/>
      <c r="O85" s="2177"/>
      <c r="P85" s="2177"/>
      <c r="Q85" s="2177"/>
      <c r="R85" s="2177"/>
      <c r="S85" s="2177"/>
      <c r="T85" s="2177"/>
      <c r="U85" s="2177"/>
      <c r="V85" s="2177"/>
      <c r="W85" s="2177"/>
      <c r="X85" s="2177"/>
      <c r="Y85" s="2177"/>
      <c r="Z85" s="2177"/>
      <c r="AA85" s="2177"/>
      <c r="AB85" s="2177"/>
      <c r="AC85" s="2177"/>
      <c r="AD85" s="2177"/>
      <c r="AE85" s="2177"/>
      <c r="AF85" s="2177"/>
      <c r="AG85" s="2177"/>
      <c r="AH85" s="2177"/>
      <c r="AI85" s="2177"/>
      <c r="AJ85" s="2177"/>
      <c r="AK85" s="2177"/>
      <c r="AL85" s="2177"/>
      <c r="AM85" s="2177"/>
      <c r="AN85" s="2177"/>
      <c r="AO85" s="2177"/>
      <c r="AP85" s="2177"/>
      <c r="AQ85" s="2177"/>
      <c r="AR85" s="2177"/>
      <c r="AS85" s="2177"/>
      <c r="AT85" s="2177"/>
      <c r="AU85" s="2177"/>
      <c r="AV85" s="2177"/>
      <c r="AW85" s="2177"/>
      <c r="AX85" s="2177"/>
    </row>
    <row r="86" spans="1:50">
      <c r="A86" s="2177"/>
      <c r="B86" s="2177"/>
      <c r="C86" s="2177"/>
      <c r="D86" s="2177"/>
      <c r="E86" s="2177"/>
      <c r="F86" s="2177"/>
      <c r="G86" s="2177"/>
      <c r="H86" s="2177"/>
      <c r="I86" s="2177"/>
      <c r="J86" s="2177"/>
      <c r="K86" s="2177"/>
      <c r="L86" s="2177"/>
      <c r="M86" s="2177"/>
      <c r="N86" s="2177"/>
      <c r="O86" s="2177"/>
      <c r="P86" s="2177"/>
      <c r="Q86" s="2177"/>
      <c r="R86" s="2177"/>
      <c r="S86" s="2177"/>
      <c r="T86" s="2177"/>
      <c r="U86" s="2177"/>
      <c r="V86" s="2177"/>
      <c r="W86" s="2177"/>
      <c r="X86" s="2177"/>
      <c r="Y86" s="2177"/>
      <c r="Z86" s="2177"/>
      <c r="AA86" s="2177"/>
      <c r="AB86" s="2177"/>
      <c r="AC86" s="2177"/>
      <c r="AD86" s="2177"/>
      <c r="AE86" s="2177"/>
      <c r="AF86" s="2177"/>
      <c r="AG86" s="2177"/>
      <c r="AH86" s="2177"/>
      <c r="AI86" s="2177"/>
      <c r="AJ86" s="2177"/>
      <c r="AK86" s="2177"/>
      <c r="AL86" s="2177"/>
      <c r="AM86" s="2177"/>
      <c r="AN86" s="2177"/>
      <c r="AO86" s="2177"/>
      <c r="AP86" s="2177"/>
      <c r="AQ86" s="2177"/>
      <c r="AR86" s="2177"/>
      <c r="AS86" s="2177"/>
      <c r="AT86" s="2177"/>
      <c r="AU86" s="2177"/>
      <c r="AV86" s="2177"/>
      <c r="AW86" s="2177"/>
      <c r="AX86" s="2177"/>
    </row>
    <row r="87" spans="1:50">
      <c r="A87" s="2177"/>
      <c r="B87" s="2177"/>
      <c r="C87" s="2177"/>
      <c r="D87" s="2177"/>
      <c r="E87" s="2177"/>
      <c r="F87" s="2177"/>
      <c r="G87" s="2177"/>
      <c r="H87" s="2177"/>
      <c r="I87" s="2177"/>
      <c r="J87" s="2177"/>
      <c r="K87" s="2177"/>
      <c r="L87" s="2177"/>
      <c r="M87" s="2177"/>
      <c r="N87" s="2177"/>
      <c r="O87" s="2177"/>
      <c r="P87" s="2177"/>
      <c r="Q87" s="2177"/>
      <c r="R87" s="2177"/>
      <c r="S87" s="2177"/>
      <c r="T87" s="2177"/>
      <c r="U87" s="2177"/>
      <c r="V87" s="2177"/>
      <c r="W87" s="2177"/>
      <c r="X87" s="2177"/>
      <c r="Y87" s="2177"/>
      <c r="Z87" s="2177"/>
      <c r="AA87" s="2177"/>
      <c r="AB87" s="2177"/>
      <c r="AC87" s="2177"/>
      <c r="AD87" s="2177"/>
      <c r="AE87" s="2177"/>
      <c r="AF87" s="2177"/>
      <c r="AG87" s="2177"/>
      <c r="AH87" s="2177"/>
      <c r="AI87" s="2177"/>
      <c r="AJ87" s="2177"/>
      <c r="AK87" s="2177"/>
      <c r="AL87" s="2177"/>
      <c r="AM87" s="2177"/>
      <c r="AN87" s="2177"/>
      <c r="AO87" s="2177"/>
      <c r="AP87" s="2177"/>
      <c r="AQ87" s="2177"/>
      <c r="AR87" s="2177"/>
      <c r="AS87" s="2177"/>
      <c r="AT87" s="2177"/>
      <c r="AU87" s="2177"/>
      <c r="AV87" s="2177"/>
      <c r="AW87" s="2177"/>
      <c r="AX87" s="2177"/>
    </row>
    <row r="88" spans="1:50">
      <c r="A88" s="2177"/>
      <c r="B88" s="2177"/>
      <c r="C88" s="2177"/>
      <c r="D88" s="2177"/>
      <c r="E88" s="2177"/>
      <c r="F88" s="2177"/>
      <c r="G88" s="2177"/>
      <c r="H88" s="2177"/>
      <c r="I88" s="2177"/>
      <c r="J88" s="2177"/>
      <c r="K88" s="2177"/>
      <c r="L88" s="2177"/>
      <c r="M88" s="2177"/>
      <c r="N88" s="2177"/>
      <c r="O88" s="2177"/>
      <c r="P88" s="2177"/>
      <c r="Q88" s="2177"/>
      <c r="R88" s="2177"/>
      <c r="S88" s="2177"/>
      <c r="T88" s="2177"/>
      <c r="U88" s="2177"/>
      <c r="V88" s="2177"/>
      <c r="W88" s="2177"/>
      <c r="X88" s="2177"/>
      <c r="Y88" s="2177"/>
      <c r="Z88" s="2177"/>
      <c r="AA88" s="2177"/>
      <c r="AB88" s="2177"/>
      <c r="AC88" s="2177"/>
      <c r="AD88" s="2177"/>
      <c r="AE88" s="2177"/>
      <c r="AF88" s="2177"/>
      <c r="AG88" s="2177"/>
      <c r="AH88" s="2177"/>
      <c r="AI88" s="2177"/>
      <c r="AJ88" s="2177"/>
      <c r="AK88" s="2177"/>
      <c r="AL88" s="2177"/>
      <c r="AM88" s="2177"/>
      <c r="AN88" s="2177"/>
      <c r="AO88" s="2177"/>
      <c r="AP88" s="2177"/>
      <c r="AQ88" s="2177"/>
      <c r="AR88" s="2177"/>
      <c r="AS88" s="2177"/>
      <c r="AT88" s="2177"/>
      <c r="AU88" s="2177"/>
      <c r="AV88" s="2177"/>
      <c r="AW88" s="2177"/>
      <c r="AX88" s="2177"/>
    </row>
    <row r="89" spans="1:50">
      <c r="A89" s="2177"/>
      <c r="B89" s="2177"/>
      <c r="C89" s="2177"/>
      <c r="D89" s="2177"/>
      <c r="E89" s="2177"/>
      <c r="F89" s="2177"/>
      <c r="G89" s="2177"/>
      <c r="H89" s="2177"/>
      <c r="I89" s="2177"/>
      <c r="J89" s="2177"/>
      <c r="K89" s="2177"/>
      <c r="L89" s="2177"/>
      <c r="M89" s="2177"/>
      <c r="N89" s="2177"/>
      <c r="O89" s="2177"/>
      <c r="P89" s="2177"/>
      <c r="Q89" s="2177"/>
      <c r="R89" s="2177"/>
      <c r="S89" s="2177"/>
      <c r="T89" s="2177"/>
      <c r="U89" s="2177"/>
      <c r="V89" s="2177"/>
      <c r="W89" s="2177"/>
      <c r="X89" s="2177"/>
      <c r="Y89" s="2177"/>
      <c r="Z89" s="2177"/>
      <c r="AA89" s="2177"/>
      <c r="AB89" s="2177"/>
      <c r="AC89" s="2177"/>
      <c r="AD89" s="2177"/>
      <c r="AE89" s="2177"/>
      <c r="AF89" s="2177"/>
      <c r="AG89" s="2177"/>
      <c r="AH89" s="2177"/>
      <c r="AI89" s="2177"/>
      <c r="AJ89" s="2177"/>
      <c r="AK89" s="2177"/>
      <c r="AL89" s="2177"/>
      <c r="AM89" s="2177"/>
      <c r="AN89" s="2177"/>
      <c r="AO89" s="2177"/>
      <c r="AP89" s="2177"/>
      <c r="AQ89" s="2177"/>
      <c r="AR89" s="2177"/>
      <c r="AS89" s="2177"/>
      <c r="AT89" s="2177"/>
      <c r="AU89" s="2177"/>
      <c r="AV89" s="2177"/>
      <c r="AW89" s="2177"/>
      <c r="AX89" s="2177"/>
    </row>
    <row r="90" spans="1:50">
      <c r="A90" s="2177"/>
      <c r="B90" s="2177"/>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c r="AB90" s="2177"/>
      <c r="AC90" s="2177"/>
      <c r="AD90" s="2177"/>
      <c r="AE90" s="2177"/>
      <c r="AF90" s="2177"/>
      <c r="AG90" s="2177"/>
      <c r="AH90" s="2177"/>
      <c r="AI90" s="2177"/>
      <c r="AJ90" s="2177"/>
      <c r="AK90" s="2177"/>
      <c r="AL90" s="2177"/>
      <c r="AM90" s="2177"/>
      <c r="AN90" s="2177"/>
      <c r="AO90" s="2177"/>
      <c r="AP90" s="2177"/>
      <c r="AQ90" s="2177"/>
      <c r="AR90" s="2177"/>
      <c r="AS90" s="2177"/>
      <c r="AT90" s="2177"/>
      <c r="AU90" s="2177"/>
      <c r="AV90" s="2177"/>
      <c r="AW90" s="2177"/>
      <c r="AX90" s="2177"/>
    </row>
    <row r="91" spans="1:50">
      <c r="A91" s="2177"/>
      <c r="B91" s="2177"/>
      <c r="C91" s="2177"/>
      <c r="D91" s="2177"/>
      <c r="E91" s="2177"/>
      <c r="F91" s="2177"/>
      <c r="G91" s="2177"/>
      <c r="H91" s="2177"/>
      <c r="I91" s="2177"/>
      <c r="J91" s="2177"/>
      <c r="K91" s="2177"/>
      <c r="L91" s="2177"/>
      <c r="M91" s="2177"/>
      <c r="N91" s="2177"/>
      <c r="O91" s="2177"/>
      <c r="P91" s="2177"/>
      <c r="Q91" s="2177"/>
      <c r="R91" s="2177"/>
      <c r="S91" s="2177"/>
      <c r="T91" s="2177"/>
      <c r="U91" s="2177"/>
      <c r="V91" s="2177"/>
      <c r="W91" s="2177"/>
      <c r="X91" s="2177"/>
      <c r="Y91" s="2177"/>
      <c r="Z91" s="2177"/>
      <c r="AA91" s="2177"/>
      <c r="AB91" s="2177"/>
      <c r="AC91" s="2177"/>
      <c r="AD91" s="2177"/>
      <c r="AE91" s="2177"/>
      <c r="AF91" s="2177"/>
      <c r="AG91" s="2177"/>
      <c r="AH91" s="2177"/>
      <c r="AI91" s="2177"/>
      <c r="AJ91" s="2177"/>
      <c r="AK91" s="2177"/>
      <c r="AL91" s="2177"/>
      <c r="AM91" s="2177"/>
      <c r="AN91" s="2177"/>
      <c r="AO91" s="2177"/>
      <c r="AP91" s="2177"/>
      <c r="AQ91" s="2177"/>
      <c r="AR91" s="2177"/>
      <c r="AS91" s="2177"/>
      <c r="AT91" s="2177"/>
      <c r="AU91" s="2177"/>
      <c r="AV91" s="2177"/>
      <c r="AW91" s="2177"/>
      <c r="AX91" s="2177"/>
    </row>
    <row r="92" spans="1:50">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c r="AA92" s="2177"/>
      <c r="AB92" s="2177"/>
      <c r="AC92" s="2177"/>
      <c r="AD92" s="2177"/>
      <c r="AE92" s="2177"/>
      <c r="AF92" s="2177"/>
      <c r="AG92" s="2177"/>
      <c r="AH92" s="2177"/>
      <c r="AI92" s="2177"/>
      <c r="AJ92" s="2177"/>
      <c r="AK92" s="2177"/>
      <c r="AL92" s="2177"/>
      <c r="AM92" s="2177"/>
      <c r="AN92" s="2177"/>
      <c r="AO92" s="2177"/>
      <c r="AP92" s="2177"/>
      <c r="AQ92" s="2177"/>
      <c r="AR92" s="2177"/>
      <c r="AS92" s="2177"/>
      <c r="AT92" s="2177"/>
      <c r="AU92" s="2177"/>
      <c r="AV92" s="2177"/>
      <c r="AW92" s="2177"/>
      <c r="AX92" s="2177"/>
    </row>
    <row r="93" spans="1:50">
      <c r="A93" s="2177"/>
      <c r="B93" s="2177"/>
      <c r="C93" s="2177"/>
      <c r="D93" s="2177"/>
      <c r="E93" s="2177"/>
      <c r="F93" s="2177"/>
      <c r="G93" s="2177"/>
      <c r="H93" s="2177"/>
      <c r="I93" s="2177"/>
      <c r="J93" s="2177"/>
      <c r="K93" s="2177"/>
      <c r="L93" s="2177"/>
      <c r="M93" s="2177"/>
      <c r="N93" s="2177"/>
      <c r="O93" s="2177"/>
      <c r="P93" s="2177"/>
      <c r="Q93" s="2177"/>
      <c r="R93" s="2177"/>
      <c r="S93" s="2177"/>
      <c r="T93" s="2177"/>
      <c r="U93" s="2177"/>
      <c r="V93" s="2177"/>
      <c r="W93" s="2177"/>
      <c r="X93" s="2177"/>
      <c r="Y93" s="2177"/>
      <c r="Z93" s="2177"/>
      <c r="AA93" s="2177"/>
      <c r="AB93" s="2177"/>
      <c r="AC93" s="2177"/>
      <c r="AD93" s="2177"/>
      <c r="AE93" s="2177"/>
      <c r="AF93" s="2177"/>
      <c r="AG93" s="2177"/>
      <c r="AH93" s="2177"/>
      <c r="AI93" s="2177"/>
      <c r="AJ93" s="2177"/>
      <c r="AK93" s="2177"/>
      <c r="AL93" s="2177"/>
      <c r="AM93" s="2177"/>
      <c r="AN93" s="2177"/>
      <c r="AO93" s="2177"/>
      <c r="AP93" s="2177"/>
      <c r="AQ93" s="2177"/>
      <c r="AR93" s="2177"/>
      <c r="AS93" s="2177"/>
      <c r="AT93" s="2177"/>
      <c r="AU93" s="2177"/>
      <c r="AV93" s="2177"/>
      <c r="AW93" s="2177"/>
      <c r="AX93" s="2177"/>
    </row>
    <row r="94" spans="1:50">
      <c r="A94" s="2177"/>
      <c r="B94" s="2177"/>
      <c r="C94" s="2177"/>
      <c r="D94" s="2177"/>
      <c r="E94" s="2177"/>
      <c r="F94" s="2177"/>
      <c r="G94" s="2177"/>
      <c r="H94" s="2177"/>
      <c r="I94" s="2177"/>
      <c r="J94" s="2177"/>
      <c r="K94" s="2177"/>
      <c r="L94" s="2177"/>
      <c r="M94" s="2177"/>
      <c r="N94" s="2177"/>
      <c r="O94" s="2177"/>
      <c r="P94" s="2177"/>
      <c r="Q94" s="2177"/>
      <c r="R94" s="2177"/>
      <c r="S94" s="2177"/>
      <c r="T94" s="2177"/>
      <c r="U94" s="2177"/>
      <c r="V94" s="2177"/>
      <c r="W94" s="2177"/>
      <c r="X94" s="2177"/>
      <c r="Y94" s="2177"/>
      <c r="Z94" s="2177"/>
      <c r="AA94" s="2177"/>
      <c r="AB94" s="2177"/>
      <c r="AC94" s="2177"/>
      <c r="AD94" s="2177"/>
      <c r="AE94" s="2177"/>
      <c r="AF94" s="2177"/>
      <c r="AG94" s="2177"/>
      <c r="AH94" s="2177"/>
      <c r="AI94" s="2177"/>
      <c r="AJ94" s="2177"/>
      <c r="AK94" s="2177"/>
      <c r="AL94" s="2177"/>
      <c r="AM94" s="2177"/>
      <c r="AN94" s="2177"/>
      <c r="AO94" s="2177"/>
      <c r="AP94" s="2177"/>
      <c r="AQ94" s="2177"/>
      <c r="AR94" s="2177"/>
      <c r="AS94" s="2177"/>
      <c r="AT94" s="2177"/>
      <c r="AU94" s="2177"/>
      <c r="AV94" s="2177"/>
      <c r="AW94" s="2177"/>
      <c r="AX94" s="2177"/>
    </row>
    <row r="95" spans="1:50">
      <c r="A95" s="2177"/>
      <c r="B95" s="2177"/>
      <c r="C95" s="2177"/>
      <c r="D95" s="2177"/>
      <c r="E95" s="2177"/>
      <c r="F95" s="2177"/>
      <c r="G95" s="2177"/>
      <c r="H95" s="2177"/>
      <c r="I95" s="2177"/>
      <c r="J95" s="2177"/>
      <c r="K95" s="2177"/>
      <c r="L95" s="2177"/>
      <c r="M95" s="2177"/>
      <c r="N95" s="2177"/>
      <c r="O95" s="2177"/>
      <c r="P95" s="2177"/>
      <c r="Q95" s="2177"/>
      <c r="R95" s="2177"/>
      <c r="S95" s="2177"/>
      <c r="T95" s="2177"/>
      <c r="U95" s="2177"/>
      <c r="V95" s="2177"/>
      <c r="W95" s="2177"/>
      <c r="X95" s="2177"/>
      <c r="Y95" s="2177"/>
      <c r="Z95" s="2177"/>
      <c r="AA95" s="2177"/>
      <c r="AB95" s="2177"/>
      <c r="AC95" s="2177"/>
      <c r="AD95" s="2177"/>
      <c r="AE95" s="2177"/>
      <c r="AF95" s="2177"/>
      <c r="AG95" s="2177"/>
      <c r="AH95" s="2177"/>
      <c r="AI95" s="2177"/>
      <c r="AJ95" s="2177"/>
      <c r="AK95" s="2177"/>
      <c r="AL95" s="2177"/>
      <c r="AM95" s="2177"/>
      <c r="AN95" s="2177"/>
      <c r="AO95" s="2177"/>
      <c r="AP95" s="2177"/>
      <c r="AQ95" s="2177"/>
      <c r="AR95" s="2177"/>
      <c r="AS95" s="2177"/>
      <c r="AT95" s="2177"/>
      <c r="AU95" s="2177"/>
      <c r="AV95" s="2177"/>
      <c r="AW95" s="2177"/>
      <c r="AX95" s="2177"/>
    </row>
    <row r="96" spans="1:50">
      <c r="A96" s="2177"/>
      <c r="B96" s="2177"/>
      <c r="C96" s="2177"/>
      <c r="D96" s="2177"/>
      <c r="E96" s="2177"/>
      <c r="F96" s="2177"/>
      <c r="G96" s="2177"/>
      <c r="H96" s="2177"/>
      <c r="I96" s="2177"/>
      <c r="J96" s="2177"/>
      <c r="K96" s="2177"/>
      <c r="L96" s="2177"/>
      <c r="M96" s="2177"/>
      <c r="N96" s="2177"/>
      <c r="O96" s="2177"/>
      <c r="P96" s="2177"/>
      <c r="Q96" s="2177"/>
      <c r="R96" s="2177"/>
      <c r="S96" s="2177"/>
      <c r="T96" s="2177"/>
      <c r="U96" s="2177"/>
      <c r="V96" s="2177"/>
      <c r="W96" s="2177"/>
      <c r="X96" s="2177"/>
      <c r="Y96" s="2177"/>
      <c r="Z96" s="2177"/>
      <c r="AA96" s="2177"/>
      <c r="AB96" s="2177"/>
      <c r="AC96" s="2177"/>
      <c r="AD96" s="2177"/>
      <c r="AE96" s="2177"/>
      <c r="AF96" s="2177"/>
      <c r="AG96" s="2177"/>
      <c r="AH96" s="2177"/>
      <c r="AI96" s="2177"/>
      <c r="AJ96" s="2177"/>
      <c r="AK96" s="2177"/>
      <c r="AL96" s="2177"/>
      <c r="AM96" s="2177"/>
      <c r="AN96" s="2177"/>
      <c r="AO96" s="2177"/>
      <c r="AP96" s="2177"/>
      <c r="AQ96" s="2177"/>
      <c r="AR96" s="2177"/>
      <c r="AS96" s="2177"/>
      <c r="AT96" s="2177"/>
      <c r="AU96" s="2177"/>
      <c r="AV96" s="2177"/>
      <c r="AW96" s="2177"/>
      <c r="AX96" s="2177"/>
    </row>
    <row r="97" spans="1:50">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c r="AA97" s="2177"/>
      <c r="AB97" s="2177"/>
      <c r="AC97" s="2177"/>
      <c r="AD97" s="2177"/>
      <c r="AE97" s="2177"/>
      <c r="AF97" s="2177"/>
      <c r="AG97" s="2177"/>
      <c r="AH97" s="2177"/>
      <c r="AI97" s="2177"/>
      <c r="AJ97" s="2177"/>
      <c r="AK97" s="2177"/>
      <c r="AL97" s="2177"/>
      <c r="AM97" s="2177"/>
      <c r="AN97" s="2177"/>
      <c r="AO97" s="2177"/>
      <c r="AP97" s="2177"/>
      <c r="AQ97" s="2177"/>
      <c r="AR97" s="2177"/>
      <c r="AS97" s="2177"/>
      <c r="AT97" s="2177"/>
      <c r="AU97" s="2177"/>
      <c r="AV97" s="2177"/>
      <c r="AW97" s="2177"/>
      <c r="AX97" s="2177"/>
    </row>
    <row r="98" spans="1:50">
      <c r="A98" s="2177"/>
      <c r="B98" s="2177"/>
      <c r="C98" s="2177"/>
      <c r="D98" s="2177"/>
      <c r="E98" s="2177"/>
      <c r="F98" s="2177"/>
      <c r="G98" s="2177"/>
      <c r="H98" s="2177"/>
      <c r="I98" s="2177"/>
      <c r="J98" s="2177"/>
      <c r="K98" s="2177"/>
      <c r="L98" s="2177"/>
      <c r="M98" s="2177"/>
      <c r="N98" s="2177"/>
      <c r="O98" s="2177"/>
      <c r="P98" s="2177"/>
      <c r="Q98" s="2177"/>
      <c r="R98" s="2177"/>
      <c r="S98" s="2177"/>
      <c r="T98" s="2177"/>
      <c r="U98" s="2177"/>
      <c r="V98" s="2177"/>
      <c r="W98" s="2177"/>
      <c r="X98" s="2177"/>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row>
  </sheetData>
  <customSheetViews>
    <customSheetView guid="{074EB09C-6289-46D7-9513-012B68BCA7BF}" showGridLines="0">
      <pane xSplit="1" ySplit="1" topLeftCell="C2" activePane="bottomRight" state="frozen"/>
      <selection pane="bottomRight"/>
      <pageMargins left="0.7" right="0.7" top="0.75" bottom="0.75" header="0.3" footer="0.3"/>
    </customSheetView>
    <customSheetView guid="{D9EFFE19-D14B-4C6F-BDF4-FF696F73968D}" showGridLines="0">
      <pane xSplit="1" ySplit="1" topLeftCell="B20" activePane="bottomRight" state="frozen"/>
      <selection pane="bottomRight" activeCell="G41" sqref="G41"/>
      <pageMargins left="0.7" right="0.7" top="0.75" bottom="0.75" header="0.3" footer="0.3"/>
    </customSheetView>
  </customSheetView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47.5703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4.85546875" style="2177"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 customHeight="1" thickBot="1">
      <c r="C1" s="1812" t="s">
        <v>706</v>
      </c>
      <c r="D1" s="1812" t="s">
        <v>278</v>
      </c>
      <c r="E1" s="1812" t="s">
        <v>6</v>
      </c>
      <c r="F1" s="1812">
        <v>18231022</v>
      </c>
      <c r="G1" s="1812" t="s">
        <v>31</v>
      </c>
      <c r="J1" s="1592"/>
      <c r="M1" s="1812" t="s">
        <v>706</v>
      </c>
      <c r="N1" s="1812" t="s">
        <v>278</v>
      </c>
      <c r="O1" s="1812" t="s">
        <v>6</v>
      </c>
      <c r="P1" s="1812">
        <v>18231022</v>
      </c>
      <c r="Q1" s="1812" t="s">
        <v>31</v>
      </c>
      <c r="V1" s="1812" t="s">
        <v>706</v>
      </c>
      <c r="W1" s="1812" t="s">
        <v>278</v>
      </c>
      <c r="X1" s="1812" t="s">
        <v>6</v>
      </c>
      <c r="Y1" s="1812">
        <v>18231022</v>
      </c>
      <c r="Z1" s="1812" t="s">
        <v>31</v>
      </c>
    </row>
    <row r="2" spans="1:33" ht="16.5" thickBot="1">
      <c r="C2" s="1592"/>
      <c r="D2" s="1575"/>
      <c r="H2" s="1576" t="s">
        <v>674</v>
      </c>
      <c r="R2" s="3596"/>
      <c r="S2" s="3596"/>
      <c r="T2" s="3597" t="s">
        <v>36</v>
      </c>
      <c r="U2" s="3598"/>
      <c r="V2" s="3599"/>
      <c r="W2" s="3594" t="s">
        <v>37</v>
      </c>
    </row>
    <row r="3" spans="1:33" ht="26.25" thickBot="1">
      <c r="A3" s="2802" t="s">
        <v>706</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12621</v>
      </c>
      <c r="I4" s="2002">
        <v>0</v>
      </c>
      <c r="J4" s="2002">
        <v>8923</v>
      </c>
      <c r="K4" s="2002">
        <v>1500</v>
      </c>
      <c r="L4" s="2002">
        <v>100</v>
      </c>
      <c r="M4" s="2002">
        <v>4000</v>
      </c>
      <c r="N4" s="2002">
        <v>525</v>
      </c>
      <c r="O4" s="2002">
        <v>100</v>
      </c>
      <c r="P4" s="2002">
        <v>3663</v>
      </c>
      <c r="Q4" s="2002">
        <v>0</v>
      </c>
      <c r="R4" s="2000">
        <v>31433</v>
      </c>
      <c r="S4" s="2041">
        <v>9365</v>
      </c>
      <c r="T4" s="1541">
        <f>P4/R4</f>
        <v>0.1165335793592721</v>
      </c>
      <c r="U4" s="1541">
        <f>(K4+(I4*1.63))/R4</f>
        <v>4.7720548468170393E-2</v>
      </c>
      <c r="V4" s="1541">
        <f>M4/R4</f>
        <v>0.12725479591512104</v>
      </c>
      <c r="W4" s="1539">
        <f>R4/S4</f>
        <v>3.3564335290977043</v>
      </c>
    </row>
    <row r="5" spans="1:33" ht="16.5" thickBot="1">
      <c r="A5" s="2802" t="s">
        <v>6</v>
      </c>
      <c r="B5" s="2802"/>
      <c r="C5" s="1592"/>
      <c r="G5" s="1592">
        <v>2016</v>
      </c>
      <c r="H5" s="1582">
        <f>D15</f>
        <v>19032.930000000004</v>
      </c>
      <c r="I5" s="1549">
        <f>D21</f>
        <v>0</v>
      </c>
      <c r="J5" s="1549">
        <f>D27</f>
        <v>12694.964310000003</v>
      </c>
      <c r="K5" s="1549">
        <f>D34</f>
        <v>250</v>
      </c>
      <c r="L5" s="1549">
        <f>D40</f>
        <v>0</v>
      </c>
      <c r="M5" s="1549">
        <f>D46</f>
        <v>6000</v>
      </c>
      <c r="N5" s="1549">
        <f>D52</f>
        <v>0</v>
      </c>
      <c r="O5" s="1549">
        <f>D58</f>
        <v>68809.5</v>
      </c>
      <c r="P5" s="1549">
        <f>D64</f>
        <v>737860.67500000005</v>
      </c>
      <c r="Q5" s="1549">
        <f>D65</f>
        <v>0</v>
      </c>
      <c r="R5" s="2001">
        <f>SUM(H5:Q5)</f>
        <v>844648.06931000005</v>
      </c>
      <c r="S5" s="2042">
        <f>T15</f>
        <v>277585</v>
      </c>
      <c r="T5" s="1542">
        <f>P5/R5</f>
        <v>0.87357172982442799</v>
      </c>
      <c r="U5" s="1542">
        <f>(K5+(I5*1.63))/R5</f>
        <v>2.9598126022383153E-4</v>
      </c>
      <c r="V5" s="1542">
        <f>M5/R5</f>
        <v>7.1035502453719564E-3</v>
      </c>
      <c r="W5" s="1540">
        <f>R5/S5</f>
        <v>3.0428447837959545</v>
      </c>
    </row>
    <row r="6" spans="1:33" ht="16.5" thickBot="1">
      <c r="A6" s="2802">
        <v>18231022</v>
      </c>
      <c r="B6" s="2802"/>
      <c r="D6" s="1592"/>
      <c r="G6" s="1592">
        <v>2017</v>
      </c>
      <c r="H6" s="57">
        <f>E15</f>
        <v>19508.79</v>
      </c>
      <c r="I6" s="1990">
        <f>E21</f>
        <v>0</v>
      </c>
      <c r="J6" s="1989">
        <f>E27</f>
        <v>13265.977200000001</v>
      </c>
      <c r="K6" s="58">
        <f>E34</f>
        <v>250</v>
      </c>
      <c r="L6" s="58">
        <f>E40</f>
        <v>0</v>
      </c>
      <c r="M6" s="58">
        <f>E46</f>
        <v>6000</v>
      </c>
      <c r="N6" s="58">
        <f>E52</f>
        <v>0</v>
      </c>
      <c r="O6" s="58">
        <f>E58</f>
        <v>68809.5</v>
      </c>
      <c r="P6" s="58">
        <f>E64</f>
        <v>751072.55499999993</v>
      </c>
      <c r="Q6" s="58">
        <f>E65</f>
        <v>0</v>
      </c>
      <c r="R6" s="1997">
        <f>SUM(H6:Q6)</f>
        <v>858906.82219999994</v>
      </c>
      <c r="S6" s="2043">
        <f>U15</f>
        <v>281325</v>
      </c>
      <c r="T6" s="1542">
        <f>P6/R6</f>
        <v>0.8744517281585984</v>
      </c>
      <c r="U6" s="1542">
        <f>(K6+(I6*1.63))/R6</f>
        <v>2.9106766128559925E-4</v>
      </c>
      <c r="V6" s="1542">
        <f>M6/R6</f>
        <v>6.9856238708543824E-3</v>
      </c>
      <c r="W6" s="1540">
        <f>R6/S6</f>
        <v>3.053076769572558</v>
      </c>
    </row>
    <row r="7" spans="1:33" ht="16.5" thickBot="1">
      <c r="A7" s="2802" t="s">
        <v>31</v>
      </c>
      <c r="B7" s="2802"/>
      <c r="D7" s="1592"/>
      <c r="G7" s="1608" t="s">
        <v>23</v>
      </c>
      <c r="H7" s="1564">
        <f>SUM(H5:H6)</f>
        <v>38541.72</v>
      </c>
      <c r="I7" s="1991">
        <f t="shared" ref="I7:Q7" si="0">SUM(I5:I6)</f>
        <v>0</v>
      </c>
      <c r="J7" s="1992">
        <f t="shared" si="0"/>
        <v>25960.941510000004</v>
      </c>
      <c r="K7" s="1993">
        <f t="shared" si="0"/>
        <v>500</v>
      </c>
      <c r="L7" s="1991">
        <f t="shared" si="0"/>
        <v>0</v>
      </c>
      <c r="M7" s="1992">
        <f t="shared" si="0"/>
        <v>12000</v>
      </c>
      <c r="N7" s="1991">
        <f t="shared" si="0"/>
        <v>0</v>
      </c>
      <c r="O7" s="1992">
        <f t="shared" si="0"/>
        <v>137619</v>
      </c>
      <c r="P7" s="1993">
        <f t="shared" si="0"/>
        <v>1488933.23</v>
      </c>
      <c r="Q7" s="1991">
        <f t="shared" si="0"/>
        <v>0</v>
      </c>
      <c r="R7" s="1993">
        <f>SUM(H7:Q7)</f>
        <v>1703554.89151</v>
      </c>
      <c r="S7" s="2600">
        <f>SUM(S5:S6)</f>
        <v>558910</v>
      </c>
      <c r="T7" s="1542">
        <f>P7/R7</f>
        <v>0.87401541178414077</v>
      </c>
      <c r="U7" s="1542">
        <f>(K7+(I7*1.63))/R7</f>
        <v>2.9350389734539702E-4</v>
      </c>
      <c r="V7" s="1542">
        <f>M7/R7</f>
        <v>7.0440935362895288E-3</v>
      </c>
      <c r="W7" s="1540">
        <f>R7/S7</f>
        <v>3.0479950108425329</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D15+D21+D27+D34+D40+D46+D52+D58+D64</f>
        <v>844648.06931000005</v>
      </c>
      <c r="E12" s="1948">
        <f>E15+E21+E27+E34+E40+E46+E52+E58+E64</f>
        <v>858906.82219999994</v>
      </c>
      <c r="F12" s="2157">
        <f>D12+E12</f>
        <v>1703554.89151</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19032.930000000004</v>
      </c>
      <c r="E15" s="1926">
        <f>SUM(E16:E19)</f>
        <v>19508.79</v>
      </c>
      <c r="F15" s="2157">
        <f>D15+E15</f>
        <v>38541.72</v>
      </c>
      <c r="H15" s="1938" t="s">
        <v>327</v>
      </c>
      <c r="I15" s="1939"/>
      <c r="J15" s="1939"/>
      <c r="K15" s="1940"/>
      <c r="L15" s="1941">
        <f>SUMPRODUCT(L16:L165,S16:S165)</f>
        <v>2360462.35</v>
      </c>
      <c r="M15" s="1941">
        <f>SUM(M16:M165)</f>
        <v>862.76700000000005</v>
      </c>
      <c r="N15" s="1942" t="s">
        <v>241</v>
      </c>
      <c r="O15" s="1940">
        <v>6</v>
      </c>
      <c r="P15" s="1940"/>
      <c r="Q15" s="1940"/>
      <c r="R15" s="1940"/>
      <c r="S15" s="1940"/>
      <c r="T15" s="1943">
        <f t="shared" ref="T15:X15" si="1">SUM(T16:T65)</f>
        <v>277585</v>
      </c>
      <c r="U15" s="1943">
        <f t="shared" si="1"/>
        <v>281325</v>
      </c>
      <c r="V15" s="1943">
        <f t="shared" si="1"/>
        <v>558910</v>
      </c>
      <c r="W15" s="1941">
        <f t="shared" si="1"/>
        <v>737860.67500000005</v>
      </c>
      <c r="X15" s="1941">
        <f t="shared" si="1"/>
        <v>751072.55499999993</v>
      </c>
      <c r="Y15" s="1941">
        <f>SUM(Y16:Y65)</f>
        <v>1488933.23</v>
      </c>
      <c r="Z15" s="1945">
        <v>0</v>
      </c>
      <c r="AA15" s="1944" t="s">
        <v>328</v>
      </c>
      <c r="AB15" s="1944" t="s">
        <v>328</v>
      </c>
      <c r="AC15" s="1941">
        <v>0</v>
      </c>
      <c r="AD15" s="1941">
        <v>0</v>
      </c>
      <c r="AE15" s="1941">
        <v>0</v>
      </c>
      <c r="AF15" s="1941">
        <v>0</v>
      </c>
      <c r="AG15" s="1917"/>
    </row>
    <row r="16" spans="1:33">
      <c r="B16" s="2610">
        <v>0.2</v>
      </c>
      <c r="C16" s="2197" t="s">
        <v>792</v>
      </c>
      <c r="D16" s="2201">
        <v>18126.600000000002</v>
      </c>
      <c r="E16" s="2200">
        <v>18579.8</v>
      </c>
      <c r="F16" s="1879">
        <f>SUM(D16:E16)</f>
        <v>36706.400000000001</v>
      </c>
      <c r="H16" s="1922" t="s">
        <v>1277</v>
      </c>
      <c r="I16" s="2927">
        <v>25.6</v>
      </c>
      <c r="J16" s="1932" t="s">
        <v>81</v>
      </c>
      <c r="K16" s="1922" t="s">
        <v>909</v>
      </c>
      <c r="L16" s="1929">
        <v>10.946</v>
      </c>
      <c r="M16" s="1929">
        <v>10.946</v>
      </c>
      <c r="N16" s="1923">
        <v>0.23892483822797411</v>
      </c>
      <c r="O16" s="1922">
        <v>5</v>
      </c>
      <c r="P16" s="1925" t="s">
        <v>1072</v>
      </c>
      <c r="Q16" s="1928">
        <v>25</v>
      </c>
      <c r="R16" s="1928">
        <v>25</v>
      </c>
      <c r="S16" s="1931">
        <f>SUM(Q16:R16)</f>
        <v>50</v>
      </c>
      <c r="T16" s="1931">
        <f>Q16*I16</f>
        <v>640</v>
      </c>
      <c r="U16" s="1931">
        <f>R16*I16</f>
        <v>640</v>
      </c>
      <c r="V16" s="1931">
        <f>SUM(T16:U16)</f>
        <v>1280</v>
      </c>
      <c r="W16" s="1921">
        <f>Q16*M16</f>
        <v>273.64999999999998</v>
      </c>
      <c r="X16" s="1921">
        <f>R16*M16</f>
        <v>273.64999999999998</v>
      </c>
      <c r="Y16" s="1921">
        <f>SUM(W16:X16)</f>
        <v>547.29999999999995</v>
      </c>
      <c r="Z16" s="1946">
        <v>0</v>
      </c>
      <c r="AA16" s="1920" t="s">
        <v>241</v>
      </c>
      <c r="AB16" s="1920" t="s">
        <v>241</v>
      </c>
      <c r="AC16" s="1921" t="s">
        <v>241</v>
      </c>
      <c r="AD16" s="1921" t="s">
        <v>241</v>
      </c>
      <c r="AE16" s="1921" t="s">
        <v>241</v>
      </c>
      <c r="AF16" s="1921" t="s">
        <v>241</v>
      </c>
      <c r="AG16" s="1917"/>
    </row>
    <row r="17" spans="2:33">
      <c r="B17" s="2610">
        <v>0.01</v>
      </c>
      <c r="C17" s="2197" t="s">
        <v>791</v>
      </c>
      <c r="D17" s="2199">
        <v>906.33</v>
      </c>
      <c r="E17" s="2198">
        <v>928.99</v>
      </c>
      <c r="F17" s="2191">
        <f t="shared" ref="F17:F30" si="2">SUM(D17:E17)</f>
        <v>1835.3200000000002</v>
      </c>
      <c r="H17" s="1922" t="s">
        <v>1278</v>
      </c>
      <c r="I17" s="2927">
        <v>12.8</v>
      </c>
      <c r="J17" s="1932" t="s">
        <v>81</v>
      </c>
      <c r="K17" s="1922" t="s">
        <v>909</v>
      </c>
      <c r="L17" s="1929">
        <v>10.946</v>
      </c>
      <c r="M17" s="1929">
        <v>10.946</v>
      </c>
      <c r="N17" s="1923">
        <v>0.11946241911398706</v>
      </c>
      <c r="O17" s="1922">
        <v>5</v>
      </c>
      <c r="P17" s="1925" t="s">
        <v>1072</v>
      </c>
      <c r="Q17" s="1928">
        <v>25</v>
      </c>
      <c r="R17" s="1928">
        <v>25</v>
      </c>
      <c r="S17" s="1931">
        <f t="shared" ref="S17:S65" si="3">SUM(Q17:R17)</f>
        <v>50</v>
      </c>
      <c r="T17" s="1931">
        <f t="shared" ref="T17:T65" si="4">Q17*I17</f>
        <v>320</v>
      </c>
      <c r="U17" s="1931">
        <f t="shared" ref="U17:U65" si="5">R17*I17</f>
        <v>320</v>
      </c>
      <c r="V17" s="1931">
        <f t="shared" ref="V17:V65" si="6">SUM(T17:U17)</f>
        <v>640</v>
      </c>
      <c r="W17" s="1921">
        <f t="shared" ref="W17:W65" si="7">Q17*M17</f>
        <v>273.64999999999998</v>
      </c>
      <c r="X17" s="1921">
        <f t="shared" ref="X17:X65" si="8">R17*M17</f>
        <v>273.64999999999998</v>
      </c>
      <c r="Y17" s="1921">
        <f t="shared" ref="Y17:Y65" si="9">SUM(W17:X17)</f>
        <v>547.29999999999995</v>
      </c>
      <c r="Z17" s="1946">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1922" t="s">
        <v>1279</v>
      </c>
      <c r="I18" s="2927">
        <v>53</v>
      </c>
      <c r="J18" s="1932" t="s">
        <v>81</v>
      </c>
      <c r="K18" s="1922" t="s">
        <v>909</v>
      </c>
      <c r="L18" s="1929">
        <v>70.421000000000006</v>
      </c>
      <c r="M18" s="1929">
        <v>70.421000000000006</v>
      </c>
      <c r="N18" s="1923">
        <v>3.957192633150821E-2</v>
      </c>
      <c r="O18" s="1922">
        <v>5</v>
      </c>
      <c r="P18" s="1925" t="s">
        <v>1072</v>
      </c>
      <c r="Q18" s="1928">
        <v>25</v>
      </c>
      <c r="R18" s="1928">
        <v>25</v>
      </c>
      <c r="S18" s="1931">
        <f t="shared" si="3"/>
        <v>50</v>
      </c>
      <c r="T18" s="1931">
        <f t="shared" si="4"/>
        <v>1325</v>
      </c>
      <c r="U18" s="1931">
        <f t="shared" si="5"/>
        <v>1325</v>
      </c>
      <c r="V18" s="1931">
        <f t="shared" si="6"/>
        <v>2650</v>
      </c>
      <c r="W18" s="1921">
        <f t="shared" si="7"/>
        <v>1760.5250000000001</v>
      </c>
      <c r="X18" s="1921">
        <f t="shared" si="8"/>
        <v>1760.5250000000001</v>
      </c>
      <c r="Y18" s="1921">
        <f t="shared" si="9"/>
        <v>3521.05</v>
      </c>
      <c r="Z18" s="1946">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1922" t="s">
        <v>1280</v>
      </c>
      <c r="I19" s="2927">
        <v>37</v>
      </c>
      <c r="J19" s="1932" t="s">
        <v>81</v>
      </c>
      <c r="K19" s="1922" t="s">
        <v>909</v>
      </c>
      <c r="L19" s="1929">
        <v>70.421000000000006</v>
      </c>
      <c r="M19" s="1929">
        <v>70.421000000000006</v>
      </c>
      <c r="N19" s="1923">
        <v>1.841712294673967E-2</v>
      </c>
      <c r="O19" s="1922">
        <v>5</v>
      </c>
      <c r="P19" s="1925" t="s">
        <v>1072</v>
      </c>
      <c r="Q19" s="1928">
        <v>25</v>
      </c>
      <c r="R19" s="1928">
        <v>25</v>
      </c>
      <c r="S19" s="1931">
        <f t="shared" si="3"/>
        <v>50</v>
      </c>
      <c r="T19" s="1931">
        <f t="shared" si="4"/>
        <v>925</v>
      </c>
      <c r="U19" s="1931">
        <f t="shared" si="5"/>
        <v>925</v>
      </c>
      <c r="V19" s="1931">
        <f t="shared" si="6"/>
        <v>1850</v>
      </c>
      <c r="W19" s="1921">
        <f t="shared" si="7"/>
        <v>1760.5250000000001</v>
      </c>
      <c r="X19" s="1921">
        <f t="shared" si="8"/>
        <v>1760.5250000000001</v>
      </c>
      <c r="Y19" s="1921">
        <f t="shared" si="9"/>
        <v>3521.05</v>
      </c>
      <c r="Z19" s="1946">
        <v>0</v>
      </c>
      <c r="AA19" s="1920" t="s">
        <v>241</v>
      </c>
      <c r="AB19" s="1920" t="s">
        <v>241</v>
      </c>
      <c r="AC19" s="1921" t="s">
        <v>241</v>
      </c>
      <c r="AD19" s="1921" t="s">
        <v>241</v>
      </c>
      <c r="AE19" s="1921" t="s">
        <v>241</v>
      </c>
      <c r="AF19" s="1921" t="s">
        <v>241</v>
      </c>
      <c r="AG19" s="1917"/>
    </row>
    <row r="20" spans="2:33">
      <c r="B20" s="2926">
        <f>SUM(B16:B19)</f>
        <v>0.21000000000000002</v>
      </c>
      <c r="C20" s="1952"/>
      <c r="D20" s="1954"/>
      <c r="E20" s="1955"/>
      <c r="F20" s="1957"/>
      <c r="H20" s="1922" t="s">
        <v>1281</v>
      </c>
      <c r="I20" s="2927">
        <v>58</v>
      </c>
      <c r="J20" s="1932" t="s">
        <v>81</v>
      </c>
      <c r="K20" s="1922" t="s">
        <v>909</v>
      </c>
      <c r="L20" s="1929">
        <v>70.421000000000006</v>
      </c>
      <c r="M20" s="1929">
        <v>70.421000000000006</v>
      </c>
      <c r="N20" s="1923">
        <v>2.8870084619213539E-2</v>
      </c>
      <c r="O20" s="1922">
        <v>5</v>
      </c>
      <c r="P20" s="1925" t="s">
        <v>1072</v>
      </c>
      <c r="Q20" s="1928">
        <v>25</v>
      </c>
      <c r="R20" s="1928">
        <v>25</v>
      </c>
      <c r="S20" s="1931">
        <f t="shared" si="3"/>
        <v>50</v>
      </c>
      <c r="T20" s="1931">
        <f t="shared" si="4"/>
        <v>1450</v>
      </c>
      <c r="U20" s="1931">
        <f t="shared" si="5"/>
        <v>1450</v>
      </c>
      <c r="V20" s="1931">
        <f t="shared" si="6"/>
        <v>2900</v>
      </c>
      <c r="W20" s="1921">
        <f t="shared" si="7"/>
        <v>1760.5250000000001</v>
      </c>
      <c r="X20" s="1921">
        <f t="shared" si="8"/>
        <v>1760.5250000000001</v>
      </c>
      <c r="Y20" s="1921">
        <f t="shared" si="9"/>
        <v>3521.05</v>
      </c>
      <c r="Z20" s="1946">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t="s">
        <v>1282</v>
      </c>
      <c r="I21" s="2927">
        <v>97</v>
      </c>
      <c r="J21" s="1932" t="s">
        <v>81</v>
      </c>
      <c r="K21" s="1922" t="s">
        <v>909</v>
      </c>
      <c r="L21" s="1929">
        <v>70.421000000000006</v>
      </c>
      <c r="M21" s="1929">
        <v>70.421000000000006</v>
      </c>
      <c r="N21" s="1923">
        <v>4.8282727725236438E-2</v>
      </c>
      <c r="O21" s="1922">
        <v>5</v>
      </c>
      <c r="P21" s="1925" t="s">
        <v>1072</v>
      </c>
      <c r="Q21" s="1928">
        <v>25</v>
      </c>
      <c r="R21" s="1928">
        <v>25</v>
      </c>
      <c r="S21" s="1931">
        <f t="shared" si="3"/>
        <v>50</v>
      </c>
      <c r="T21" s="1931">
        <f t="shared" si="4"/>
        <v>2425</v>
      </c>
      <c r="U21" s="1931">
        <f t="shared" si="5"/>
        <v>2425</v>
      </c>
      <c r="V21" s="1931">
        <f t="shared" si="6"/>
        <v>4850</v>
      </c>
      <c r="W21" s="1921">
        <f t="shared" si="7"/>
        <v>1760.5250000000001</v>
      </c>
      <c r="X21" s="1921">
        <f t="shared" si="8"/>
        <v>1760.5250000000001</v>
      </c>
      <c r="Y21" s="1921">
        <f t="shared" si="9"/>
        <v>3521.05</v>
      </c>
      <c r="Z21" s="1946">
        <v>0</v>
      </c>
      <c r="AA21" s="1920" t="s">
        <v>241</v>
      </c>
      <c r="AB21" s="1920" t="s">
        <v>241</v>
      </c>
      <c r="AC21" s="1921" t="s">
        <v>241</v>
      </c>
      <c r="AD21" s="1921" t="s">
        <v>241</v>
      </c>
      <c r="AE21" s="1921" t="s">
        <v>241</v>
      </c>
      <c r="AF21" s="1921" t="s">
        <v>241</v>
      </c>
      <c r="AG21" s="1917"/>
    </row>
    <row r="22" spans="2:33">
      <c r="C22" s="2197"/>
      <c r="D22" s="2201"/>
      <c r="E22" s="2200"/>
      <c r="F22" s="1879">
        <f t="shared" si="2"/>
        <v>0</v>
      </c>
      <c r="H22" s="1922" t="s">
        <v>1283</v>
      </c>
      <c r="I22" s="2927">
        <v>10</v>
      </c>
      <c r="J22" s="1932" t="s">
        <v>81</v>
      </c>
      <c r="K22" s="1922" t="s">
        <v>909</v>
      </c>
      <c r="L22" s="1929">
        <v>21.671000000000003</v>
      </c>
      <c r="M22" s="1929">
        <v>21.671000000000003</v>
      </c>
      <c r="N22" s="1923">
        <v>9.9552015928322541E-3</v>
      </c>
      <c r="O22" s="1922">
        <v>10</v>
      </c>
      <c r="P22" s="1925" t="s">
        <v>1072</v>
      </c>
      <c r="Q22" s="1928">
        <v>25</v>
      </c>
      <c r="R22" s="1928">
        <v>25</v>
      </c>
      <c r="S22" s="1931">
        <f t="shared" si="3"/>
        <v>50</v>
      </c>
      <c r="T22" s="1931">
        <f t="shared" si="4"/>
        <v>250</v>
      </c>
      <c r="U22" s="1931">
        <f t="shared" si="5"/>
        <v>250</v>
      </c>
      <c r="V22" s="1931">
        <f t="shared" si="6"/>
        <v>500</v>
      </c>
      <c r="W22" s="1921">
        <f t="shared" si="7"/>
        <v>541.77500000000009</v>
      </c>
      <c r="X22" s="1921">
        <f t="shared" si="8"/>
        <v>541.77500000000009</v>
      </c>
      <c r="Y22" s="1921">
        <f t="shared" si="9"/>
        <v>1083.5500000000002</v>
      </c>
      <c r="Z22" s="1946">
        <v>0</v>
      </c>
      <c r="AA22" s="1920" t="s">
        <v>241</v>
      </c>
      <c r="AB22" s="1920" t="s">
        <v>241</v>
      </c>
      <c r="AC22" s="1921" t="s">
        <v>241</v>
      </c>
      <c r="AD22" s="1921" t="s">
        <v>241</v>
      </c>
      <c r="AE22" s="1921" t="s">
        <v>241</v>
      </c>
      <c r="AF22" s="1921" t="s">
        <v>241</v>
      </c>
      <c r="AG22" s="1917"/>
    </row>
    <row r="23" spans="2:33">
      <c r="C23" s="2197"/>
      <c r="D23" s="1900"/>
      <c r="E23" s="1899"/>
      <c r="F23" s="2191">
        <f t="shared" si="2"/>
        <v>0</v>
      </c>
      <c r="H23" s="1922" t="s">
        <v>1284</v>
      </c>
      <c r="I23" s="2927">
        <v>85</v>
      </c>
      <c r="J23" s="1932" t="s">
        <v>81</v>
      </c>
      <c r="K23" s="1922" t="s">
        <v>909</v>
      </c>
      <c r="L23" s="1929">
        <v>800</v>
      </c>
      <c r="M23" s="1929">
        <v>300.27</v>
      </c>
      <c r="N23" s="1923">
        <v>0.37332005973120957</v>
      </c>
      <c r="O23" s="1922">
        <v>5</v>
      </c>
      <c r="P23" s="1925" t="s">
        <v>1249</v>
      </c>
      <c r="Q23" s="1928">
        <v>850</v>
      </c>
      <c r="R23" s="1928">
        <v>894</v>
      </c>
      <c r="S23" s="1931">
        <f t="shared" si="3"/>
        <v>1744</v>
      </c>
      <c r="T23" s="1931">
        <f t="shared" si="4"/>
        <v>72250</v>
      </c>
      <c r="U23" s="1931">
        <f t="shared" si="5"/>
        <v>75990</v>
      </c>
      <c r="V23" s="1931">
        <f t="shared" si="6"/>
        <v>148240</v>
      </c>
      <c r="W23" s="1921">
        <f t="shared" si="7"/>
        <v>255229.49999999997</v>
      </c>
      <c r="X23" s="1921">
        <f t="shared" si="8"/>
        <v>268441.38</v>
      </c>
      <c r="Y23" s="1921">
        <f t="shared" si="9"/>
        <v>523670.88</v>
      </c>
      <c r="Z23" s="1946">
        <v>0</v>
      </c>
      <c r="AA23" s="1920" t="s">
        <v>241</v>
      </c>
      <c r="AB23" s="1920" t="s">
        <v>241</v>
      </c>
      <c r="AC23" s="1921" t="s">
        <v>241</v>
      </c>
      <c r="AD23" s="1921" t="s">
        <v>241</v>
      </c>
      <c r="AE23" s="1921" t="s">
        <v>241</v>
      </c>
      <c r="AF23" s="1921" t="s">
        <v>241</v>
      </c>
      <c r="AG23" s="1917"/>
    </row>
    <row r="24" spans="2:33">
      <c r="C24" s="2197"/>
      <c r="D24" s="1898"/>
      <c r="E24" s="1897"/>
      <c r="F24" s="2191">
        <f t="shared" si="2"/>
        <v>0</v>
      </c>
      <c r="H24" s="1922" t="s">
        <v>1285</v>
      </c>
      <c r="I24" s="2927">
        <v>99</v>
      </c>
      <c r="J24" s="1932" t="s">
        <v>81</v>
      </c>
      <c r="K24" s="1922" t="s">
        <v>909</v>
      </c>
      <c r="L24" s="1929">
        <v>237.25</v>
      </c>
      <c r="M24" s="1929">
        <v>237.25</v>
      </c>
      <c r="N24" s="1923">
        <v>0.12319561971129915</v>
      </c>
      <c r="O24" s="1922">
        <v>10</v>
      </c>
      <c r="P24" s="1925" t="s">
        <v>1249</v>
      </c>
      <c r="Q24" s="1928">
        <v>2000</v>
      </c>
      <c r="R24" s="1928">
        <v>2000</v>
      </c>
      <c r="S24" s="1931">
        <f t="shared" si="3"/>
        <v>4000</v>
      </c>
      <c r="T24" s="1931">
        <f t="shared" si="4"/>
        <v>198000</v>
      </c>
      <c r="U24" s="1931">
        <f t="shared" si="5"/>
        <v>198000</v>
      </c>
      <c r="V24" s="1931">
        <f t="shared" si="6"/>
        <v>396000</v>
      </c>
      <c r="W24" s="1921">
        <f t="shared" si="7"/>
        <v>474500</v>
      </c>
      <c r="X24" s="1921">
        <f t="shared" si="8"/>
        <v>474500</v>
      </c>
      <c r="Y24" s="1921">
        <f t="shared" si="9"/>
        <v>949000</v>
      </c>
      <c r="Z24" s="1946">
        <v>0</v>
      </c>
      <c r="AA24" s="1920" t="s">
        <v>241</v>
      </c>
      <c r="AB24" s="1920" t="s">
        <v>241</v>
      </c>
      <c r="AC24" s="1921" t="s">
        <v>241</v>
      </c>
      <c r="AD24" s="1921" t="s">
        <v>241</v>
      </c>
      <c r="AE24" s="1921" t="s">
        <v>241</v>
      </c>
      <c r="AF24" s="1921" t="s">
        <v>241</v>
      </c>
      <c r="AG24" s="1917"/>
    </row>
    <row r="25" spans="2:33">
      <c r="C25" s="2197"/>
      <c r="D25" s="1896"/>
      <c r="E25" s="1899"/>
      <c r="F25" s="2191">
        <f t="shared" si="2"/>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row>
    <row r="27" spans="2:33">
      <c r="C27" s="2106" t="s">
        <v>48</v>
      </c>
      <c r="D27" s="2158">
        <f>SUM(D29:D32)</f>
        <v>12694.964310000003</v>
      </c>
      <c r="E27" s="1926">
        <f>SUM(E29:E32)</f>
        <v>13265.977200000001</v>
      </c>
      <c r="F27" s="2157">
        <f>D27+E27</f>
        <v>25960.941510000004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row>
    <row r="29" spans="2:33">
      <c r="C29" s="2197" t="s">
        <v>778</v>
      </c>
      <c r="D29" s="2202">
        <f>D15*D28</f>
        <v>12694.964310000003</v>
      </c>
      <c r="E29" s="2163">
        <f>E15*E28</f>
        <v>13265.977200000001</v>
      </c>
      <c r="F29" s="2191">
        <f t="shared" si="2"/>
        <v>25960.941510000004</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f t="shared" si="3"/>
        <v>0</v>
      </c>
      <c r="T31" s="1931">
        <f t="shared" si="4"/>
        <v>0</v>
      </c>
      <c r="U31" s="1931">
        <f t="shared" si="5"/>
        <v>0</v>
      </c>
      <c r="V31" s="1931">
        <f t="shared" si="6"/>
        <v>0</v>
      </c>
      <c r="W31" s="1921">
        <f t="shared" si="7"/>
        <v>0</v>
      </c>
      <c r="X31" s="1921">
        <f t="shared" si="8"/>
        <v>0</v>
      </c>
      <c r="Y31" s="1921">
        <f t="shared" si="9"/>
        <v>0</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f t="shared" si="3"/>
        <v>0</v>
      </c>
      <c r="T32" s="1931">
        <f t="shared" si="4"/>
        <v>0</v>
      </c>
      <c r="U32" s="1931">
        <f t="shared" si="5"/>
        <v>0</v>
      </c>
      <c r="V32" s="1931">
        <f t="shared" si="6"/>
        <v>0</v>
      </c>
      <c r="W32" s="1921">
        <f t="shared" si="7"/>
        <v>0</v>
      </c>
      <c r="X32" s="1921">
        <f t="shared" si="8"/>
        <v>0</v>
      </c>
      <c r="Y32" s="1921">
        <f t="shared" si="9"/>
        <v>0</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f t="shared" si="3"/>
        <v>0</v>
      </c>
      <c r="T33" s="1931">
        <f t="shared" si="4"/>
        <v>0</v>
      </c>
      <c r="U33" s="1931">
        <f t="shared" si="5"/>
        <v>0</v>
      </c>
      <c r="V33" s="1931">
        <f t="shared" si="6"/>
        <v>0</v>
      </c>
      <c r="W33" s="1921">
        <f t="shared" si="7"/>
        <v>0</v>
      </c>
      <c r="X33" s="1921">
        <f t="shared" si="8"/>
        <v>0</v>
      </c>
      <c r="Y33" s="1921">
        <f t="shared" si="9"/>
        <v>0</v>
      </c>
      <c r="Z33" s="1946"/>
      <c r="AA33" s="1920" t="s">
        <v>241</v>
      </c>
      <c r="AB33" s="1920" t="s">
        <v>241</v>
      </c>
      <c r="AC33" s="1921" t="s">
        <v>241</v>
      </c>
      <c r="AD33" s="1921" t="s">
        <v>241</v>
      </c>
      <c r="AE33" s="1921" t="s">
        <v>241</v>
      </c>
      <c r="AF33" s="1921" t="s">
        <v>241</v>
      </c>
      <c r="AG33" s="1917"/>
    </row>
    <row r="34" spans="1:33" ht="25.5">
      <c r="A34" s="2802" t="s">
        <v>706</v>
      </c>
      <c r="C34" s="2106" t="s">
        <v>49</v>
      </c>
      <c r="D34" s="2158">
        <f>SUM(D35:D38)</f>
        <v>250</v>
      </c>
      <c r="E34" s="1926">
        <f>SUM(E35:E38)</f>
        <v>250</v>
      </c>
      <c r="F34" s="2157">
        <f>D34+E34</f>
        <v>500</v>
      </c>
      <c r="H34" s="1922"/>
      <c r="I34" s="2927"/>
      <c r="J34" s="1932" t="s">
        <v>241</v>
      </c>
      <c r="K34" s="1922"/>
      <c r="L34" s="1929"/>
      <c r="M34" s="1929"/>
      <c r="N34" s="1923"/>
      <c r="O34" s="1922"/>
      <c r="P34" s="1925"/>
      <c r="Q34" s="1928"/>
      <c r="R34" s="1928"/>
      <c r="S34" s="1931">
        <f t="shared" si="3"/>
        <v>0</v>
      </c>
      <c r="T34" s="1931">
        <f t="shared" si="4"/>
        <v>0</v>
      </c>
      <c r="U34" s="1931">
        <f t="shared" si="5"/>
        <v>0</v>
      </c>
      <c r="V34" s="1931">
        <f t="shared" si="6"/>
        <v>0</v>
      </c>
      <c r="W34" s="1921">
        <f t="shared" si="7"/>
        <v>0</v>
      </c>
      <c r="X34" s="1921">
        <f t="shared" si="8"/>
        <v>0</v>
      </c>
      <c r="Y34" s="1921">
        <f t="shared" si="9"/>
        <v>0</v>
      </c>
      <c r="Z34" s="1946"/>
      <c r="AA34" s="1920" t="s">
        <v>241</v>
      </c>
      <c r="AB34" s="1920" t="s">
        <v>241</v>
      </c>
      <c r="AC34" s="1921" t="s">
        <v>241</v>
      </c>
      <c r="AD34" s="1921" t="s">
        <v>241</v>
      </c>
      <c r="AE34" s="1921" t="s">
        <v>241</v>
      </c>
      <c r="AF34" s="1921" t="s">
        <v>241</v>
      </c>
      <c r="AG34" s="1917"/>
    </row>
    <row r="35" spans="1:33">
      <c r="A35" s="2802" t="s">
        <v>278</v>
      </c>
      <c r="C35" s="2197" t="s">
        <v>13</v>
      </c>
      <c r="D35" s="2202">
        <v>250</v>
      </c>
      <c r="E35" s="2203">
        <v>250</v>
      </c>
      <c r="F35" s="2191">
        <f t="shared" ref="F35:F44" si="10">SUM(D35:E35)</f>
        <v>500</v>
      </c>
      <c r="H35" s="1922"/>
      <c r="I35" s="2927"/>
      <c r="J35" s="1932" t="s">
        <v>241</v>
      </c>
      <c r="K35" s="1922"/>
      <c r="L35" s="1929"/>
      <c r="M35" s="1929"/>
      <c r="N35" s="1923"/>
      <c r="O35" s="1922"/>
      <c r="P35" s="1925"/>
      <c r="Q35" s="1928"/>
      <c r="R35" s="1928"/>
      <c r="S35" s="1931">
        <f t="shared" si="3"/>
        <v>0</v>
      </c>
      <c r="T35" s="1931">
        <f t="shared" si="4"/>
        <v>0</v>
      </c>
      <c r="U35" s="1931">
        <f t="shared" si="5"/>
        <v>0</v>
      </c>
      <c r="V35" s="1931">
        <f t="shared" si="6"/>
        <v>0</v>
      </c>
      <c r="W35" s="1921">
        <f t="shared" si="7"/>
        <v>0</v>
      </c>
      <c r="X35" s="1921">
        <f t="shared" si="8"/>
        <v>0</v>
      </c>
      <c r="Y35" s="1921">
        <f t="shared" si="9"/>
        <v>0</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10"/>
        <v>0</v>
      </c>
      <c r="H36" s="1922"/>
      <c r="I36" s="2927"/>
      <c r="J36" s="1932" t="s">
        <v>241</v>
      </c>
      <c r="K36" s="1922"/>
      <c r="L36" s="1929"/>
      <c r="M36" s="1929"/>
      <c r="N36" s="1923"/>
      <c r="O36" s="1922"/>
      <c r="P36" s="1925"/>
      <c r="Q36" s="1928"/>
      <c r="R36" s="1928"/>
      <c r="S36" s="1931">
        <f t="shared" si="3"/>
        <v>0</v>
      </c>
      <c r="T36" s="1931">
        <f t="shared" si="4"/>
        <v>0</v>
      </c>
      <c r="U36" s="1931">
        <f t="shared" si="5"/>
        <v>0</v>
      </c>
      <c r="V36" s="1931">
        <f t="shared" si="6"/>
        <v>0</v>
      </c>
      <c r="W36" s="1921">
        <f t="shared" si="7"/>
        <v>0</v>
      </c>
      <c r="X36" s="1921">
        <f t="shared" si="8"/>
        <v>0</v>
      </c>
      <c r="Y36" s="1921">
        <f t="shared" si="9"/>
        <v>0</v>
      </c>
      <c r="Z36" s="1946"/>
      <c r="AA36" s="1920" t="s">
        <v>241</v>
      </c>
      <c r="AB36" s="1920" t="s">
        <v>241</v>
      </c>
      <c r="AC36" s="1921" t="s">
        <v>241</v>
      </c>
      <c r="AD36" s="1921" t="s">
        <v>241</v>
      </c>
      <c r="AE36" s="1921" t="s">
        <v>241</v>
      </c>
      <c r="AF36" s="1921" t="s">
        <v>241</v>
      </c>
      <c r="AG36" s="1917"/>
    </row>
    <row r="37" spans="1:33">
      <c r="A37" s="2802">
        <v>18231022</v>
      </c>
      <c r="C37" s="2197"/>
      <c r="D37" s="2202"/>
      <c r="E37" s="2203"/>
      <c r="F37" s="2191">
        <f t="shared" si="10"/>
        <v>0</v>
      </c>
      <c r="H37" s="1922"/>
      <c r="I37" s="2927"/>
      <c r="J37" s="1932" t="s">
        <v>241</v>
      </c>
      <c r="K37" s="1922"/>
      <c r="L37" s="1929"/>
      <c r="M37" s="1929"/>
      <c r="N37" s="1923"/>
      <c r="O37" s="1922"/>
      <c r="P37" s="1925"/>
      <c r="Q37" s="1928"/>
      <c r="R37" s="1928"/>
      <c r="S37" s="1931">
        <f t="shared" si="3"/>
        <v>0</v>
      </c>
      <c r="T37" s="1931">
        <f t="shared" si="4"/>
        <v>0</v>
      </c>
      <c r="U37" s="1931">
        <f t="shared" si="5"/>
        <v>0</v>
      </c>
      <c r="V37" s="1931">
        <f t="shared" si="6"/>
        <v>0</v>
      </c>
      <c r="W37" s="1921">
        <f t="shared" si="7"/>
        <v>0</v>
      </c>
      <c r="X37" s="1921">
        <f t="shared" si="8"/>
        <v>0</v>
      </c>
      <c r="Y37" s="1921">
        <f t="shared" si="9"/>
        <v>0</v>
      </c>
      <c r="Z37" s="1946"/>
      <c r="AA37" s="1920" t="s">
        <v>241</v>
      </c>
      <c r="AB37" s="1920" t="s">
        <v>241</v>
      </c>
      <c r="AC37" s="1921" t="s">
        <v>241</v>
      </c>
      <c r="AD37" s="1921" t="s">
        <v>241</v>
      </c>
      <c r="AE37" s="1921" t="s">
        <v>241</v>
      </c>
      <c r="AF37" s="1921" t="s">
        <v>241</v>
      </c>
      <c r="AG37" s="1917"/>
    </row>
    <row r="38" spans="1:33">
      <c r="A38" s="2802" t="s">
        <v>31</v>
      </c>
      <c r="C38" s="2197"/>
      <c r="D38" s="2202"/>
      <c r="E38" s="2203"/>
      <c r="F38" s="2191">
        <f t="shared" si="10"/>
        <v>0</v>
      </c>
      <c r="H38" s="1922"/>
      <c r="I38" s="2927"/>
      <c r="J38" s="1932" t="s">
        <v>241</v>
      </c>
      <c r="K38" s="1922"/>
      <c r="L38" s="1929"/>
      <c r="M38" s="1929"/>
      <c r="N38" s="1923"/>
      <c r="O38" s="1922"/>
      <c r="P38" s="1925"/>
      <c r="Q38" s="1928"/>
      <c r="R38" s="1928"/>
      <c r="S38" s="1931">
        <f t="shared" si="3"/>
        <v>0</v>
      </c>
      <c r="T38" s="1931">
        <f t="shared" si="4"/>
        <v>0</v>
      </c>
      <c r="U38" s="1931">
        <f t="shared" si="5"/>
        <v>0</v>
      </c>
      <c r="V38" s="1931">
        <f t="shared" si="6"/>
        <v>0</v>
      </c>
      <c r="W38" s="1921">
        <f t="shared" si="7"/>
        <v>0</v>
      </c>
      <c r="X38" s="1921">
        <f t="shared" si="8"/>
        <v>0</v>
      </c>
      <c r="Y38" s="1921">
        <f t="shared" si="9"/>
        <v>0</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2927"/>
      <c r="J39" s="1932" t="s">
        <v>241</v>
      </c>
      <c r="K39" s="1922"/>
      <c r="L39" s="1929"/>
      <c r="M39" s="1929"/>
      <c r="N39" s="1923"/>
      <c r="O39" s="1922"/>
      <c r="P39" s="1925"/>
      <c r="Q39" s="1928"/>
      <c r="R39" s="1928"/>
      <c r="S39" s="1931">
        <f t="shared" si="3"/>
        <v>0</v>
      </c>
      <c r="T39" s="1931">
        <f t="shared" si="4"/>
        <v>0</v>
      </c>
      <c r="U39" s="1931">
        <f t="shared" si="5"/>
        <v>0</v>
      </c>
      <c r="V39" s="1931">
        <f t="shared" si="6"/>
        <v>0</v>
      </c>
      <c r="W39" s="1921">
        <f t="shared" si="7"/>
        <v>0</v>
      </c>
      <c r="X39" s="1921">
        <f t="shared" si="8"/>
        <v>0</v>
      </c>
      <c r="Y39" s="1921">
        <f t="shared" si="9"/>
        <v>0</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2927"/>
      <c r="J40" s="1932" t="s">
        <v>241</v>
      </c>
      <c r="K40" s="1922"/>
      <c r="L40" s="1929"/>
      <c r="M40" s="1929"/>
      <c r="N40" s="1923"/>
      <c r="O40" s="1922"/>
      <c r="P40" s="1925"/>
      <c r="Q40" s="1928"/>
      <c r="R40" s="1928"/>
      <c r="S40" s="1931">
        <f t="shared" si="3"/>
        <v>0</v>
      </c>
      <c r="T40" s="1931">
        <f t="shared" si="4"/>
        <v>0</v>
      </c>
      <c r="U40" s="1931">
        <f t="shared" si="5"/>
        <v>0</v>
      </c>
      <c r="V40" s="1931">
        <f t="shared" si="6"/>
        <v>0</v>
      </c>
      <c r="W40" s="1921">
        <f t="shared" si="7"/>
        <v>0</v>
      </c>
      <c r="X40" s="1921">
        <f t="shared" si="8"/>
        <v>0</v>
      </c>
      <c r="Y40" s="1921">
        <f t="shared" si="9"/>
        <v>0</v>
      </c>
      <c r="Z40" s="1946"/>
      <c r="AA40" s="1920" t="s">
        <v>241</v>
      </c>
      <c r="AB40" s="1920" t="s">
        <v>241</v>
      </c>
      <c r="AC40" s="1921" t="s">
        <v>241</v>
      </c>
      <c r="AD40" s="1921" t="s">
        <v>241</v>
      </c>
      <c r="AE40" s="1921" t="s">
        <v>241</v>
      </c>
      <c r="AF40" s="1921" t="s">
        <v>241</v>
      </c>
      <c r="AG40" s="1917"/>
    </row>
    <row r="41" spans="1:33">
      <c r="C41" s="2197"/>
      <c r="D41" s="2202"/>
      <c r="E41" s="2203"/>
      <c r="F41" s="2191">
        <f t="shared" si="10"/>
        <v>0</v>
      </c>
      <c r="H41" s="1922"/>
      <c r="I41" s="2927"/>
      <c r="J41" s="1932" t="s">
        <v>241</v>
      </c>
      <c r="K41" s="1922"/>
      <c r="L41" s="1929"/>
      <c r="M41" s="1929"/>
      <c r="N41" s="1923"/>
      <c r="O41" s="1922"/>
      <c r="P41" s="1925"/>
      <c r="Q41" s="1928"/>
      <c r="R41" s="1928"/>
      <c r="S41" s="1931">
        <f t="shared" si="3"/>
        <v>0</v>
      </c>
      <c r="T41" s="1931">
        <f t="shared" si="4"/>
        <v>0</v>
      </c>
      <c r="U41" s="1931">
        <f t="shared" si="5"/>
        <v>0</v>
      </c>
      <c r="V41" s="1931">
        <f t="shared" si="6"/>
        <v>0</v>
      </c>
      <c r="W41" s="1921">
        <f t="shared" si="7"/>
        <v>0</v>
      </c>
      <c r="X41" s="1921">
        <f t="shared" si="8"/>
        <v>0</v>
      </c>
      <c r="Y41" s="1921">
        <f t="shared" si="9"/>
        <v>0</v>
      </c>
      <c r="Z41" s="1946"/>
      <c r="AA41" s="1920" t="s">
        <v>241</v>
      </c>
      <c r="AB41" s="1920" t="s">
        <v>241</v>
      </c>
      <c r="AC41" s="1921" t="s">
        <v>241</v>
      </c>
      <c r="AD41" s="1921" t="s">
        <v>241</v>
      </c>
      <c r="AE41" s="1921" t="s">
        <v>241</v>
      </c>
      <c r="AF41" s="1921" t="s">
        <v>241</v>
      </c>
      <c r="AG41" s="1917"/>
    </row>
    <row r="42" spans="1:33">
      <c r="C42" s="2197"/>
      <c r="D42" s="2202"/>
      <c r="E42" s="2203"/>
      <c r="F42" s="2191">
        <f t="shared" si="10"/>
        <v>0</v>
      </c>
      <c r="H42" s="1922"/>
      <c r="I42" s="2927"/>
      <c r="J42" s="1932" t="s">
        <v>241</v>
      </c>
      <c r="K42" s="1922"/>
      <c r="L42" s="1929"/>
      <c r="M42" s="1929"/>
      <c r="N42" s="1923"/>
      <c r="O42" s="1922"/>
      <c r="P42" s="1925"/>
      <c r="Q42" s="1928"/>
      <c r="R42" s="1928"/>
      <c r="S42" s="1931">
        <f t="shared" si="3"/>
        <v>0</v>
      </c>
      <c r="T42" s="1931">
        <f t="shared" si="4"/>
        <v>0</v>
      </c>
      <c r="U42" s="1931">
        <f t="shared" si="5"/>
        <v>0</v>
      </c>
      <c r="V42" s="1931">
        <f t="shared" si="6"/>
        <v>0</v>
      </c>
      <c r="W42" s="1921">
        <f t="shared" si="7"/>
        <v>0</v>
      </c>
      <c r="X42" s="1921">
        <f t="shared" si="8"/>
        <v>0</v>
      </c>
      <c r="Y42" s="1921">
        <f t="shared" si="9"/>
        <v>0</v>
      </c>
      <c r="Z42" s="1946"/>
      <c r="AA42" s="1920" t="s">
        <v>241</v>
      </c>
      <c r="AB42" s="1920" t="s">
        <v>241</v>
      </c>
      <c r="AC42" s="1921" t="s">
        <v>241</v>
      </c>
      <c r="AD42" s="1921" t="s">
        <v>241</v>
      </c>
      <c r="AE42" s="1921" t="s">
        <v>241</v>
      </c>
      <c r="AF42" s="1921" t="s">
        <v>241</v>
      </c>
      <c r="AG42" s="1917"/>
    </row>
    <row r="43" spans="1:33">
      <c r="C43" s="2197"/>
      <c r="D43" s="2202"/>
      <c r="E43" s="2203"/>
      <c r="F43" s="2191">
        <f t="shared" si="10"/>
        <v>0</v>
      </c>
      <c r="H43" s="1922"/>
      <c r="I43" s="2927"/>
      <c r="J43" s="1932" t="s">
        <v>241</v>
      </c>
      <c r="K43" s="1922"/>
      <c r="L43" s="1929"/>
      <c r="M43" s="1929"/>
      <c r="N43" s="1923"/>
      <c r="O43" s="1922"/>
      <c r="P43" s="1925"/>
      <c r="Q43" s="1928"/>
      <c r="R43" s="1928"/>
      <c r="S43" s="1931">
        <f t="shared" si="3"/>
        <v>0</v>
      </c>
      <c r="T43" s="1931">
        <f t="shared" si="4"/>
        <v>0</v>
      </c>
      <c r="U43" s="1931">
        <f t="shared" si="5"/>
        <v>0</v>
      </c>
      <c r="V43" s="1931">
        <f t="shared" si="6"/>
        <v>0</v>
      </c>
      <c r="W43" s="1921">
        <f t="shared" si="7"/>
        <v>0</v>
      </c>
      <c r="X43" s="1921">
        <f t="shared" si="8"/>
        <v>0</v>
      </c>
      <c r="Y43" s="1921">
        <f t="shared" si="9"/>
        <v>0</v>
      </c>
      <c r="Z43" s="1946"/>
      <c r="AA43" s="1920" t="s">
        <v>241</v>
      </c>
      <c r="AB43" s="1920" t="s">
        <v>241</v>
      </c>
      <c r="AC43" s="1921" t="s">
        <v>241</v>
      </c>
      <c r="AD43" s="1921" t="s">
        <v>241</v>
      </c>
      <c r="AE43" s="1921" t="s">
        <v>241</v>
      </c>
      <c r="AF43" s="1921" t="s">
        <v>241</v>
      </c>
      <c r="AG43" s="1917"/>
    </row>
    <row r="44" spans="1:33">
      <c r="C44" s="2197"/>
      <c r="D44" s="2202"/>
      <c r="E44" s="2203"/>
      <c r="F44" s="2191">
        <f t="shared" si="10"/>
        <v>0</v>
      </c>
      <c r="H44" s="1922"/>
      <c r="I44" s="2927"/>
      <c r="J44" s="1932" t="s">
        <v>241</v>
      </c>
      <c r="K44" s="1922"/>
      <c r="L44" s="1929"/>
      <c r="M44" s="1929"/>
      <c r="N44" s="1923"/>
      <c r="O44" s="1922"/>
      <c r="P44" s="1925"/>
      <c r="Q44" s="1928"/>
      <c r="R44" s="1928"/>
      <c r="S44" s="1931">
        <f t="shared" si="3"/>
        <v>0</v>
      </c>
      <c r="T44" s="1931">
        <f t="shared" si="4"/>
        <v>0</v>
      </c>
      <c r="U44" s="1931">
        <f t="shared" si="5"/>
        <v>0</v>
      </c>
      <c r="V44" s="1931">
        <f t="shared" si="6"/>
        <v>0</v>
      </c>
      <c r="W44" s="1921">
        <f t="shared" si="7"/>
        <v>0</v>
      </c>
      <c r="X44" s="1921">
        <f t="shared" si="8"/>
        <v>0</v>
      </c>
      <c r="Y44" s="1921">
        <f t="shared" si="9"/>
        <v>0</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f t="shared" si="3"/>
        <v>0</v>
      </c>
      <c r="T45" s="1931">
        <f t="shared" si="4"/>
        <v>0</v>
      </c>
      <c r="U45" s="1931">
        <f t="shared" si="5"/>
        <v>0</v>
      </c>
      <c r="V45" s="1931">
        <f t="shared" si="6"/>
        <v>0</v>
      </c>
      <c r="W45" s="1921">
        <f t="shared" si="7"/>
        <v>0</v>
      </c>
      <c r="X45" s="1921">
        <f t="shared" si="8"/>
        <v>0</v>
      </c>
      <c r="Y45" s="1921">
        <f t="shared" si="9"/>
        <v>0</v>
      </c>
      <c r="Z45" s="1946"/>
      <c r="AA45" s="1920" t="s">
        <v>241</v>
      </c>
      <c r="AB45" s="1920" t="s">
        <v>241</v>
      </c>
      <c r="AC45" s="1921" t="s">
        <v>241</v>
      </c>
      <c r="AD45" s="1921" t="s">
        <v>241</v>
      </c>
      <c r="AE45" s="1921" t="s">
        <v>241</v>
      </c>
      <c r="AF45" s="1921" t="s">
        <v>241</v>
      </c>
      <c r="AG45" s="1917"/>
    </row>
    <row r="46" spans="1:33">
      <c r="C46" s="2106" t="s">
        <v>50</v>
      </c>
      <c r="D46" s="2158">
        <f>SUM(D47:D50)</f>
        <v>6000</v>
      </c>
      <c r="E46" s="1926">
        <f>SUM(E47:E50)</f>
        <v>6000</v>
      </c>
      <c r="F46" s="2157">
        <f>D46+E46</f>
        <v>12000</v>
      </c>
      <c r="H46" s="1922"/>
      <c r="I46" s="2927"/>
      <c r="J46" s="1932" t="s">
        <v>241</v>
      </c>
      <c r="K46" s="1922"/>
      <c r="L46" s="1929"/>
      <c r="M46" s="1929"/>
      <c r="N46" s="1923"/>
      <c r="O46" s="1922"/>
      <c r="P46" s="1925"/>
      <c r="Q46" s="1928"/>
      <c r="R46" s="1928"/>
      <c r="S46" s="1931">
        <f t="shared" si="3"/>
        <v>0</v>
      </c>
      <c r="T46" s="1931">
        <f t="shared" si="4"/>
        <v>0</v>
      </c>
      <c r="U46" s="1931">
        <f t="shared" si="5"/>
        <v>0</v>
      </c>
      <c r="V46" s="1931">
        <f t="shared" si="6"/>
        <v>0</v>
      </c>
      <c r="W46" s="1921">
        <f t="shared" si="7"/>
        <v>0</v>
      </c>
      <c r="X46" s="1921">
        <f t="shared" si="8"/>
        <v>0</v>
      </c>
      <c r="Y46" s="1921">
        <f t="shared" si="9"/>
        <v>0</v>
      </c>
      <c r="Z46" s="1946"/>
      <c r="AA46" s="1920" t="s">
        <v>241</v>
      </c>
      <c r="AB46" s="1920" t="s">
        <v>241</v>
      </c>
      <c r="AC46" s="1921" t="s">
        <v>241</v>
      </c>
      <c r="AD46" s="1921" t="s">
        <v>241</v>
      </c>
      <c r="AE46" s="1921" t="s">
        <v>241</v>
      </c>
      <c r="AF46" s="1921" t="s">
        <v>241</v>
      </c>
      <c r="AG46" s="1917"/>
    </row>
    <row r="47" spans="1:33">
      <c r="C47" s="2197" t="s">
        <v>1275</v>
      </c>
      <c r="D47" s="2202">
        <v>6000</v>
      </c>
      <c r="E47" s="2203">
        <v>6000</v>
      </c>
      <c r="F47" s="2191">
        <f t="shared" ref="F47:F62" si="11">SUM(D47:E47)</f>
        <v>12000</v>
      </c>
      <c r="H47" s="1922"/>
      <c r="I47" s="2927"/>
      <c r="J47" s="1932" t="s">
        <v>241</v>
      </c>
      <c r="K47" s="1922"/>
      <c r="L47" s="1929"/>
      <c r="M47" s="1929"/>
      <c r="N47" s="1923"/>
      <c r="O47" s="1922"/>
      <c r="P47" s="1925"/>
      <c r="Q47" s="1928"/>
      <c r="R47" s="1928"/>
      <c r="S47" s="1931">
        <f t="shared" si="3"/>
        <v>0</v>
      </c>
      <c r="T47" s="1931">
        <f t="shared" si="4"/>
        <v>0</v>
      </c>
      <c r="U47" s="1931">
        <f t="shared" si="5"/>
        <v>0</v>
      </c>
      <c r="V47" s="1931">
        <f t="shared" si="6"/>
        <v>0</v>
      </c>
      <c r="W47" s="1921">
        <f t="shared" si="7"/>
        <v>0</v>
      </c>
      <c r="X47" s="1921">
        <f t="shared" si="8"/>
        <v>0</v>
      </c>
      <c r="Y47" s="1921">
        <f t="shared" si="9"/>
        <v>0</v>
      </c>
      <c r="Z47" s="1946"/>
      <c r="AA47" s="1920" t="s">
        <v>241</v>
      </c>
      <c r="AB47" s="1920" t="s">
        <v>241</v>
      </c>
      <c r="AC47" s="1921" t="s">
        <v>241</v>
      </c>
      <c r="AD47" s="1921" t="s">
        <v>241</v>
      </c>
      <c r="AE47" s="1921" t="s">
        <v>241</v>
      </c>
      <c r="AF47" s="1921" t="s">
        <v>241</v>
      </c>
      <c r="AG47" s="1917"/>
    </row>
    <row r="48" spans="1:33">
      <c r="C48" s="2197"/>
      <c r="D48" s="2202"/>
      <c r="E48" s="2203"/>
      <c r="F48" s="2191">
        <f t="shared" si="11"/>
        <v>0</v>
      </c>
      <c r="H48" s="1922"/>
      <c r="I48" s="2927"/>
      <c r="J48" s="1932" t="s">
        <v>241</v>
      </c>
      <c r="K48" s="1922"/>
      <c r="L48" s="1929"/>
      <c r="M48" s="1929"/>
      <c r="N48" s="1923"/>
      <c r="O48" s="1922"/>
      <c r="P48" s="1925"/>
      <c r="Q48" s="1928"/>
      <c r="R48" s="1928"/>
      <c r="S48" s="1931">
        <f t="shared" si="3"/>
        <v>0</v>
      </c>
      <c r="T48" s="1931">
        <f t="shared" si="4"/>
        <v>0</v>
      </c>
      <c r="U48" s="1931">
        <f t="shared" si="5"/>
        <v>0</v>
      </c>
      <c r="V48" s="1931">
        <f t="shared" si="6"/>
        <v>0</v>
      </c>
      <c r="W48" s="1921">
        <f t="shared" si="7"/>
        <v>0</v>
      </c>
      <c r="X48" s="1921">
        <f t="shared" si="8"/>
        <v>0</v>
      </c>
      <c r="Y48" s="1921">
        <f t="shared" si="9"/>
        <v>0</v>
      </c>
      <c r="Z48" s="1946"/>
      <c r="AA48" s="1920" t="s">
        <v>241</v>
      </c>
      <c r="AB48" s="1920" t="s">
        <v>241</v>
      </c>
      <c r="AC48" s="1921" t="s">
        <v>241</v>
      </c>
      <c r="AD48" s="1921" t="s">
        <v>241</v>
      </c>
      <c r="AE48" s="1921" t="s">
        <v>241</v>
      </c>
      <c r="AF48" s="1921" t="s">
        <v>241</v>
      </c>
      <c r="AG48" s="1917"/>
    </row>
    <row r="49" spans="1:33">
      <c r="C49" s="2197"/>
      <c r="D49" s="2202"/>
      <c r="E49" s="2203"/>
      <c r="F49" s="2191">
        <f t="shared" si="11"/>
        <v>0</v>
      </c>
      <c r="H49" s="1922"/>
      <c r="I49" s="2927"/>
      <c r="J49" s="1932" t="s">
        <v>241</v>
      </c>
      <c r="K49" s="1922"/>
      <c r="L49" s="1929"/>
      <c r="M49" s="1929"/>
      <c r="N49" s="1923"/>
      <c r="O49" s="1922"/>
      <c r="P49" s="1925"/>
      <c r="Q49" s="1928"/>
      <c r="R49" s="1928"/>
      <c r="S49" s="1931">
        <f t="shared" si="3"/>
        <v>0</v>
      </c>
      <c r="T49" s="1931">
        <f t="shared" si="4"/>
        <v>0</v>
      </c>
      <c r="U49" s="1931">
        <f t="shared" si="5"/>
        <v>0</v>
      </c>
      <c r="V49" s="1931">
        <f t="shared" si="6"/>
        <v>0</v>
      </c>
      <c r="W49" s="1921">
        <f t="shared" si="7"/>
        <v>0</v>
      </c>
      <c r="X49" s="1921">
        <f t="shared" si="8"/>
        <v>0</v>
      </c>
      <c r="Y49" s="1921">
        <f t="shared" si="9"/>
        <v>0</v>
      </c>
      <c r="Z49" s="1946"/>
      <c r="AA49" s="1920" t="s">
        <v>241</v>
      </c>
      <c r="AB49" s="1920" t="s">
        <v>241</v>
      </c>
      <c r="AC49" s="1921" t="s">
        <v>241</v>
      </c>
      <c r="AD49" s="1921" t="s">
        <v>241</v>
      </c>
      <c r="AE49" s="1921" t="s">
        <v>241</v>
      </c>
      <c r="AF49" s="1921" t="s">
        <v>241</v>
      </c>
      <c r="AG49" s="1917"/>
    </row>
    <row r="50" spans="1:33">
      <c r="C50" s="2197"/>
      <c r="D50" s="2202"/>
      <c r="E50" s="2203"/>
      <c r="F50" s="2191">
        <f t="shared" si="11"/>
        <v>0</v>
      </c>
      <c r="H50" s="1922"/>
      <c r="I50" s="2927"/>
      <c r="J50" s="1932" t="s">
        <v>241</v>
      </c>
      <c r="K50" s="1922"/>
      <c r="L50" s="1929"/>
      <c r="M50" s="1929"/>
      <c r="N50" s="1923"/>
      <c r="O50" s="1922"/>
      <c r="P50" s="1925"/>
      <c r="Q50" s="1928"/>
      <c r="R50" s="1928"/>
      <c r="S50" s="1931">
        <f t="shared" si="3"/>
        <v>0</v>
      </c>
      <c r="T50" s="1931">
        <f t="shared" si="4"/>
        <v>0</v>
      </c>
      <c r="U50" s="1931">
        <f t="shared" si="5"/>
        <v>0</v>
      </c>
      <c r="V50" s="1931">
        <f t="shared" si="6"/>
        <v>0</v>
      </c>
      <c r="W50" s="1921">
        <f t="shared" si="7"/>
        <v>0</v>
      </c>
      <c r="X50" s="1921">
        <f t="shared" si="8"/>
        <v>0</v>
      </c>
      <c r="Y50" s="1921">
        <f t="shared" si="9"/>
        <v>0</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f t="shared" si="3"/>
        <v>0</v>
      </c>
      <c r="T51" s="1931">
        <f t="shared" si="4"/>
        <v>0</v>
      </c>
      <c r="U51" s="1931">
        <f t="shared" si="5"/>
        <v>0</v>
      </c>
      <c r="V51" s="1931">
        <f t="shared" si="6"/>
        <v>0</v>
      </c>
      <c r="W51" s="1921">
        <f t="shared" si="7"/>
        <v>0</v>
      </c>
      <c r="X51" s="1921">
        <f t="shared" si="8"/>
        <v>0</v>
      </c>
      <c r="Y51" s="1921">
        <f t="shared" si="9"/>
        <v>0</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2927"/>
      <c r="J52" s="1932" t="s">
        <v>241</v>
      </c>
      <c r="K52" s="1922"/>
      <c r="L52" s="1929"/>
      <c r="M52" s="1929"/>
      <c r="N52" s="1923"/>
      <c r="O52" s="1922"/>
      <c r="P52" s="1925"/>
      <c r="Q52" s="1928"/>
      <c r="R52" s="1928"/>
      <c r="S52" s="1931">
        <f t="shared" si="3"/>
        <v>0</v>
      </c>
      <c r="T52" s="1931">
        <f t="shared" si="4"/>
        <v>0</v>
      </c>
      <c r="U52" s="1931">
        <f t="shared" si="5"/>
        <v>0</v>
      </c>
      <c r="V52" s="1931">
        <f t="shared" si="6"/>
        <v>0</v>
      </c>
      <c r="W52" s="1921">
        <f t="shared" si="7"/>
        <v>0</v>
      </c>
      <c r="X52" s="1921">
        <f t="shared" si="8"/>
        <v>0</v>
      </c>
      <c r="Y52" s="1921">
        <f t="shared" si="9"/>
        <v>0</v>
      </c>
      <c r="Z52" s="1946"/>
      <c r="AA52" s="1920" t="s">
        <v>241</v>
      </c>
      <c r="AB52" s="1920" t="s">
        <v>241</v>
      </c>
      <c r="AC52" s="1921" t="s">
        <v>241</v>
      </c>
      <c r="AD52" s="1921" t="s">
        <v>241</v>
      </c>
      <c r="AE52" s="1921" t="s">
        <v>241</v>
      </c>
      <c r="AF52" s="1921" t="s">
        <v>241</v>
      </c>
      <c r="AG52" s="1917"/>
    </row>
    <row r="53" spans="1:33">
      <c r="C53" s="2197"/>
      <c r="D53" s="2202"/>
      <c r="E53" s="2163"/>
      <c r="F53" s="2191">
        <f t="shared" si="11"/>
        <v>0</v>
      </c>
      <c r="H53" s="1922"/>
      <c r="I53" s="2927"/>
      <c r="J53" s="1932" t="s">
        <v>241</v>
      </c>
      <c r="K53" s="1922"/>
      <c r="L53" s="1929"/>
      <c r="M53" s="1929"/>
      <c r="N53" s="1923"/>
      <c r="O53" s="1922"/>
      <c r="P53" s="1925"/>
      <c r="Q53" s="1928"/>
      <c r="R53" s="1928"/>
      <c r="S53" s="1931">
        <f t="shared" si="3"/>
        <v>0</v>
      </c>
      <c r="T53" s="1931">
        <f t="shared" si="4"/>
        <v>0</v>
      </c>
      <c r="U53" s="1931">
        <f t="shared" si="5"/>
        <v>0</v>
      </c>
      <c r="V53" s="1931">
        <f t="shared" si="6"/>
        <v>0</v>
      </c>
      <c r="W53" s="1921">
        <f t="shared" si="7"/>
        <v>0</v>
      </c>
      <c r="X53" s="1921">
        <f t="shared" si="8"/>
        <v>0</v>
      </c>
      <c r="Y53" s="1921">
        <f t="shared" si="9"/>
        <v>0</v>
      </c>
      <c r="Z53" s="1946"/>
      <c r="AA53" s="1920" t="s">
        <v>241</v>
      </c>
      <c r="AB53" s="1920" t="s">
        <v>241</v>
      </c>
      <c r="AC53" s="1921" t="s">
        <v>241</v>
      </c>
      <c r="AD53" s="1921" t="s">
        <v>241</v>
      </c>
      <c r="AE53" s="1921" t="s">
        <v>241</v>
      </c>
      <c r="AF53" s="1921" t="s">
        <v>241</v>
      </c>
      <c r="AG53" s="1917"/>
    </row>
    <row r="54" spans="1:33">
      <c r="C54" s="2197"/>
      <c r="D54" s="2202"/>
      <c r="E54" s="2163"/>
      <c r="F54" s="2191">
        <f t="shared" si="11"/>
        <v>0</v>
      </c>
      <c r="H54" s="1922"/>
      <c r="I54" s="2927"/>
      <c r="J54" s="1932" t="s">
        <v>241</v>
      </c>
      <c r="K54" s="1922"/>
      <c r="L54" s="1929"/>
      <c r="M54" s="1929"/>
      <c r="N54" s="1923"/>
      <c r="O54" s="1922"/>
      <c r="P54" s="1925"/>
      <c r="Q54" s="1928"/>
      <c r="R54" s="1928"/>
      <c r="S54" s="1931">
        <f t="shared" si="3"/>
        <v>0</v>
      </c>
      <c r="T54" s="1931">
        <f t="shared" si="4"/>
        <v>0</v>
      </c>
      <c r="U54" s="1931">
        <f t="shared" si="5"/>
        <v>0</v>
      </c>
      <c r="V54" s="1931">
        <f t="shared" si="6"/>
        <v>0</v>
      </c>
      <c r="W54" s="1921">
        <f t="shared" si="7"/>
        <v>0</v>
      </c>
      <c r="X54" s="1921">
        <f t="shared" si="8"/>
        <v>0</v>
      </c>
      <c r="Y54" s="1921">
        <f t="shared" si="9"/>
        <v>0</v>
      </c>
      <c r="Z54" s="1946"/>
      <c r="AA54" s="1920" t="s">
        <v>241</v>
      </c>
      <c r="AB54" s="1920" t="s">
        <v>241</v>
      </c>
      <c r="AC54" s="1921" t="s">
        <v>241</v>
      </c>
      <c r="AD54" s="1921" t="s">
        <v>241</v>
      </c>
      <c r="AE54" s="1921" t="s">
        <v>241</v>
      </c>
      <c r="AF54" s="1921" t="s">
        <v>241</v>
      </c>
      <c r="AG54" s="1917"/>
    </row>
    <row r="55" spans="1:33">
      <c r="C55" s="2197"/>
      <c r="D55" s="2202"/>
      <c r="E55" s="2163"/>
      <c r="F55" s="2191">
        <f t="shared" si="11"/>
        <v>0</v>
      </c>
      <c r="H55" s="1922"/>
      <c r="I55" s="2927"/>
      <c r="J55" s="1932" t="s">
        <v>241</v>
      </c>
      <c r="K55" s="1922"/>
      <c r="L55" s="1929"/>
      <c r="M55" s="1929"/>
      <c r="N55" s="1923"/>
      <c r="O55" s="1922"/>
      <c r="P55" s="1925"/>
      <c r="Q55" s="1928"/>
      <c r="R55" s="1928"/>
      <c r="S55" s="1931">
        <f t="shared" si="3"/>
        <v>0</v>
      </c>
      <c r="T55" s="1931">
        <f t="shared" si="4"/>
        <v>0</v>
      </c>
      <c r="U55" s="1931">
        <f t="shared" si="5"/>
        <v>0</v>
      </c>
      <c r="V55" s="1931">
        <f t="shared" si="6"/>
        <v>0</v>
      </c>
      <c r="W55" s="1921">
        <f t="shared" si="7"/>
        <v>0</v>
      </c>
      <c r="X55" s="1921">
        <f t="shared" si="8"/>
        <v>0</v>
      </c>
      <c r="Y55" s="1921">
        <f t="shared" si="9"/>
        <v>0</v>
      </c>
      <c r="Z55" s="1946"/>
      <c r="AA55" s="1920" t="s">
        <v>241</v>
      </c>
      <c r="AB55" s="1920" t="s">
        <v>241</v>
      </c>
      <c r="AC55" s="1921" t="s">
        <v>241</v>
      </c>
      <c r="AD55" s="1921" t="s">
        <v>241</v>
      </c>
      <c r="AE55" s="1921" t="s">
        <v>241</v>
      </c>
      <c r="AF55" s="1921" t="s">
        <v>241</v>
      </c>
      <c r="AG55" s="1917"/>
    </row>
    <row r="56" spans="1:33">
      <c r="C56" s="2197"/>
      <c r="D56" s="2202"/>
      <c r="E56" s="2163"/>
      <c r="F56" s="2191">
        <f t="shared" si="11"/>
        <v>0</v>
      </c>
      <c r="H56" s="1922"/>
      <c r="I56" s="2927"/>
      <c r="J56" s="1932" t="s">
        <v>241</v>
      </c>
      <c r="K56" s="1922"/>
      <c r="L56" s="1929"/>
      <c r="M56" s="1929"/>
      <c r="N56" s="1923"/>
      <c r="O56" s="1922"/>
      <c r="P56" s="1925"/>
      <c r="Q56" s="1928"/>
      <c r="R56" s="1928"/>
      <c r="S56" s="1931">
        <f t="shared" si="3"/>
        <v>0</v>
      </c>
      <c r="T56" s="1931">
        <f t="shared" si="4"/>
        <v>0</v>
      </c>
      <c r="U56" s="1931">
        <f t="shared" si="5"/>
        <v>0</v>
      </c>
      <c r="V56" s="1931">
        <f t="shared" si="6"/>
        <v>0</v>
      </c>
      <c r="W56" s="1921">
        <f t="shared" si="7"/>
        <v>0</v>
      </c>
      <c r="X56" s="1921">
        <f t="shared" si="8"/>
        <v>0</v>
      </c>
      <c r="Y56" s="1921">
        <f t="shared" si="9"/>
        <v>0</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f t="shared" si="3"/>
        <v>0</v>
      </c>
      <c r="T57" s="1931">
        <f t="shared" si="4"/>
        <v>0</v>
      </c>
      <c r="U57" s="1931">
        <f t="shared" si="5"/>
        <v>0</v>
      </c>
      <c r="V57" s="1931">
        <f t="shared" si="6"/>
        <v>0</v>
      </c>
      <c r="W57" s="1921">
        <f t="shared" si="7"/>
        <v>0</v>
      </c>
      <c r="X57" s="1921">
        <f t="shared" si="8"/>
        <v>0</v>
      </c>
      <c r="Y57" s="1921">
        <f t="shared" si="9"/>
        <v>0</v>
      </c>
      <c r="Z57" s="1946"/>
      <c r="AA57" s="1920" t="s">
        <v>241</v>
      </c>
      <c r="AB57" s="1920" t="s">
        <v>241</v>
      </c>
      <c r="AC57" s="1921" t="s">
        <v>241</v>
      </c>
      <c r="AD57" s="1921" t="s">
        <v>241</v>
      </c>
      <c r="AE57" s="1921" t="s">
        <v>241</v>
      </c>
      <c r="AF57" s="1921" t="s">
        <v>241</v>
      </c>
      <c r="AG57" s="1917"/>
    </row>
    <row r="58" spans="1:33">
      <c r="C58" s="2106" t="s">
        <v>52</v>
      </c>
      <c r="D58" s="2158">
        <f>SUM(D59:D62)</f>
        <v>68809.5</v>
      </c>
      <c r="E58" s="1926">
        <f>SUM(E59:E62)</f>
        <v>68809.5</v>
      </c>
      <c r="F58" s="2157">
        <f>D58+E58</f>
        <v>137619</v>
      </c>
      <c r="H58" s="1922"/>
      <c r="I58" s="2927"/>
      <c r="J58" s="1932" t="s">
        <v>241</v>
      </c>
      <c r="K58" s="1922"/>
      <c r="L58" s="1929"/>
      <c r="M58" s="1929"/>
      <c r="N58" s="1923"/>
      <c r="O58" s="1922"/>
      <c r="P58" s="1925"/>
      <c r="Q58" s="1928"/>
      <c r="R58" s="1928"/>
      <c r="S58" s="1931">
        <f t="shared" si="3"/>
        <v>0</v>
      </c>
      <c r="T58" s="1931">
        <f t="shared" si="4"/>
        <v>0</v>
      </c>
      <c r="U58" s="1931">
        <f t="shared" si="5"/>
        <v>0</v>
      </c>
      <c r="V58" s="1931">
        <f t="shared" si="6"/>
        <v>0</v>
      </c>
      <c r="W58" s="1921">
        <f t="shared" si="7"/>
        <v>0</v>
      </c>
      <c r="X58" s="1921">
        <f t="shared" si="8"/>
        <v>0</v>
      </c>
      <c r="Y58" s="1921">
        <f t="shared" si="9"/>
        <v>0</v>
      </c>
      <c r="Z58" s="1946"/>
      <c r="AA58" s="1920" t="s">
        <v>241</v>
      </c>
      <c r="AB58" s="1920" t="s">
        <v>241</v>
      </c>
      <c r="AC58" s="1921" t="s">
        <v>241</v>
      </c>
      <c r="AD58" s="1921" t="s">
        <v>241</v>
      </c>
      <c r="AE58" s="1921" t="s">
        <v>241</v>
      </c>
      <c r="AF58" s="1921" t="s">
        <v>241</v>
      </c>
      <c r="AG58" s="1917"/>
    </row>
    <row r="59" spans="1:33">
      <c r="C59" s="2197" t="s">
        <v>1276</v>
      </c>
      <c r="D59" s="2202">
        <v>68809.5</v>
      </c>
      <c r="E59" s="2203">
        <v>68809.5</v>
      </c>
      <c r="F59" s="2191">
        <f t="shared" si="11"/>
        <v>137619</v>
      </c>
      <c r="H59" s="1922"/>
      <c r="I59" s="2927"/>
      <c r="J59" s="1932" t="s">
        <v>241</v>
      </c>
      <c r="K59" s="1922"/>
      <c r="L59" s="1929"/>
      <c r="M59" s="1929"/>
      <c r="N59" s="1923"/>
      <c r="O59" s="1922"/>
      <c r="P59" s="1925"/>
      <c r="Q59" s="1928"/>
      <c r="R59" s="1928"/>
      <c r="S59" s="1931">
        <f t="shared" si="3"/>
        <v>0</v>
      </c>
      <c r="T59" s="1931">
        <f t="shared" si="4"/>
        <v>0</v>
      </c>
      <c r="U59" s="1931">
        <f t="shared" si="5"/>
        <v>0</v>
      </c>
      <c r="V59" s="1931">
        <f t="shared" si="6"/>
        <v>0</v>
      </c>
      <c r="W59" s="1921">
        <f t="shared" si="7"/>
        <v>0</v>
      </c>
      <c r="X59" s="1921">
        <f t="shared" si="8"/>
        <v>0</v>
      </c>
      <c r="Y59" s="1921">
        <f t="shared" si="9"/>
        <v>0</v>
      </c>
      <c r="Z59" s="1946"/>
      <c r="AA59" s="1920" t="s">
        <v>241</v>
      </c>
      <c r="AB59" s="1920" t="s">
        <v>241</v>
      </c>
      <c r="AC59" s="1921" t="s">
        <v>241</v>
      </c>
      <c r="AD59" s="1921" t="s">
        <v>241</v>
      </c>
      <c r="AE59" s="1921" t="s">
        <v>241</v>
      </c>
      <c r="AF59" s="1921" t="s">
        <v>241</v>
      </c>
      <c r="AG59" s="1917"/>
    </row>
    <row r="60" spans="1:33">
      <c r="C60" s="2197"/>
      <c r="D60" s="2202"/>
      <c r="E60" s="2203"/>
      <c r="F60" s="2191">
        <f t="shared" si="11"/>
        <v>0</v>
      </c>
      <c r="H60" s="1922"/>
      <c r="I60" s="1928"/>
      <c r="J60" s="1932" t="s">
        <v>241</v>
      </c>
      <c r="K60" s="1922"/>
      <c r="L60" s="1929"/>
      <c r="M60" s="1929"/>
      <c r="N60" s="1923"/>
      <c r="O60" s="1922"/>
      <c r="P60" s="1925"/>
      <c r="Q60" s="1928"/>
      <c r="R60" s="1928"/>
      <c r="S60" s="1931">
        <f t="shared" si="3"/>
        <v>0</v>
      </c>
      <c r="T60" s="1931">
        <f t="shared" si="4"/>
        <v>0</v>
      </c>
      <c r="U60" s="1931">
        <f t="shared" si="5"/>
        <v>0</v>
      </c>
      <c r="V60" s="1931">
        <f t="shared" si="6"/>
        <v>0</v>
      </c>
      <c r="W60" s="1921">
        <f t="shared" si="7"/>
        <v>0</v>
      </c>
      <c r="X60" s="1921">
        <f t="shared" si="8"/>
        <v>0</v>
      </c>
      <c r="Y60" s="1921">
        <f t="shared" si="9"/>
        <v>0</v>
      </c>
      <c r="Z60" s="1946"/>
      <c r="AA60" s="1920" t="s">
        <v>241</v>
      </c>
      <c r="AB60" s="1920" t="s">
        <v>241</v>
      </c>
      <c r="AC60" s="1921" t="s">
        <v>241</v>
      </c>
      <c r="AD60" s="1921" t="s">
        <v>241</v>
      </c>
      <c r="AE60" s="1921" t="s">
        <v>241</v>
      </c>
      <c r="AF60" s="1921" t="s">
        <v>241</v>
      </c>
      <c r="AG60" s="1917"/>
    </row>
    <row r="61" spans="1:33">
      <c r="C61" s="2197"/>
      <c r="D61" s="2202"/>
      <c r="E61" s="2203"/>
      <c r="F61" s="1890">
        <f t="shared" si="11"/>
        <v>0</v>
      </c>
      <c r="H61" s="1922"/>
      <c r="I61" s="1928"/>
      <c r="J61" s="1932" t="s">
        <v>241</v>
      </c>
      <c r="K61" s="1922"/>
      <c r="L61" s="1929"/>
      <c r="M61" s="1929"/>
      <c r="N61" s="1923"/>
      <c r="O61" s="1922"/>
      <c r="P61" s="1925"/>
      <c r="Q61" s="1928"/>
      <c r="R61" s="1928"/>
      <c r="S61" s="1931">
        <f t="shared" si="3"/>
        <v>0</v>
      </c>
      <c r="T61" s="1931">
        <f t="shared" si="4"/>
        <v>0</v>
      </c>
      <c r="U61" s="1931">
        <f t="shared" si="5"/>
        <v>0</v>
      </c>
      <c r="V61" s="1931">
        <f t="shared" si="6"/>
        <v>0</v>
      </c>
      <c r="W61" s="1921">
        <f t="shared" si="7"/>
        <v>0</v>
      </c>
      <c r="X61" s="1921">
        <f t="shared" si="8"/>
        <v>0</v>
      </c>
      <c r="Y61" s="1921">
        <f t="shared" si="9"/>
        <v>0</v>
      </c>
      <c r="Z61" s="1946"/>
      <c r="AA61" s="1920" t="s">
        <v>241</v>
      </c>
      <c r="AB61" s="1920" t="s">
        <v>241</v>
      </c>
      <c r="AC61" s="1921" t="s">
        <v>241</v>
      </c>
      <c r="AD61" s="1921" t="s">
        <v>241</v>
      </c>
      <c r="AE61" s="1921" t="s">
        <v>241</v>
      </c>
      <c r="AF61" s="1921" t="s">
        <v>241</v>
      </c>
      <c r="AG61" s="1917"/>
    </row>
    <row r="62" spans="1:33">
      <c r="C62" s="2197"/>
      <c r="D62" s="2202"/>
      <c r="E62" s="2203"/>
      <c r="F62" s="2191">
        <f t="shared" si="11"/>
        <v>0</v>
      </c>
      <c r="H62" s="1922"/>
      <c r="I62" s="1928"/>
      <c r="J62" s="1932" t="s">
        <v>241</v>
      </c>
      <c r="K62" s="1922"/>
      <c r="L62" s="1929"/>
      <c r="M62" s="1929"/>
      <c r="N62" s="1923"/>
      <c r="O62" s="1922"/>
      <c r="P62" s="1925"/>
      <c r="Q62" s="1928"/>
      <c r="R62" s="1928"/>
      <c r="S62" s="1931">
        <f t="shared" si="3"/>
        <v>0</v>
      </c>
      <c r="T62" s="1931">
        <f t="shared" si="4"/>
        <v>0</v>
      </c>
      <c r="U62" s="1931">
        <f t="shared" si="5"/>
        <v>0</v>
      </c>
      <c r="V62" s="1931">
        <f t="shared" si="6"/>
        <v>0</v>
      </c>
      <c r="W62" s="1921">
        <f t="shared" si="7"/>
        <v>0</v>
      </c>
      <c r="X62" s="1921">
        <f t="shared" si="8"/>
        <v>0</v>
      </c>
      <c r="Y62" s="1921">
        <f t="shared" si="9"/>
        <v>0</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f t="shared" si="3"/>
        <v>0</v>
      </c>
      <c r="T63" s="1931">
        <f t="shared" si="4"/>
        <v>0</v>
      </c>
      <c r="U63" s="1931">
        <f t="shared" si="5"/>
        <v>0</v>
      </c>
      <c r="V63" s="1931">
        <f t="shared" si="6"/>
        <v>0</v>
      </c>
      <c r="W63" s="1921">
        <f t="shared" si="7"/>
        <v>0</v>
      </c>
      <c r="X63" s="1921">
        <f t="shared" si="8"/>
        <v>0</v>
      </c>
      <c r="Y63" s="1921">
        <f t="shared" si="9"/>
        <v>0</v>
      </c>
      <c r="Z63" s="1946"/>
      <c r="AA63" s="1920" t="s">
        <v>241</v>
      </c>
      <c r="AB63" s="1920" t="s">
        <v>241</v>
      </c>
      <c r="AC63" s="1921" t="s">
        <v>241</v>
      </c>
      <c r="AD63" s="1921" t="s">
        <v>241</v>
      </c>
      <c r="AE63" s="1921" t="s">
        <v>241</v>
      </c>
      <c r="AF63" s="1921" t="s">
        <v>241</v>
      </c>
      <c r="AG63" s="1917"/>
    </row>
    <row r="64" spans="1:33" ht="25.5">
      <c r="A64" s="2802" t="s">
        <v>706</v>
      </c>
      <c r="C64" s="2106" t="s">
        <v>53</v>
      </c>
      <c r="D64" s="2158">
        <f>W15</f>
        <v>737860.67500000005</v>
      </c>
      <c r="E64" s="1926">
        <f>X15</f>
        <v>751072.55499999993</v>
      </c>
      <c r="F64" s="2157">
        <f>D64+E64</f>
        <v>1488933.23</v>
      </c>
      <c r="H64" s="1922"/>
      <c r="I64" s="1928"/>
      <c r="J64" s="1932" t="s">
        <v>241</v>
      </c>
      <c r="K64" s="1922"/>
      <c r="L64" s="1929"/>
      <c r="M64" s="1929"/>
      <c r="N64" s="1923"/>
      <c r="O64" s="1922"/>
      <c r="P64" s="1925"/>
      <c r="Q64" s="1928"/>
      <c r="R64" s="1928"/>
      <c r="S64" s="1931">
        <f t="shared" si="3"/>
        <v>0</v>
      </c>
      <c r="T64" s="1931">
        <f t="shared" si="4"/>
        <v>0</v>
      </c>
      <c r="U64" s="1931">
        <f t="shared" si="5"/>
        <v>0</v>
      </c>
      <c r="V64" s="1931">
        <f t="shared" si="6"/>
        <v>0</v>
      </c>
      <c r="W64" s="1921">
        <f t="shared" si="7"/>
        <v>0</v>
      </c>
      <c r="X64" s="1921">
        <f t="shared" si="8"/>
        <v>0</v>
      </c>
      <c r="Y64" s="1921">
        <f t="shared" si="9"/>
        <v>0</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f t="shared" si="3"/>
        <v>0</v>
      </c>
      <c r="T65" s="1931">
        <f t="shared" si="4"/>
        <v>0</v>
      </c>
      <c r="U65" s="1931">
        <f t="shared" si="5"/>
        <v>0</v>
      </c>
      <c r="V65" s="1931">
        <f t="shared" si="6"/>
        <v>0</v>
      </c>
      <c r="W65" s="1921">
        <f t="shared" si="7"/>
        <v>0</v>
      </c>
      <c r="X65" s="1921">
        <f t="shared" si="8"/>
        <v>0</v>
      </c>
      <c r="Y65" s="1921">
        <f t="shared" si="9"/>
        <v>0</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18231022</v>
      </c>
      <c r="C67" s="1959" t="s">
        <v>54</v>
      </c>
      <c r="D67" s="2202">
        <v>0</v>
      </c>
      <c r="E67" s="2202">
        <v>0</v>
      </c>
      <c r="F67" s="1956">
        <v>0</v>
      </c>
    </row>
    <row r="68" spans="1:33">
      <c r="A68" s="2802" t="s">
        <v>31</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E47" sqref="E47"/>
      <pageMargins left="0.7" right="0.7" top="0.75" bottom="0.75" header="0.3" footer="0.3"/>
    </customSheetView>
    <customSheetView guid="{D9EFFE19-D14B-4C6F-BDF4-FF696F73968D}" showGridLines="0">
      <pane xSplit="1" ySplit="1" topLeftCell="F2" activePane="bottomRight" state="frozen"/>
      <selection pane="bottomRight"/>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RowHeight="12.75"/>
  <cols>
    <col min="1" max="1" width="18.5703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4.28515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2.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 customHeight="1" thickBot="1">
      <c r="C1" s="1812" t="s">
        <v>707</v>
      </c>
      <c r="D1" s="1812" t="s">
        <v>278</v>
      </c>
      <c r="E1" s="1812" t="s">
        <v>6</v>
      </c>
      <c r="F1" s="1812">
        <v>18231027</v>
      </c>
      <c r="G1" s="1812" t="s">
        <v>31</v>
      </c>
      <c r="J1" s="1592"/>
      <c r="M1" s="1812" t="s">
        <v>707</v>
      </c>
      <c r="N1" s="1812" t="s">
        <v>278</v>
      </c>
      <c r="O1" s="1812" t="s">
        <v>6</v>
      </c>
      <c r="P1" s="1812">
        <v>18231027</v>
      </c>
      <c r="Q1" s="1812" t="s">
        <v>31</v>
      </c>
      <c r="V1" s="1812" t="s">
        <v>707</v>
      </c>
      <c r="W1" s="1812" t="s">
        <v>278</v>
      </c>
      <c r="X1" s="1812" t="s">
        <v>6</v>
      </c>
      <c r="Y1" s="1812">
        <v>18231027</v>
      </c>
      <c r="Z1" s="1812" t="s">
        <v>31</v>
      </c>
    </row>
    <row r="2" spans="1:33" ht="16.5" thickBot="1">
      <c r="C2" s="1592"/>
      <c r="D2" s="1575"/>
      <c r="H2" s="1576" t="s">
        <v>674</v>
      </c>
      <c r="R2" s="3596"/>
      <c r="S2" s="3596"/>
      <c r="T2" s="3597" t="s">
        <v>36</v>
      </c>
      <c r="U2" s="3598"/>
      <c r="V2" s="3599"/>
      <c r="W2" s="3594" t="s">
        <v>37</v>
      </c>
    </row>
    <row r="3" spans="1:33" ht="26.25" thickBot="1">
      <c r="A3" s="2802" t="s">
        <v>708</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709</v>
      </c>
      <c r="B4" s="2802"/>
      <c r="C4" s="1575"/>
      <c r="G4" s="1804" t="s">
        <v>668</v>
      </c>
      <c r="H4" s="2003">
        <v>12621</v>
      </c>
      <c r="I4" s="2002">
        <v>0</v>
      </c>
      <c r="J4" s="2002">
        <v>8923</v>
      </c>
      <c r="K4" s="2002">
        <v>10000</v>
      </c>
      <c r="L4" s="2002">
        <v>1200</v>
      </c>
      <c r="M4" s="2002">
        <v>450</v>
      </c>
      <c r="N4" s="2002">
        <v>800</v>
      </c>
      <c r="O4" s="2002">
        <v>150</v>
      </c>
      <c r="P4" s="2002">
        <v>207830</v>
      </c>
      <c r="Q4" s="2002">
        <v>0</v>
      </c>
      <c r="R4" s="2000">
        <v>241975</v>
      </c>
      <c r="S4" s="2041">
        <v>164836</v>
      </c>
      <c r="T4" s="1541">
        <f>P4/R4</f>
        <v>0.8588903812377312</v>
      </c>
      <c r="U4" s="1541">
        <f>(K4+(I4*1.63))/R4</f>
        <v>4.132658332472363E-2</v>
      </c>
      <c r="V4" s="1541">
        <f>M4/R4</f>
        <v>1.8596962496125633E-3</v>
      </c>
      <c r="W4" s="1539">
        <f>R4/S4</f>
        <v>1.4679742289305735</v>
      </c>
    </row>
    <row r="5" spans="1:33" ht="16.5" thickBot="1">
      <c r="A5" s="2802" t="s">
        <v>278</v>
      </c>
      <c r="B5" s="2802"/>
      <c r="C5" s="1592"/>
      <c r="G5" s="1592">
        <v>2016</v>
      </c>
      <c r="H5" s="1582">
        <f>D15</f>
        <v>29908.890000000003</v>
      </c>
      <c r="I5" s="1549">
        <f>D21</f>
        <v>0</v>
      </c>
      <c r="J5" s="1549">
        <f>D27</f>
        <v>19949.229630000002</v>
      </c>
      <c r="K5" s="1549">
        <f>D34</f>
        <v>15000</v>
      </c>
      <c r="L5" s="1549">
        <f>D40</f>
        <v>5225</v>
      </c>
      <c r="M5" s="1549">
        <f>D46</f>
        <v>600</v>
      </c>
      <c r="N5" s="1549">
        <f>D52</f>
        <v>240</v>
      </c>
      <c r="O5" s="1549">
        <f>D58</f>
        <v>0</v>
      </c>
      <c r="P5" s="1549">
        <f>D64</f>
        <v>328661.5</v>
      </c>
      <c r="Q5" s="1549">
        <f>D65</f>
        <v>0</v>
      </c>
      <c r="R5" s="2001">
        <f>SUM(H5:Q5)</f>
        <v>399584.61962999997</v>
      </c>
      <c r="S5" s="2042">
        <f>T15</f>
        <v>208526</v>
      </c>
      <c r="T5" s="1542">
        <f>P5/R5</f>
        <v>0.82250788407303554</v>
      </c>
      <c r="U5" s="1542">
        <f>(K5+(I5*1.63))/R5</f>
        <v>3.7538982390987484E-2</v>
      </c>
      <c r="V5" s="1542">
        <f>M5/R5</f>
        <v>1.5015592956394994E-3</v>
      </c>
      <c r="W5" s="1540">
        <f>R5/S5</f>
        <v>1.9162340409828988</v>
      </c>
    </row>
    <row r="6" spans="1:33" ht="16.5" thickBot="1">
      <c r="A6" s="2802" t="s">
        <v>6</v>
      </c>
      <c r="B6" s="2802"/>
      <c r="D6" s="1592"/>
      <c r="G6" s="1592">
        <v>2017</v>
      </c>
      <c r="H6" s="57">
        <f>E15</f>
        <v>30656.670000000002</v>
      </c>
      <c r="I6" s="1990">
        <f>E21</f>
        <v>0</v>
      </c>
      <c r="J6" s="1989">
        <f>E27</f>
        <v>20846.535600000003</v>
      </c>
      <c r="K6" s="58">
        <f>E34</f>
        <v>15000</v>
      </c>
      <c r="L6" s="58">
        <f>E40</f>
        <v>5225</v>
      </c>
      <c r="M6" s="58">
        <f>E46</f>
        <v>600</v>
      </c>
      <c r="N6" s="58">
        <f>E52</f>
        <v>240</v>
      </c>
      <c r="O6" s="58">
        <f>E58</f>
        <v>0</v>
      </c>
      <c r="P6" s="58">
        <f>E64</f>
        <v>353198.5</v>
      </c>
      <c r="Q6" s="58">
        <f>E65</f>
        <v>0</v>
      </c>
      <c r="R6" s="1997">
        <f>SUM(H6:Q6)</f>
        <v>425766.70559999999</v>
      </c>
      <c r="S6" s="2043">
        <f>U15</f>
        <v>226537.4</v>
      </c>
      <c r="T6" s="1542">
        <f>P6/R6</f>
        <v>0.82955875918541999</v>
      </c>
      <c r="U6" s="1542">
        <f>(K6+(I6*1.63))/R6</f>
        <v>3.5230561250348742E-2</v>
      </c>
      <c r="V6" s="1542">
        <f>M6/R6</f>
        <v>1.4092224500139496E-3</v>
      </c>
      <c r="W6" s="1540">
        <f>R6/S6</f>
        <v>1.8794543664754695</v>
      </c>
    </row>
    <row r="7" spans="1:33" ht="16.5" thickBot="1">
      <c r="A7" s="2802">
        <v>18231027</v>
      </c>
      <c r="B7" s="2802"/>
      <c r="D7" s="1592"/>
      <c r="G7" s="1608" t="s">
        <v>23</v>
      </c>
      <c r="H7" s="1564">
        <f>SUM(H5:H6)</f>
        <v>60565.560000000005</v>
      </c>
      <c r="I7" s="1991">
        <f t="shared" ref="I7:Q7" si="0">SUM(I5:I6)</f>
        <v>0</v>
      </c>
      <c r="J7" s="1992">
        <f t="shared" si="0"/>
        <v>40795.765230000005</v>
      </c>
      <c r="K7" s="1993">
        <f t="shared" si="0"/>
        <v>30000</v>
      </c>
      <c r="L7" s="1991">
        <f t="shared" si="0"/>
        <v>10450</v>
      </c>
      <c r="M7" s="1992">
        <f t="shared" si="0"/>
        <v>1200</v>
      </c>
      <c r="N7" s="1991">
        <f t="shared" si="0"/>
        <v>480</v>
      </c>
      <c r="O7" s="1992">
        <f t="shared" si="0"/>
        <v>0</v>
      </c>
      <c r="P7" s="1993">
        <f t="shared" si="0"/>
        <v>681860</v>
      </c>
      <c r="Q7" s="1991">
        <f t="shared" si="0"/>
        <v>0</v>
      </c>
      <c r="R7" s="1993">
        <f>SUM(H7:Q7)</f>
        <v>825351.32523000007</v>
      </c>
      <c r="S7" s="2600">
        <f>SUM(S5:S6)</f>
        <v>435063.4</v>
      </c>
      <c r="T7" s="1542">
        <f>P7/R7</f>
        <v>0.82614515680336076</v>
      </c>
      <c r="U7" s="1542">
        <f>(K7+(I7*1.63))/R7</f>
        <v>3.6348157545685073E-2</v>
      </c>
      <c r="V7" s="1542">
        <f>M7/R7</f>
        <v>1.4539263018274028E-3</v>
      </c>
      <c r="W7" s="1540">
        <f>R7/S7</f>
        <v>1.8970828739673344</v>
      </c>
    </row>
    <row r="8" spans="1:33" ht="15.75">
      <c r="A8" s="2193" t="s">
        <v>31</v>
      </c>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D15+D21+D27+D34+D40+D46+D52+D58+D64</f>
        <v>399584.61962999997</v>
      </c>
      <c r="E12" s="1948">
        <f>E15+E21+E27+E34+E40+E46+E52+E58+E64</f>
        <v>425766.70559999999</v>
      </c>
      <c r="F12" s="2157">
        <f>D12+E12</f>
        <v>825351.32522999996</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29908.890000000003</v>
      </c>
      <c r="E15" s="1926">
        <f>SUM(E16:E19)</f>
        <v>30656.670000000002</v>
      </c>
      <c r="F15" s="2157">
        <f>D15+E15</f>
        <v>60565.560000000005</v>
      </c>
      <c r="H15" s="1938" t="s">
        <v>327</v>
      </c>
      <c r="I15" s="1939"/>
      <c r="J15" s="1939"/>
      <c r="K15" s="1940"/>
      <c r="L15" s="1941">
        <f>SUMPRODUCT(L16:L165,S16:S165)</f>
        <v>944777.4</v>
      </c>
      <c r="M15" s="1941">
        <f>SUM(M16:M165)</f>
        <v>191263</v>
      </c>
      <c r="N15" s="1942" t="s">
        <v>241</v>
      </c>
      <c r="O15" s="1940">
        <v>10</v>
      </c>
      <c r="P15" s="1940"/>
      <c r="Q15" s="1940"/>
      <c r="R15" s="1940"/>
      <c r="S15" s="1940"/>
      <c r="T15" s="1943">
        <f>SUM(T16:T65)</f>
        <v>208526</v>
      </c>
      <c r="U15" s="1943">
        <f t="shared" ref="U15:X15" si="1">SUM(U16:U65)</f>
        <v>226537.4</v>
      </c>
      <c r="V15" s="1943">
        <f t="shared" si="1"/>
        <v>435063.39999999991</v>
      </c>
      <c r="W15" s="1941">
        <f t="shared" si="1"/>
        <v>328661.5</v>
      </c>
      <c r="X15" s="1941">
        <f t="shared" si="1"/>
        <v>353198.5</v>
      </c>
      <c r="Y15" s="1941">
        <f>SUM(Y16:Y65)</f>
        <v>681860</v>
      </c>
      <c r="Z15" s="1945">
        <v>0</v>
      </c>
      <c r="AA15" s="1944" t="s">
        <v>328</v>
      </c>
      <c r="AB15" s="1944" t="s">
        <v>328</v>
      </c>
      <c r="AC15" s="1941">
        <v>0</v>
      </c>
      <c r="AD15" s="1941">
        <v>0</v>
      </c>
      <c r="AE15" s="1941">
        <v>0</v>
      </c>
      <c r="AF15" s="1941">
        <v>0</v>
      </c>
      <c r="AG15" s="1917"/>
    </row>
    <row r="16" spans="1:33">
      <c r="B16" s="2610">
        <v>0.33</v>
      </c>
      <c r="C16" s="2197" t="s">
        <v>792</v>
      </c>
      <c r="D16" s="2201">
        <v>29908.890000000003</v>
      </c>
      <c r="E16" s="2200">
        <v>30656.670000000002</v>
      </c>
      <c r="F16" s="1879">
        <f>SUM(D16:E16)</f>
        <v>60565.560000000005</v>
      </c>
      <c r="H16" s="3236" t="s">
        <v>1458</v>
      </c>
      <c r="I16" s="3232">
        <v>630</v>
      </c>
      <c r="J16" s="1932" t="s">
        <v>81</v>
      </c>
      <c r="K16" s="1922" t="s">
        <v>909</v>
      </c>
      <c r="L16" s="1929">
        <v>1017</v>
      </c>
      <c r="M16" s="1929">
        <v>500</v>
      </c>
      <c r="N16" s="1923">
        <v>0.34977847363336556</v>
      </c>
      <c r="O16" s="1922">
        <v>8</v>
      </c>
      <c r="P16" s="1925" t="s">
        <v>1344</v>
      </c>
      <c r="Q16" s="1928">
        <v>100</v>
      </c>
      <c r="R16" s="1928">
        <v>110</v>
      </c>
      <c r="S16" s="1931">
        <f>SUM(Q16:R16)</f>
        <v>210</v>
      </c>
      <c r="T16" s="1931">
        <f>Q16*I16</f>
        <v>63000</v>
      </c>
      <c r="U16" s="1931">
        <f>R16*I16</f>
        <v>69300</v>
      </c>
      <c r="V16" s="1931">
        <f>SUM(T16:U16)</f>
        <v>132300</v>
      </c>
      <c r="W16" s="1921">
        <f>Q16*M16</f>
        <v>50000</v>
      </c>
      <c r="X16" s="1921">
        <f>R16*M16</f>
        <v>55000</v>
      </c>
      <c r="Y16" s="1921">
        <f>SUM(W16:X16)</f>
        <v>105000</v>
      </c>
      <c r="Z16" s="3092">
        <v>0</v>
      </c>
      <c r="AA16" s="1920" t="s">
        <v>241</v>
      </c>
      <c r="AB16" s="1920" t="s">
        <v>241</v>
      </c>
      <c r="AC16" s="1921" t="s">
        <v>241</v>
      </c>
      <c r="AD16" s="1921" t="s">
        <v>241</v>
      </c>
      <c r="AE16" s="1921" t="s">
        <v>241</v>
      </c>
      <c r="AF16" s="1921" t="s">
        <v>241</v>
      </c>
      <c r="AG16" s="1917"/>
    </row>
    <row r="17" spans="2:33">
      <c r="B17" s="2610"/>
      <c r="C17" s="2197"/>
      <c r="D17" s="2199"/>
      <c r="E17" s="2198"/>
      <c r="F17" s="2191">
        <f t="shared" ref="F17:F30" si="2">SUM(D17:E17)</f>
        <v>0</v>
      </c>
      <c r="H17" s="3236" t="s">
        <v>1459</v>
      </c>
      <c r="I17" s="3232">
        <v>1256</v>
      </c>
      <c r="J17" s="1932" t="s">
        <v>81</v>
      </c>
      <c r="K17" s="1922" t="s">
        <v>909</v>
      </c>
      <c r="L17" s="1929">
        <v>284</v>
      </c>
      <c r="M17" s="1929">
        <v>250</v>
      </c>
      <c r="N17" s="1923">
        <v>1.3946722631222449E-2</v>
      </c>
      <c r="O17" s="1922">
        <v>9</v>
      </c>
      <c r="P17" s="1925" t="s">
        <v>1344</v>
      </c>
      <c r="Q17" s="1928">
        <v>2</v>
      </c>
      <c r="R17" s="1928">
        <v>2.2000000000000002</v>
      </c>
      <c r="S17" s="1931">
        <f t="shared" ref="S17:S24" si="3">SUM(Q17:R17)</f>
        <v>4.2</v>
      </c>
      <c r="T17" s="1931">
        <f t="shared" ref="T17:T24" si="4">Q17*I17</f>
        <v>2512</v>
      </c>
      <c r="U17" s="1931">
        <f t="shared" ref="U17:U24" si="5">R17*I17</f>
        <v>2763.2000000000003</v>
      </c>
      <c r="V17" s="1931">
        <f t="shared" ref="V17:V24" si="6">SUM(T17:U17)</f>
        <v>5275.2000000000007</v>
      </c>
      <c r="W17" s="1921">
        <f t="shared" ref="W17:W24" si="7">Q17*M17</f>
        <v>500</v>
      </c>
      <c r="X17" s="1921">
        <f t="shared" ref="X17:X24" si="8">R17*M17</f>
        <v>550</v>
      </c>
      <c r="Y17" s="1921">
        <f t="shared" ref="Y17:Y24" si="9">SUM(W17:X17)</f>
        <v>1050</v>
      </c>
      <c r="Z17" s="3092">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3236" t="s">
        <v>1460</v>
      </c>
      <c r="I18" s="3232">
        <v>1675</v>
      </c>
      <c r="J18" s="1932" t="s">
        <v>81</v>
      </c>
      <c r="K18" s="1922" t="s">
        <v>909</v>
      </c>
      <c r="L18" s="1929">
        <v>378</v>
      </c>
      <c r="M18" s="1929">
        <v>250</v>
      </c>
      <c r="N18" s="1923">
        <v>9.2996657672363078E-3</v>
      </c>
      <c r="O18" s="1922">
        <v>9</v>
      </c>
      <c r="P18" s="1925" t="s">
        <v>1344</v>
      </c>
      <c r="Q18" s="1928">
        <v>1</v>
      </c>
      <c r="R18" s="1928">
        <v>1.1000000000000001</v>
      </c>
      <c r="S18" s="1931">
        <f t="shared" si="3"/>
        <v>2.1</v>
      </c>
      <c r="T18" s="1931">
        <f t="shared" si="4"/>
        <v>1675</v>
      </c>
      <c r="U18" s="1931">
        <f t="shared" si="5"/>
        <v>1842.5000000000002</v>
      </c>
      <c r="V18" s="1931">
        <f t="shared" si="6"/>
        <v>3517.5</v>
      </c>
      <c r="W18" s="1921">
        <f t="shared" si="7"/>
        <v>250</v>
      </c>
      <c r="X18" s="1921">
        <f t="shared" si="8"/>
        <v>275</v>
      </c>
      <c r="Y18" s="1921">
        <f t="shared" si="9"/>
        <v>525</v>
      </c>
      <c r="Z18" s="3092">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3236" t="s">
        <v>1461</v>
      </c>
      <c r="I19" s="3232">
        <v>2093</v>
      </c>
      <c r="J19" s="1932" t="s">
        <v>81</v>
      </c>
      <c r="K19" s="1922" t="s">
        <v>909</v>
      </c>
      <c r="L19" s="1929">
        <v>473</v>
      </c>
      <c r="M19" s="1929">
        <v>250</v>
      </c>
      <c r="N19" s="1923">
        <v>1.1620418179597367E-2</v>
      </c>
      <c r="O19" s="1922">
        <v>9</v>
      </c>
      <c r="P19" s="1925" t="s">
        <v>1344</v>
      </c>
      <c r="Q19" s="1928">
        <v>1</v>
      </c>
      <c r="R19" s="1928">
        <v>1.1000000000000001</v>
      </c>
      <c r="S19" s="1931">
        <f t="shared" si="3"/>
        <v>2.1</v>
      </c>
      <c r="T19" s="1931">
        <f t="shared" si="4"/>
        <v>2093</v>
      </c>
      <c r="U19" s="1931">
        <f t="shared" si="5"/>
        <v>2302.3000000000002</v>
      </c>
      <c r="V19" s="1931">
        <f t="shared" si="6"/>
        <v>4395.3</v>
      </c>
      <c r="W19" s="1921">
        <f t="shared" si="7"/>
        <v>250</v>
      </c>
      <c r="X19" s="1921">
        <f t="shared" si="8"/>
        <v>275</v>
      </c>
      <c r="Y19" s="1921">
        <f t="shared" si="9"/>
        <v>525</v>
      </c>
      <c r="Z19" s="3092">
        <v>0</v>
      </c>
      <c r="AA19" s="1920" t="s">
        <v>241</v>
      </c>
      <c r="AB19" s="1920" t="s">
        <v>241</v>
      </c>
      <c r="AC19" s="1921" t="s">
        <v>241</v>
      </c>
      <c r="AD19" s="1921" t="s">
        <v>241</v>
      </c>
      <c r="AE19" s="1921" t="s">
        <v>241</v>
      </c>
      <c r="AF19" s="1921" t="s">
        <v>241</v>
      </c>
      <c r="AG19" s="1917"/>
    </row>
    <row r="20" spans="2:33">
      <c r="B20" s="2926">
        <f>SUM(B16:B19)</f>
        <v>0.33</v>
      </c>
      <c r="C20" s="1952"/>
      <c r="D20" s="1954"/>
      <c r="E20" s="1955"/>
      <c r="F20" s="1957"/>
      <c r="H20" s="3236" t="s">
        <v>1462</v>
      </c>
      <c r="I20" s="3232">
        <v>2512</v>
      </c>
      <c r="J20" s="1932" t="s">
        <v>81</v>
      </c>
      <c r="K20" s="1922" t="s">
        <v>909</v>
      </c>
      <c r="L20" s="1929">
        <v>567</v>
      </c>
      <c r="M20" s="1929">
        <v>500</v>
      </c>
      <c r="N20" s="1923">
        <v>6.9733613156112248E-2</v>
      </c>
      <c r="O20" s="1922">
        <v>9</v>
      </c>
      <c r="P20" s="1925" t="s">
        <v>1344</v>
      </c>
      <c r="Q20" s="1928">
        <v>5</v>
      </c>
      <c r="R20" s="1928">
        <v>5.5</v>
      </c>
      <c r="S20" s="1931">
        <f t="shared" si="3"/>
        <v>10.5</v>
      </c>
      <c r="T20" s="1931">
        <f t="shared" si="4"/>
        <v>12560</v>
      </c>
      <c r="U20" s="1931">
        <f t="shared" si="5"/>
        <v>13816</v>
      </c>
      <c r="V20" s="1931">
        <f t="shared" si="6"/>
        <v>26376</v>
      </c>
      <c r="W20" s="1921">
        <f t="shared" si="7"/>
        <v>2500</v>
      </c>
      <c r="X20" s="1921">
        <f t="shared" si="8"/>
        <v>2750</v>
      </c>
      <c r="Y20" s="1921">
        <f t="shared" si="9"/>
        <v>5250</v>
      </c>
      <c r="Z20" s="3092">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3236" t="s">
        <v>1463</v>
      </c>
      <c r="I21" s="3232">
        <v>4187</v>
      </c>
      <c r="J21" s="1932" t="s">
        <v>81</v>
      </c>
      <c r="K21" s="1922" t="s">
        <v>909</v>
      </c>
      <c r="L21" s="1929">
        <v>946</v>
      </c>
      <c r="M21" s="1929">
        <v>500</v>
      </c>
      <c r="N21" s="1923">
        <v>4.6492776796917518E-2</v>
      </c>
      <c r="O21" s="1922">
        <v>9</v>
      </c>
      <c r="P21" s="1925" t="s">
        <v>1344</v>
      </c>
      <c r="Q21" s="1928">
        <v>2</v>
      </c>
      <c r="R21" s="1928">
        <v>2.2000000000000002</v>
      </c>
      <c r="S21" s="1931">
        <f t="shared" si="3"/>
        <v>4.2</v>
      </c>
      <c r="T21" s="1931">
        <f t="shared" si="4"/>
        <v>8374</v>
      </c>
      <c r="U21" s="1931">
        <f t="shared" si="5"/>
        <v>9211.4000000000015</v>
      </c>
      <c r="V21" s="1931">
        <f t="shared" si="6"/>
        <v>17585.400000000001</v>
      </c>
      <c r="W21" s="1921">
        <f t="shared" si="7"/>
        <v>1000</v>
      </c>
      <c r="X21" s="1921">
        <f t="shared" si="8"/>
        <v>1100</v>
      </c>
      <c r="Y21" s="1921">
        <f t="shared" si="9"/>
        <v>2100</v>
      </c>
      <c r="Z21" s="3092">
        <v>0</v>
      </c>
      <c r="AA21" s="1920" t="s">
        <v>241</v>
      </c>
      <c r="AB21" s="1920" t="s">
        <v>241</v>
      </c>
      <c r="AC21" s="1921" t="s">
        <v>241</v>
      </c>
      <c r="AD21" s="1921" t="s">
        <v>241</v>
      </c>
      <c r="AE21" s="1921" t="s">
        <v>241</v>
      </c>
      <c r="AF21" s="1921" t="s">
        <v>241</v>
      </c>
      <c r="AG21" s="1917"/>
    </row>
    <row r="22" spans="2:33">
      <c r="C22" s="2197"/>
      <c r="D22" s="2201"/>
      <c r="E22" s="2200"/>
      <c r="F22" s="1879">
        <f t="shared" si="2"/>
        <v>0</v>
      </c>
      <c r="H22" s="3236" t="s">
        <v>1464</v>
      </c>
      <c r="I22" s="3232">
        <v>357</v>
      </c>
      <c r="J22" s="1932" t="s">
        <v>81</v>
      </c>
      <c r="K22" s="1922" t="s">
        <v>909</v>
      </c>
      <c r="L22" s="1929">
        <v>1177</v>
      </c>
      <c r="M22" s="1929">
        <v>1000</v>
      </c>
      <c r="N22" s="1923">
        <v>4.9551950431393453E-2</v>
      </c>
      <c r="O22" s="1922">
        <v>12</v>
      </c>
      <c r="P22" s="1925" t="s">
        <v>1344</v>
      </c>
      <c r="Q22" s="1928">
        <v>25</v>
      </c>
      <c r="R22" s="1928">
        <v>27.5</v>
      </c>
      <c r="S22" s="1931">
        <f t="shared" si="3"/>
        <v>52.5</v>
      </c>
      <c r="T22" s="1931">
        <f t="shared" si="4"/>
        <v>8925</v>
      </c>
      <c r="U22" s="1931">
        <f t="shared" si="5"/>
        <v>9817.5</v>
      </c>
      <c r="V22" s="1931">
        <f t="shared" si="6"/>
        <v>18742.5</v>
      </c>
      <c r="W22" s="1921">
        <f t="shared" si="7"/>
        <v>25000</v>
      </c>
      <c r="X22" s="1921">
        <f t="shared" si="8"/>
        <v>27500</v>
      </c>
      <c r="Y22" s="1921">
        <f t="shared" si="9"/>
        <v>52500</v>
      </c>
      <c r="Z22" s="3092">
        <v>0</v>
      </c>
      <c r="AA22" s="1920" t="s">
        <v>241</v>
      </c>
      <c r="AB22" s="1920" t="s">
        <v>241</v>
      </c>
      <c r="AC22" s="1921" t="s">
        <v>241</v>
      </c>
      <c r="AD22" s="1921" t="s">
        <v>241</v>
      </c>
      <c r="AE22" s="1921" t="s">
        <v>241</v>
      </c>
      <c r="AF22" s="1921" t="s">
        <v>241</v>
      </c>
      <c r="AG22" s="1917"/>
    </row>
    <row r="23" spans="2:33">
      <c r="C23" s="2197"/>
      <c r="D23" s="1900"/>
      <c r="E23" s="1899"/>
      <c r="F23" s="2191">
        <f t="shared" si="2"/>
        <v>0</v>
      </c>
      <c r="H23" s="3236" t="s">
        <v>1465</v>
      </c>
      <c r="I23" s="3232">
        <v>714</v>
      </c>
      <c r="J23" s="1932" t="s">
        <v>81</v>
      </c>
      <c r="K23" s="1922" t="s">
        <v>909</v>
      </c>
      <c r="L23" s="1929">
        <v>2354</v>
      </c>
      <c r="M23" s="1929">
        <v>2000</v>
      </c>
      <c r="N23" s="1923">
        <v>9.9103900862786906E-2</v>
      </c>
      <c r="O23" s="1922">
        <v>12</v>
      </c>
      <c r="P23" s="1925" t="s">
        <v>1344</v>
      </c>
      <c r="Q23" s="1928">
        <v>25</v>
      </c>
      <c r="R23" s="1928">
        <v>27.5</v>
      </c>
      <c r="S23" s="1931">
        <f t="shared" si="3"/>
        <v>52.5</v>
      </c>
      <c r="T23" s="1931">
        <f t="shared" si="4"/>
        <v>17850</v>
      </c>
      <c r="U23" s="1931">
        <f t="shared" si="5"/>
        <v>19635</v>
      </c>
      <c r="V23" s="1931">
        <f t="shared" si="6"/>
        <v>37485</v>
      </c>
      <c r="W23" s="1921">
        <f t="shared" si="7"/>
        <v>50000</v>
      </c>
      <c r="X23" s="1921">
        <f t="shared" si="8"/>
        <v>55000</v>
      </c>
      <c r="Y23" s="1921">
        <f t="shared" si="9"/>
        <v>105000</v>
      </c>
      <c r="Z23" s="3092">
        <v>0</v>
      </c>
      <c r="AA23" s="1920" t="s">
        <v>241</v>
      </c>
      <c r="AB23" s="1920" t="s">
        <v>241</v>
      </c>
      <c r="AC23" s="1921" t="s">
        <v>241</v>
      </c>
      <c r="AD23" s="1921" t="s">
        <v>241</v>
      </c>
      <c r="AE23" s="1921" t="s">
        <v>241</v>
      </c>
      <c r="AF23" s="1921" t="s">
        <v>241</v>
      </c>
      <c r="AG23" s="1917"/>
    </row>
    <row r="24" spans="2:33">
      <c r="C24" s="2197"/>
      <c r="D24" s="1898"/>
      <c r="E24" s="1897"/>
      <c r="F24" s="2191">
        <f t="shared" si="2"/>
        <v>0</v>
      </c>
      <c r="H24" s="3236" t="s">
        <v>1466</v>
      </c>
      <c r="I24" s="3232">
        <v>798</v>
      </c>
      <c r="J24" s="1932" t="s">
        <v>81</v>
      </c>
      <c r="K24" s="1922" t="s">
        <v>909</v>
      </c>
      <c r="L24" s="1929">
        <v>3588</v>
      </c>
      <c r="M24" s="1929">
        <v>2000</v>
      </c>
      <c r="N24" s="1923">
        <v>4.430527332689297E-2</v>
      </c>
      <c r="O24" s="1922">
        <v>12</v>
      </c>
      <c r="P24" s="1925" t="s">
        <v>1344</v>
      </c>
      <c r="Q24" s="1928">
        <v>10</v>
      </c>
      <c r="R24" s="1928">
        <v>11</v>
      </c>
      <c r="S24" s="1931">
        <f t="shared" si="3"/>
        <v>21</v>
      </c>
      <c r="T24" s="1931">
        <f t="shared" si="4"/>
        <v>7980</v>
      </c>
      <c r="U24" s="1931">
        <f t="shared" si="5"/>
        <v>8778</v>
      </c>
      <c r="V24" s="1931">
        <f t="shared" si="6"/>
        <v>16758</v>
      </c>
      <c r="W24" s="1921">
        <f t="shared" si="7"/>
        <v>20000</v>
      </c>
      <c r="X24" s="1921">
        <f t="shared" si="8"/>
        <v>22000</v>
      </c>
      <c r="Y24" s="1921">
        <f t="shared" si="9"/>
        <v>42000</v>
      </c>
      <c r="Z24" s="3092">
        <v>0</v>
      </c>
      <c r="AA24" s="1920" t="s">
        <v>241</v>
      </c>
      <c r="AB24" s="1920" t="s">
        <v>241</v>
      </c>
      <c r="AC24" s="1921" t="s">
        <v>241</v>
      </c>
      <c r="AD24" s="1921" t="s">
        <v>241</v>
      </c>
      <c r="AE24" s="1921" t="s">
        <v>241</v>
      </c>
      <c r="AF24" s="1921" t="s">
        <v>241</v>
      </c>
      <c r="AG24" s="1917"/>
    </row>
    <row r="25" spans="2:33">
      <c r="C25" s="2197"/>
      <c r="D25" s="1896"/>
      <c r="E25" s="1899"/>
      <c r="F25" s="2191">
        <f t="shared" si="2"/>
        <v>0</v>
      </c>
      <c r="H25" s="3236" t="s">
        <v>1467</v>
      </c>
      <c r="I25" s="3232">
        <v>2100</v>
      </c>
      <c r="J25" s="1932" t="s">
        <v>81</v>
      </c>
      <c r="K25" s="1922" t="s">
        <v>909</v>
      </c>
      <c r="L25" s="1929">
        <v>4128</v>
      </c>
      <c r="M25" s="1929">
        <v>2000</v>
      </c>
      <c r="N25" s="1923">
        <v>5.8296412272227593E-2</v>
      </c>
      <c r="O25" s="1922">
        <v>12</v>
      </c>
      <c r="P25" s="1925" t="s">
        <v>1344</v>
      </c>
      <c r="Q25" s="1928">
        <v>5</v>
      </c>
      <c r="R25" s="1928">
        <v>5.5</v>
      </c>
      <c r="S25" s="1931">
        <f t="shared" ref="S25:S48" si="10">SUM(Q25:R25)</f>
        <v>10.5</v>
      </c>
      <c r="T25" s="1931">
        <f t="shared" ref="T25:T47" si="11">Q25*I25</f>
        <v>10500</v>
      </c>
      <c r="U25" s="1931">
        <f t="shared" ref="U25:U47" si="12">R25*I25</f>
        <v>11550</v>
      </c>
      <c r="V25" s="1931">
        <f t="shared" ref="V25:V47" si="13">SUM(T25:U25)</f>
        <v>22050</v>
      </c>
      <c r="W25" s="1921">
        <f t="shared" ref="W25:W47" si="14">Q25*M25</f>
        <v>10000</v>
      </c>
      <c r="X25" s="1921">
        <f t="shared" ref="X25:X47" si="15">R25*M25</f>
        <v>11000</v>
      </c>
      <c r="Y25" s="1921">
        <f t="shared" ref="Y25:Y47" si="16">SUM(W25:X25)</f>
        <v>21000</v>
      </c>
      <c r="Z25" s="3092">
        <v>0</v>
      </c>
      <c r="AA25" s="1920" t="s">
        <v>241</v>
      </c>
      <c r="AB25" s="1920" t="s">
        <v>241</v>
      </c>
      <c r="AC25" s="1921" t="s">
        <v>241</v>
      </c>
      <c r="AD25" s="1921" t="s">
        <v>241</v>
      </c>
      <c r="AE25" s="1921" t="s">
        <v>241</v>
      </c>
      <c r="AF25" s="1921" t="s">
        <v>241</v>
      </c>
      <c r="AG25" s="1917"/>
    </row>
    <row r="26" spans="2:33">
      <c r="C26" s="1877"/>
      <c r="D26" s="1892"/>
      <c r="E26" s="1884"/>
      <c r="F26" s="1892"/>
      <c r="H26" s="3236" t="s">
        <v>1468</v>
      </c>
      <c r="I26" s="3232">
        <v>884</v>
      </c>
      <c r="J26" s="1932" t="s">
        <v>81</v>
      </c>
      <c r="K26" s="1922" t="s">
        <v>909</v>
      </c>
      <c r="L26" s="1929">
        <v>4731</v>
      </c>
      <c r="M26" s="1929">
        <v>2000</v>
      </c>
      <c r="N26" s="1923">
        <v>9.8160054187903228E-3</v>
      </c>
      <c r="O26" s="1922">
        <v>12</v>
      </c>
      <c r="P26" s="1925" t="s">
        <v>1344</v>
      </c>
      <c r="Q26" s="1928">
        <v>2</v>
      </c>
      <c r="R26" s="1928">
        <v>2.2000000000000002</v>
      </c>
      <c r="S26" s="1931">
        <f t="shared" si="10"/>
        <v>4.2</v>
      </c>
      <c r="T26" s="1931">
        <f t="shared" si="11"/>
        <v>1768</v>
      </c>
      <c r="U26" s="1931">
        <f t="shared" si="12"/>
        <v>1944.8000000000002</v>
      </c>
      <c r="V26" s="1931">
        <f t="shared" si="13"/>
        <v>3712.8</v>
      </c>
      <c r="W26" s="1921">
        <f t="shared" si="14"/>
        <v>4000</v>
      </c>
      <c r="X26" s="1921">
        <f t="shared" si="15"/>
        <v>4400</v>
      </c>
      <c r="Y26" s="1921">
        <f t="shared" si="16"/>
        <v>8400</v>
      </c>
      <c r="Z26" s="3092">
        <v>0</v>
      </c>
      <c r="AA26" s="1920" t="s">
        <v>241</v>
      </c>
      <c r="AB26" s="1920" t="s">
        <v>241</v>
      </c>
      <c r="AC26" s="1921" t="s">
        <v>241</v>
      </c>
      <c r="AD26" s="1921" t="s">
        <v>241</v>
      </c>
      <c r="AE26" s="1921" t="s">
        <v>241</v>
      </c>
      <c r="AF26" s="1921" t="s">
        <v>241</v>
      </c>
      <c r="AG26" s="1917"/>
    </row>
    <row r="27" spans="2:33">
      <c r="C27" s="2106" t="s">
        <v>48</v>
      </c>
      <c r="D27" s="2158">
        <f>SUM(D29:D32)</f>
        <v>19949.229630000002</v>
      </c>
      <c r="E27" s="1926">
        <f>SUM(E29:E32)</f>
        <v>20846.535600000003</v>
      </c>
      <c r="F27" s="2157">
        <f>D27+E27</f>
        <v>40795.765230000005</v>
      </c>
      <c r="H27" s="3236" t="s">
        <v>1469</v>
      </c>
      <c r="I27" s="3232">
        <v>1768</v>
      </c>
      <c r="J27" s="1932" t="s">
        <v>81</v>
      </c>
      <c r="K27" s="1922" t="s">
        <v>909</v>
      </c>
      <c r="L27" s="1929">
        <v>9462</v>
      </c>
      <c r="M27" s="1929">
        <v>4000</v>
      </c>
      <c r="N27" s="1923">
        <v>9.8160054187903217E-2</v>
      </c>
      <c r="O27" s="1922">
        <v>12</v>
      </c>
      <c r="P27" s="1925" t="s">
        <v>1344</v>
      </c>
      <c r="Q27" s="1928">
        <v>10</v>
      </c>
      <c r="R27" s="1928">
        <v>11</v>
      </c>
      <c r="S27" s="1931">
        <f t="shared" si="10"/>
        <v>21</v>
      </c>
      <c r="T27" s="1931">
        <f t="shared" si="11"/>
        <v>17680</v>
      </c>
      <c r="U27" s="1931">
        <f t="shared" si="12"/>
        <v>19448</v>
      </c>
      <c r="V27" s="1931">
        <f t="shared" si="13"/>
        <v>37128</v>
      </c>
      <c r="W27" s="1921">
        <f t="shared" si="14"/>
        <v>40000</v>
      </c>
      <c r="X27" s="1921">
        <f t="shared" si="15"/>
        <v>44000</v>
      </c>
      <c r="Y27" s="1921">
        <f t="shared" si="16"/>
        <v>84000</v>
      </c>
      <c r="Z27" s="3092">
        <v>0</v>
      </c>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3236" t="s">
        <v>1470</v>
      </c>
      <c r="I28" s="3232">
        <v>105</v>
      </c>
      <c r="J28" s="1932" t="s">
        <v>81</v>
      </c>
      <c r="K28" s="1922" t="s">
        <v>909</v>
      </c>
      <c r="L28" s="1929">
        <v>232</v>
      </c>
      <c r="M28" s="1929">
        <v>150</v>
      </c>
      <c r="N28" s="1923">
        <v>2.3318564908891039E-3</v>
      </c>
      <c r="O28" s="1922">
        <v>10</v>
      </c>
      <c r="P28" s="1925" t="s">
        <v>1072</v>
      </c>
      <c r="Q28" s="1928">
        <v>4</v>
      </c>
      <c r="R28" s="1928">
        <v>4.4000000000000004</v>
      </c>
      <c r="S28" s="1931">
        <f t="shared" si="10"/>
        <v>8.4</v>
      </c>
      <c r="T28" s="1931">
        <f t="shared" si="11"/>
        <v>420</v>
      </c>
      <c r="U28" s="1931">
        <f t="shared" si="12"/>
        <v>462.00000000000006</v>
      </c>
      <c r="V28" s="1931">
        <f t="shared" si="13"/>
        <v>882</v>
      </c>
      <c r="W28" s="1921">
        <f t="shared" si="14"/>
        <v>600</v>
      </c>
      <c r="X28" s="1921">
        <f t="shared" si="15"/>
        <v>660</v>
      </c>
      <c r="Y28" s="1921">
        <f t="shared" si="16"/>
        <v>1260</v>
      </c>
      <c r="Z28" s="3092">
        <v>0</v>
      </c>
      <c r="AA28" s="1920" t="s">
        <v>241</v>
      </c>
      <c r="AB28" s="1920" t="s">
        <v>241</v>
      </c>
      <c r="AC28" s="1921" t="s">
        <v>241</v>
      </c>
      <c r="AD28" s="1921" t="s">
        <v>241</v>
      </c>
      <c r="AE28" s="1921" t="s">
        <v>241</v>
      </c>
      <c r="AF28" s="1921" t="s">
        <v>241</v>
      </c>
      <c r="AG28" s="1917"/>
    </row>
    <row r="29" spans="2:33">
      <c r="C29" s="2197" t="s">
        <v>778</v>
      </c>
      <c r="D29" s="2202">
        <f>D15*D28</f>
        <v>19949.229630000002</v>
      </c>
      <c r="E29" s="2163">
        <f>E15*E28</f>
        <v>20846.535600000003</v>
      </c>
      <c r="F29" s="2191">
        <f t="shared" si="2"/>
        <v>40795.765230000005</v>
      </c>
      <c r="H29" s="3236" t="s">
        <v>1471</v>
      </c>
      <c r="I29" s="3232">
        <v>45</v>
      </c>
      <c r="J29" s="1932" t="s">
        <v>81</v>
      </c>
      <c r="K29" s="1922" t="s">
        <v>909</v>
      </c>
      <c r="L29" s="1929">
        <v>40</v>
      </c>
      <c r="M29" s="1929">
        <v>0</v>
      </c>
      <c r="N29" s="1923">
        <v>9.9936706752390175E-4</v>
      </c>
      <c r="O29" s="1922">
        <v>10</v>
      </c>
      <c r="P29" s="1925" t="s">
        <v>1072</v>
      </c>
      <c r="Q29" s="1928">
        <v>4</v>
      </c>
      <c r="R29" s="1928">
        <v>4.4000000000000004</v>
      </c>
      <c r="S29" s="1931">
        <f t="shared" si="10"/>
        <v>8.4</v>
      </c>
      <c r="T29" s="1931">
        <f t="shared" si="11"/>
        <v>180</v>
      </c>
      <c r="U29" s="1931">
        <f t="shared" si="12"/>
        <v>198.00000000000003</v>
      </c>
      <c r="V29" s="1931">
        <f t="shared" si="13"/>
        <v>378</v>
      </c>
      <c r="W29" s="1921">
        <f t="shared" si="14"/>
        <v>0</v>
      </c>
      <c r="X29" s="1921">
        <f t="shared" si="15"/>
        <v>0</v>
      </c>
      <c r="Y29" s="1921">
        <f t="shared" si="16"/>
        <v>0</v>
      </c>
      <c r="Z29" s="3092">
        <v>0</v>
      </c>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3236" t="s">
        <v>1472</v>
      </c>
      <c r="I30" s="3232">
        <v>666</v>
      </c>
      <c r="J30" s="1932" t="s">
        <v>81</v>
      </c>
      <c r="K30" s="1922" t="s">
        <v>909</v>
      </c>
      <c r="L30" s="1929">
        <v>2659</v>
      </c>
      <c r="M30" s="1929">
        <v>750</v>
      </c>
      <c r="N30" s="1923">
        <v>3.6976581498384359E-3</v>
      </c>
      <c r="O30" s="1922">
        <v>15</v>
      </c>
      <c r="P30" s="1925" t="s">
        <v>1072</v>
      </c>
      <c r="Q30" s="1928">
        <v>1</v>
      </c>
      <c r="R30" s="1928">
        <v>1.1000000000000001</v>
      </c>
      <c r="S30" s="1931">
        <f t="shared" si="10"/>
        <v>2.1</v>
      </c>
      <c r="T30" s="1931">
        <f t="shared" si="11"/>
        <v>666</v>
      </c>
      <c r="U30" s="1931">
        <f t="shared" si="12"/>
        <v>732.6</v>
      </c>
      <c r="V30" s="1931">
        <f t="shared" si="13"/>
        <v>1398.6</v>
      </c>
      <c r="W30" s="1921">
        <f t="shared" si="14"/>
        <v>750</v>
      </c>
      <c r="X30" s="1921">
        <f t="shared" si="15"/>
        <v>825.00000000000011</v>
      </c>
      <c r="Y30" s="1921">
        <f t="shared" si="16"/>
        <v>1575</v>
      </c>
      <c r="Z30" s="3092">
        <v>0</v>
      </c>
      <c r="AA30" s="1920" t="s">
        <v>241</v>
      </c>
      <c r="AB30" s="1920" t="s">
        <v>241</v>
      </c>
      <c r="AC30" s="1921" t="s">
        <v>241</v>
      </c>
      <c r="AD30" s="1921" t="s">
        <v>241</v>
      </c>
      <c r="AE30" s="1921" t="s">
        <v>241</v>
      </c>
      <c r="AF30" s="1921" t="s">
        <v>241</v>
      </c>
      <c r="AG30" s="1917"/>
    </row>
    <row r="31" spans="2:33">
      <c r="C31" s="1901"/>
      <c r="D31" s="1898"/>
      <c r="E31" s="1897"/>
      <c r="F31" s="1889"/>
      <c r="H31" s="3236" t="s">
        <v>1473</v>
      </c>
      <c r="I31" s="3232">
        <v>290</v>
      </c>
      <c r="J31" s="1932" t="s">
        <v>81</v>
      </c>
      <c r="K31" s="1922" t="s">
        <v>909</v>
      </c>
      <c r="L31" s="1929">
        <v>846</v>
      </c>
      <c r="M31" s="1929">
        <v>250</v>
      </c>
      <c r="N31" s="1923">
        <v>1.6100913865662858E-3</v>
      </c>
      <c r="O31" s="1922">
        <v>15</v>
      </c>
      <c r="P31" s="1925" t="s">
        <v>1072</v>
      </c>
      <c r="Q31" s="1928">
        <v>1</v>
      </c>
      <c r="R31" s="1928">
        <v>1.1000000000000001</v>
      </c>
      <c r="S31" s="1931">
        <f t="shared" si="10"/>
        <v>2.1</v>
      </c>
      <c r="T31" s="1931">
        <f t="shared" si="11"/>
        <v>290</v>
      </c>
      <c r="U31" s="1931">
        <f t="shared" si="12"/>
        <v>319</v>
      </c>
      <c r="V31" s="1931">
        <f t="shared" si="13"/>
        <v>609</v>
      </c>
      <c r="W31" s="1921">
        <f t="shared" si="14"/>
        <v>250</v>
      </c>
      <c r="X31" s="1921">
        <f t="shared" si="15"/>
        <v>275</v>
      </c>
      <c r="Y31" s="1921">
        <f t="shared" si="16"/>
        <v>525</v>
      </c>
      <c r="Z31" s="3092">
        <v>0</v>
      </c>
      <c r="AA31" s="1920" t="s">
        <v>241</v>
      </c>
      <c r="AB31" s="1920" t="s">
        <v>241</v>
      </c>
      <c r="AC31" s="1921" t="s">
        <v>241</v>
      </c>
      <c r="AD31" s="1921" t="s">
        <v>241</v>
      </c>
      <c r="AE31" s="1921" t="s">
        <v>241</v>
      </c>
      <c r="AF31" s="1921" t="s">
        <v>241</v>
      </c>
      <c r="AG31" s="1917"/>
    </row>
    <row r="32" spans="2:33">
      <c r="C32" s="1901"/>
      <c r="D32" s="1896"/>
      <c r="E32" s="1899"/>
      <c r="F32" s="1890"/>
      <c r="H32" s="3236" t="s">
        <v>1474</v>
      </c>
      <c r="I32" s="3232">
        <v>538</v>
      </c>
      <c r="J32" s="1932" t="s">
        <v>81</v>
      </c>
      <c r="K32" s="1922" t="s">
        <v>909</v>
      </c>
      <c r="L32" s="1929">
        <v>5385</v>
      </c>
      <c r="M32" s="1929">
        <v>1000</v>
      </c>
      <c r="N32" s="1923">
        <v>5.9739942480873231E-3</v>
      </c>
      <c r="O32" s="1922">
        <v>20</v>
      </c>
      <c r="P32" s="1925" t="s">
        <v>1072</v>
      </c>
      <c r="Q32" s="1928">
        <v>2</v>
      </c>
      <c r="R32" s="1928">
        <v>2.2000000000000002</v>
      </c>
      <c r="S32" s="1931">
        <f t="shared" si="10"/>
        <v>4.2</v>
      </c>
      <c r="T32" s="1931">
        <f t="shared" si="11"/>
        <v>1076</v>
      </c>
      <c r="U32" s="1931">
        <f t="shared" si="12"/>
        <v>1183.6000000000001</v>
      </c>
      <c r="V32" s="1931">
        <f t="shared" si="13"/>
        <v>2259.6000000000004</v>
      </c>
      <c r="W32" s="1921">
        <f t="shared" si="14"/>
        <v>2000</v>
      </c>
      <c r="X32" s="1921">
        <f t="shared" si="15"/>
        <v>2200</v>
      </c>
      <c r="Y32" s="1921">
        <f t="shared" si="16"/>
        <v>4200</v>
      </c>
      <c r="Z32" s="3092">
        <v>9438</v>
      </c>
      <c r="AA32" s="1920" t="s">
        <v>241</v>
      </c>
      <c r="AB32" s="1920" t="s">
        <v>241</v>
      </c>
      <c r="AC32" s="1921" t="s">
        <v>241</v>
      </c>
      <c r="AD32" s="1921" t="s">
        <v>241</v>
      </c>
      <c r="AE32" s="1921" t="s">
        <v>241</v>
      </c>
      <c r="AF32" s="1921" t="s">
        <v>241</v>
      </c>
      <c r="AG32" s="1917"/>
    </row>
    <row r="33" spans="1:33">
      <c r="C33" s="1952"/>
      <c r="D33" s="1958"/>
      <c r="E33" s="1955"/>
      <c r="F33" s="1958"/>
      <c r="H33" s="3236" t="s">
        <v>1475</v>
      </c>
      <c r="I33" s="3232">
        <v>176</v>
      </c>
      <c r="J33" s="1932" t="s">
        <v>81</v>
      </c>
      <c r="K33" s="1922" t="s">
        <v>909</v>
      </c>
      <c r="L33" s="1929">
        <v>1436</v>
      </c>
      <c r="M33" s="1929">
        <v>250</v>
      </c>
      <c r="N33" s="1923">
        <v>2.9314767314034445E-3</v>
      </c>
      <c r="O33" s="1922">
        <v>20</v>
      </c>
      <c r="P33" s="1925" t="s">
        <v>1072</v>
      </c>
      <c r="Q33" s="1928">
        <v>3</v>
      </c>
      <c r="R33" s="1928">
        <v>3.3</v>
      </c>
      <c r="S33" s="1931">
        <f t="shared" si="10"/>
        <v>6.3</v>
      </c>
      <c r="T33" s="1931">
        <f t="shared" si="11"/>
        <v>528</v>
      </c>
      <c r="U33" s="1931">
        <f t="shared" si="12"/>
        <v>580.79999999999995</v>
      </c>
      <c r="V33" s="1931">
        <f t="shared" si="13"/>
        <v>1108.8</v>
      </c>
      <c r="W33" s="1921">
        <f t="shared" si="14"/>
        <v>750</v>
      </c>
      <c r="X33" s="1921">
        <f t="shared" si="15"/>
        <v>825</v>
      </c>
      <c r="Y33" s="1921">
        <f t="shared" si="16"/>
        <v>1575</v>
      </c>
      <c r="Z33" s="3092">
        <v>823</v>
      </c>
      <c r="AA33" s="1920" t="s">
        <v>241</v>
      </c>
      <c r="AB33" s="1920" t="s">
        <v>241</v>
      </c>
      <c r="AC33" s="1921" t="s">
        <v>241</v>
      </c>
      <c r="AD33" s="1921" t="s">
        <v>241</v>
      </c>
      <c r="AE33" s="1921" t="s">
        <v>241</v>
      </c>
      <c r="AF33" s="1921" t="s">
        <v>241</v>
      </c>
      <c r="AG33" s="1917"/>
    </row>
    <row r="34" spans="1:33" ht="25.5">
      <c r="A34" s="2802" t="s">
        <v>708</v>
      </c>
      <c r="C34" s="2106" t="s">
        <v>49</v>
      </c>
      <c r="D34" s="2158">
        <f>SUM(D35:D38)</f>
        <v>15000</v>
      </c>
      <c r="E34" s="1926">
        <f>SUM(E35:E38)</f>
        <v>15000</v>
      </c>
      <c r="F34" s="2157">
        <f>D34+E34</f>
        <v>30000</v>
      </c>
      <c r="H34" s="3281" t="s">
        <v>1476</v>
      </c>
      <c r="I34" s="3232">
        <v>776</v>
      </c>
      <c r="J34" s="1932" t="s">
        <v>81</v>
      </c>
      <c r="K34" s="1922" t="s">
        <v>909</v>
      </c>
      <c r="L34" s="1929">
        <v>3394</v>
      </c>
      <c r="M34" s="1929">
        <v>1500</v>
      </c>
      <c r="N34" s="1923">
        <v>4.3083824688808199E-3</v>
      </c>
      <c r="O34" s="1922">
        <v>20</v>
      </c>
      <c r="P34" s="1925" t="s">
        <v>1072</v>
      </c>
      <c r="Q34" s="1928">
        <v>1</v>
      </c>
      <c r="R34" s="1928">
        <v>1.1000000000000001</v>
      </c>
      <c r="S34" s="1931">
        <f t="shared" si="10"/>
        <v>2.1</v>
      </c>
      <c r="T34" s="1931">
        <f t="shared" si="11"/>
        <v>776</v>
      </c>
      <c r="U34" s="1931">
        <f t="shared" si="12"/>
        <v>853.6</v>
      </c>
      <c r="V34" s="1931">
        <f t="shared" si="13"/>
        <v>1629.6</v>
      </c>
      <c r="W34" s="1921">
        <f t="shared" si="14"/>
        <v>1500</v>
      </c>
      <c r="X34" s="1921">
        <f t="shared" si="15"/>
        <v>1650.0000000000002</v>
      </c>
      <c r="Y34" s="1921">
        <f t="shared" si="16"/>
        <v>3150</v>
      </c>
      <c r="Z34" s="3092">
        <v>0</v>
      </c>
      <c r="AA34" s="1920" t="s">
        <v>241</v>
      </c>
      <c r="AB34" s="1920" t="s">
        <v>241</v>
      </c>
      <c r="AC34" s="1921" t="s">
        <v>241</v>
      </c>
      <c r="AD34" s="1921" t="s">
        <v>241</v>
      </c>
      <c r="AE34" s="1921" t="s">
        <v>241</v>
      </c>
      <c r="AF34" s="1921" t="s">
        <v>241</v>
      </c>
      <c r="AG34" s="1917"/>
    </row>
    <row r="35" spans="1:33">
      <c r="A35" s="2802" t="s">
        <v>709</v>
      </c>
      <c r="C35" s="2197"/>
      <c r="D35" s="2202">
        <v>15000</v>
      </c>
      <c r="E35" s="2203">
        <v>15000</v>
      </c>
      <c r="F35" s="2191">
        <f t="shared" ref="F35:F44" si="17">SUM(D35:E35)</f>
        <v>30000</v>
      </c>
      <c r="H35" s="3236" t="s">
        <v>1477</v>
      </c>
      <c r="I35" s="3232">
        <v>667</v>
      </c>
      <c r="J35" s="1932" t="s">
        <v>81</v>
      </c>
      <c r="K35" s="1922" t="s">
        <v>909</v>
      </c>
      <c r="L35" s="1929">
        <v>1082</v>
      </c>
      <c r="M35" s="1929">
        <v>500</v>
      </c>
      <c r="N35" s="1923">
        <v>1.1109630567307372E-2</v>
      </c>
      <c r="O35" s="1922">
        <v>20</v>
      </c>
      <c r="P35" s="1925" t="s">
        <v>1072</v>
      </c>
      <c r="Q35" s="1928">
        <v>3</v>
      </c>
      <c r="R35" s="1928">
        <v>3.3</v>
      </c>
      <c r="S35" s="1931">
        <f t="shared" si="10"/>
        <v>6.3</v>
      </c>
      <c r="T35" s="1931">
        <f t="shared" si="11"/>
        <v>2001</v>
      </c>
      <c r="U35" s="1931">
        <f t="shared" si="12"/>
        <v>2201.1</v>
      </c>
      <c r="V35" s="1931">
        <f t="shared" si="13"/>
        <v>4202.1000000000004</v>
      </c>
      <c r="W35" s="1921">
        <f t="shared" si="14"/>
        <v>1500</v>
      </c>
      <c r="X35" s="1921">
        <f t="shared" si="15"/>
        <v>1650</v>
      </c>
      <c r="Y35" s="1921">
        <f t="shared" si="16"/>
        <v>3150</v>
      </c>
      <c r="Z35" s="3092">
        <v>0</v>
      </c>
      <c r="AA35" s="1920" t="s">
        <v>241</v>
      </c>
      <c r="AB35" s="1920" t="s">
        <v>241</v>
      </c>
      <c r="AC35" s="1921" t="s">
        <v>241</v>
      </c>
      <c r="AD35" s="1921" t="s">
        <v>241</v>
      </c>
      <c r="AE35" s="1921" t="s">
        <v>241</v>
      </c>
      <c r="AF35" s="1921" t="s">
        <v>241</v>
      </c>
      <c r="AG35" s="1917"/>
    </row>
    <row r="36" spans="1:33">
      <c r="A36" s="2802" t="s">
        <v>278</v>
      </c>
      <c r="C36" s="2197"/>
      <c r="D36" s="2202"/>
      <c r="E36" s="2203"/>
      <c r="F36" s="2191">
        <f t="shared" si="17"/>
        <v>0</v>
      </c>
      <c r="H36" s="3236" t="s">
        <v>1478</v>
      </c>
      <c r="I36" s="3232">
        <v>613</v>
      </c>
      <c r="J36" s="1932" t="s">
        <v>81</v>
      </c>
      <c r="K36" s="1922" t="s">
        <v>909</v>
      </c>
      <c r="L36" s="1929">
        <v>1644</v>
      </c>
      <c r="M36" s="1929">
        <v>800</v>
      </c>
      <c r="N36" s="1923">
        <v>3.4034000688452873E-2</v>
      </c>
      <c r="O36" s="1922">
        <v>7</v>
      </c>
      <c r="P36" s="1925" t="s">
        <v>1072</v>
      </c>
      <c r="Q36" s="1928">
        <v>10</v>
      </c>
      <c r="R36" s="1928">
        <v>11</v>
      </c>
      <c r="S36" s="1931">
        <f t="shared" si="10"/>
        <v>21</v>
      </c>
      <c r="T36" s="1931">
        <f t="shared" si="11"/>
        <v>6130</v>
      </c>
      <c r="U36" s="1931">
        <f t="shared" si="12"/>
        <v>6743</v>
      </c>
      <c r="V36" s="1931">
        <f t="shared" si="13"/>
        <v>12873</v>
      </c>
      <c r="W36" s="1921">
        <f t="shared" si="14"/>
        <v>8000</v>
      </c>
      <c r="X36" s="1921">
        <f t="shared" si="15"/>
        <v>8800</v>
      </c>
      <c r="Y36" s="1921">
        <f t="shared" si="16"/>
        <v>16800</v>
      </c>
      <c r="Z36" s="3092">
        <v>0</v>
      </c>
      <c r="AA36" s="1920" t="s">
        <v>241</v>
      </c>
      <c r="AB36" s="1920" t="s">
        <v>241</v>
      </c>
      <c r="AC36" s="1921" t="s">
        <v>241</v>
      </c>
      <c r="AD36" s="1921" t="s">
        <v>241</v>
      </c>
      <c r="AE36" s="1921" t="s">
        <v>241</v>
      </c>
      <c r="AF36" s="1921" t="s">
        <v>241</v>
      </c>
      <c r="AG36" s="1917"/>
    </row>
    <row r="37" spans="1:33">
      <c r="A37" s="2802" t="s">
        <v>6</v>
      </c>
      <c r="C37" s="2197"/>
      <c r="D37" s="2202"/>
      <c r="E37" s="2203"/>
      <c r="F37" s="2191">
        <f t="shared" si="17"/>
        <v>0</v>
      </c>
      <c r="H37" s="3236" t="s">
        <v>1479</v>
      </c>
      <c r="I37" s="3232">
        <v>800</v>
      </c>
      <c r="J37" s="1932" t="s">
        <v>81</v>
      </c>
      <c r="K37" s="1922" t="s">
        <v>909</v>
      </c>
      <c r="L37" s="1929">
        <v>3191</v>
      </c>
      <c r="M37" s="1929">
        <v>1500</v>
      </c>
      <c r="N37" s="1923">
        <v>2.22081570560867E-2</v>
      </c>
      <c r="O37" s="1922">
        <v>15</v>
      </c>
      <c r="P37" s="1925" t="s">
        <v>1072</v>
      </c>
      <c r="Q37" s="1928">
        <v>5</v>
      </c>
      <c r="R37" s="1928">
        <v>5.5</v>
      </c>
      <c r="S37" s="1931">
        <f t="shared" si="10"/>
        <v>10.5</v>
      </c>
      <c r="T37" s="1931">
        <f t="shared" si="11"/>
        <v>4000</v>
      </c>
      <c r="U37" s="1931">
        <f t="shared" si="12"/>
        <v>4400</v>
      </c>
      <c r="V37" s="1931">
        <f t="shared" si="13"/>
        <v>8400</v>
      </c>
      <c r="W37" s="1921">
        <f t="shared" si="14"/>
        <v>7500</v>
      </c>
      <c r="X37" s="1921">
        <f t="shared" si="15"/>
        <v>8250</v>
      </c>
      <c r="Y37" s="1921">
        <f t="shared" si="16"/>
        <v>15750</v>
      </c>
      <c r="Z37" s="3092">
        <v>0</v>
      </c>
      <c r="AA37" s="1920" t="s">
        <v>241</v>
      </c>
      <c r="AB37" s="1920" t="s">
        <v>241</v>
      </c>
      <c r="AC37" s="1921" t="s">
        <v>241</v>
      </c>
      <c r="AD37" s="1921" t="s">
        <v>241</v>
      </c>
      <c r="AE37" s="1921" t="s">
        <v>241</v>
      </c>
      <c r="AF37" s="1921" t="s">
        <v>241</v>
      </c>
      <c r="AG37" s="1917"/>
    </row>
    <row r="38" spans="1:33">
      <c r="A38" s="2802">
        <v>18231027</v>
      </c>
      <c r="C38" s="2197"/>
      <c r="D38" s="2202"/>
      <c r="E38" s="2203"/>
      <c r="F38" s="2191">
        <f t="shared" si="17"/>
        <v>0</v>
      </c>
      <c r="H38" s="3236" t="s">
        <v>1480</v>
      </c>
      <c r="I38" s="3232">
        <v>0</v>
      </c>
      <c r="J38" s="1932" t="s">
        <v>81</v>
      </c>
      <c r="K38" s="1922" t="s">
        <v>909</v>
      </c>
      <c r="L38" s="1929">
        <v>30</v>
      </c>
      <c r="M38" s="1929">
        <v>30</v>
      </c>
      <c r="N38" s="1923">
        <v>0</v>
      </c>
      <c r="O38" s="1922">
        <v>0</v>
      </c>
      <c r="P38" s="1925"/>
      <c r="Q38" s="1928">
        <v>30</v>
      </c>
      <c r="R38" s="1928">
        <v>33</v>
      </c>
      <c r="S38" s="1931">
        <f t="shared" si="10"/>
        <v>63</v>
      </c>
      <c r="T38" s="1931">
        <f t="shared" si="11"/>
        <v>0</v>
      </c>
      <c r="U38" s="1931">
        <f t="shared" si="12"/>
        <v>0</v>
      </c>
      <c r="V38" s="1931">
        <f t="shared" si="13"/>
        <v>0</v>
      </c>
      <c r="W38" s="1921">
        <f t="shared" si="14"/>
        <v>900</v>
      </c>
      <c r="X38" s="1921">
        <f t="shared" si="15"/>
        <v>990</v>
      </c>
      <c r="Y38" s="1921">
        <f t="shared" si="16"/>
        <v>1890</v>
      </c>
      <c r="Z38" s="3092">
        <v>0</v>
      </c>
      <c r="AA38" s="1920" t="s">
        <v>241</v>
      </c>
      <c r="AB38" s="1920" t="s">
        <v>241</v>
      </c>
      <c r="AC38" s="1921" t="s">
        <v>241</v>
      </c>
      <c r="AD38" s="1921" t="s">
        <v>241</v>
      </c>
      <c r="AE38" s="1921" t="s">
        <v>241</v>
      </c>
      <c r="AF38" s="1921" t="s">
        <v>241</v>
      </c>
      <c r="AG38" s="1917"/>
    </row>
    <row r="39" spans="1:33">
      <c r="A39" s="2193" t="s">
        <v>31</v>
      </c>
      <c r="C39" s="1952"/>
      <c r="D39" s="1958"/>
      <c r="E39" s="1955"/>
      <c r="F39" s="1958"/>
      <c r="H39" s="3236" t="s">
        <v>1481</v>
      </c>
      <c r="I39" s="3232">
        <v>0</v>
      </c>
      <c r="J39" s="1932" t="s">
        <v>81</v>
      </c>
      <c r="K39" s="1922" t="s">
        <v>909</v>
      </c>
      <c r="L39" s="1929">
        <v>30</v>
      </c>
      <c r="M39" s="1929">
        <v>30</v>
      </c>
      <c r="N39" s="1923">
        <v>0</v>
      </c>
      <c r="O39" s="1922">
        <v>0</v>
      </c>
      <c r="P39" s="1925"/>
      <c r="Q39" s="1928">
        <v>2</v>
      </c>
      <c r="R39" s="1928">
        <v>2.2000000000000002</v>
      </c>
      <c r="S39" s="1931">
        <f t="shared" si="10"/>
        <v>4.2</v>
      </c>
      <c r="T39" s="1931">
        <f t="shared" si="11"/>
        <v>0</v>
      </c>
      <c r="U39" s="1931">
        <f t="shared" si="12"/>
        <v>0</v>
      </c>
      <c r="V39" s="1931">
        <f t="shared" si="13"/>
        <v>0</v>
      </c>
      <c r="W39" s="1921">
        <f t="shared" si="14"/>
        <v>60</v>
      </c>
      <c r="X39" s="1921">
        <f t="shared" si="15"/>
        <v>66</v>
      </c>
      <c r="Y39" s="1921">
        <f t="shared" si="16"/>
        <v>126</v>
      </c>
      <c r="Z39" s="3092">
        <v>0</v>
      </c>
      <c r="AA39" s="1920" t="s">
        <v>241</v>
      </c>
      <c r="AB39" s="1920" t="s">
        <v>241</v>
      </c>
      <c r="AC39" s="1921" t="s">
        <v>241</v>
      </c>
      <c r="AD39" s="1921" t="s">
        <v>241</v>
      </c>
      <c r="AE39" s="1921" t="s">
        <v>241</v>
      </c>
      <c r="AF39" s="1921" t="s">
        <v>241</v>
      </c>
      <c r="AG39" s="1917"/>
    </row>
    <row r="40" spans="1:33">
      <c r="A40" s="2193"/>
      <c r="C40" s="2106" t="s">
        <v>506</v>
      </c>
      <c r="D40" s="2158">
        <f>SUM(D41:D44)</f>
        <v>5225</v>
      </c>
      <c r="E40" s="1926">
        <f>SUM(E41:E44)</f>
        <v>5225</v>
      </c>
      <c r="F40" s="2157">
        <f>D40+E40</f>
        <v>10450</v>
      </c>
      <c r="H40" s="3236" t="s">
        <v>1482</v>
      </c>
      <c r="I40" s="3232">
        <v>0</v>
      </c>
      <c r="J40" s="1932" t="s">
        <v>81</v>
      </c>
      <c r="K40" s="1922" t="s">
        <v>909</v>
      </c>
      <c r="L40" s="1929">
        <v>50</v>
      </c>
      <c r="M40" s="1929">
        <v>50</v>
      </c>
      <c r="N40" s="1923">
        <v>0</v>
      </c>
      <c r="O40" s="1922">
        <v>0</v>
      </c>
      <c r="P40" s="1925"/>
      <c r="Q40" s="1928">
        <v>30</v>
      </c>
      <c r="R40" s="1928">
        <v>33</v>
      </c>
      <c r="S40" s="1931">
        <f t="shared" si="10"/>
        <v>63</v>
      </c>
      <c r="T40" s="1931">
        <f t="shared" si="11"/>
        <v>0</v>
      </c>
      <c r="U40" s="1931">
        <f t="shared" si="12"/>
        <v>0</v>
      </c>
      <c r="V40" s="1931">
        <f t="shared" si="13"/>
        <v>0</v>
      </c>
      <c r="W40" s="1921">
        <f t="shared" si="14"/>
        <v>1500</v>
      </c>
      <c r="X40" s="1921">
        <f t="shared" si="15"/>
        <v>1650</v>
      </c>
      <c r="Y40" s="1921">
        <f t="shared" si="16"/>
        <v>3150</v>
      </c>
      <c r="Z40" s="3092">
        <v>0</v>
      </c>
      <c r="AA40" s="1920" t="s">
        <v>241</v>
      </c>
      <c r="AB40" s="1920" t="s">
        <v>241</v>
      </c>
      <c r="AC40" s="1921" t="s">
        <v>241</v>
      </c>
      <c r="AD40" s="1921" t="s">
        <v>241</v>
      </c>
      <c r="AE40" s="1921" t="s">
        <v>241</v>
      </c>
      <c r="AF40" s="1921" t="s">
        <v>241</v>
      </c>
      <c r="AG40" s="1917"/>
    </row>
    <row r="41" spans="1:33">
      <c r="C41" s="2197"/>
      <c r="D41" s="2202">
        <v>5000</v>
      </c>
      <c r="E41" s="2203">
        <v>5000</v>
      </c>
      <c r="F41" s="2191">
        <f t="shared" si="17"/>
        <v>10000</v>
      </c>
      <c r="H41" s="3236" t="s">
        <v>1483</v>
      </c>
      <c r="I41" s="3232">
        <v>0</v>
      </c>
      <c r="J41" s="1932" t="s">
        <v>81</v>
      </c>
      <c r="K41" s="1922" t="s">
        <v>909</v>
      </c>
      <c r="L41" s="1929">
        <v>30</v>
      </c>
      <c r="M41" s="1929">
        <v>30</v>
      </c>
      <c r="N41" s="1923">
        <v>0</v>
      </c>
      <c r="O41" s="1922">
        <v>0</v>
      </c>
      <c r="P41" s="1925"/>
      <c r="Q41" s="1928">
        <v>10</v>
      </c>
      <c r="R41" s="1928">
        <v>11</v>
      </c>
      <c r="S41" s="1931">
        <f t="shared" si="10"/>
        <v>21</v>
      </c>
      <c r="T41" s="1931">
        <f t="shared" si="11"/>
        <v>0</v>
      </c>
      <c r="U41" s="1931">
        <f t="shared" si="12"/>
        <v>0</v>
      </c>
      <c r="V41" s="1931">
        <f t="shared" si="13"/>
        <v>0</v>
      </c>
      <c r="W41" s="1921">
        <f t="shared" si="14"/>
        <v>300</v>
      </c>
      <c r="X41" s="1921">
        <f t="shared" si="15"/>
        <v>330</v>
      </c>
      <c r="Y41" s="1921">
        <f t="shared" si="16"/>
        <v>630</v>
      </c>
      <c r="Z41" s="3092">
        <v>0</v>
      </c>
      <c r="AA41" s="1920" t="s">
        <v>241</v>
      </c>
      <c r="AB41" s="1920" t="s">
        <v>241</v>
      </c>
      <c r="AC41" s="1921" t="s">
        <v>241</v>
      </c>
      <c r="AD41" s="1921" t="s">
        <v>241</v>
      </c>
      <c r="AE41" s="1921" t="s">
        <v>241</v>
      </c>
      <c r="AF41" s="1921" t="s">
        <v>241</v>
      </c>
      <c r="AG41" s="1917"/>
    </row>
    <row r="42" spans="1:33">
      <c r="C42" s="2197" t="s">
        <v>1457</v>
      </c>
      <c r="D42" s="2202">
        <v>225</v>
      </c>
      <c r="E42" s="2203">
        <v>225</v>
      </c>
      <c r="F42" s="2191">
        <f t="shared" si="17"/>
        <v>450</v>
      </c>
      <c r="H42" s="3236" t="s">
        <v>1484</v>
      </c>
      <c r="I42" s="3232">
        <v>0</v>
      </c>
      <c r="J42" s="1932" t="s">
        <v>81</v>
      </c>
      <c r="K42" s="1922" t="s">
        <v>909</v>
      </c>
      <c r="L42" s="1929">
        <v>50</v>
      </c>
      <c r="M42" s="1929">
        <v>50</v>
      </c>
      <c r="N42" s="1923">
        <v>0</v>
      </c>
      <c r="O42" s="1922">
        <v>0</v>
      </c>
      <c r="P42" s="1925"/>
      <c r="Q42" s="1928">
        <v>5</v>
      </c>
      <c r="R42" s="1928">
        <v>5.5</v>
      </c>
      <c r="S42" s="1931">
        <f t="shared" si="10"/>
        <v>10.5</v>
      </c>
      <c r="T42" s="1931">
        <f t="shared" si="11"/>
        <v>0</v>
      </c>
      <c r="U42" s="1931">
        <f t="shared" si="12"/>
        <v>0</v>
      </c>
      <c r="V42" s="1931">
        <f t="shared" si="13"/>
        <v>0</v>
      </c>
      <c r="W42" s="1921">
        <f t="shared" si="14"/>
        <v>250</v>
      </c>
      <c r="X42" s="1921">
        <f t="shared" si="15"/>
        <v>275</v>
      </c>
      <c r="Y42" s="1921">
        <f t="shared" si="16"/>
        <v>525</v>
      </c>
      <c r="Z42" s="3092">
        <v>0</v>
      </c>
      <c r="AA42" s="1920" t="s">
        <v>241</v>
      </c>
      <c r="AB42" s="1920" t="s">
        <v>241</v>
      </c>
      <c r="AC42" s="1921" t="s">
        <v>241</v>
      </c>
      <c r="AD42" s="1921" t="s">
        <v>241</v>
      </c>
      <c r="AE42" s="1921" t="s">
        <v>241</v>
      </c>
      <c r="AF42" s="1921" t="s">
        <v>241</v>
      </c>
      <c r="AG42" s="1917"/>
    </row>
    <row r="43" spans="1:33">
      <c r="C43" s="2197"/>
      <c r="D43" s="2202"/>
      <c r="E43" s="2203"/>
      <c r="F43" s="2191">
        <f t="shared" si="17"/>
        <v>0</v>
      </c>
      <c r="H43" s="3236" t="s">
        <v>1485</v>
      </c>
      <c r="I43" s="3232">
        <v>32</v>
      </c>
      <c r="J43" s="1932" t="s">
        <v>81</v>
      </c>
      <c r="K43" s="1922" t="s">
        <v>909</v>
      </c>
      <c r="L43" s="1929">
        <v>210</v>
      </c>
      <c r="M43" s="1929">
        <v>150</v>
      </c>
      <c r="N43" s="1923">
        <v>1.7766525644869363E-4</v>
      </c>
      <c r="O43" s="1922">
        <v>7</v>
      </c>
      <c r="P43" s="1925" t="s">
        <v>1072</v>
      </c>
      <c r="Q43" s="1928">
        <v>1</v>
      </c>
      <c r="R43" s="1928">
        <v>1.1000000000000001</v>
      </c>
      <c r="S43" s="1931">
        <f t="shared" si="10"/>
        <v>2.1</v>
      </c>
      <c r="T43" s="1931">
        <f t="shared" si="11"/>
        <v>32</v>
      </c>
      <c r="U43" s="1931">
        <f t="shared" si="12"/>
        <v>35.200000000000003</v>
      </c>
      <c r="V43" s="1931">
        <f t="shared" si="13"/>
        <v>67.2</v>
      </c>
      <c r="W43" s="1921">
        <f t="shared" si="14"/>
        <v>150</v>
      </c>
      <c r="X43" s="1921">
        <f t="shared" si="15"/>
        <v>165</v>
      </c>
      <c r="Y43" s="1921">
        <f t="shared" si="16"/>
        <v>315</v>
      </c>
      <c r="Z43" s="3092">
        <v>951.67</v>
      </c>
      <c r="AA43" s="1920" t="s">
        <v>241</v>
      </c>
      <c r="AB43" s="1920" t="s">
        <v>241</v>
      </c>
      <c r="AC43" s="1921" t="s">
        <v>241</v>
      </c>
      <c r="AD43" s="1921" t="s">
        <v>241</v>
      </c>
      <c r="AE43" s="1921" t="s">
        <v>241</v>
      </c>
      <c r="AF43" s="1921" t="s">
        <v>241</v>
      </c>
      <c r="AG43" s="1917"/>
    </row>
    <row r="44" spans="1:33">
      <c r="C44" s="2197"/>
      <c r="D44" s="2202"/>
      <c r="E44" s="2203"/>
      <c r="F44" s="2191">
        <f t="shared" si="17"/>
        <v>0</v>
      </c>
      <c r="H44" s="3236" t="s">
        <v>1486</v>
      </c>
      <c r="I44" s="3232">
        <v>20</v>
      </c>
      <c r="J44" s="1932" t="s">
        <v>81</v>
      </c>
      <c r="K44" s="1922" t="s">
        <v>909</v>
      </c>
      <c r="L44" s="1929">
        <v>61</v>
      </c>
      <c r="M44" s="1929">
        <v>60</v>
      </c>
      <c r="N44" s="1923">
        <v>1.110407852804335E-4</v>
      </c>
      <c r="O44" s="1922">
        <v>7</v>
      </c>
      <c r="P44" s="1925" t="s">
        <v>1072</v>
      </c>
      <c r="Q44" s="1928">
        <v>1</v>
      </c>
      <c r="R44" s="1928">
        <v>1.1000000000000001</v>
      </c>
      <c r="S44" s="1931">
        <f t="shared" si="10"/>
        <v>2.1</v>
      </c>
      <c r="T44" s="1931">
        <f t="shared" si="11"/>
        <v>20</v>
      </c>
      <c r="U44" s="1931">
        <f t="shared" si="12"/>
        <v>22</v>
      </c>
      <c r="V44" s="1931">
        <f t="shared" si="13"/>
        <v>42</v>
      </c>
      <c r="W44" s="1921">
        <f t="shared" si="14"/>
        <v>60</v>
      </c>
      <c r="X44" s="1921">
        <f t="shared" si="15"/>
        <v>66</v>
      </c>
      <c r="Y44" s="1921">
        <f t="shared" si="16"/>
        <v>126</v>
      </c>
      <c r="Z44" s="3092">
        <v>276.94</v>
      </c>
      <c r="AA44" s="1920" t="s">
        <v>241</v>
      </c>
      <c r="AB44" s="1920" t="s">
        <v>241</v>
      </c>
      <c r="AC44" s="1921" t="s">
        <v>241</v>
      </c>
      <c r="AD44" s="1921" t="s">
        <v>241</v>
      </c>
      <c r="AE44" s="1921" t="s">
        <v>241</v>
      </c>
      <c r="AF44" s="1921" t="s">
        <v>241</v>
      </c>
      <c r="AG44" s="1917"/>
    </row>
    <row r="45" spans="1:33">
      <c r="C45" s="1952"/>
      <c r="D45" s="1958"/>
      <c r="E45" s="1955"/>
      <c r="F45" s="1958"/>
      <c r="H45" s="3236" t="s">
        <v>1487</v>
      </c>
      <c r="I45" s="3232">
        <v>12</v>
      </c>
      <c r="J45" s="1932" t="s">
        <v>81</v>
      </c>
      <c r="K45" s="1922" t="s">
        <v>909</v>
      </c>
      <c r="L45" s="1929">
        <v>33</v>
      </c>
      <c r="M45" s="1929">
        <v>30</v>
      </c>
      <c r="N45" s="1923">
        <v>3.9974682700956062E-3</v>
      </c>
      <c r="O45" s="1922">
        <v>7</v>
      </c>
      <c r="P45" s="1925" t="s">
        <v>1072</v>
      </c>
      <c r="Q45" s="1928">
        <v>60</v>
      </c>
      <c r="R45" s="1928">
        <v>66</v>
      </c>
      <c r="S45" s="1931">
        <f t="shared" si="10"/>
        <v>126</v>
      </c>
      <c r="T45" s="1931">
        <f t="shared" si="11"/>
        <v>720</v>
      </c>
      <c r="U45" s="1931">
        <f t="shared" si="12"/>
        <v>792</v>
      </c>
      <c r="V45" s="1931">
        <f t="shared" si="13"/>
        <v>1512</v>
      </c>
      <c r="W45" s="1921">
        <f t="shared" si="14"/>
        <v>1800</v>
      </c>
      <c r="X45" s="1921">
        <f t="shared" si="15"/>
        <v>1980</v>
      </c>
      <c r="Y45" s="1921">
        <f t="shared" si="16"/>
        <v>3780</v>
      </c>
      <c r="Z45" s="3092">
        <v>147.51</v>
      </c>
      <c r="AA45" s="1920" t="s">
        <v>241</v>
      </c>
      <c r="AB45" s="1920" t="s">
        <v>241</v>
      </c>
      <c r="AC45" s="1921" t="s">
        <v>241</v>
      </c>
      <c r="AD45" s="1921" t="s">
        <v>241</v>
      </c>
      <c r="AE45" s="1921" t="s">
        <v>241</v>
      </c>
      <c r="AF45" s="1921" t="s">
        <v>241</v>
      </c>
      <c r="AG45" s="1917"/>
    </row>
    <row r="46" spans="1:33">
      <c r="C46" s="2106" t="s">
        <v>50</v>
      </c>
      <c r="D46" s="2158">
        <f>SUM(D47:D50)</f>
        <v>600</v>
      </c>
      <c r="E46" s="1926">
        <f>SUM(E47:E50)</f>
        <v>600</v>
      </c>
      <c r="F46" s="2157">
        <f>D46+E46</f>
        <v>1200</v>
      </c>
      <c r="H46" s="3236" t="s">
        <v>1488</v>
      </c>
      <c r="I46" s="3232">
        <v>597</v>
      </c>
      <c r="J46" s="1932" t="s">
        <v>81</v>
      </c>
      <c r="K46" s="1922" t="s">
        <v>909</v>
      </c>
      <c r="L46" s="1929">
        <v>1644</v>
      </c>
      <c r="M46" s="1929">
        <v>800</v>
      </c>
      <c r="N46" s="1923">
        <v>3.3145674406209399E-2</v>
      </c>
      <c r="O46" s="1922">
        <v>7</v>
      </c>
      <c r="P46" s="1925" t="s">
        <v>1072</v>
      </c>
      <c r="Q46" s="1928">
        <v>10</v>
      </c>
      <c r="R46" s="1928">
        <v>11</v>
      </c>
      <c r="S46" s="1931">
        <f t="shared" si="10"/>
        <v>21</v>
      </c>
      <c r="T46" s="1931">
        <f t="shared" si="11"/>
        <v>5970</v>
      </c>
      <c r="U46" s="1931">
        <f t="shared" si="12"/>
        <v>6567</v>
      </c>
      <c r="V46" s="1931">
        <f t="shared" si="13"/>
        <v>12537</v>
      </c>
      <c r="W46" s="1921">
        <f t="shared" si="14"/>
        <v>8000</v>
      </c>
      <c r="X46" s="1921">
        <f t="shared" si="15"/>
        <v>8800</v>
      </c>
      <c r="Y46" s="1921">
        <f t="shared" si="16"/>
        <v>16800</v>
      </c>
      <c r="Z46" s="3092">
        <v>0</v>
      </c>
      <c r="AA46" s="1920" t="s">
        <v>241</v>
      </c>
      <c r="AB46" s="1920" t="s">
        <v>241</v>
      </c>
      <c r="AC46" s="1921" t="s">
        <v>241</v>
      </c>
      <c r="AD46" s="1921" t="s">
        <v>241</v>
      </c>
      <c r="AE46" s="1921" t="s">
        <v>241</v>
      </c>
      <c r="AF46" s="1921" t="s">
        <v>241</v>
      </c>
      <c r="AG46" s="1917"/>
    </row>
    <row r="47" spans="1:33">
      <c r="C47" s="2197"/>
      <c r="D47" s="2202">
        <v>600</v>
      </c>
      <c r="E47" s="2203">
        <v>600</v>
      </c>
      <c r="F47" s="2191">
        <f t="shared" ref="F47:F62" si="18">SUM(D47:E47)</f>
        <v>1200</v>
      </c>
      <c r="H47" s="3236" t="s">
        <v>1489</v>
      </c>
      <c r="I47" s="3232">
        <v>597</v>
      </c>
      <c r="J47" s="1932" t="s">
        <v>81</v>
      </c>
      <c r="K47" s="1922" t="s">
        <v>909</v>
      </c>
      <c r="L47" s="1929">
        <v>3191</v>
      </c>
      <c r="M47" s="1929">
        <v>1500</v>
      </c>
      <c r="N47" s="1923">
        <v>1.3258269762483762E-2</v>
      </c>
      <c r="O47" s="1922">
        <v>15</v>
      </c>
      <c r="P47" s="1925" t="s">
        <v>1072</v>
      </c>
      <c r="Q47" s="1928">
        <v>4</v>
      </c>
      <c r="R47" s="1928">
        <v>4.4000000000000004</v>
      </c>
      <c r="S47" s="1931">
        <f t="shared" si="10"/>
        <v>8.4</v>
      </c>
      <c r="T47" s="1931">
        <f t="shared" si="11"/>
        <v>2388</v>
      </c>
      <c r="U47" s="1931">
        <f t="shared" si="12"/>
        <v>2626.8</v>
      </c>
      <c r="V47" s="1931">
        <f t="shared" si="13"/>
        <v>5014.8</v>
      </c>
      <c r="W47" s="1921">
        <f t="shared" si="14"/>
        <v>6000</v>
      </c>
      <c r="X47" s="1921">
        <f t="shared" si="15"/>
        <v>6600.0000000000009</v>
      </c>
      <c r="Y47" s="1921">
        <f t="shared" si="16"/>
        <v>12600</v>
      </c>
      <c r="Z47" s="3092">
        <v>0</v>
      </c>
      <c r="AA47" s="1920" t="s">
        <v>241</v>
      </c>
      <c r="AB47" s="1920" t="s">
        <v>241</v>
      </c>
      <c r="AC47" s="1921" t="s">
        <v>241</v>
      </c>
      <c r="AD47" s="1921" t="s">
        <v>241</v>
      </c>
      <c r="AE47" s="1921" t="s">
        <v>241</v>
      </c>
      <c r="AF47" s="1921" t="s">
        <v>241</v>
      </c>
      <c r="AG47" s="1917"/>
    </row>
    <row r="48" spans="1:33">
      <c r="C48" s="2197"/>
      <c r="D48" s="2202"/>
      <c r="E48" s="2203"/>
      <c r="F48" s="2191">
        <f t="shared" si="18"/>
        <v>0</v>
      </c>
      <c r="H48" s="3236" t="s">
        <v>1693</v>
      </c>
      <c r="I48" s="3232">
        <v>56824</v>
      </c>
      <c r="J48" s="1932" t="s">
        <v>81</v>
      </c>
      <c r="K48" s="1922" t="s">
        <v>1066</v>
      </c>
      <c r="L48" s="1929">
        <v>0</v>
      </c>
      <c r="M48" s="1929">
        <v>166583</v>
      </c>
      <c r="N48" s="1923">
        <v>0.13100000000000001</v>
      </c>
      <c r="O48" s="1922">
        <v>15</v>
      </c>
      <c r="P48" s="1925" t="s">
        <v>1344</v>
      </c>
      <c r="Q48" s="2658">
        <v>0.5</v>
      </c>
      <c r="R48" s="2658">
        <v>0.5</v>
      </c>
      <c r="S48" s="1931">
        <f t="shared" si="10"/>
        <v>1</v>
      </c>
      <c r="T48" s="1931">
        <f t="shared" ref="T48" si="19">Q48*I48</f>
        <v>28412</v>
      </c>
      <c r="U48" s="1931">
        <f t="shared" ref="U48" si="20">R48*I48</f>
        <v>28412</v>
      </c>
      <c r="V48" s="1931">
        <f t="shared" ref="V48" si="21">SUM(T48:U48)</f>
        <v>56824</v>
      </c>
      <c r="W48" s="1921">
        <f t="shared" ref="W48" si="22">Q48*M48</f>
        <v>83291.5</v>
      </c>
      <c r="X48" s="1921">
        <f t="shared" ref="X48" si="23">R48*M48</f>
        <v>83291.5</v>
      </c>
      <c r="Y48" s="1921">
        <f t="shared" ref="Y48" si="24">SUM(W48:X48)</f>
        <v>166583</v>
      </c>
      <c r="Z48" s="1946"/>
      <c r="AA48" s="1920" t="s">
        <v>241</v>
      </c>
      <c r="AB48" s="1920" t="s">
        <v>241</v>
      </c>
      <c r="AC48" s="1921" t="s">
        <v>241</v>
      </c>
      <c r="AD48" s="1921" t="s">
        <v>241</v>
      </c>
      <c r="AE48" s="1921" t="s">
        <v>241</v>
      </c>
      <c r="AF48" s="1921" t="s">
        <v>241</v>
      </c>
      <c r="AG48" s="1917"/>
    </row>
    <row r="49" spans="1:33">
      <c r="C49" s="2197"/>
      <c r="D49" s="2202"/>
      <c r="E49" s="2203"/>
      <c r="F49" s="2191">
        <f t="shared" si="18"/>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18"/>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240</v>
      </c>
      <c r="E52" s="1926">
        <f>SUM(E53:E56)</f>
        <v>240</v>
      </c>
      <c r="F52" s="2157">
        <f>D52+E52</f>
        <v>480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v>240</v>
      </c>
      <c r="E53" s="2163">
        <v>240</v>
      </c>
      <c r="F53" s="2191">
        <f t="shared" si="18"/>
        <v>480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18"/>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18"/>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18"/>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18"/>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18"/>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18"/>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18"/>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708</v>
      </c>
      <c r="C64" s="2106" t="s">
        <v>53</v>
      </c>
      <c r="D64" s="2158">
        <f>W15</f>
        <v>328661.5</v>
      </c>
      <c r="E64" s="1926">
        <f>X15</f>
        <v>353198.5</v>
      </c>
      <c r="F64" s="2157">
        <f>D64+E64</f>
        <v>681860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709</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278</v>
      </c>
      <c r="C66" s="1968"/>
      <c r="D66" s="1963"/>
      <c r="E66" s="1964"/>
      <c r="F66" s="1965"/>
    </row>
    <row r="67" spans="1:33">
      <c r="A67" s="2802" t="s">
        <v>6</v>
      </c>
      <c r="C67" s="1959" t="s">
        <v>54</v>
      </c>
      <c r="D67" s="2202">
        <v>0</v>
      </c>
      <c r="E67" s="2202">
        <v>0</v>
      </c>
      <c r="F67" s="1956">
        <v>0</v>
      </c>
    </row>
    <row r="68" spans="1:33">
      <c r="A68" s="2802">
        <v>18231027</v>
      </c>
    </row>
    <row r="69" spans="1:33">
      <c r="A69" s="2193" t="s">
        <v>31</v>
      </c>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activeCell="Q9" sqref="Q9"/>
      <pageMargins left="0.7" right="0.7" top="0.75" bottom="0.75" header="0.3" footer="0.3"/>
    </customSheetView>
    <customSheetView guid="{D9EFFE19-D14B-4C6F-BDF4-FF696F73968D}" showGridLines="0">
      <pane xSplit="1" ySplit="1" topLeftCell="E2" activePane="bottomRight" state="frozen"/>
      <selection pane="bottomRight" activeCell="O16" sqref="O16"/>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111"/>
  <sheetViews>
    <sheetView showGridLines="0" workbookViewId="0">
      <pane xSplit="1" ySplit="1" topLeftCell="B2" activePane="bottomRight" state="frozen"/>
      <selection pane="topRight" activeCell="B1" sqref="B1"/>
      <selection pane="bottomLeft" activeCell="A2" sqref="A2"/>
      <selection pane="bottomRight" activeCell="G29" sqref="G29"/>
    </sheetView>
  </sheetViews>
  <sheetFormatPr defaultRowHeight="12.75"/>
  <cols>
    <col min="1"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13.425781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44.25" customHeight="1" thickBot="1">
      <c r="C1" s="1812" t="s">
        <v>710</v>
      </c>
      <c r="D1" s="1812" t="s">
        <v>278</v>
      </c>
      <c r="E1" s="1812" t="s">
        <v>6</v>
      </c>
      <c r="F1" s="1812">
        <v>18231028</v>
      </c>
      <c r="G1" s="1812" t="s">
        <v>31</v>
      </c>
      <c r="J1" s="1592"/>
      <c r="M1" s="1812" t="s">
        <v>710</v>
      </c>
      <c r="N1" s="1812" t="s">
        <v>278</v>
      </c>
      <c r="O1" s="1812" t="s">
        <v>6</v>
      </c>
      <c r="P1" s="1812">
        <v>18231028</v>
      </c>
      <c r="Q1" s="1812" t="s">
        <v>31</v>
      </c>
      <c r="V1" s="1812" t="s">
        <v>710</v>
      </c>
      <c r="W1" s="1812" t="s">
        <v>278</v>
      </c>
      <c r="X1" s="1812" t="s">
        <v>6</v>
      </c>
      <c r="Y1" s="1812">
        <v>18231028</v>
      </c>
      <c r="Z1" s="1812" t="s">
        <v>31</v>
      </c>
    </row>
    <row r="2" spans="1:33" ht="16.5" thickBot="1">
      <c r="C2" s="1592"/>
      <c r="D2" s="1575"/>
      <c r="H2" s="1576" t="s">
        <v>674</v>
      </c>
      <c r="R2" s="3596"/>
      <c r="S2" s="3596"/>
      <c r="T2" s="3597" t="s">
        <v>36</v>
      </c>
      <c r="U2" s="3598"/>
      <c r="V2" s="3599"/>
      <c r="W2" s="3594" t="s">
        <v>37</v>
      </c>
    </row>
    <row r="3" spans="1:33" ht="26.25" thickBot="1">
      <c r="A3" s="2802" t="s">
        <v>711</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712</v>
      </c>
      <c r="B4" s="2802"/>
      <c r="C4" s="1575"/>
      <c r="G4" s="1804" t="s">
        <v>668</v>
      </c>
      <c r="H4" s="2003">
        <v>10818</v>
      </c>
      <c r="I4" s="2002">
        <v>0</v>
      </c>
      <c r="J4" s="2002">
        <v>7649</v>
      </c>
      <c r="K4" s="2002">
        <v>1500</v>
      </c>
      <c r="L4" s="2002">
        <v>1200</v>
      </c>
      <c r="M4" s="2002">
        <v>625</v>
      </c>
      <c r="N4" s="2002">
        <v>1000</v>
      </c>
      <c r="O4" s="2002">
        <v>200</v>
      </c>
      <c r="P4" s="2002">
        <v>343315</v>
      </c>
      <c r="Q4" s="2002">
        <v>0</v>
      </c>
      <c r="R4" s="2000">
        <v>366307</v>
      </c>
      <c r="S4" s="1998">
        <v>391180</v>
      </c>
      <c r="T4" s="1541">
        <f>P4/R4</f>
        <v>0.93723297671079175</v>
      </c>
      <c r="U4" s="1541">
        <f>(K4+(I4*1.63))/R4</f>
        <v>4.0949258408930211E-3</v>
      </c>
      <c r="V4" s="1541">
        <f>M4/R4</f>
        <v>1.7062191003720923E-3</v>
      </c>
      <c r="W4" s="1539">
        <f>R4/S4</f>
        <v>0.93641546091313466</v>
      </c>
    </row>
    <row r="5" spans="1:33" ht="16.5" thickBot="1">
      <c r="A5" s="2802" t="s">
        <v>278</v>
      </c>
      <c r="B5" s="2802"/>
      <c r="C5" s="1592"/>
      <c r="G5" s="1592">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1542" t="e">
        <f>P5/R5</f>
        <v>#DIV/0!</v>
      </c>
      <c r="U5" s="1542" t="e">
        <f>(K5+(I5*1.63))/R5</f>
        <v>#DIV/0!</v>
      </c>
      <c r="V5" s="1542" t="e">
        <f>M5/R5</f>
        <v>#DIV/0!</v>
      </c>
      <c r="W5" s="1540" t="e">
        <f>R5/S5</f>
        <v>#DIV/0!</v>
      </c>
    </row>
    <row r="6" spans="1:33" ht="16.5" thickBot="1">
      <c r="A6" s="2802" t="s">
        <v>6</v>
      </c>
      <c r="B6" s="2802"/>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row>
    <row r="7" spans="1:33" ht="16.5" thickBot="1">
      <c r="A7" s="2802">
        <v>18231028</v>
      </c>
      <c r="B7" s="2802"/>
      <c r="D7" s="1592"/>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SUM(S5:S6)</f>
        <v>0</v>
      </c>
      <c r="T7" s="1542" t="e">
        <f>P7/R7</f>
        <v>#DIV/0!</v>
      </c>
      <c r="U7" s="1542" t="e">
        <f>(K7+(I7*1.63))/R7</f>
        <v>#DIV/0!</v>
      </c>
      <c r="V7" s="1542" t="e">
        <f>M7/R7</f>
        <v>#DIV/0!</v>
      </c>
      <c r="W7" s="1540" t="e">
        <f>R7/S7</f>
        <v>#DIV/0!</v>
      </c>
    </row>
    <row r="8" spans="1:33" ht="15.75">
      <c r="A8" s="2193" t="s">
        <v>31</v>
      </c>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D15+D21+D27+D34+D40+D46+D52+D58</f>
        <v>0</v>
      </c>
      <c r="E12" s="1948">
        <f>E15+E21+E27+E34+E40+E46+E52+E58</f>
        <v>0</v>
      </c>
      <c r="F12" s="2157">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0</v>
      </c>
      <c r="E15" s="1926">
        <f>SUM(E16:E19)</f>
        <v>0</v>
      </c>
      <c r="F15" s="2157">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1945">
        <v>0</v>
      </c>
      <c r="AA15" s="1944" t="s">
        <v>328</v>
      </c>
      <c r="AB15" s="1944" t="s">
        <v>328</v>
      </c>
      <c r="AC15" s="1941">
        <v>0</v>
      </c>
      <c r="AD15" s="1941">
        <v>0</v>
      </c>
      <c r="AE15" s="1941">
        <v>0</v>
      </c>
      <c r="AF15" s="1941">
        <v>0</v>
      </c>
      <c r="AG15" s="1917"/>
    </row>
    <row r="16" spans="1:33">
      <c r="B16" s="2610"/>
      <c r="C16" s="2197"/>
      <c r="D16" s="2201"/>
      <c r="E16" s="2200"/>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1946"/>
      <c r="AA16" s="1920" t="s">
        <v>241</v>
      </c>
      <c r="AB16" s="1920" t="s">
        <v>241</v>
      </c>
      <c r="AC16" s="1921" t="s">
        <v>241</v>
      </c>
      <c r="AD16" s="1921" t="s">
        <v>241</v>
      </c>
      <c r="AE16" s="1921" t="s">
        <v>241</v>
      </c>
      <c r="AF16" s="1921" t="s">
        <v>241</v>
      </c>
      <c r="AG16" s="1917"/>
    </row>
    <row r="17" spans="2:33">
      <c r="B17" s="2610"/>
      <c r="C17" s="2197"/>
      <c r="D17" s="2199"/>
      <c r="E17" s="2198"/>
      <c r="F17" s="2191">
        <f t="shared" ref="F17:F30"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1946"/>
      <c r="AA17" s="1920" t="s">
        <v>241</v>
      </c>
      <c r="AB17" s="1920" t="s">
        <v>241</v>
      </c>
      <c r="AC17" s="1921" t="s">
        <v>241</v>
      </c>
      <c r="AD17" s="1921" t="s">
        <v>241</v>
      </c>
      <c r="AE17" s="1921" t="s">
        <v>241</v>
      </c>
      <c r="AF17" s="1921" t="s">
        <v>241</v>
      </c>
      <c r="AG17" s="1917"/>
    </row>
    <row r="18" spans="2:33">
      <c r="B18" s="2610"/>
      <c r="C18" s="2197"/>
      <c r="D18" s="2199"/>
      <c r="E18" s="2198"/>
      <c r="F18" s="2191">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1946"/>
      <c r="AA18" s="1920" t="s">
        <v>241</v>
      </c>
      <c r="AB18" s="1920" t="s">
        <v>241</v>
      </c>
      <c r="AC18" s="1921" t="s">
        <v>241</v>
      </c>
      <c r="AD18" s="1921" t="s">
        <v>241</v>
      </c>
      <c r="AE18" s="1921" t="s">
        <v>241</v>
      </c>
      <c r="AF18" s="1921" t="s">
        <v>241</v>
      </c>
      <c r="AG18" s="1917"/>
    </row>
    <row r="19" spans="2:33">
      <c r="B19" s="2610"/>
      <c r="C19" s="2197"/>
      <c r="D19" s="1903"/>
      <c r="E19" s="1902"/>
      <c r="F19" s="2191">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1946"/>
      <c r="AA19" s="1920" t="s">
        <v>241</v>
      </c>
      <c r="AB19" s="1920" t="s">
        <v>241</v>
      </c>
      <c r="AC19" s="1921" t="s">
        <v>241</v>
      </c>
      <c r="AD19" s="1921" t="s">
        <v>241</v>
      </c>
      <c r="AE19" s="1921" t="s">
        <v>241</v>
      </c>
      <c r="AF19" s="1921" t="s">
        <v>241</v>
      </c>
      <c r="AG19" s="1917"/>
    </row>
    <row r="20" spans="2:33">
      <c r="B20" s="1908">
        <f>SUM(B16:B19)</f>
        <v>0</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1946"/>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1946"/>
      <c r="AA21" s="1920" t="s">
        <v>241</v>
      </c>
      <c r="AB21" s="1920" t="s">
        <v>241</v>
      </c>
      <c r="AC21" s="1921" t="s">
        <v>241</v>
      </c>
      <c r="AD21" s="1921" t="s">
        <v>241</v>
      </c>
      <c r="AE21" s="1921" t="s">
        <v>241</v>
      </c>
      <c r="AF21" s="1921" t="s">
        <v>241</v>
      </c>
      <c r="AG21" s="1917"/>
    </row>
    <row r="22" spans="2:33">
      <c r="C22" s="2197"/>
      <c r="D22" s="2201"/>
      <c r="E22" s="2200"/>
      <c r="F22" s="1879">
        <f t="shared" si="1"/>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1946"/>
      <c r="AA22" s="1920" t="s">
        <v>241</v>
      </c>
      <c r="AB22" s="1920" t="s">
        <v>241</v>
      </c>
      <c r="AC22" s="1921" t="s">
        <v>241</v>
      </c>
      <c r="AD22" s="1921" t="s">
        <v>241</v>
      </c>
      <c r="AE22" s="1921" t="s">
        <v>241</v>
      </c>
      <c r="AF22" s="1921" t="s">
        <v>241</v>
      </c>
      <c r="AG22" s="1917"/>
    </row>
    <row r="23" spans="2:33">
      <c r="C23" s="2197"/>
      <c r="D23" s="1900"/>
      <c r="E23" s="1899"/>
      <c r="F23" s="2191">
        <f t="shared" si="1"/>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1946"/>
      <c r="AA23" s="1920" t="s">
        <v>241</v>
      </c>
      <c r="AB23" s="1920" t="s">
        <v>241</v>
      </c>
      <c r="AC23" s="1921" t="s">
        <v>241</v>
      </c>
      <c r="AD23" s="1921" t="s">
        <v>241</v>
      </c>
      <c r="AE23" s="1921" t="s">
        <v>241</v>
      </c>
      <c r="AF23" s="1921" t="s">
        <v>241</v>
      </c>
      <c r="AG23" s="1917"/>
    </row>
    <row r="24" spans="2:33">
      <c r="C24" s="2197"/>
      <c r="D24" s="1898"/>
      <c r="E24" s="1897"/>
      <c r="F24" s="2191">
        <f t="shared" si="1"/>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1946"/>
      <c r="AA24" s="1920" t="s">
        <v>241</v>
      </c>
      <c r="AB24" s="1920" t="s">
        <v>241</v>
      </c>
      <c r="AC24" s="1921" t="s">
        <v>241</v>
      </c>
      <c r="AD24" s="1921" t="s">
        <v>241</v>
      </c>
      <c r="AE24" s="1921" t="s">
        <v>241</v>
      </c>
      <c r="AF24" s="1921" t="s">
        <v>241</v>
      </c>
      <c r="AG24" s="1917"/>
    </row>
    <row r="25" spans="2:33">
      <c r="C25" s="2197"/>
      <c r="D25" s="1896"/>
      <c r="E25" s="1899"/>
      <c r="F25" s="2191">
        <f t="shared" si="1"/>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1946"/>
      <c r="AA26" s="1920" t="s">
        <v>241</v>
      </c>
      <c r="AB26" s="1920" t="s">
        <v>241</v>
      </c>
      <c r="AC26" s="1921" t="s">
        <v>241</v>
      </c>
      <c r="AD26" s="1921" t="s">
        <v>241</v>
      </c>
      <c r="AE26" s="1921" t="s">
        <v>241</v>
      </c>
      <c r="AF26" s="1921" t="s">
        <v>241</v>
      </c>
      <c r="AG26" s="1917"/>
    </row>
    <row r="27" spans="2:33">
      <c r="C27" s="2106" t="s">
        <v>48</v>
      </c>
      <c r="D27" s="2158">
        <f>SUM(D29:D32)</f>
        <v>0</v>
      </c>
      <c r="E27" s="1926">
        <f>SUM(E29:E32)</f>
        <v>0</v>
      </c>
      <c r="F27" s="2157">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1946"/>
      <c r="AA28" s="1920" t="s">
        <v>241</v>
      </c>
      <c r="AB28" s="1920" t="s">
        <v>241</v>
      </c>
      <c r="AC28" s="1921" t="s">
        <v>241</v>
      </c>
      <c r="AD28" s="1921" t="s">
        <v>241</v>
      </c>
      <c r="AE28" s="1921" t="s">
        <v>241</v>
      </c>
      <c r="AF28" s="1921" t="s">
        <v>241</v>
      </c>
      <c r="AG28" s="1917"/>
    </row>
    <row r="29" spans="2:33">
      <c r="C29" s="2197" t="s">
        <v>778</v>
      </c>
      <c r="D29" s="2202">
        <f>D15*D28</f>
        <v>0</v>
      </c>
      <c r="E29" s="2163">
        <f>E15*E28</f>
        <v>0</v>
      </c>
      <c r="F29" s="2191">
        <f t="shared" si="1"/>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1"/>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ht="25.5">
      <c r="A34" s="2802" t="s">
        <v>711</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712</v>
      </c>
      <c r="C35" s="2197"/>
      <c r="D35" s="2202"/>
      <c r="E35" s="2203"/>
      <c r="F35" s="2191">
        <f t="shared" ref="F35:F44" si="2">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278</v>
      </c>
      <c r="C36" s="2197"/>
      <c r="D36" s="2202"/>
      <c r="E36" s="2203"/>
      <c r="F36" s="2191">
        <f t="shared" si="2"/>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t="s">
        <v>6</v>
      </c>
      <c r="C37" s="2197"/>
      <c r="D37" s="2202"/>
      <c r="E37" s="2203"/>
      <c r="F37" s="2191">
        <f t="shared" si="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v>18231028</v>
      </c>
      <c r="C38" s="2197"/>
      <c r="D38" s="2202"/>
      <c r="E38" s="2203"/>
      <c r="F38" s="2191">
        <f t="shared" si="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t="s">
        <v>31</v>
      </c>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0</v>
      </c>
      <c r="E40" s="1926">
        <f>SUM(E41:E44)</f>
        <v>0</v>
      </c>
      <c r="F40" s="2157">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c r="E41" s="2203"/>
      <c r="F41" s="2191">
        <f t="shared" si="2"/>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2"/>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2"/>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2"/>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3">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3"/>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3"/>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3"/>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0</v>
      </c>
      <c r="E52" s="1926">
        <f>SUM(E53:E56)</f>
        <v>0</v>
      </c>
      <c r="F52" s="2157">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c r="E53" s="2163"/>
      <c r="F53" s="2191">
        <f t="shared" si="3"/>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3"/>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3"/>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3"/>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0</v>
      </c>
      <c r="E58" s="1926">
        <f>SUM(E59:E62)</f>
        <v>0</v>
      </c>
      <c r="F58" s="2157">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c r="E59" s="2203"/>
      <c r="F59" s="2191">
        <f t="shared" si="3"/>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ht="25.5">
      <c r="A64" s="2802" t="s">
        <v>711</v>
      </c>
      <c r="C64" s="2106" t="s">
        <v>53</v>
      </c>
      <c r="D64" s="2158">
        <f>W15</f>
        <v>0</v>
      </c>
      <c r="E64" s="1926">
        <f>X15</f>
        <v>0</v>
      </c>
      <c r="F64" s="2157">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712</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278</v>
      </c>
      <c r="C66" s="1968"/>
      <c r="D66" s="1963"/>
      <c r="E66" s="1964"/>
      <c r="F66" s="1965"/>
    </row>
    <row r="67" spans="1:33">
      <c r="A67" s="2802" t="s">
        <v>6</v>
      </c>
      <c r="C67" s="1959" t="s">
        <v>54</v>
      </c>
      <c r="D67" s="2202">
        <v>0</v>
      </c>
      <c r="E67" s="2202">
        <v>0</v>
      </c>
      <c r="F67" s="1956">
        <v>0</v>
      </c>
    </row>
    <row r="68" spans="1:33">
      <c r="A68" s="2802">
        <v>18231028</v>
      </c>
    </row>
    <row r="69" spans="1:33">
      <c r="A69" s="2193" t="s">
        <v>31</v>
      </c>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2" activePane="bottomRight" state="frozen"/>
      <selection pane="bottomRight"/>
      <pageMargins left="0.7" right="0.7" top="0.75" bottom="0.75" header="0.3" footer="0.3"/>
    </customSheetView>
    <customSheetView guid="{D9EFFE19-D14B-4C6F-BDF4-FF696F73968D}" showGridLines="0">
      <pane xSplit="1" ySplit="1" topLeftCell="B2" activePane="bottomRight" state="frozen"/>
      <selection pane="bottomRight"/>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F8F"/>
  </sheetPr>
  <dimension ref="A1:AG111"/>
  <sheetViews>
    <sheetView showGridLines="0" workbookViewId="0">
      <pane xSplit="1" ySplit="1" topLeftCell="B2" activePane="bottomRight" state="frozen"/>
      <selection pane="topRight" activeCell="B1" sqref="B1"/>
      <selection pane="bottomLeft" activeCell="A2" sqref="A2"/>
      <selection pane="bottomRight" activeCell="C4" sqref="C4"/>
    </sheetView>
  </sheetViews>
  <sheetFormatPr defaultRowHeight="12.75"/>
  <cols>
    <col min="1" max="1" width="18.42578125" style="2177" customWidth="1"/>
    <col min="2" max="2" width="16" style="2177" customWidth="1"/>
    <col min="3" max="3" width="32.28515625" style="2177" customWidth="1"/>
    <col min="4" max="4" width="26" style="2177" customWidth="1"/>
    <col min="5" max="5" width="15.5703125" style="2193" customWidth="1"/>
    <col min="6" max="6" width="15.5703125" style="2177" customWidth="1"/>
    <col min="7" max="7" width="17" style="2177" customWidth="1"/>
    <col min="8" max="8" width="31.14062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6.5703125" style="2177" customWidth="1"/>
    <col min="18" max="18" width="16.140625" style="2177" customWidth="1"/>
    <col min="19" max="19" width="16.7109375" style="2177" bestFit="1" customWidth="1"/>
    <col min="20" max="20" width="15.5703125" style="2177" bestFit="1" customWidth="1"/>
    <col min="21" max="21" width="18" style="2177" customWidth="1"/>
    <col min="22" max="22" width="16.42578125" style="2177" bestFit="1" customWidth="1"/>
    <col min="23" max="23" width="14.28515625" style="2177" customWidth="1"/>
    <col min="24" max="24" width="12.85546875" style="2177" bestFit="1" customWidth="1"/>
    <col min="25" max="25" width="11.28515625" style="2177" bestFit="1" customWidth="1"/>
    <col min="26" max="26" width="12.5703125" style="2177" bestFit="1" customWidth="1"/>
    <col min="27" max="27" width="14" style="2177" bestFit="1" customWidth="1"/>
    <col min="28" max="28" width="6" style="2177" bestFit="1" customWidth="1"/>
    <col min="29" max="29" width="15" style="2177" customWidth="1"/>
    <col min="30" max="30" width="14.85546875" style="2177" bestFit="1" customWidth="1"/>
    <col min="31" max="31" width="16.140625" style="2177" bestFit="1" customWidth="1"/>
    <col min="32" max="255" width="9.140625" style="2177"/>
    <col min="256" max="256" width="24" style="2177" bestFit="1" customWidth="1"/>
    <col min="257" max="257" width="43.85546875" style="2177" customWidth="1"/>
    <col min="258" max="258" width="19.7109375" style="2177" bestFit="1" customWidth="1"/>
    <col min="259" max="259" width="15.28515625" style="2177" bestFit="1" customWidth="1"/>
    <col min="260" max="260" width="17.5703125" style="2177" bestFit="1" customWidth="1"/>
    <col min="261" max="261" width="13.42578125" style="2177" customWidth="1"/>
    <col min="262" max="262" width="15.28515625" style="2177" bestFit="1" customWidth="1"/>
    <col min="263" max="263" width="14.140625" style="2177" bestFit="1" customWidth="1"/>
    <col min="264" max="264" width="15.28515625" style="2177" customWidth="1"/>
    <col min="265" max="265" width="15.85546875" style="2177" customWidth="1"/>
    <col min="266" max="266" width="17" style="2177" bestFit="1" customWidth="1"/>
    <col min="267" max="267" width="12.7109375" style="2177" customWidth="1"/>
    <col min="268" max="268" width="13.7109375" style="2177" customWidth="1"/>
    <col min="269" max="269" width="13.85546875" style="2177" bestFit="1" customWidth="1"/>
    <col min="270" max="270" width="16.5703125" style="2177" customWidth="1"/>
    <col min="271" max="271" width="16.140625" style="2177" customWidth="1"/>
    <col min="272" max="272" width="16.7109375" style="2177" bestFit="1" customWidth="1"/>
    <col min="273" max="273" width="15.5703125" style="2177" bestFit="1" customWidth="1"/>
    <col min="274" max="274" width="18" style="2177" customWidth="1"/>
    <col min="275" max="275" width="16.42578125" style="2177" bestFit="1" customWidth="1"/>
    <col min="276" max="276" width="14.28515625" style="2177" customWidth="1"/>
    <col min="277" max="277" width="12.85546875" style="2177" bestFit="1" customWidth="1"/>
    <col min="278" max="278" width="11.28515625" style="2177" bestFit="1" customWidth="1"/>
    <col min="279" max="279" width="12.5703125" style="2177" bestFit="1" customWidth="1"/>
    <col min="280" max="280" width="14" style="2177" bestFit="1" customWidth="1"/>
    <col min="281" max="281" width="6" style="2177" bestFit="1" customWidth="1"/>
    <col min="282" max="282" width="15" style="2177" customWidth="1"/>
    <col min="283" max="283" width="14.85546875" style="2177" bestFit="1" customWidth="1"/>
    <col min="284" max="284" width="16.140625" style="2177" bestFit="1" customWidth="1"/>
    <col min="285" max="511" width="9.140625" style="2177"/>
    <col min="512" max="512" width="24" style="2177" bestFit="1" customWidth="1"/>
    <col min="513" max="513" width="43.85546875" style="2177" customWidth="1"/>
    <col min="514" max="514" width="19.7109375" style="2177" bestFit="1" customWidth="1"/>
    <col min="515" max="515" width="15.28515625" style="2177" bestFit="1" customWidth="1"/>
    <col min="516" max="516" width="17.5703125" style="2177" bestFit="1" customWidth="1"/>
    <col min="517" max="517" width="13.42578125" style="2177" customWidth="1"/>
    <col min="518" max="518" width="15.28515625" style="2177" bestFit="1" customWidth="1"/>
    <col min="519" max="519" width="14.140625" style="2177" bestFit="1" customWidth="1"/>
    <col min="520" max="520" width="15.28515625" style="2177" customWidth="1"/>
    <col min="521" max="521" width="15.85546875" style="2177" customWidth="1"/>
    <col min="522" max="522" width="17" style="2177" bestFit="1" customWidth="1"/>
    <col min="523" max="523" width="12.7109375" style="2177" customWidth="1"/>
    <col min="524" max="524" width="13.7109375" style="2177" customWidth="1"/>
    <col min="525" max="525" width="13.85546875" style="2177" bestFit="1" customWidth="1"/>
    <col min="526" max="526" width="16.5703125" style="2177" customWidth="1"/>
    <col min="527" max="527" width="16.140625" style="2177" customWidth="1"/>
    <col min="528" max="528" width="16.7109375" style="2177" bestFit="1" customWidth="1"/>
    <col min="529" max="529" width="15.5703125" style="2177" bestFit="1" customWidth="1"/>
    <col min="530" max="530" width="18" style="2177" customWidth="1"/>
    <col min="531" max="531" width="16.42578125" style="2177" bestFit="1" customWidth="1"/>
    <col min="532" max="532" width="14.28515625" style="2177" customWidth="1"/>
    <col min="533" max="533" width="12.85546875" style="2177" bestFit="1" customWidth="1"/>
    <col min="534" max="534" width="11.28515625" style="2177" bestFit="1" customWidth="1"/>
    <col min="535" max="535" width="12.5703125" style="2177" bestFit="1" customWidth="1"/>
    <col min="536" max="536" width="14" style="2177" bestFit="1" customWidth="1"/>
    <col min="537" max="537" width="6" style="2177" bestFit="1" customWidth="1"/>
    <col min="538" max="538" width="15" style="2177" customWidth="1"/>
    <col min="539" max="539" width="14.85546875" style="2177" bestFit="1" customWidth="1"/>
    <col min="540" max="540" width="16.140625" style="2177" bestFit="1" customWidth="1"/>
    <col min="541" max="767" width="9.140625" style="2177"/>
    <col min="768" max="768" width="24" style="2177" bestFit="1" customWidth="1"/>
    <col min="769" max="769" width="43.85546875" style="2177" customWidth="1"/>
    <col min="770" max="770" width="19.7109375" style="2177" bestFit="1" customWidth="1"/>
    <col min="771" max="771" width="15.28515625" style="2177" bestFit="1" customWidth="1"/>
    <col min="772" max="772" width="17.5703125" style="2177" bestFit="1" customWidth="1"/>
    <col min="773" max="773" width="13.42578125" style="2177" customWidth="1"/>
    <col min="774" max="774" width="15.28515625" style="2177" bestFit="1" customWidth="1"/>
    <col min="775" max="775" width="14.140625" style="2177" bestFit="1" customWidth="1"/>
    <col min="776" max="776" width="15.28515625" style="2177" customWidth="1"/>
    <col min="777" max="777" width="15.85546875" style="2177" customWidth="1"/>
    <col min="778" max="778" width="17" style="2177" bestFit="1" customWidth="1"/>
    <col min="779" max="779" width="12.7109375" style="2177" customWidth="1"/>
    <col min="780" max="780" width="13.7109375" style="2177" customWidth="1"/>
    <col min="781" max="781" width="13.85546875" style="2177" bestFit="1" customWidth="1"/>
    <col min="782" max="782" width="16.5703125" style="2177" customWidth="1"/>
    <col min="783" max="783" width="16.140625" style="2177" customWidth="1"/>
    <col min="784" max="784" width="16.7109375" style="2177" bestFit="1" customWidth="1"/>
    <col min="785" max="785" width="15.5703125" style="2177" bestFit="1" customWidth="1"/>
    <col min="786" max="786" width="18" style="2177" customWidth="1"/>
    <col min="787" max="787" width="16.42578125" style="2177" bestFit="1" customWidth="1"/>
    <col min="788" max="788" width="14.28515625" style="2177" customWidth="1"/>
    <col min="789" max="789" width="12.85546875" style="2177" bestFit="1" customWidth="1"/>
    <col min="790" max="790" width="11.28515625" style="2177" bestFit="1" customWidth="1"/>
    <col min="791" max="791" width="12.5703125" style="2177" bestFit="1" customWidth="1"/>
    <col min="792" max="792" width="14" style="2177" bestFit="1" customWidth="1"/>
    <col min="793" max="793" width="6" style="2177" bestFit="1" customWidth="1"/>
    <col min="794" max="794" width="15" style="2177" customWidth="1"/>
    <col min="795" max="795" width="14.85546875" style="2177" bestFit="1" customWidth="1"/>
    <col min="796" max="796" width="16.140625" style="2177" bestFit="1" customWidth="1"/>
    <col min="797" max="1023" width="9.140625" style="2177"/>
    <col min="1024" max="1024" width="24" style="2177" bestFit="1" customWidth="1"/>
    <col min="1025" max="1025" width="43.85546875" style="2177" customWidth="1"/>
    <col min="1026" max="1026" width="19.7109375" style="2177" bestFit="1" customWidth="1"/>
    <col min="1027" max="1027" width="15.28515625" style="2177" bestFit="1" customWidth="1"/>
    <col min="1028" max="1028" width="17.5703125" style="2177" bestFit="1" customWidth="1"/>
    <col min="1029" max="1029" width="13.42578125" style="2177" customWidth="1"/>
    <col min="1030" max="1030" width="15.28515625" style="2177" bestFit="1" customWidth="1"/>
    <col min="1031" max="1031" width="14.140625" style="2177" bestFit="1" customWidth="1"/>
    <col min="1032" max="1032" width="15.28515625" style="2177" customWidth="1"/>
    <col min="1033" max="1033" width="15.85546875" style="2177" customWidth="1"/>
    <col min="1034" max="1034" width="17" style="2177" bestFit="1" customWidth="1"/>
    <col min="1035" max="1035" width="12.7109375" style="2177" customWidth="1"/>
    <col min="1036" max="1036" width="13.7109375" style="2177" customWidth="1"/>
    <col min="1037" max="1037" width="13.85546875" style="2177" bestFit="1" customWidth="1"/>
    <col min="1038" max="1038" width="16.5703125" style="2177" customWidth="1"/>
    <col min="1039" max="1039" width="16.140625" style="2177" customWidth="1"/>
    <col min="1040" max="1040" width="16.7109375" style="2177" bestFit="1" customWidth="1"/>
    <col min="1041" max="1041" width="15.5703125" style="2177" bestFit="1" customWidth="1"/>
    <col min="1042" max="1042" width="18" style="2177" customWidth="1"/>
    <col min="1043" max="1043" width="16.42578125" style="2177" bestFit="1" customWidth="1"/>
    <col min="1044" max="1044" width="14.28515625" style="2177" customWidth="1"/>
    <col min="1045" max="1045" width="12.85546875" style="2177" bestFit="1" customWidth="1"/>
    <col min="1046" max="1046" width="11.28515625" style="2177" bestFit="1" customWidth="1"/>
    <col min="1047" max="1047" width="12.5703125" style="2177" bestFit="1" customWidth="1"/>
    <col min="1048" max="1048" width="14" style="2177" bestFit="1" customWidth="1"/>
    <col min="1049" max="1049" width="6" style="2177" bestFit="1" customWidth="1"/>
    <col min="1050" max="1050" width="15" style="2177" customWidth="1"/>
    <col min="1051" max="1051" width="14.85546875" style="2177" bestFit="1" customWidth="1"/>
    <col min="1052" max="1052" width="16.140625" style="2177" bestFit="1" customWidth="1"/>
    <col min="1053" max="1279" width="9.140625" style="2177"/>
    <col min="1280" max="1280" width="24" style="2177" bestFit="1" customWidth="1"/>
    <col min="1281" max="1281" width="43.85546875" style="2177" customWidth="1"/>
    <col min="1282" max="1282" width="19.7109375" style="2177" bestFit="1" customWidth="1"/>
    <col min="1283" max="1283" width="15.28515625" style="2177" bestFit="1" customWidth="1"/>
    <col min="1284" max="1284" width="17.5703125" style="2177" bestFit="1" customWidth="1"/>
    <col min="1285" max="1285" width="13.42578125" style="2177" customWidth="1"/>
    <col min="1286" max="1286" width="15.28515625" style="2177" bestFit="1" customWidth="1"/>
    <col min="1287" max="1287" width="14.140625" style="2177" bestFit="1" customWidth="1"/>
    <col min="1288" max="1288" width="15.28515625" style="2177" customWidth="1"/>
    <col min="1289" max="1289" width="15.85546875" style="2177" customWidth="1"/>
    <col min="1290" max="1290" width="17" style="2177" bestFit="1" customWidth="1"/>
    <col min="1291" max="1291" width="12.7109375" style="2177" customWidth="1"/>
    <col min="1292" max="1292" width="13.7109375" style="2177" customWidth="1"/>
    <col min="1293" max="1293" width="13.85546875" style="2177" bestFit="1" customWidth="1"/>
    <col min="1294" max="1294" width="16.5703125" style="2177" customWidth="1"/>
    <col min="1295" max="1295" width="16.140625" style="2177" customWidth="1"/>
    <col min="1296" max="1296" width="16.7109375" style="2177" bestFit="1" customWidth="1"/>
    <col min="1297" max="1297" width="15.5703125" style="2177" bestFit="1" customWidth="1"/>
    <col min="1298" max="1298" width="18" style="2177" customWidth="1"/>
    <col min="1299" max="1299" width="16.42578125" style="2177" bestFit="1" customWidth="1"/>
    <col min="1300" max="1300" width="14.28515625" style="2177" customWidth="1"/>
    <col min="1301" max="1301" width="12.85546875" style="2177" bestFit="1" customWidth="1"/>
    <col min="1302" max="1302" width="11.28515625" style="2177" bestFit="1" customWidth="1"/>
    <col min="1303" max="1303" width="12.5703125" style="2177" bestFit="1" customWidth="1"/>
    <col min="1304" max="1304" width="14" style="2177" bestFit="1" customWidth="1"/>
    <col min="1305" max="1305" width="6" style="2177" bestFit="1" customWidth="1"/>
    <col min="1306" max="1306" width="15" style="2177" customWidth="1"/>
    <col min="1307" max="1307" width="14.85546875" style="2177" bestFit="1" customWidth="1"/>
    <col min="1308" max="1308" width="16.140625" style="2177" bestFit="1" customWidth="1"/>
    <col min="1309" max="1535" width="9.140625" style="2177"/>
    <col min="1536" max="1536" width="24" style="2177" bestFit="1" customWidth="1"/>
    <col min="1537" max="1537" width="43.85546875" style="2177" customWidth="1"/>
    <col min="1538" max="1538" width="19.7109375" style="2177" bestFit="1" customWidth="1"/>
    <col min="1539" max="1539" width="15.28515625" style="2177" bestFit="1" customWidth="1"/>
    <col min="1540" max="1540" width="17.5703125" style="2177" bestFit="1" customWidth="1"/>
    <col min="1541" max="1541" width="13.42578125" style="2177" customWidth="1"/>
    <col min="1542" max="1542" width="15.28515625" style="2177" bestFit="1" customWidth="1"/>
    <col min="1543" max="1543" width="14.140625" style="2177" bestFit="1" customWidth="1"/>
    <col min="1544" max="1544" width="15.28515625" style="2177" customWidth="1"/>
    <col min="1545" max="1545" width="15.85546875" style="2177" customWidth="1"/>
    <col min="1546" max="1546" width="17" style="2177" bestFit="1" customWidth="1"/>
    <col min="1547" max="1547" width="12.7109375" style="2177" customWidth="1"/>
    <col min="1548" max="1548" width="13.7109375" style="2177" customWidth="1"/>
    <col min="1549" max="1549" width="13.85546875" style="2177" bestFit="1" customWidth="1"/>
    <col min="1550" max="1550" width="16.5703125" style="2177" customWidth="1"/>
    <col min="1551" max="1551" width="16.140625" style="2177" customWidth="1"/>
    <col min="1552" max="1552" width="16.7109375" style="2177" bestFit="1" customWidth="1"/>
    <col min="1553" max="1553" width="15.5703125" style="2177" bestFit="1" customWidth="1"/>
    <col min="1554" max="1554" width="18" style="2177" customWidth="1"/>
    <col min="1555" max="1555" width="16.42578125" style="2177" bestFit="1" customWidth="1"/>
    <col min="1556" max="1556" width="14.28515625" style="2177" customWidth="1"/>
    <col min="1557" max="1557" width="12.85546875" style="2177" bestFit="1" customWidth="1"/>
    <col min="1558" max="1558" width="11.28515625" style="2177" bestFit="1" customWidth="1"/>
    <col min="1559" max="1559" width="12.5703125" style="2177" bestFit="1" customWidth="1"/>
    <col min="1560" max="1560" width="14" style="2177" bestFit="1" customWidth="1"/>
    <col min="1561" max="1561" width="6" style="2177" bestFit="1" customWidth="1"/>
    <col min="1562" max="1562" width="15" style="2177" customWidth="1"/>
    <col min="1563" max="1563" width="14.85546875" style="2177" bestFit="1" customWidth="1"/>
    <col min="1564" max="1564" width="16.140625" style="2177" bestFit="1" customWidth="1"/>
    <col min="1565" max="1791" width="9.140625" style="2177"/>
    <col min="1792" max="1792" width="24" style="2177" bestFit="1" customWidth="1"/>
    <col min="1793" max="1793" width="43.85546875" style="2177" customWidth="1"/>
    <col min="1794" max="1794" width="19.7109375" style="2177" bestFit="1" customWidth="1"/>
    <col min="1795" max="1795" width="15.28515625" style="2177" bestFit="1" customWidth="1"/>
    <col min="1796" max="1796" width="17.5703125" style="2177" bestFit="1" customWidth="1"/>
    <col min="1797" max="1797" width="13.42578125" style="2177" customWidth="1"/>
    <col min="1798" max="1798" width="15.28515625" style="2177" bestFit="1" customWidth="1"/>
    <col min="1799" max="1799" width="14.140625" style="2177" bestFit="1" customWidth="1"/>
    <col min="1800" max="1800" width="15.28515625" style="2177" customWidth="1"/>
    <col min="1801" max="1801" width="15.85546875" style="2177" customWidth="1"/>
    <col min="1802" max="1802" width="17" style="2177" bestFit="1" customWidth="1"/>
    <col min="1803" max="1803" width="12.7109375" style="2177" customWidth="1"/>
    <col min="1804" max="1804" width="13.7109375" style="2177" customWidth="1"/>
    <col min="1805" max="1805" width="13.85546875" style="2177" bestFit="1" customWidth="1"/>
    <col min="1806" max="1806" width="16.5703125" style="2177" customWidth="1"/>
    <col min="1807" max="1807" width="16.140625" style="2177" customWidth="1"/>
    <col min="1808" max="1808" width="16.7109375" style="2177" bestFit="1" customWidth="1"/>
    <col min="1809" max="1809" width="15.5703125" style="2177" bestFit="1" customWidth="1"/>
    <col min="1810" max="1810" width="18" style="2177" customWidth="1"/>
    <col min="1811" max="1811" width="16.42578125" style="2177" bestFit="1" customWidth="1"/>
    <col min="1812" max="1812" width="14.28515625" style="2177" customWidth="1"/>
    <col min="1813" max="1813" width="12.85546875" style="2177" bestFit="1" customWidth="1"/>
    <col min="1814" max="1814" width="11.28515625" style="2177" bestFit="1" customWidth="1"/>
    <col min="1815" max="1815" width="12.5703125" style="2177" bestFit="1" customWidth="1"/>
    <col min="1816" max="1816" width="14" style="2177" bestFit="1" customWidth="1"/>
    <col min="1817" max="1817" width="6" style="2177" bestFit="1" customWidth="1"/>
    <col min="1818" max="1818" width="15" style="2177" customWidth="1"/>
    <col min="1819" max="1819" width="14.85546875" style="2177" bestFit="1" customWidth="1"/>
    <col min="1820" max="1820" width="16.140625" style="2177" bestFit="1" customWidth="1"/>
    <col min="1821" max="2047" width="9.140625" style="2177"/>
    <col min="2048" max="2048" width="24" style="2177" bestFit="1" customWidth="1"/>
    <col min="2049" max="2049" width="43.85546875" style="2177" customWidth="1"/>
    <col min="2050" max="2050" width="19.7109375" style="2177" bestFit="1" customWidth="1"/>
    <col min="2051" max="2051" width="15.28515625" style="2177" bestFit="1" customWidth="1"/>
    <col min="2052" max="2052" width="17.5703125" style="2177" bestFit="1" customWidth="1"/>
    <col min="2053" max="2053" width="13.42578125" style="2177" customWidth="1"/>
    <col min="2054" max="2054" width="15.28515625" style="2177" bestFit="1" customWidth="1"/>
    <col min="2055" max="2055" width="14.140625" style="2177" bestFit="1" customWidth="1"/>
    <col min="2056" max="2056" width="15.28515625" style="2177" customWidth="1"/>
    <col min="2057" max="2057" width="15.85546875" style="2177" customWidth="1"/>
    <col min="2058" max="2058" width="17" style="2177" bestFit="1" customWidth="1"/>
    <col min="2059" max="2059" width="12.7109375" style="2177" customWidth="1"/>
    <col min="2060" max="2060" width="13.7109375" style="2177" customWidth="1"/>
    <col min="2061" max="2061" width="13.85546875" style="2177" bestFit="1" customWidth="1"/>
    <col min="2062" max="2062" width="16.5703125" style="2177" customWidth="1"/>
    <col min="2063" max="2063" width="16.140625" style="2177" customWidth="1"/>
    <col min="2064" max="2064" width="16.7109375" style="2177" bestFit="1" customWidth="1"/>
    <col min="2065" max="2065" width="15.5703125" style="2177" bestFit="1" customWidth="1"/>
    <col min="2066" max="2066" width="18" style="2177" customWidth="1"/>
    <col min="2067" max="2067" width="16.42578125" style="2177" bestFit="1" customWidth="1"/>
    <col min="2068" max="2068" width="14.28515625" style="2177" customWidth="1"/>
    <col min="2069" max="2069" width="12.85546875" style="2177" bestFit="1" customWidth="1"/>
    <col min="2070" max="2070" width="11.28515625" style="2177" bestFit="1" customWidth="1"/>
    <col min="2071" max="2071" width="12.5703125" style="2177" bestFit="1" customWidth="1"/>
    <col min="2072" max="2072" width="14" style="2177" bestFit="1" customWidth="1"/>
    <col min="2073" max="2073" width="6" style="2177" bestFit="1" customWidth="1"/>
    <col min="2074" max="2074" width="15" style="2177" customWidth="1"/>
    <col min="2075" max="2075" width="14.85546875" style="2177" bestFit="1" customWidth="1"/>
    <col min="2076" max="2076" width="16.140625" style="2177" bestFit="1" customWidth="1"/>
    <col min="2077" max="2303" width="9.140625" style="2177"/>
    <col min="2304" max="2304" width="24" style="2177" bestFit="1" customWidth="1"/>
    <col min="2305" max="2305" width="43.85546875" style="2177" customWidth="1"/>
    <col min="2306" max="2306" width="19.7109375" style="2177" bestFit="1" customWidth="1"/>
    <col min="2307" max="2307" width="15.28515625" style="2177" bestFit="1" customWidth="1"/>
    <col min="2308" max="2308" width="17.5703125" style="2177" bestFit="1" customWidth="1"/>
    <col min="2309" max="2309" width="13.42578125" style="2177" customWidth="1"/>
    <col min="2310" max="2310" width="15.28515625" style="2177" bestFit="1" customWidth="1"/>
    <col min="2311" max="2311" width="14.140625" style="2177" bestFit="1" customWidth="1"/>
    <col min="2312" max="2312" width="15.28515625" style="2177" customWidth="1"/>
    <col min="2313" max="2313" width="15.85546875" style="2177" customWidth="1"/>
    <col min="2314" max="2314" width="17" style="2177" bestFit="1" customWidth="1"/>
    <col min="2315" max="2315" width="12.7109375" style="2177" customWidth="1"/>
    <col min="2316" max="2316" width="13.7109375" style="2177" customWidth="1"/>
    <col min="2317" max="2317" width="13.85546875" style="2177" bestFit="1" customWidth="1"/>
    <col min="2318" max="2318" width="16.5703125" style="2177" customWidth="1"/>
    <col min="2319" max="2319" width="16.140625" style="2177" customWidth="1"/>
    <col min="2320" max="2320" width="16.7109375" style="2177" bestFit="1" customWidth="1"/>
    <col min="2321" max="2321" width="15.5703125" style="2177" bestFit="1" customWidth="1"/>
    <col min="2322" max="2322" width="18" style="2177" customWidth="1"/>
    <col min="2323" max="2323" width="16.42578125" style="2177" bestFit="1" customWidth="1"/>
    <col min="2324" max="2324" width="14.28515625" style="2177" customWidth="1"/>
    <col min="2325" max="2325" width="12.85546875" style="2177" bestFit="1" customWidth="1"/>
    <col min="2326" max="2326" width="11.28515625" style="2177" bestFit="1" customWidth="1"/>
    <col min="2327" max="2327" width="12.5703125" style="2177" bestFit="1" customWidth="1"/>
    <col min="2328" max="2328" width="14" style="2177" bestFit="1" customWidth="1"/>
    <col min="2329" max="2329" width="6" style="2177" bestFit="1" customWidth="1"/>
    <col min="2330" max="2330" width="15" style="2177" customWidth="1"/>
    <col min="2331" max="2331" width="14.85546875" style="2177" bestFit="1" customWidth="1"/>
    <col min="2332" max="2332" width="16.140625" style="2177" bestFit="1" customWidth="1"/>
    <col min="2333" max="2559" width="9.140625" style="2177"/>
    <col min="2560" max="2560" width="24" style="2177" bestFit="1" customWidth="1"/>
    <col min="2561" max="2561" width="43.85546875" style="2177" customWidth="1"/>
    <col min="2562" max="2562" width="19.7109375" style="2177" bestFit="1" customWidth="1"/>
    <col min="2563" max="2563" width="15.28515625" style="2177" bestFit="1" customWidth="1"/>
    <col min="2564" max="2564" width="17.5703125" style="2177" bestFit="1" customWidth="1"/>
    <col min="2565" max="2565" width="13.42578125" style="2177" customWidth="1"/>
    <col min="2566" max="2566" width="15.28515625" style="2177" bestFit="1" customWidth="1"/>
    <col min="2567" max="2567" width="14.140625" style="2177" bestFit="1" customWidth="1"/>
    <col min="2568" max="2568" width="15.28515625" style="2177" customWidth="1"/>
    <col min="2569" max="2569" width="15.85546875" style="2177" customWidth="1"/>
    <col min="2570" max="2570" width="17" style="2177" bestFit="1" customWidth="1"/>
    <col min="2571" max="2571" width="12.7109375" style="2177" customWidth="1"/>
    <col min="2572" max="2572" width="13.7109375" style="2177" customWidth="1"/>
    <col min="2573" max="2573" width="13.85546875" style="2177" bestFit="1" customWidth="1"/>
    <col min="2574" max="2574" width="16.5703125" style="2177" customWidth="1"/>
    <col min="2575" max="2575" width="16.140625" style="2177" customWidth="1"/>
    <col min="2576" max="2576" width="16.7109375" style="2177" bestFit="1" customWidth="1"/>
    <col min="2577" max="2577" width="15.5703125" style="2177" bestFit="1" customWidth="1"/>
    <col min="2578" max="2578" width="18" style="2177" customWidth="1"/>
    <col min="2579" max="2579" width="16.42578125" style="2177" bestFit="1" customWidth="1"/>
    <col min="2580" max="2580" width="14.28515625" style="2177" customWidth="1"/>
    <col min="2581" max="2581" width="12.85546875" style="2177" bestFit="1" customWidth="1"/>
    <col min="2582" max="2582" width="11.28515625" style="2177" bestFit="1" customWidth="1"/>
    <col min="2583" max="2583" width="12.5703125" style="2177" bestFit="1" customWidth="1"/>
    <col min="2584" max="2584" width="14" style="2177" bestFit="1" customWidth="1"/>
    <col min="2585" max="2585" width="6" style="2177" bestFit="1" customWidth="1"/>
    <col min="2586" max="2586" width="15" style="2177" customWidth="1"/>
    <col min="2587" max="2587" width="14.85546875" style="2177" bestFit="1" customWidth="1"/>
    <col min="2588" max="2588" width="16.140625" style="2177" bestFit="1" customWidth="1"/>
    <col min="2589" max="2815" width="9.140625" style="2177"/>
    <col min="2816" max="2816" width="24" style="2177" bestFit="1" customWidth="1"/>
    <col min="2817" max="2817" width="43.85546875" style="2177" customWidth="1"/>
    <col min="2818" max="2818" width="19.7109375" style="2177" bestFit="1" customWidth="1"/>
    <col min="2819" max="2819" width="15.28515625" style="2177" bestFit="1" customWidth="1"/>
    <col min="2820" max="2820" width="17.5703125" style="2177" bestFit="1" customWidth="1"/>
    <col min="2821" max="2821" width="13.42578125" style="2177" customWidth="1"/>
    <col min="2822" max="2822" width="15.28515625" style="2177" bestFit="1" customWidth="1"/>
    <col min="2823" max="2823" width="14.140625" style="2177" bestFit="1" customWidth="1"/>
    <col min="2824" max="2824" width="15.28515625" style="2177" customWidth="1"/>
    <col min="2825" max="2825" width="15.85546875" style="2177" customWidth="1"/>
    <col min="2826" max="2826" width="17" style="2177" bestFit="1" customWidth="1"/>
    <col min="2827" max="2827" width="12.7109375" style="2177" customWidth="1"/>
    <col min="2828" max="2828" width="13.7109375" style="2177" customWidth="1"/>
    <col min="2829" max="2829" width="13.85546875" style="2177" bestFit="1" customWidth="1"/>
    <col min="2830" max="2830" width="16.5703125" style="2177" customWidth="1"/>
    <col min="2831" max="2831" width="16.140625" style="2177" customWidth="1"/>
    <col min="2832" max="2832" width="16.7109375" style="2177" bestFit="1" customWidth="1"/>
    <col min="2833" max="2833" width="15.5703125" style="2177" bestFit="1" customWidth="1"/>
    <col min="2834" max="2834" width="18" style="2177" customWidth="1"/>
    <col min="2835" max="2835" width="16.42578125" style="2177" bestFit="1" customWidth="1"/>
    <col min="2836" max="2836" width="14.28515625" style="2177" customWidth="1"/>
    <col min="2837" max="2837" width="12.85546875" style="2177" bestFit="1" customWidth="1"/>
    <col min="2838" max="2838" width="11.28515625" style="2177" bestFit="1" customWidth="1"/>
    <col min="2839" max="2839" width="12.5703125" style="2177" bestFit="1" customWidth="1"/>
    <col min="2840" max="2840" width="14" style="2177" bestFit="1" customWidth="1"/>
    <col min="2841" max="2841" width="6" style="2177" bestFit="1" customWidth="1"/>
    <col min="2842" max="2842" width="15" style="2177" customWidth="1"/>
    <col min="2843" max="2843" width="14.85546875" style="2177" bestFit="1" customWidth="1"/>
    <col min="2844" max="2844" width="16.140625" style="2177" bestFit="1" customWidth="1"/>
    <col min="2845" max="3071" width="9.140625" style="2177"/>
    <col min="3072" max="3072" width="24" style="2177" bestFit="1" customWidth="1"/>
    <col min="3073" max="3073" width="43.85546875" style="2177" customWidth="1"/>
    <col min="3074" max="3074" width="19.7109375" style="2177" bestFit="1" customWidth="1"/>
    <col min="3075" max="3075" width="15.28515625" style="2177" bestFit="1" customWidth="1"/>
    <col min="3076" max="3076" width="17.5703125" style="2177" bestFit="1" customWidth="1"/>
    <col min="3077" max="3077" width="13.42578125" style="2177" customWidth="1"/>
    <col min="3078" max="3078" width="15.28515625" style="2177" bestFit="1" customWidth="1"/>
    <col min="3079" max="3079" width="14.140625" style="2177" bestFit="1" customWidth="1"/>
    <col min="3080" max="3080" width="15.28515625" style="2177" customWidth="1"/>
    <col min="3081" max="3081" width="15.85546875" style="2177" customWidth="1"/>
    <col min="3082" max="3082" width="17" style="2177" bestFit="1" customWidth="1"/>
    <col min="3083" max="3083" width="12.7109375" style="2177" customWidth="1"/>
    <col min="3084" max="3084" width="13.7109375" style="2177" customWidth="1"/>
    <col min="3085" max="3085" width="13.85546875" style="2177" bestFit="1" customWidth="1"/>
    <col min="3086" max="3086" width="16.5703125" style="2177" customWidth="1"/>
    <col min="3087" max="3087" width="16.140625" style="2177" customWidth="1"/>
    <col min="3088" max="3088" width="16.7109375" style="2177" bestFit="1" customWidth="1"/>
    <col min="3089" max="3089" width="15.5703125" style="2177" bestFit="1" customWidth="1"/>
    <col min="3090" max="3090" width="18" style="2177" customWidth="1"/>
    <col min="3091" max="3091" width="16.42578125" style="2177" bestFit="1" customWidth="1"/>
    <col min="3092" max="3092" width="14.28515625" style="2177" customWidth="1"/>
    <col min="3093" max="3093" width="12.85546875" style="2177" bestFit="1" customWidth="1"/>
    <col min="3094" max="3094" width="11.28515625" style="2177" bestFit="1" customWidth="1"/>
    <col min="3095" max="3095" width="12.5703125" style="2177" bestFit="1" customWidth="1"/>
    <col min="3096" max="3096" width="14" style="2177" bestFit="1" customWidth="1"/>
    <col min="3097" max="3097" width="6" style="2177" bestFit="1" customWidth="1"/>
    <col min="3098" max="3098" width="15" style="2177" customWidth="1"/>
    <col min="3099" max="3099" width="14.85546875" style="2177" bestFit="1" customWidth="1"/>
    <col min="3100" max="3100" width="16.140625" style="2177" bestFit="1" customWidth="1"/>
    <col min="3101" max="3327" width="9.140625" style="2177"/>
    <col min="3328" max="3328" width="24" style="2177" bestFit="1" customWidth="1"/>
    <col min="3329" max="3329" width="43.85546875" style="2177" customWidth="1"/>
    <col min="3330" max="3330" width="19.7109375" style="2177" bestFit="1" customWidth="1"/>
    <col min="3331" max="3331" width="15.28515625" style="2177" bestFit="1" customWidth="1"/>
    <col min="3332" max="3332" width="17.5703125" style="2177" bestFit="1" customWidth="1"/>
    <col min="3333" max="3333" width="13.42578125" style="2177" customWidth="1"/>
    <col min="3334" max="3334" width="15.28515625" style="2177" bestFit="1" customWidth="1"/>
    <col min="3335" max="3335" width="14.140625" style="2177" bestFit="1" customWidth="1"/>
    <col min="3336" max="3336" width="15.28515625" style="2177" customWidth="1"/>
    <col min="3337" max="3337" width="15.85546875" style="2177" customWidth="1"/>
    <col min="3338" max="3338" width="17" style="2177" bestFit="1" customWidth="1"/>
    <col min="3339" max="3339" width="12.7109375" style="2177" customWidth="1"/>
    <col min="3340" max="3340" width="13.7109375" style="2177" customWidth="1"/>
    <col min="3341" max="3341" width="13.85546875" style="2177" bestFit="1" customWidth="1"/>
    <col min="3342" max="3342" width="16.5703125" style="2177" customWidth="1"/>
    <col min="3343" max="3343" width="16.140625" style="2177" customWidth="1"/>
    <col min="3344" max="3344" width="16.7109375" style="2177" bestFit="1" customWidth="1"/>
    <col min="3345" max="3345" width="15.5703125" style="2177" bestFit="1" customWidth="1"/>
    <col min="3346" max="3346" width="18" style="2177" customWidth="1"/>
    <col min="3347" max="3347" width="16.42578125" style="2177" bestFit="1" customWidth="1"/>
    <col min="3348" max="3348" width="14.28515625" style="2177" customWidth="1"/>
    <col min="3349" max="3349" width="12.85546875" style="2177" bestFit="1" customWidth="1"/>
    <col min="3350" max="3350" width="11.28515625" style="2177" bestFit="1" customWidth="1"/>
    <col min="3351" max="3351" width="12.5703125" style="2177" bestFit="1" customWidth="1"/>
    <col min="3352" max="3352" width="14" style="2177" bestFit="1" customWidth="1"/>
    <col min="3353" max="3353" width="6" style="2177" bestFit="1" customWidth="1"/>
    <col min="3354" max="3354" width="15" style="2177" customWidth="1"/>
    <col min="3355" max="3355" width="14.85546875" style="2177" bestFit="1" customWidth="1"/>
    <col min="3356" max="3356" width="16.140625" style="2177" bestFit="1" customWidth="1"/>
    <col min="3357" max="3583" width="9.140625" style="2177"/>
    <col min="3584" max="3584" width="24" style="2177" bestFit="1" customWidth="1"/>
    <col min="3585" max="3585" width="43.85546875" style="2177" customWidth="1"/>
    <col min="3586" max="3586" width="19.7109375" style="2177" bestFit="1" customWidth="1"/>
    <col min="3587" max="3587" width="15.28515625" style="2177" bestFit="1" customWidth="1"/>
    <col min="3588" max="3588" width="17.5703125" style="2177" bestFit="1" customWidth="1"/>
    <col min="3589" max="3589" width="13.42578125" style="2177" customWidth="1"/>
    <col min="3590" max="3590" width="15.28515625" style="2177" bestFit="1" customWidth="1"/>
    <col min="3591" max="3591" width="14.140625" style="2177" bestFit="1" customWidth="1"/>
    <col min="3592" max="3592" width="15.28515625" style="2177" customWidth="1"/>
    <col min="3593" max="3593" width="15.85546875" style="2177" customWidth="1"/>
    <col min="3594" max="3594" width="17" style="2177" bestFit="1" customWidth="1"/>
    <col min="3595" max="3595" width="12.7109375" style="2177" customWidth="1"/>
    <col min="3596" max="3596" width="13.7109375" style="2177" customWidth="1"/>
    <col min="3597" max="3597" width="13.85546875" style="2177" bestFit="1" customWidth="1"/>
    <col min="3598" max="3598" width="16.5703125" style="2177" customWidth="1"/>
    <col min="3599" max="3599" width="16.140625" style="2177" customWidth="1"/>
    <col min="3600" max="3600" width="16.7109375" style="2177" bestFit="1" customWidth="1"/>
    <col min="3601" max="3601" width="15.5703125" style="2177" bestFit="1" customWidth="1"/>
    <col min="3602" max="3602" width="18" style="2177" customWidth="1"/>
    <col min="3603" max="3603" width="16.42578125" style="2177" bestFit="1" customWidth="1"/>
    <col min="3604" max="3604" width="14.28515625" style="2177" customWidth="1"/>
    <col min="3605" max="3605" width="12.85546875" style="2177" bestFit="1" customWidth="1"/>
    <col min="3606" max="3606" width="11.28515625" style="2177" bestFit="1" customWidth="1"/>
    <col min="3607" max="3607" width="12.5703125" style="2177" bestFit="1" customWidth="1"/>
    <col min="3608" max="3608" width="14" style="2177" bestFit="1" customWidth="1"/>
    <col min="3609" max="3609" width="6" style="2177" bestFit="1" customWidth="1"/>
    <col min="3610" max="3610" width="15" style="2177" customWidth="1"/>
    <col min="3611" max="3611" width="14.85546875" style="2177" bestFit="1" customWidth="1"/>
    <col min="3612" max="3612" width="16.140625" style="2177" bestFit="1" customWidth="1"/>
    <col min="3613" max="3839" width="9.140625" style="2177"/>
    <col min="3840" max="3840" width="24" style="2177" bestFit="1" customWidth="1"/>
    <col min="3841" max="3841" width="43.85546875" style="2177" customWidth="1"/>
    <col min="3842" max="3842" width="19.7109375" style="2177" bestFit="1" customWidth="1"/>
    <col min="3843" max="3843" width="15.28515625" style="2177" bestFit="1" customWidth="1"/>
    <col min="3844" max="3844" width="17.5703125" style="2177" bestFit="1" customWidth="1"/>
    <col min="3845" max="3845" width="13.42578125" style="2177" customWidth="1"/>
    <col min="3846" max="3846" width="15.28515625" style="2177" bestFit="1" customWidth="1"/>
    <col min="3847" max="3847" width="14.140625" style="2177" bestFit="1" customWidth="1"/>
    <col min="3848" max="3848" width="15.28515625" style="2177" customWidth="1"/>
    <col min="3849" max="3849" width="15.85546875" style="2177" customWidth="1"/>
    <col min="3850" max="3850" width="17" style="2177" bestFit="1" customWidth="1"/>
    <col min="3851" max="3851" width="12.7109375" style="2177" customWidth="1"/>
    <col min="3852" max="3852" width="13.7109375" style="2177" customWidth="1"/>
    <col min="3853" max="3853" width="13.85546875" style="2177" bestFit="1" customWidth="1"/>
    <col min="3854" max="3854" width="16.5703125" style="2177" customWidth="1"/>
    <col min="3855" max="3855" width="16.140625" style="2177" customWidth="1"/>
    <col min="3856" max="3856" width="16.7109375" style="2177" bestFit="1" customWidth="1"/>
    <col min="3857" max="3857" width="15.5703125" style="2177" bestFit="1" customWidth="1"/>
    <col min="3858" max="3858" width="18" style="2177" customWidth="1"/>
    <col min="3859" max="3859" width="16.42578125" style="2177" bestFit="1" customWidth="1"/>
    <col min="3860" max="3860" width="14.28515625" style="2177" customWidth="1"/>
    <col min="3861" max="3861" width="12.85546875" style="2177" bestFit="1" customWidth="1"/>
    <col min="3862" max="3862" width="11.28515625" style="2177" bestFit="1" customWidth="1"/>
    <col min="3863" max="3863" width="12.5703125" style="2177" bestFit="1" customWidth="1"/>
    <col min="3864" max="3864" width="14" style="2177" bestFit="1" customWidth="1"/>
    <col min="3865" max="3865" width="6" style="2177" bestFit="1" customWidth="1"/>
    <col min="3866" max="3866" width="15" style="2177" customWidth="1"/>
    <col min="3867" max="3867" width="14.85546875" style="2177" bestFit="1" customWidth="1"/>
    <col min="3868" max="3868" width="16.140625" style="2177" bestFit="1" customWidth="1"/>
    <col min="3869" max="4095" width="9.140625" style="2177"/>
    <col min="4096" max="4096" width="24" style="2177" bestFit="1" customWidth="1"/>
    <col min="4097" max="4097" width="43.85546875" style="2177" customWidth="1"/>
    <col min="4098" max="4098" width="19.7109375" style="2177" bestFit="1" customWidth="1"/>
    <col min="4099" max="4099" width="15.28515625" style="2177" bestFit="1" customWidth="1"/>
    <col min="4100" max="4100" width="17.5703125" style="2177" bestFit="1" customWidth="1"/>
    <col min="4101" max="4101" width="13.42578125" style="2177" customWidth="1"/>
    <col min="4102" max="4102" width="15.28515625" style="2177" bestFit="1" customWidth="1"/>
    <col min="4103" max="4103" width="14.140625" style="2177" bestFit="1" customWidth="1"/>
    <col min="4104" max="4104" width="15.28515625" style="2177" customWidth="1"/>
    <col min="4105" max="4105" width="15.85546875" style="2177" customWidth="1"/>
    <col min="4106" max="4106" width="17" style="2177" bestFit="1" customWidth="1"/>
    <col min="4107" max="4107" width="12.7109375" style="2177" customWidth="1"/>
    <col min="4108" max="4108" width="13.7109375" style="2177" customWidth="1"/>
    <col min="4109" max="4109" width="13.85546875" style="2177" bestFit="1" customWidth="1"/>
    <col min="4110" max="4110" width="16.5703125" style="2177" customWidth="1"/>
    <col min="4111" max="4111" width="16.140625" style="2177" customWidth="1"/>
    <col min="4112" max="4112" width="16.7109375" style="2177" bestFit="1" customWidth="1"/>
    <col min="4113" max="4113" width="15.5703125" style="2177" bestFit="1" customWidth="1"/>
    <col min="4114" max="4114" width="18" style="2177" customWidth="1"/>
    <col min="4115" max="4115" width="16.42578125" style="2177" bestFit="1" customWidth="1"/>
    <col min="4116" max="4116" width="14.28515625" style="2177" customWidth="1"/>
    <col min="4117" max="4117" width="12.85546875" style="2177" bestFit="1" customWidth="1"/>
    <col min="4118" max="4118" width="11.28515625" style="2177" bestFit="1" customWidth="1"/>
    <col min="4119" max="4119" width="12.5703125" style="2177" bestFit="1" customWidth="1"/>
    <col min="4120" max="4120" width="14" style="2177" bestFit="1" customWidth="1"/>
    <col min="4121" max="4121" width="6" style="2177" bestFit="1" customWidth="1"/>
    <col min="4122" max="4122" width="15" style="2177" customWidth="1"/>
    <col min="4123" max="4123" width="14.85546875" style="2177" bestFit="1" customWidth="1"/>
    <col min="4124" max="4124" width="16.140625" style="2177" bestFit="1" customWidth="1"/>
    <col min="4125" max="4351" width="9.140625" style="2177"/>
    <col min="4352" max="4352" width="24" style="2177" bestFit="1" customWidth="1"/>
    <col min="4353" max="4353" width="43.85546875" style="2177" customWidth="1"/>
    <col min="4354" max="4354" width="19.7109375" style="2177" bestFit="1" customWidth="1"/>
    <col min="4355" max="4355" width="15.28515625" style="2177" bestFit="1" customWidth="1"/>
    <col min="4356" max="4356" width="17.5703125" style="2177" bestFit="1" customWidth="1"/>
    <col min="4357" max="4357" width="13.42578125" style="2177" customWidth="1"/>
    <col min="4358" max="4358" width="15.28515625" style="2177" bestFit="1" customWidth="1"/>
    <col min="4359" max="4359" width="14.140625" style="2177" bestFit="1" customWidth="1"/>
    <col min="4360" max="4360" width="15.28515625" style="2177" customWidth="1"/>
    <col min="4361" max="4361" width="15.85546875" style="2177" customWidth="1"/>
    <col min="4362" max="4362" width="17" style="2177" bestFit="1" customWidth="1"/>
    <col min="4363" max="4363" width="12.7109375" style="2177" customWidth="1"/>
    <col min="4364" max="4364" width="13.7109375" style="2177" customWidth="1"/>
    <col min="4365" max="4365" width="13.85546875" style="2177" bestFit="1" customWidth="1"/>
    <col min="4366" max="4366" width="16.5703125" style="2177" customWidth="1"/>
    <col min="4367" max="4367" width="16.140625" style="2177" customWidth="1"/>
    <col min="4368" max="4368" width="16.7109375" style="2177" bestFit="1" customWidth="1"/>
    <col min="4369" max="4369" width="15.5703125" style="2177" bestFit="1" customWidth="1"/>
    <col min="4370" max="4370" width="18" style="2177" customWidth="1"/>
    <col min="4371" max="4371" width="16.42578125" style="2177" bestFit="1" customWidth="1"/>
    <col min="4372" max="4372" width="14.28515625" style="2177" customWidth="1"/>
    <col min="4373" max="4373" width="12.85546875" style="2177" bestFit="1" customWidth="1"/>
    <col min="4374" max="4374" width="11.28515625" style="2177" bestFit="1" customWidth="1"/>
    <col min="4375" max="4375" width="12.5703125" style="2177" bestFit="1" customWidth="1"/>
    <col min="4376" max="4376" width="14" style="2177" bestFit="1" customWidth="1"/>
    <col min="4377" max="4377" width="6" style="2177" bestFit="1" customWidth="1"/>
    <col min="4378" max="4378" width="15" style="2177" customWidth="1"/>
    <col min="4379" max="4379" width="14.85546875" style="2177" bestFit="1" customWidth="1"/>
    <col min="4380" max="4380" width="16.140625" style="2177" bestFit="1" customWidth="1"/>
    <col min="4381" max="4607" width="9.140625" style="2177"/>
    <col min="4608" max="4608" width="24" style="2177" bestFit="1" customWidth="1"/>
    <col min="4609" max="4609" width="43.85546875" style="2177" customWidth="1"/>
    <col min="4610" max="4610" width="19.7109375" style="2177" bestFit="1" customWidth="1"/>
    <col min="4611" max="4611" width="15.28515625" style="2177" bestFit="1" customWidth="1"/>
    <col min="4612" max="4612" width="17.5703125" style="2177" bestFit="1" customWidth="1"/>
    <col min="4613" max="4613" width="13.42578125" style="2177" customWidth="1"/>
    <col min="4614" max="4614" width="15.28515625" style="2177" bestFit="1" customWidth="1"/>
    <col min="4615" max="4615" width="14.140625" style="2177" bestFit="1" customWidth="1"/>
    <col min="4616" max="4616" width="15.28515625" style="2177" customWidth="1"/>
    <col min="4617" max="4617" width="15.85546875" style="2177" customWidth="1"/>
    <col min="4618" max="4618" width="17" style="2177" bestFit="1" customWidth="1"/>
    <col min="4619" max="4619" width="12.7109375" style="2177" customWidth="1"/>
    <col min="4620" max="4620" width="13.7109375" style="2177" customWidth="1"/>
    <col min="4621" max="4621" width="13.85546875" style="2177" bestFit="1" customWidth="1"/>
    <col min="4622" max="4622" width="16.5703125" style="2177" customWidth="1"/>
    <col min="4623" max="4623" width="16.140625" style="2177" customWidth="1"/>
    <col min="4624" max="4624" width="16.7109375" style="2177" bestFit="1" customWidth="1"/>
    <col min="4625" max="4625" width="15.5703125" style="2177" bestFit="1" customWidth="1"/>
    <col min="4626" max="4626" width="18" style="2177" customWidth="1"/>
    <col min="4627" max="4627" width="16.42578125" style="2177" bestFit="1" customWidth="1"/>
    <col min="4628" max="4628" width="14.28515625" style="2177" customWidth="1"/>
    <col min="4629" max="4629" width="12.85546875" style="2177" bestFit="1" customWidth="1"/>
    <col min="4630" max="4630" width="11.28515625" style="2177" bestFit="1" customWidth="1"/>
    <col min="4631" max="4631" width="12.5703125" style="2177" bestFit="1" customWidth="1"/>
    <col min="4632" max="4632" width="14" style="2177" bestFit="1" customWidth="1"/>
    <col min="4633" max="4633" width="6" style="2177" bestFit="1" customWidth="1"/>
    <col min="4634" max="4634" width="15" style="2177" customWidth="1"/>
    <col min="4635" max="4635" width="14.85546875" style="2177" bestFit="1" customWidth="1"/>
    <col min="4636" max="4636" width="16.140625" style="2177" bestFit="1" customWidth="1"/>
    <col min="4637" max="4863" width="9.140625" style="2177"/>
    <col min="4864" max="4864" width="24" style="2177" bestFit="1" customWidth="1"/>
    <col min="4865" max="4865" width="43.85546875" style="2177" customWidth="1"/>
    <col min="4866" max="4866" width="19.7109375" style="2177" bestFit="1" customWidth="1"/>
    <col min="4867" max="4867" width="15.28515625" style="2177" bestFit="1" customWidth="1"/>
    <col min="4868" max="4868" width="17.5703125" style="2177" bestFit="1" customWidth="1"/>
    <col min="4869" max="4869" width="13.42578125" style="2177" customWidth="1"/>
    <col min="4870" max="4870" width="15.28515625" style="2177" bestFit="1" customWidth="1"/>
    <col min="4871" max="4871" width="14.140625" style="2177" bestFit="1" customWidth="1"/>
    <col min="4872" max="4872" width="15.28515625" style="2177" customWidth="1"/>
    <col min="4873" max="4873" width="15.85546875" style="2177" customWidth="1"/>
    <col min="4874" max="4874" width="17" style="2177" bestFit="1" customWidth="1"/>
    <col min="4875" max="4875" width="12.7109375" style="2177" customWidth="1"/>
    <col min="4876" max="4876" width="13.7109375" style="2177" customWidth="1"/>
    <col min="4877" max="4877" width="13.85546875" style="2177" bestFit="1" customWidth="1"/>
    <col min="4878" max="4878" width="16.5703125" style="2177" customWidth="1"/>
    <col min="4879" max="4879" width="16.140625" style="2177" customWidth="1"/>
    <col min="4880" max="4880" width="16.7109375" style="2177" bestFit="1" customWidth="1"/>
    <col min="4881" max="4881" width="15.5703125" style="2177" bestFit="1" customWidth="1"/>
    <col min="4882" max="4882" width="18" style="2177" customWidth="1"/>
    <col min="4883" max="4883" width="16.42578125" style="2177" bestFit="1" customWidth="1"/>
    <col min="4884" max="4884" width="14.28515625" style="2177" customWidth="1"/>
    <col min="4885" max="4885" width="12.85546875" style="2177" bestFit="1" customWidth="1"/>
    <col min="4886" max="4886" width="11.28515625" style="2177" bestFit="1" customWidth="1"/>
    <col min="4887" max="4887" width="12.5703125" style="2177" bestFit="1" customWidth="1"/>
    <col min="4888" max="4888" width="14" style="2177" bestFit="1" customWidth="1"/>
    <col min="4889" max="4889" width="6" style="2177" bestFit="1" customWidth="1"/>
    <col min="4890" max="4890" width="15" style="2177" customWidth="1"/>
    <col min="4891" max="4891" width="14.85546875" style="2177" bestFit="1" customWidth="1"/>
    <col min="4892" max="4892" width="16.140625" style="2177" bestFit="1" customWidth="1"/>
    <col min="4893" max="5119" width="9.140625" style="2177"/>
    <col min="5120" max="5120" width="24" style="2177" bestFit="1" customWidth="1"/>
    <col min="5121" max="5121" width="43.85546875" style="2177" customWidth="1"/>
    <col min="5122" max="5122" width="19.7109375" style="2177" bestFit="1" customWidth="1"/>
    <col min="5123" max="5123" width="15.28515625" style="2177" bestFit="1" customWidth="1"/>
    <col min="5124" max="5124" width="17.5703125" style="2177" bestFit="1" customWidth="1"/>
    <col min="5125" max="5125" width="13.42578125" style="2177" customWidth="1"/>
    <col min="5126" max="5126" width="15.28515625" style="2177" bestFit="1" customWidth="1"/>
    <col min="5127" max="5127" width="14.140625" style="2177" bestFit="1" customWidth="1"/>
    <col min="5128" max="5128" width="15.28515625" style="2177" customWidth="1"/>
    <col min="5129" max="5129" width="15.85546875" style="2177" customWidth="1"/>
    <col min="5130" max="5130" width="17" style="2177" bestFit="1" customWidth="1"/>
    <col min="5131" max="5131" width="12.7109375" style="2177" customWidth="1"/>
    <col min="5132" max="5132" width="13.7109375" style="2177" customWidth="1"/>
    <col min="5133" max="5133" width="13.85546875" style="2177" bestFit="1" customWidth="1"/>
    <col min="5134" max="5134" width="16.5703125" style="2177" customWidth="1"/>
    <col min="5135" max="5135" width="16.140625" style="2177" customWidth="1"/>
    <col min="5136" max="5136" width="16.7109375" style="2177" bestFit="1" customWidth="1"/>
    <col min="5137" max="5137" width="15.5703125" style="2177" bestFit="1" customWidth="1"/>
    <col min="5138" max="5138" width="18" style="2177" customWidth="1"/>
    <col min="5139" max="5139" width="16.42578125" style="2177" bestFit="1" customWidth="1"/>
    <col min="5140" max="5140" width="14.28515625" style="2177" customWidth="1"/>
    <col min="5141" max="5141" width="12.85546875" style="2177" bestFit="1" customWidth="1"/>
    <col min="5142" max="5142" width="11.28515625" style="2177" bestFit="1" customWidth="1"/>
    <col min="5143" max="5143" width="12.5703125" style="2177" bestFit="1" customWidth="1"/>
    <col min="5144" max="5144" width="14" style="2177" bestFit="1" customWidth="1"/>
    <col min="5145" max="5145" width="6" style="2177" bestFit="1" customWidth="1"/>
    <col min="5146" max="5146" width="15" style="2177" customWidth="1"/>
    <col min="5147" max="5147" width="14.85546875" style="2177" bestFit="1" customWidth="1"/>
    <col min="5148" max="5148" width="16.140625" style="2177" bestFit="1" customWidth="1"/>
    <col min="5149" max="5375" width="9.140625" style="2177"/>
    <col min="5376" max="5376" width="24" style="2177" bestFit="1" customWidth="1"/>
    <col min="5377" max="5377" width="43.85546875" style="2177" customWidth="1"/>
    <col min="5378" max="5378" width="19.7109375" style="2177" bestFit="1" customWidth="1"/>
    <col min="5379" max="5379" width="15.28515625" style="2177" bestFit="1" customWidth="1"/>
    <col min="5380" max="5380" width="17.5703125" style="2177" bestFit="1" customWidth="1"/>
    <col min="5381" max="5381" width="13.42578125" style="2177" customWidth="1"/>
    <col min="5382" max="5382" width="15.28515625" style="2177" bestFit="1" customWidth="1"/>
    <col min="5383" max="5383" width="14.140625" style="2177" bestFit="1" customWidth="1"/>
    <col min="5384" max="5384" width="15.28515625" style="2177" customWidth="1"/>
    <col min="5385" max="5385" width="15.85546875" style="2177" customWidth="1"/>
    <col min="5386" max="5386" width="17" style="2177" bestFit="1" customWidth="1"/>
    <col min="5387" max="5387" width="12.7109375" style="2177" customWidth="1"/>
    <col min="5388" max="5388" width="13.7109375" style="2177" customWidth="1"/>
    <col min="5389" max="5389" width="13.85546875" style="2177" bestFit="1" customWidth="1"/>
    <col min="5390" max="5390" width="16.5703125" style="2177" customWidth="1"/>
    <col min="5391" max="5391" width="16.140625" style="2177" customWidth="1"/>
    <col min="5392" max="5392" width="16.7109375" style="2177" bestFit="1" customWidth="1"/>
    <col min="5393" max="5393" width="15.5703125" style="2177" bestFit="1" customWidth="1"/>
    <col min="5394" max="5394" width="18" style="2177" customWidth="1"/>
    <col min="5395" max="5395" width="16.42578125" style="2177" bestFit="1" customWidth="1"/>
    <col min="5396" max="5396" width="14.28515625" style="2177" customWidth="1"/>
    <col min="5397" max="5397" width="12.85546875" style="2177" bestFit="1" customWidth="1"/>
    <col min="5398" max="5398" width="11.28515625" style="2177" bestFit="1" customWidth="1"/>
    <col min="5399" max="5399" width="12.5703125" style="2177" bestFit="1" customWidth="1"/>
    <col min="5400" max="5400" width="14" style="2177" bestFit="1" customWidth="1"/>
    <col min="5401" max="5401" width="6" style="2177" bestFit="1" customWidth="1"/>
    <col min="5402" max="5402" width="15" style="2177" customWidth="1"/>
    <col min="5403" max="5403" width="14.85546875" style="2177" bestFit="1" customWidth="1"/>
    <col min="5404" max="5404" width="16.140625" style="2177" bestFit="1" customWidth="1"/>
    <col min="5405" max="5631" width="9.140625" style="2177"/>
    <col min="5632" max="5632" width="24" style="2177" bestFit="1" customWidth="1"/>
    <col min="5633" max="5633" width="43.85546875" style="2177" customWidth="1"/>
    <col min="5634" max="5634" width="19.7109375" style="2177" bestFit="1" customWidth="1"/>
    <col min="5635" max="5635" width="15.28515625" style="2177" bestFit="1" customWidth="1"/>
    <col min="5636" max="5636" width="17.5703125" style="2177" bestFit="1" customWidth="1"/>
    <col min="5637" max="5637" width="13.42578125" style="2177" customWidth="1"/>
    <col min="5638" max="5638" width="15.28515625" style="2177" bestFit="1" customWidth="1"/>
    <col min="5639" max="5639" width="14.140625" style="2177" bestFit="1" customWidth="1"/>
    <col min="5640" max="5640" width="15.28515625" style="2177" customWidth="1"/>
    <col min="5641" max="5641" width="15.85546875" style="2177" customWidth="1"/>
    <col min="5642" max="5642" width="17" style="2177" bestFit="1" customWidth="1"/>
    <col min="5643" max="5643" width="12.7109375" style="2177" customWidth="1"/>
    <col min="5644" max="5644" width="13.7109375" style="2177" customWidth="1"/>
    <col min="5645" max="5645" width="13.85546875" style="2177" bestFit="1" customWidth="1"/>
    <col min="5646" max="5646" width="16.5703125" style="2177" customWidth="1"/>
    <col min="5647" max="5647" width="16.140625" style="2177" customWidth="1"/>
    <col min="5648" max="5648" width="16.7109375" style="2177" bestFit="1" customWidth="1"/>
    <col min="5649" max="5649" width="15.5703125" style="2177" bestFit="1" customWidth="1"/>
    <col min="5650" max="5650" width="18" style="2177" customWidth="1"/>
    <col min="5651" max="5651" width="16.42578125" style="2177" bestFit="1" customWidth="1"/>
    <col min="5652" max="5652" width="14.28515625" style="2177" customWidth="1"/>
    <col min="5653" max="5653" width="12.85546875" style="2177" bestFit="1" customWidth="1"/>
    <col min="5654" max="5654" width="11.28515625" style="2177" bestFit="1" customWidth="1"/>
    <col min="5655" max="5655" width="12.5703125" style="2177" bestFit="1" customWidth="1"/>
    <col min="5656" max="5656" width="14" style="2177" bestFit="1" customWidth="1"/>
    <col min="5657" max="5657" width="6" style="2177" bestFit="1" customWidth="1"/>
    <col min="5658" max="5658" width="15" style="2177" customWidth="1"/>
    <col min="5659" max="5659" width="14.85546875" style="2177" bestFit="1" customWidth="1"/>
    <col min="5660" max="5660" width="16.140625" style="2177" bestFit="1" customWidth="1"/>
    <col min="5661" max="5887" width="9.140625" style="2177"/>
    <col min="5888" max="5888" width="24" style="2177" bestFit="1" customWidth="1"/>
    <col min="5889" max="5889" width="43.85546875" style="2177" customWidth="1"/>
    <col min="5890" max="5890" width="19.7109375" style="2177" bestFit="1" customWidth="1"/>
    <col min="5891" max="5891" width="15.28515625" style="2177" bestFit="1" customWidth="1"/>
    <col min="5892" max="5892" width="17.5703125" style="2177" bestFit="1" customWidth="1"/>
    <col min="5893" max="5893" width="13.42578125" style="2177" customWidth="1"/>
    <col min="5894" max="5894" width="15.28515625" style="2177" bestFit="1" customWidth="1"/>
    <col min="5895" max="5895" width="14.140625" style="2177" bestFit="1" customWidth="1"/>
    <col min="5896" max="5896" width="15.28515625" style="2177" customWidth="1"/>
    <col min="5897" max="5897" width="15.85546875" style="2177" customWidth="1"/>
    <col min="5898" max="5898" width="17" style="2177" bestFit="1" customWidth="1"/>
    <col min="5899" max="5899" width="12.7109375" style="2177" customWidth="1"/>
    <col min="5900" max="5900" width="13.7109375" style="2177" customWidth="1"/>
    <col min="5901" max="5901" width="13.85546875" style="2177" bestFit="1" customWidth="1"/>
    <col min="5902" max="5902" width="16.5703125" style="2177" customWidth="1"/>
    <col min="5903" max="5903" width="16.140625" style="2177" customWidth="1"/>
    <col min="5904" max="5904" width="16.7109375" style="2177" bestFit="1" customWidth="1"/>
    <col min="5905" max="5905" width="15.5703125" style="2177" bestFit="1" customWidth="1"/>
    <col min="5906" max="5906" width="18" style="2177" customWidth="1"/>
    <col min="5907" max="5907" width="16.42578125" style="2177" bestFit="1" customWidth="1"/>
    <col min="5908" max="5908" width="14.28515625" style="2177" customWidth="1"/>
    <col min="5909" max="5909" width="12.85546875" style="2177" bestFit="1" customWidth="1"/>
    <col min="5910" max="5910" width="11.28515625" style="2177" bestFit="1" customWidth="1"/>
    <col min="5911" max="5911" width="12.5703125" style="2177" bestFit="1" customWidth="1"/>
    <col min="5912" max="5912" width="14" style="2177" bestFit="1" customWidth="1"/>
    <col min="5913" max="5913" width="6" style="2177" bestFit="1" customWidth="1"/>
    <col min="5914" max="5914" width="15" style="2177" customWidth="1"/>
    <col min="5915" max="5915" width="14.85546875" style="2177" bestFit="1" customWidth="1"/>
    <col min="5916" max="5916" width="16.140625" style="2177" bestFit="1" customWidth="1"/>
    <col min="5917" max="6143" width="9.140625" style="2177"/>
    <col min="6144" max="6144" width="24" style="2177" bestFit="1" customWidth="1"/>
    <col min="6145" max="6145" width="43.85546875" style="2177" customWidth="1"/>
    <col min="6146" max="6146" width="19.7109375" style="2177" bestFit="1" customWidth="1"/>
    <col min="6147" max="6147" width="15.28515625" style="2177" bestFit="1" customWidth="1"/>
    <col min="6148" max="6148" width="17.5703125" style="2177" bestFit="1" customWidth="1"/>
    <col min="6149" max="6149" width="13.42578125" style="2177" customWidth="1"/>
    <col min="6150" max="6150" width="15.28515625" style="2177" bestFit="1" customWidth="1"/>
    <col min="6151" max="6151" width="14.140625" style="2177" bestFit="1" customWidth="1"/>
    <col min="6152" max="6152" width="15.28515625" style="2177" customWidth="1"/>
    <col min="6153" max="6153" width="15.85546875" style="2177" customWidth="1"/>
    <col min="6154" max="6154" width="17" style="2177" bestFit="1" customWidth="1"/>
    <col min="6155" max="6155" width="12.7109375" style="2177" customWidth="1"/>
    <col min="6156" max="6156" width="13.7109375" style="2177" customWidth="1"/>
    <col min="6157" max="6157" width="13.85546875" style="2177" bestFit="1" customWidth="1"/>
    <col min="6158" max="6158" width="16.5703125" style="2177" customWidth="1"/>
    <col min="6159" max="6159" width="16.140625" style="2177" customWidth="1"/>
    <col min="6160" max="6160" width="16.7109375" style="2177" bestFit="1" customWidth="1"/>
    <col min="6161" max="6161" width="15.5703125" style="2177" bestFit="1" customWidth="1"/>
    <col min="6162" max="6162" width="18" style="2177" customWidth="1"/>
    <col min="6163" max="6163" width="16.42578125" style="2177" bestFit="1" customWidth="1"/>
    <col min="6164" max="6164" width="14.28515625" style="2177" customWidth="1"/>
    <col min="6165" max="6165" width="12.85546875" style="2177" bestFit="1" customWidth="1"/>
    <col min="6166" max="6166" width="11.28515625" style="2177" bestFit="1" customWidth="1"/>
    <col min="6167" max="6167" width="12.5703125" style="2177" bestFit="1" customWidth="1"/>
    <col min="6168" max="6168" width="14" style="2177" bestFit="1" customWidth="1"/>
    <col min="6169" max="6169" width="6" style="2177" bestFit="1" customWidth="1"/>
    <col min="6170" max="6170" width="15" style="2177" customWidth="1"/>
    <col min="6171" max="6171" width="14.85546875" style="2177" bestFit="1" customWidth="1"/>
    <col min="6172" max="6172" width="16.140625" style="2177" bestFit="1" customWidth="1"/>
    <col min="6173" max="6399" width="9.140625" style="2177"/>
    <col min="6400" max="6400" width="24" style="2177" bestFit="1" customWidth="1"/>
    <col min="6401" max="6401" width="43.85546875" style="2177" customWidth="1"/>
    <col min="6402" max="6402" width="19.7109375" style="2177" bestFit="1" customWidth="1"/>
    <col min="6403" max="6403" width="15.28515625" style="2177" bestFit="1" customWidth="1"/>
    <col min="6404" max="6404" width="17.5703125" style="2177" bestFit="1" customWidth="1"/>
    <col min="6405" max="6405" width="13.42578125" style="2177" customWidth="1"/>
    <col min="6406" max="6406" width="15.28515625" style="2177" bestFit="1" customWidth="1"/>
    <col min="6407" max="6407" width="14.140625" style="2177" bestFit="1" customWidth="1"/>
    <col min="6408" max="6408" width="15.28515625" style="2177" customWidth="1"/>
    <col min="6409" max="6409" width="15.85546875" style="2177" customWidth="1"/>
    <col min="6410" max="6410" width="17" style="2177" bestFit="1" customWidth="1"/>
    <col min="6411" max="6411" width="12.7109375" style="2177" customWidth="1"/>
    <col min="6412" max="6412" width="13.7109375" style="2177" customWidth="1"/>
    <col min="6413" max="6413" width="13.85546875" style="2177" bestFit="1" customWidth="1"/>
    <col min="6414" max="6414" width="16.5703125" style="2177" customWidth="1"/>
    <col min="6415" max="6415" width="16.140625" style="2177" customWidth="1"/>
    <col min="6416" max="6416" width="16.7109375" style="2177" bestFit="1" customWidth="1"/>
    <col min="6417" max="6417" width="15.5703125" style="2177" bestFit="1" customWidth="1"/>
    <col min="6418" max="6418" width="18" style="2177" customWidth="1"/>
    <col min="6419" max="6419" width="16.42578125" style="2177" bestFit="1" customWidth="1"/>
    <col min="6420" max="6420" width="14.28515625" style="2177" customWidth="1"/>
    <col min="6421" max="6421" width="12.85546875" style="2177" bestFit="1" customWidth="1"/>
    <col min="6422" max="6422" width="11.28515625" style="2177" bestFit="1" customWidth="1"/>
    <col min="6423" max="6423" width="12.5703125" style="2177" bestFit="1" customWidth="1"/>
    <col min="6424" max="6424" width="14" style="2177" bestFit="1" customWidth="1"/>
    <col min="6425" max="6425" width="6" style="2177" bestFit="1" customWidth="1"/>
    <col min="6426" max="6426" width="15" style="2177" customWidth="1"/>
    <col min="6427" max="6427" width="14.85546875" style="2177" bestFit="1" customWidth="1"/>
    <col min="6428" max="6428" width="16.140625" style="2177" bestFit="1" customWidth="1"/>
    <col min="6429" max="6655" width="9.140625" style="2177"/>
    <col min="6656" max="6656" width="24" style="2177" bestFit="1" customWidth="1"/>
    <col min="6657" max="6657" width="43.85546875" style="2177" customWidth="1"/>
    <col min="6658" max="6658" width="19.7109375" style="2177" bestFit="1" customWidth="1"/>
    <col min="6659" max="6659" width="15.28515625" style="2177" bestFit="1" customWidth="1"/>
    <col min="6660" max="6660" width="17.5703125" style="2177" bestFit="1" customWidth="1"/>
    <col min="6661" max="6661" width="13.42578125" style="2177" customWidth="1"/>
    <col min="6662" max="6662" width="15.28515625" style="2177" bestFit="1" customWidth="1"/>
    <col min="6663" max="6663" width="14.140625" style="2177" bestFit="1" customWidth="1"/>
    <col min="6664" max="6664" width="15.28515625" style="2177" customWidth="1"/>
    <col min="6665" max="6665" width="15.85546875" style="2177" customWidth="1"/>
    <col min="6666" max="6666" width="17" style="2177" bestFit="1" customWidth="1"/>
    <col min="6667" max="6667" width="12.7109375" style="2177" customWidth="1"/>
    <col min="6668" max="6668" width="13.7109375" style="2177" customWidth="1"/>
    <col min="6669" max="6669" width="13.85546875" style="2177" bestFit="1" customWidth="1"/>
    <col min="6670" max="6670" width="16.5703125" style="2177" customWidth="1"/>
    <col min="6671" max="6671" width="16.140625" style="2177" customWidth="1"/>
    <col min="6672" max="6672" width="16.7109375" style="2177" bestFit="1" customWidth="1"/>
    <col min="6673" max="6673" width="15.5703125" style="2177" bestFit="1" customWidth="1"/>
    <col min="6674" max="6674" width="18" style="2177" customWidth="1"/>
    <col min="6675" max="6675" width="16.42578125" style="2177" bestFit="1" customWidth="1"/>
    <col min="6676" max="6676" width="14.28515625" style="2177" customWidth="1"/>
    <col min="6677" max="6677" width="12.85546875" style="2177" bestFit="1" customWidth="1"/>
    <col min="6678" max="6678" width="11.28515625" style="2177" bestFit="1" customWidth="1"/>
    <col min="6679" max="6679" width="12.5703125" style="2177" bestFit="1" customWidth="1"/>
    <col min="6680" max="6680" width="14" style="2177" bestFit="1" customWidth="1"/>
    <col min="6681" max="6681" width="6" style="2177" bestFit="1" customWidth="1"/>
    <col min="6682" max="6682" width="15" style="2177" customWidth="1"/>
    <col min="6683" max="6683" width="14.85546875" style="2177" bestFit="1" customWidth="1"/>
    <col min="6684" max="6684" width="16.140625" style="2177" bestFit="1" customWidth="1"/>
    <col min="6685" max="6911" width="9.140625" style="2177"/>
    <col min="6912" max="6912" width="24" style="2177" bestFit="1" customWidth="1"/>
    <col min="6913" max="6913" width="43.85546875" style="2177" customWidth="1"/>
    <col min="6914" max="6914" width="19.7109375" style="2177" bestFit="1" customWidth="1"/>
    <col min="6915" max="6915" width="15.28515625" style="2177" bestFit="1" customWidth="1"/>
    <col min="6916" max="6916" width="17.5703125" style="2177" bestFit="1" customWidth="1"/>
    <col min="6917" max="6917" width="13.42578125" style="2177" customWidth="1"/>
    <col min="6918" max="6918" width="15.28515625" style="2177" bestFit="1" customWidth="1"/>
    <col min="6919" max="6919" width="14.140625" style="2177" bestFit="1" customWidth="1"/>
    <col min="6920" max="6920" width="15.28515625" style="2177" customWidth="1"/>
    <col min="6921" max="6921" width="15.85546875" style="2177" customWidth="1"/>
    <col min="6922" max="6922" width="17" style="2177" bestFit="1" customWidth="1"/>
    <col min="6923" max="6923" width="12.7109375" style="2177" customWidth="1"/>
    <col min="6924" max="6924" width="13.7109375" style="2177" customWidth="1"/>
    <col min="6925" max="6925" width="13.85546875" style="2177" bestFit="1" customWidth="1"/>
    <col min="6926" max="6926" width="16.5703125" style="2177" customWidth="1"/>
    <col min="6927" max="6927" width="16.140625" style="2177" customWidth="1"/>
    <col min="6928" max="6928" width="16.7109375" style="2177" bestFit="1" customWidth="1"/>
    <col min="6929" max="6929" width="15.5703125" style="2177" bestFit="1" customWidth="1"/>
    <col min="6930" max="6930" width="18" style="2177" customWidth="1"/>
    <col min="6931" max="6931" width="16.42578125" style="2177" bestFit="1" customWidth="1"/>
    <col min="6932" max="6932" width="14.28515625" style="2177" customWidth="1"/>
    <col min="6933" max="6933" width="12.85546875" style="2177" bestFit="1" customWidth="1"/>
    <col min="6934" max="6934" width="11.28515625" style="2177" bestFit="1" customWidth="1"/>
    <col min="6935" max="6935" width="12.5703125" style="2177" bestFit="1" customWidth="1"/>
    <col min="6936" max="6936" width="14" style="2177" bestFit="1" customWidth="1"/>
    <col min="6937" max="6937" width="6" style="2177" bestFit="1" customWidth="1"/>
    <col min="6938" max="6938" width="15" style="2177" customWidth="1"/>
    <col min="6939" max="6939" width="14.85546875" style="2177" bestFit="1" customWidth="1"/>
    <col min="6940" max="6940" width="16.140625" style="2177" bestFit="1" customWidth="1"/>
    <col min="6941" max="7167" width="9.140625" style="2177"/>
    <col min="7168" max="7168" width="24" style="2177" bestFit="1" customWidth="1"/>
    <col min="7169" max="7169" width="43.85546875" style="2177" customWidth="1"/>
    <col min="7170" max="7170" width="19.7109375" style="2177" bestFit="1" customWidth="1"/>
    <col min="7171" max="7171" width="15.28515625" style="2177" bestFit="1" customWidth="1"/>
    <col min="7172" max="7172" width="17.5703125" style="2177" bestFit="1" customWidth="1"/>
    <col min="7173" max="7173" width="13.42578125" style="2177" customWidth="1"/>
    <col min="7174" max="7174" width="15.28515625" style="2177" bestFit="1" customWidth="1"/>
    <col min="7175" max="7175" width="14.140625" style="2177" bestFit="1" customWidth="1"/>
    <col min="7176" max="7176" width="15.28515625" style="2177" customWidth="1"/>
    <col min="7177" max="7177" width="15.85546875" style="2177" customWidth="1"/>
    <col min="7178" max="7178" width="17" style="2177" bestFit="1" customWidth="1"/>
    <col min="7179" max="7179" width="12.7109375" style="2177" customWidth="1"/>
    <col min="7180" max="7180" width="13.7109375" style="2177" customWidth="1"/>
    <col min="7181" max="7181" width="13.85546875" style="2177" bestFit="1" customWidth="1"/>
    <col min="7182" max="7182" width="16.5703125" style="2177" customWidth="1"/>
    <col min="7183" max="7183" width="16.140625" style="2177" customWidth="1"/>
    <col min="7184" max="7184" width="16.7109375" style="2177" bestFit="1" customWidth="1"/>
    <col min="7185" max="7185" width="15.5703125" style="2177" bestFit="1" customWidth="1"/>
    <col min="7186" max="7186" width="18" style="2177" customWidth="1"/>
    <col min="7187" max="7187" width="16.42578125" style="2177" bestFit="1" customWidth="1"/>
    <col min="7188" max="7188" width="14.28515625" style="2177" customWidth="1"/>
    <col min="7189" max="7189" width="12.85546875" style="2177" bestFit="1" customWidth="1"/>
    <col min="7190" max="7190" width="11.28515625" style="2177" bestFit="1" customWidth="1"/>
    <col min="7191" max="7191" width="12.5703125" style="2177" bestFit="1" customWidth="1"/>
    <col min="7192" max="7192" width="14" style="2177" bestFit="1" customWidth="1"/>
    <col min="7193" max="7193" width="6" style="2177" bestFit="1" customWidth="1"/>
    <col min="7194" max="7194" width="15" style="2177" customWidth="1"/>
    <col min="7195" max="7195" width="14.85546875" style="2177" bestFit="1" customWidth="1"/>
    <col min="7196" max="7196" width="16.140625" style="2177" bestFit="1" customWidth="1"/>
    <col min="7197" max="7423" width="9.140625" style="2177"/>
    <col min="7424" max="7424" width="24" style="2177" bestFit="1" customWidth="1"/>
    <col min="7425" max="7425" width="43.85546875" style="2177" customWidth="1"/>
    <col min="7426" max="7426" width="19.7109375" style="2177" bestFit="1" customWidth="1"/>
    <col min="7427" max="7427" width="15.28515625" style="2177" bestFit="1" customWidth="1"/>
    <col min="7428" max="7428" width="17.5703125" style="2177" bestFit="1" customWidth="1"/>
    <col min="7429" max="7429" width="13.42578125" style="2177" customWidth="1"/>
    <col min="7430" max="7430" width="15.28515625" style="2177" bestFit="1" customWidth="1"/>
    <col min="7431" max="7431" width="14.140625" style="2177" bestFit="1" customWidth="1"/>
    <col min="7432" max="7432" width="15.28515625" style="2177" customWidth="1"/>
    <col min="7433" max="7433" width="15.85546875" style="2177" customWidth="1"/>
    <col min="7434" max="7434" width="17" style="2177" bestFit="1" customWidth="1"/>
    <col min="7435" max="7435" width="12.7109375" style="2177" customWidth="1"/>
    <col min="7436" max="7436" width="13.7109375" style="2177" customWidth="1"/>
    <col min="7437" max="7437" width="13.85546875" style="2177" bestFit="1" customWidth="1"/>
    <col min="7438" max="7438" width="16.5703125" style="2177" customWidth="1"/>
    <col min="7439" max="7439" width="16.140625" style="2177" customWidth="1"/>
    <col min="7440" max="7440" width="16.7109375" style="2177" bestFit="1" customWidth="1"/>
    <col min="7441" max="7441" width="15.5703125" style="2177" bestFit="1" customWidth="1"/>
    <col min="7442" max="7442" width="18" style="2177" customWidth="1"/>
    <col min="7443" max="7443" width="16.42578125" style="2177" bestFit="1" customWidth="1"/>
    <col min="7444" max="7444" width="14.28515625" style="2177" customWidth="1"/>
    <col min="7445" max="7445" width="12.85546875" style="2177" bestFit="1" customWidth="1"/>
    <col min="7446" max="7446" width="11.28515625" style="2177" bestFit="1" customWidth="1"/>
    <col min="7447" max="7447" width="12.5703125" style="2177" bestFit="1" customWidth="1"/>
    <col min="7448" max="7448" width="14" style="2177" bestFit="1" customWidth="1"/>
    <col min="7449" max="7449" width="6" style="2177" bestFit="1" customWidth="1"/>
    <col min="7450" max="7450" width="15" style="2177" customWidth="1"/>
    <col min="7451" max="7451" width="14.85546875" style="2177" bestFit="1" customWidth="1"/>
    <col min="7452" max="7452" width="16.140625" style="2177" bestFit="1" customWidth="1"/>
    <col min="7453" max="7679" width="9.140625" style="2177"/>
    <col min="7680" max="7680" width="24" style="2177" bestFit="1" customWidth="1"/>
    <col min="7681" max="7681" width="43.85546875" style="2177" customWidth="1"/>
    <col min="7682" max="7682" width="19.7109375" style="2177" bestFit="1" customWidth="1"/>
    <col min="7683" max="7683" width="15.28515625" style="2177" bestFit="1" customWidth="1"/>
    <col min="7684" max="7684" width="17.5703125" style="2177" bestFit="1" customWidth="1"/>
    <col min="7685" max="7685" width="13.42578125" style="2177" customWidth="1"/>
    <col min="7686" max="7686" width="15.28515625" style="2177" bestFit="1" customWidth="1"/>
    <col min="7687" max="7687" width="14.140625" style="2177" bestFit="1" customWidth="1"/>
    <col min="7688" max="7688" width="15.28515625" style="2177" customWidth="1"/>
    <col min="7689" max="7689" width="15.85546875" style="2177" customWidth="1"/>
    <col min="7690" max="7690" width="17" style="2177" bestFit="1" customWidth="1"/>
    <col min="7691" max="7691" width="12.7109375" style="2177" customWidth="1"/>
    <col min="7692" max="7692" width="13.7109375" style="2177" customWidth="1"/>
    <col min="7693" max="7693" width="13.85546875" style="2177" bestFit="1" customWidth="1"/>
    <col min="7694" max="7694" width="16.5703125" style="2177" customWidth="1"/>
    <col min="7695" max="7695" width="16.140625" style="2177" customWidth="1"/>
    <col min="7696" max="7696" width="16.7109375" style="2177" bestFit="1" customWidth="1"/>
    <col min="7697" max="7697" width="15.5703125" style="2177" bestFit="1" customWidth="1"/>
    <col min="7698" max="7698" width="18" style="2177" customWidth="1"/>
    <col min="7699" max="7699" width="16.42578125" style="2177" bestFit="1" customWidth="1"/>
    <col min="7700" max="7700" width="14.28515625" style="2177" customWidth="1"/>
    <col min="7701" max="7701" width="12.85546875" style="2177" bestFit="1" customWidth="1"/>
    <col min="7702" max="7702" width="11.28515625" style="2177" bestFit="1" customWidth="1"/>
    <col min="7703" max="7703" width="12.5703125" style="2177" bestFit="1" customWidth="1"/>
    <col min="7704" max="7704" width="14" style="2177" bestFit="1" customWidth="1"/>
    <col min="7705" max="7705" width="6" style="2177" bestFit="1" customWidth="1"/>
    <col min="7706" max="7706" width="15" style="2177" customWidth="1"/>
    <col min="7707" max="7707" width="14.85546875" style="2177" bestFit="1" customWidth="1"/>
    <col min="7708" max="7708" width="16.140625" style="2177" bestFit="1" customWidth="1"/>
    <col min="7709" max="7935" width="9.140625" style="2177"/>
    <col min="7936" max="7936" width="24" style="2177" bestFit="1" customWidth="1"/>
    <col min="7937" max="7937" width="43.85546875" style="2177" customWidth="1"/>
    <col min="7938" max="7938" width="19.7109375" style="2177" bestFit="1" customWidth="1"/>
    <col min="7939" max="7939" width="15.28515625" style="2177" bestFit="1" customWidth="1"/>
    <col min="7940" max="7940" width="17.5703125" style="2177" bestFit="1" customWidth="1"/>
    <col min="7941" max="7941" width="13.42578125" style="2177" customWidth="1"/>
    <col min="7942" max="7942" width="15.28515625" style="2177" bestFit="1" customWidth="1"/>
    <col min="7943" max="7943" width="14.140625" style="2177" bestFit="1" customWidth="1"/>
    <col min="7944" max="7944" width="15.28515625" style="2177" customWidth="1"/>
    <col min="7945" max="7945" width="15.85546875" style="2177" customWidth="1"/>
    <col min="7946" max="7946" width="17" style="2177" bestFit="1" customWidth="1"/>
    <col min="7947" max="7947" width="12.7109375" style="2177" customWidth="1"/>
    <col min="7948" max="7948" width="13.7109375" style="2177" customWidth="1"/>
    <col min="7949" max="7949" width="13.85546875" style="2177" bestFit="1" customWidth="1"/>
    <col min="7950" max="7950" width="16.5703125" style="2177" customWidth="1"/>
    <col min="7951" max="7951" width="16.140625" style="2177" customWidth="1"/>
    <col min="7952" max="7952" width="16.7109375" style="2177" bestFit="1" customWidth="1"/>
    <col min="7953" max="7953" width="15.5703125" style="2177" bestFit="1" customWidth="1"/>
    <col min="7954" max="7954" width="18" style="2177" customWidth="1"/>
    <col min="7955" max="7955" width="16.42578125" style="2177" bestFit="1" customWidth="1"/>
    <col min="7956" max="7956" width="14.28515625" style="2177" customWidth="1"/>
    <col min="7957" max="7957" width="12.85546875" style="2177" bestFit="1" customWidth="1"/>
    <col min="7958" max="7958" width="11.28515625" style="2177" bestFit="1" customWidth="1"/>
    <col min="7959" max="7959" width="12.5703125" style="2177" bestFit="1" customWidth="1"/>
    <col min="7960" max="7960" width="14" style="2177" bestFit="1" customWidth="1"/>
    <col min="7961" max="7961" width="6" style="2177" bestFit="1" customWidth="1"/>
    <col min="7962" max="7962" width="15" style="2177" customWidth="1"/>
    <col min="7963" max="7963" width="14.85546875" style="2177" bestFit="1" customWidth="1"/>
    <col min="7964" max="7964" width="16.140625" style="2177" bestFit="1" customWidth="1"/>
    <col min="7965" max="8191" width="9.140625" style="2177"/>
    <col min="8192" max="8192" width="24" style="2177" bestFit="1" customWidth="1"/>
    <col min="8193" max="8193" width="43.85546875" style="2177" customWidth="1"/>
    <col min="8194" max="8194" width="19.7109375" style="2177" bestFit="1" customWidth="1"/>
    <col min="8195" max="8195" width="15.28515625" style="2177" bestFit="1" customWidth="1"/>
    <col min="8196" max="8196" width="17.5703125" style="2177" bestFit="1" customWidth="1"/>
    <col min="8197" max="8197" width="13.42578125" style="2177" customWidth="1"/>
    <col min="8198" max="8198" width="15.28515625" style="2177" bestFit="1" customWidth="1"/>
    <col min="8199" max="8199" width="14.140625" style="2177" bestFit="1" customWidth="1"/>
    <col min="8200" max="8200" width="15.28515625" style="2177" customWidth="1"/>
    <col min="8201" max="8201" width="15.85546875" style="2177" customWidth="1"/>
    <col min="8202" max="8202" width="17" style="2177" bestFit="1" customWidth="1"/>
    <col min="8203" max="8203" width="12.7109375" style="2177" customWidth="1"/>
    <col min="8204" max="8204" width="13.7109375" style="2177" customWidth="1"/>
    <col min="8205" max="8205" width="13.85546875" style="2177" bestFit="1" customWidth="1"/>
    <col min="8206" max="8206" width="16.5703125" style="2177" customWidth="1"/>
    <col min="8207" max="8207" width="16.140625" style="2177" customWidth="1"/>
    <col min="8208" max="8208" width="16.7109375" style="2177" bestFit="1" customWidth="1"/>
    <col min="8209" max="8209" width="15.5703125" style="2177" bestFit="1" customWidth="1"/>
    <col min="8210" max="8210" width="18" style="2177" customWidth="1"/>
    <col min="8211" max="8211" width="16.42578125" style="2177" bestFit="1" customWidth="1"/>
    <col min="8212" max="8212" width="14.28515625" style="2177" customWidth="1"/>
    <col min="8213" max="8213" width="12.85546875" style="2177" bestFit="1" customWidth="1"/>
    <col min="8214" max="8214" width="11.28515625" style="2177" bestFit="1" customWidth="1"/>
    <col min="8215" max="8215" width="12.5703125" style="2177" bestFit="1" customWidth="1"/>
    <col min="8216" max="8216" width="14" style="2177" bestFit="1" customWidth="1"/>
    <col min="8217" max="8217" width="6" style="2177" bestFit="1" customWidth="1"/>
    <col min="8218" max="8218" width="15" style="2177" customWidth="1"/>
    <col min="8219" max="8219" width="14.85546875" style="2177" bestFit="1" customWidth="1"/>
    <col min="8220" max="8220" width="16.140625" style="2177" bestFit="1" customWidth="1"/>
    <col min="8221" max="8447" width="9.140625" style="2177"/>
    <col min="8448" max="8448" width="24" style="2177" bestFit="1" customWidth="1"/>
    <col min="8449" max="8449" width="43.85546875" style="2177" customWidth="1"/>
    <col min="8450" max="8450" width="19.7109375" style="2177" bestFit="1" customWidth="1"/>
    <col min="8451" max="8451" width="15.28515625" style="2177" bestFit="1" customWidth="1"/>
    <col min="8452" max="8452" width="17.5703125" style="2177" bestFit="1" customWidth="1"/>
    <col min="8453" max="8453" width="13.42578125" style="2177" customWidth="1"/>
    <col min="8454" max="8454" width="15.28515625" style="2177" bestFit="1" customWidth="1"/>
    <col min="8455" max="8455" width="14.140625" style="2177" bestFit="1" customWidth="1"/>
    <col min="8456" max="8456" width="15.28515625" style="2177" customWidth="1"/>
    <col min="8457" max="8457" width="15.85546875" style="2177" customWidth="1"/>
    <col min="8458" max="8458" width="17" style="2177" bestFit="1" customWidth="1"/>
    <col min="8459" max="8459" width="12.7109375" style="2177" customWidth="1"/>
    <col min="8460" max="8460" width="13.7109375" style="2177" customWidth="1"/>
    <col min="8461" max="8461" width="13.85546875" style="2177" bestFit="1" customWidth="1"/>
    <col min="8462" max="8462" width="16.5703125" style="2177" customWidth="1"/>
    <col min="8463" max="8463" width="16.140625" style="2177" customWidth="1"/>
    <col min="8464" max="8464" width="16.7109375" style="2177" bestFit="1" customWidth="1"/>
    <col min="8465" max="8465" width="15.5703125" style="2177" bestFit="1" customWidth="1"/>
    <col min="8466" max="8466" width="18" style="2177" customWidth="1"/>
    <col min="8467" max="8467" width="16.42578125" style="2177" bestFit="1" customWidth="1"/>
    <col min="8468" max="8468" width="14.28515625" style="2177" customWidth="1"/>
    <col min="8469" max="8469" width="12.85546875" style="2177" bestFit="1" customWidth="1"/>
    <col min="8470" max="8470" width="11.28515625" style="2177" bestFit="1" customWidth="1"/>
    <col min="8471" max="8471" width="12.5703125" style="2177" bestFit="1" customWidth="1"/>
    <col min="8472" max="8472" width="14" style="2177" bestFit="1" customWidth="1"/>
    <col min="8473" max="8473" width="6" style="2177" bestFit="1" customWidth="1"/>
    <col min="8474" max="8474" width="15" style="2177" customWidth="1"/>
    <col min="8475" max="8475" width="14.85546875" style="2177" bestFit="1" customWidth="1"/>
    <col min="8476" max="8476" width="16.140625" style="2177" bestFit="1" customWidth="1"/>
    <col min="8477" max="8703" width="9.140625" style="2177"/>
    <col min="8704" max="8704" width="24" style="2177" bestFit="1" customWidth="1"/>
    <col min="8705" max="8705" width="43.85546875" style="2177" customWidth="1"/>
    <col min="8706" max="8706" width="19.7109375" style="2177" bestFit="1" customWidth="1"/>
    <col min="8707" max="8707" width="15.28515625" style="2177" bestFit="1" customWidth="1"/>
    <col min="8708" max="8708" width="17.5703125" style="2177" bestFit="1" customWidth="1"/>
    <col min="8709" max="8709" width="13.42578125" style="2177" customWidth="1"/>
    <col min="8710" max="8710" width="15.28515625" style="2177" bestFit="1" customWidth="1"/>
    <col min="8711" max="8711" width="14.140625" style="2177" bestFit="1" customWidth="1"/>
    <col min="8712" max="8712" width="15.28515625" style="2177" customWidth="1"/>
    <col min="8713" max="8713" width="15.85546875" style="2177" customWidth="1"/>
    <col min="8714" max="8714" width="17" style="2177" bestFit="1" customWidth="1"/>
    <col min="8715" max="8715" width="12.7109375" style="2177" customWidth="1"/>
    <col min="8716" max="8716" width="13.7109375" style="2177" customWidth="1"/>
    <col min="8717" max="8717" width="13.85546875" style="2177" bestFit="1" customWidth="1"/>
    <col min="8718" max="8718" width="16.5703125" style="2177" customWidth="1"/>
    <col min="8719" max="8719" width="16.140625" style="2177" customWidth="1"/>
    <col min="8720" max="8720" width="16.7109375" style="2177" bestFit="1" customWidth="1"/>
    <col min="8721" max="8721" width="15.5703125" style="2177" bestFit="1" customWidth="1"/>
    <col min="8722" max="8722" width="18" style="2177" customWidth="1"/>
    <col min="8723" max="8723" width="16.42578125" style="2177" bestFit="1" customWidth="1"/>
    <col min="8724" max="8724" width="14.28515625" style="2177" customWidth="1"/>
    <col min="8725" max="8725" width="12.85546875" style="2177" bestFit="1" customWidth="1"/>
    <col min="8726" max="8726" width="11.28515625" style="2177" bestFit="1" customWidth="1"/>
    <col min="8727" max="8727" width="12.5703125" style="2177" bestFit="1" customWidth="1"/>
    <col min="8728" max="8728" width="14" style="2177" bestFit="1" customWidth="1"/>
    <col min="8729" max="8729" width="6" style="2177" bestFit="1" customWidth="1"/>
    <col min="8730" max="8730" width="15" style="2177" customWidth="1"/>
    <col min="8731" max="8731" width="14.85546875" style="2177" bestFit="1" customWidth="1"/>
    <col min="8732" max="8732" width="16.140625" style="2177" bestFit="1" customWidth="1"/>
    <col min="8733" max="8959" width="9.140625" style="2177"/>
    <col min="8960" max="8960" width="24" style="2177" bestFit="1" customWidth="1"/>
    <col min="8961" max="8961" width="43.85546875" style="2177" customWidth="1"/>
    <col min="8962" max="8962" width="19.7109375" style="2177" bestFit="1" customWidth="1"/>
    <col min="8963" max="8963" width="15.28515625" style="2177" bestFit="1" customWidth="1"/>
    <col min="8964" max="8964" width="17.5703125" style="2177" bestFit="1" customWidth="1"/>
    <col min="8965" max="8965" width="13.42578125" style="2177" customWidth="1"/>
    <col min="8966" max="8966" width="15.28515625" style="2177" bestFit="1" customWidth="1"/>
    <col min="8967" max="8967" width="14.140625" style="2177" bestFit="1" customWidth="1"/>
    <col min="8968" max="8968" width="15.28515625" style="2177" customWidth="1"/>
    <col min="8969" max="8969" width="15.85546875" style="2177" customWidth="1"/>
    <col min="8970" max="8970" width="17" style="2177" bestFit="1" customWidth="1"/>
    <col min="8971" max="8971" width="12.7109375" style="2177" customWidth="1"/>
    <col min="8972" max="8972" width="13.7109375" style="2177" customWidth="1"/>
    <col min="8973" max="8973" width="13.85546875" style="2177" bestFit="1" customWidth="1"/>
    <col min="8974" max="8974" width="16.5703125" style="2177" customWidth="1"/>
    <col min="8975" max="8975" width="16.140625" style="2177" customWidth="1"/>
    <col min="8976" max="8976" width="16.7109375" style="2177" bestFit="1" customWidth="1"/>
    <col min="8977" max="8977" width="15.5703125" style="2177" bestFit="1" customWidth="1"/>
    <col min="8978" max="8978" width="18" style="2177" customWidth="1"/>
    <col min="8979" max="8979" width="16.42578125" style="2177" bestFit="1" customWidth="1"/>
    <col min="8980" max="8980" width="14.28515625" style="2177" customWidth="1"/>
    <col min="8981" max="8981" width="12.85546875" style="2177" bestFit="1" customWidth="1"/>
    <col min="8982" max="8982" width="11.28515625" style="2177" bestFit="1" customWidth="1"/>
    <col min="8983" max="8983" width="12.5703125" style="2177" bestFit="1" customWidth="1"/>
    <col min="8984" max="8984" width="14" style="2177" bestFit="1" customWidth="1"/>
    <col min="8985" max="8985" width="6" style="2177" bestFit="1" customWidth="1"/>
    <col min="8986" max="8986" width="15" style="2177" customWidth="1"/>
    <col min="8987" max="8987" width="14.85546875" style="2177" bestFit="1" customWidth="1"/>
    <col min="8988" max="8988" width="16.140625" style="2177" bestFit="1" customWidth="1"/>
    <col min="8989" max="9215" width="9.140625" style="2177"/>
    <col min="9216" max="9216" width="24" style="2177" bestFit="1" customWidth="1"/>
    <col min="9217" max="9217" width="43.85546875" style="2177" customWidth="1"/>
    <col min="9218" max="9218" width="19.7109375" style="2177" bestFit="1" customWidth="1"/>
    <col min="9219" max="9219" width="15.28515625" style="2177" bestFit="1" customWidth="1"/>
    <col min="9220" max="9220" width="17.5703125" style="2177" bestFit="1" customWidth="1"/>
    <col min="9221" max="9221" width="13.42578125" style="2177" customWidth="1"/>
    <col min="9222" max="9222" width="15.28515625" style="2177" bestFit="1" customWidth="1"/>
    <col min="9223" max="9223" width="14.140625" style="2177" bestFit="1" customWidth="1"/>
    <col min="9224" max="9224" width="15.28515625" style="2177" customWidth="1"/>
    <col min="9225" max="9225" width="15.85546875" style="2177" customWidth="1"/>
    <col min="9226" max="9226" width="17" style="2177" bestFit="1" customWidth="1"/>
    <col min="9227" max="9227" width="12.7109375" style="2177" customWidth="1"/>
    <col min="9228" max="9228" width="13.7109375" style="2177" customWidth="1"/>
    <col min="9229" max="9229" width="13.85546875" style="2177" bestFit="1" customWidth="1"/>
    <col min="9230" max="9230" width="16.5703125" style="2177" customWidth="1"/>
    <col min="9231" max="9231" width="16.140625" style="2177" customWidth="1"/>
    <col min="9232" max="9232" width="16.7109375" style="2177" bestFit="1" customWidth="1"/>
    <col min="9233" max="9233" width="15.5703125" style="2177" bestFit="1" customWidth="1"/>
    <col min="9234" max="9234" width="18" style="2177" customWidth="1"/>
    <col min="9235" max="9235" width="16.42578125" style="2177" bestFit="1" customWidth="1"/>
    <col min="9236" max="9236" width="14.28515625" style="2177" customWidth="1"/>
    <col min="9237" max="9237" width="12.85546875" style="2177" bestFit="1" customWidth="1"/>
    <col min="9238" max="9238" width="11.28515625" style="2177" bestFit="1" customWidth="1"/>
    <col min="9239" max="9239" width="12.5703125" style="2177" bestFit="1" customWidth="1"/>
    <col min="9240" max="9240" width="14" style="2177" bestFit="1" customWidth="1"/>
    <col min="9241" max="9241" width="6" style="2177" bestFit="1" customWidth="1"/>
    <col min="9242" max="9242" width="15" style="2177" customWidth="1"/>
    <col min="9243" max="9243" width="14.85546875" style="2177" bestFit="1" customWidth="1"/>
    <col min="9244" max="9244" width="16.140625" style="2177" bestFit="1" customWidth="1"/>
    <col min="9245" max="9471" width="9.140625" style="2177"/>
    <col min="9472" max="9472" width="24" style="2177" bestFit="1" customWidth="1"/>
    <col min="9473" max="9473" width="43.85546875" style="2177" customWidth="1"/>
    <col min="9474" max="9474" width="19.7109375" style="2177" bestFit="1" customWidth="1"/>
    <col min="9475" max="9475" width="15.28515625" style="2177" bestFit="1" customWidth="1"/>
    <col min="9476" max="9476" width="17.5703125" style="2177" bestFit="1" customWidth="1"/>
    <col min="9477" max="9477" width="13.42578125" style="2177" customWidth="1"/>
    <col min="9478" max="9478" width="15.28515625" style="2177" bestFit="1" customWidth="1"/>
    <col min="9479" max="9479" width="14.140625" style="2177" bestFit="1" customWidth="1"/>
    <col min="9480" max="9480" width="15.28515625" style="2177" customWidth="1"/>
    <col min="9481" max="9481" width="15.85546875" style="2177" customWidth="1"/>
    <col min="9482" max="9482" width="17" style="2177" bestFit="1" customWidth="1"/>
    <col min="9483" max="9483" width="12.7109375" style="2177" customWidth="1"/>
    <col min="9484" max="9484" width="13.7109375" style="2177" customWidth="1"/>
    <col min="9485" max="9485" width="13.85546875" style="2177" bestFit="1" customWidth="1"/>
    <col min="9486" max="9486" width="16.5703125" style="2177" customWidth="1"/>
    <col min="9487" max="9487" width="16.140625" style="2177" customWidth="1"/>
    <col min="9488" max="9488" width="16.7109375" style="2177" bestFit="1" customWidth="1"/>
    <col min="9489" max="9489" width="15.5703125" style="2177" bestFit="1" customWidth="1"/>
    <col min="9490" max="9490" width="18" style="2177" customWidth="1"/>
    <col min="9491" max="9491" width="16.42578125" style="2177" bestFit="1" customWidth="1"/>
    <col min="9492" max="9492" width="14.28515625" style="2177" customWidth="1"/>
    <col min="9493" max="9493" width="12.85546875" style="2177" bestFit="1" customWidth="1"/>
    <col min="9494" max="9494" width="11.28515625" style="2177" bestFit="1" customWidth="1"/>
    <col min="9495" max="9495" width="12.5703125" style="2177" bestFit="1" customWidth="1"/>
    <col min="9496" max="9496" width="14" style="2177" bestFit="1" customWidth="1"/>
    <col min="9497" max="9497" width="6" style="2177" bestFit="1" customWidth="1"/>
    <col min="9498" max="9498" width="15" style="2177" customWidth="1"/>
    <col min="9499" max="9499" width="14.85546875" style="2177" bestFit="1" customWidth="1"/>
    <col min="9500" max="9500" width="16.140625" style="2177" bestFit="1" customWidth="1"/>
    <col min="9501" max="9727" width="9.140625" style="2177"/>
    <col min="9728" max="9728" width="24" style="2177" bestFit="1" customWidth="1"/>
    <col min="9729" max="9729" width="43.85546875" style="2177" customWidth="1"/>
    <col min="9730" max="9730" width="19.7109375" style="2177" bestFit="1" customWidth="1"/>
    <col min="9731" max="9731" width="15.28515625" style="2177" bestFit="1" customWidth="1"/>
    <col min="9732" max="9732" width="17.5703125" style="2177" bestFit="1" customWidth="1"/>
    <col min="9733" max="9733" width="13.42578125" style="2177" customWidth="1"/>
    <col min="9734" max="9734" width="15.28515625" style="2177" bestFit="1" customWidth="1"/>
    <col min="9735" max="9735" width="14.140625" style="2177" bestFit="1" customWidth="1"/>
    <col min="9736" max="9736" width="15.28515625" style="2177" customWidth="1"/>
    <col min="9737" max="9737" width="15.85546875" style="2177" customWidth="1"/>
    <col min="9738" max="9738" width="17" style="2177" bestFit="1" customWidth="1"/>
    <col min="9739" max="9739" width="12.7109375" style="2177" customWidth="1"/>
    <col min="9740" max="9740" width="13.7109375" style="2177" customWidth="1"/>
    <col min="9741" max="9741" width="13.85546875" style="2177" bestFit="1" customWidth="1"/>
    <col min="9742" max="9742" width="16.5703125" style="2177" customWidth="1"/>
    <col min="9743" max="9743" width="16.140625" style="2177" customWidth="1"/>
    <col min="9744" max="9744" width="16.7109375" style="2177" bestFit="1" customWidth="1"/>
    <col min="9745" max="9745" width="15.5703125" style="2177" bestFit="1" customWidth="1"/>
    <col min="9746" max="9746" width="18" style="2177" customWidth="1"/>
    <col min="9747" max="9747" width="16.42578125" style="2177" bestFit="1" customWidth="1"/>
    <col min="9748" max="9748" width="14.28515625" style="2177" customWidth="1"/>
    <col min="9749" max="9749" width="12.85546875" style="2177" bestFit="1" customWidth="1"/>
    <col min="9750" max="9750" width="11.28515625" style="2177" bestFit="1" customWidth="1"/>
    <col min="9751" max="9751" width="12.5703125" style="2177" bestFit="1" customWidth="1"/>
    <col min="9752" max="9752" width="14" style="2177" bestFit="1" customWidth="1"/>
    <col min="9753" max="9753" width="6" style="2177" bestFit="1" customWidth="1"/>
    <col min="9754" max="9754" width="15" style="2177" customWidth="1"/>
    <col min="9755" max="9755" width="14.85546875" style="2177" bestFit="1" customWidth="1"/>
    <col min="9756" max="9756" width="16.140625" style="2177" bestFit="1" customWidth="1"/>
    <col min="9757" max="9983" width="9.140625" style="2177"/>
    <col min="9984" max="9984" width="24" style="2177" bestFit="1" customWidth="1"/>
    <col min="9985" max="9985" width="43.85546875" style="2177" customWidth="1"/>
    <col min="9986" max="9986" width="19.7109375" style="2177" bestFit="1" customWidth="1"/>
    <col min="9987" max="9987" width="15.28515625" style="2177" bestFit="1" customWidth="1"/>
    <col min="9988" max="9988" width="17.5703125" style="2177" bestFit="1" customWidth="1"/>
    <col min="9989" max="9989" width="13.42578125" style="2177" customWidth="1"/>
    <col min="9990" max="9990" width="15.28515625" style="2177" bestFit="1" customWidth="1"/>
    <col min="9991" max="9991" width="14.140625" style="2177" bestFit="1" customWidth="1"/>
    <col min="9992" max="9992" width="15.28515625" style="2177" customWidth="1"/>
    <col min="9993" max="9993" width="15.85546875" style="2177" customWidth="1"/>
    <col min="9994" max="9994" width="17" style="2177" bestFit="1" customWidth="1"/>
    <col min="9995" max="9995" width="12.7109375" style="2177" customWidth="1"/>
    <col min="9996" max="9996" width="13.7109375" style="2177" customWidth="1"/>
    <col min="9997" max="9997" width="13.85546875" style="2177" bestFit="1" customWidth="1"/>
    <col min="9998" max="9998" width="16.5703125" style="2177" customWidth="1"/>
    <col min="9999" max="9999" width="16.140625" style="2177" customWidth="1"/>
    <col min="10000" max="10000" width="16.7109375" style="2177" bestFit="1" customWidth="1"/>
    <col min="10001" max="10001" width="15.5703125" style="2177" bestFit="1" customWidth="1"/>
    <col min="10002" max="10002" width="18" style="2177" customWidth="1"/>
    <col min="10003" max="10003" width="16.42578125" style="2177" bestFit="1" customWidth="1"/>
    <col min="10004" max="10004" width="14.28515625" style="2177" customWidth="1"/>
    <col min="10005" max="10005" width="12.85546875" style="2177" bestFit="1" customWidth="1"/>
    <col min="10006" max="10006" width="11.28515625" style="2177" bestFit="1" customWidth="1"/>
    <col min="10007" max="10007" width="12.5703125" style="2177" bestFit="1" customWidth="1"/>
    <col min="10008" max="10008" width="14" style="2177" bestFit="1" customWidth="1"/>
    <col min="10009" max="10009" width="6" style="2177" bestFit="1" customWidth="1"/>
    <col min="10010" max="10010" width="15" style="2177" customWidth="1"/>
    <col min="10011" max="10011" width="14.85546875" style="2177" bestFit="1" customWidth="1"/>
    <col min="10012" max="10012" width="16.140625" style="2177" bestFit="1" customWidth="1"/>
    <col min="10013" max="10239" width="9.140625" style="2177"/>
    <col min="10240" max="10240" width="24" style="2177" bestFit="1" customWidth="1"/>
    <col min="10241" max="10241" width="43.85546875" style="2177" customWidth="1"/>
    <col min="10242" max="10242" width="19.7109375" style="2177" bestFit="1" customWidth="1"/>
    <col min="10243" max="10243" width="15.28515625" style="2177" bestFit="1" customWidth="1"/>
    <col min="10244" max="10244" width="17.5703125" style="2177" bestFit="1" customWidth="1"/>
    <col min="10245" max="10245" width="13.42578125" style="2177" customWidth="1"/>
    <col min="10246" max="10246" width="15.28515625" style="2177" bestFit="1" customWidth="1"/>
    <col min="10247" max="10247" width="14.140625" style="2177" bestFit="1" customWidth="1"/>
    <col min="10248" max="10248" width="15.28515625" style="2177" customWidth="1"/>
    <col min="10249" max="10249" width="15.85546875" style="2177" customWidth="1"/>
    <col min="10250" max="10250" width="17" style="2177" bestFit="1" customWidth="1"/>
    <col min="10251" max="10251" width="12.7109375" style="2177" customWidth="1"/>
    <col min="10252" max="10252" width="13.7109375" style="2177" customWidth="1"/>
    <col min="10253" max="10253" width="13.85546875" style="2177" bestFit="1" customWidth="1"/>
    <col min="10254" max="10254" width="16.5703125" style="2177" customWidth="1"/>
    <col min="10255" max="10255" width="16.140625" style="2177" customWidth="1"/>
    <col min="10256" max="10256" width="16.7109375" style="2177" bestFit="1" customWidth="1"/>
    <col min="10257" max="10257" width="15.5703125" style="2177" bestFit="1" customWidth="1"/>
    <col min="10258" max="10258" width="18" style="2177" customWidth="1"/>
    <col min="10259" max="10259" width="16.42578125" style="2177" bestFit="1" customWidth="1"/>
    <col min="10260" max="10260" width="14.28515625" style="2177" customWidth="1"/>
    <col min="10261" max="10261" width="12.85546875" style="2177" bestFit="1" customWidth="1"/>
    <col min="10262" max="10262" width="11.28515625" style="2177" bestFit="1" customWidth="1"/>
    <col min="10263" max="10263" width="12.5703125" style="2177" bestFit="1" customWidth="1"/>
    <col min="10264" max="10264" width="14" style="2177" bestFit="1" customWidth="1"/>
    <col min="10265" max="10265" width="6" style="2177" bestFit="1" customWidth="1"/>
    <col min="10266" max="10266" width="15" style="2177" customWidth="1"/>
    <col min="10267" max="10267" width="14.85546875" style="2177" bestFit="1" customWidth="1"/>
    <col min="10268" max="10268" width="16.140625" style="2177" bestFit="1" customWidth="1"/>
    <col min="10269" max="10495" width="9.140625" style="2177"/>
    <col min="10496" max="10496" width="24" style="2177" bestFit="1" customWidth="1"/>
    <col min="10497" max="10497" width="43.85546875" style="2177" customWidth="1"/>
    <col min="10498" max="10498" width="19.7109375" style="2177" bestFit="1" customWidth="1"/>
    <col min="10499" max="10499" width="15.28515625" style="2177" bestFit="1" customWidth="1"/>
    <col min="10500" max="10500" width="17.5703125" style="2177" bestFit="1" customWidth="1"/>
    <col min="10501" max="10501" width="13.42578125" style="2177" customWidth="1"/>
    <col min="10502" max="10502" width="15.28515625" style="2177" bestFit="1" customWidth="1"/>
    <col min="10503" max="10503" width="14.140625" style="2177" bestFit="1" customWidth="1"/>
    <col min="10504" max="10504" width="15.28515625" style="2177" customWidth="1"/>
    <col min="10505" max="10505" width="15.85546875" style="2177" customWidth="1"/>
    <col min="10506" max="10506" width="17" style="2177" bestFit="1" customWidth="1"/>
    <col min="10507" max="10507" width="12.7109375" style="2177" customWidth="1"/>
    <col min="10508" max="10508" width="13.7109375" style="2177" customWidth="1"/>
    <col min="10509" max="10509" width="13.85546875" style="2177" bestFit="1" customWidth="1"/>
    <col min="10510" max="10510" width="16.5703125" style="2177" customWidth="1"/>
    <col min="10511" max="10511" width="16.140625" style="2177" customWidth="1"/>
    <col min="10512" max="10512" width="16.7109375" style="2177" bestFit="1" customWidth="1"/>
    <col min="10513" max="10513" width="15.5703125" style="2177" bestFit="1" customWidth="1"/>
    <col min="10514" max="10514" width="18" style="2177" customWidth="1"/>
    <col min="10515" max="10515" width="16.42578125" style="2177" bestFit="1" customWidth="1"/>
    <col min="10516" max="10516" width="14.28515625" style="2177" customWidth="1"/>
    <col min="10517" max="10517" width="12.85546875" style="2177" bestFit="1" customWidth="1"/>
    <col min="10518" max="10518" width="11.28515625" style="2177" bestFit="1" customWidth="1"/>
    <col min="10519" max="10519" width="12.5703125" style="2177" bestFit="1" customWidth="1"/>
    <col min="10520" max="10520" width="14" style="2177" bestFit="1" customWidth="1"/>
    <col min="10521" max="10521" width="6" style="2177" bestFit="1" customWidth="1"/>
    <col min="10522" max="10522" width="15" style="2177" customWidth="1"/>
    <col min="10523" max="10523" width="14.85546875" style="2177" bestFit="1" customWidth="1"/>
    <col min="10524" max="10524" width="16.140625" style="2177" bestFit="1" customWidth="1"/>
    <col min="10525" max="10751" width="9.140625" style="2177"/>
    <col min="10752" max="10752" width="24" style="2177" bestFit="1" customWidth="1"/>
    <col min="10753" max="10753" width="43.85546875" style="2177" customWidth="1"/>
    <col min="10754" max="10754" width="19.7109375" style="2177" bestFit="1" customWidth="1"/>
    <col min="10755" max="10755" width="15.28515625" style="2177" bestFit="1" customWidth="1"/>
    <col min="10756" max="10756" width="17.5703125" style="2177" bestFit="1" customWidth="1"/>
    <col min="10757" max="10757" width="13.42578125" style="2177" customWidth="1"/>
    <col min="10758" max="10758" width="15.28515625" style="2177" bestFit="1" customWidth="1"/>
    <col min="10759" max="10759" width="14.140625" style="2177" bestFit="1" customWidth="1"/>
    <col min="10760" max="10760" width="15.28515625" style="2177" customWidth="1"/>
    <col min="10761" max="10761" width="15.85546875" style="2177" customWidth="1"/>
    <col min="10762" max="10762" width="17" style="2177" bestFit="1" customWidth="1"/>
    <col min="10763" max="10763" width="12.7109375" style="2177" customWidth="1"/>
    <col min="10764" max="10764" width="13.7109375" style="2177" customWidth="1"/>
    <col min="10765" max="10765" width="13.85546875" style="2177" bestFit="1" customWidth="1"/>
    <col min="10766" max="10766" width="16.5703125" style="2177" customWidth="1"/>
    <col min="10767" max="10767" width="16.140625" style="2177" customWidth="1"/>
    <col min="10768" max="10768" width="16.7109375" style="2177" bestFit="1" customWidth="1"/>
    <col min="10769" max="10769" width="15.5703125" style="2177" bestFit="1" customWidth="1"/>
    <col min="10770" max="10770" width="18" style="2177" customWidth="1"/>
    <col min="10771" max="10771" width="16.42578125" style="2177" bestFit="1" customWidth="1"/>
    <col min="10772" max="10772" width="14.28515625" style="2177" customWidth="1"/>
    <col min="10773" max="10773" width="12.85546875" style="2177" bestFit="1" customWidth="1"/>
    <col min="10774" max="10774" width="11.28515625" style="2177" bestFit="1" customWidth="1"/>
    <col min="10775" max="10775" width="12.5703125" style="2177" bestFit="1" customWidth="1"/>
    <col min="10776" max="10776" width="14" style="2177" bestFit="1" customWidth="1"/>
    <col min="10777" max="10777" width="6" style="2177" bestFit="1" customWidth="1"/>
    <col min="10778" max="10778" width="15" style="2177" customWidth="1"/>
    <col min="10779" max="10779" width="14.85546875" style="2177" bestFit="1" customWidth="1"/>
    <col min="10780" max="10780" width="16.140625" style="2177" bestFit="1" customWidth="1"/>
    <col min="10781" max="11007" width="9.140625" style="2177"/>
    <col min="11008" max="11008" width="24" style="2177" bestFit="1" customWidth="1"/>
    <col min="11009" max="11009" width="43.85546875" style="2177" customWidth="1"/>
    <col min="11010" max="11010" width="19.7109375" style="2177" bestFit="1" customWidth="1"/>
    <col min="11011" max="11011" width="15.28515625" style="2177" bestFit="1" customWidth="1"/>
    <col min="11012" max="11012" width="17.5703125" style="2177" bestFit="1" customWidth="1"/>
    <col min="11013" max="11013" width="13.42578125" style="2177" customWidth="1"/>
    <col min="11014" max="11014" width="15.28515625" style="2177" bestFit="1" customWidth="1"/>
    <col min="11015" max="11015" width="14.140625" style="2177" bestFit="1" customWidth="1"/>
    <col min="11016" max="11016" width="15.28515625" style="2177" customWidth="1"/>
    <col min="11017" max="11017" width="15.85546875" style="2177" customWidth="1"/>
    <col min="11018" max="11018" width="17" style="2177" bestFit="1" customWidth="1"/>
    <col min="11019" max="11019" width="12.7109375" style="2177" customWidth="1"/>
    <col min="11020" max="11020" width="13.7109375" style="2177" customWidth="1"/>
    <col min="11021" max="11021" width="13.85546875" style="2177" bestFit="1" customWidth="1"/>
    <col min="11022" max="11022" width="16.5703125" style="2177" customWidth="1"/>
    <col min="11023" max="11023" width="16.140625" style="2177" customWidth="1"/>
    <col min="11024" max="11024" width="16.7109375" style="2177" bestFit="1" customWidth="1"/>
    <col min="11025" max="11025" width="15.5703125" style="2177" bestFit="1" customWidth="1"/>
    <col min="11026" max="11026" width="18" style="2177" customWidth="1"/>
    <col min="11027" max="11027" width="16.42578125" style="2177" bestFit="1" customWidth="1"/>
    <col min="11028" max="11028" width="14.28515625" style="2177" customWidth="1"/>
    <col min="11029" max="11029" width="12.85546875" style="2177" bestFit="1" customWidth="1"/>
    <col min="11030" max="11030" width="11.28515625" style="2177" bestFit="1" customWidth="1"/>
    <col min="11031" max="11031" width="12.5703125" style="2177" bestFit="1" customWidth="1"/>
    <col min="11032" max="11032" width="14" style="2177" bestFit="1" customWidth="1"/>
    <col min="11033" max="11033" width="6" style="2177" bestFit="1" customWidth="1"/>
    <col min="11034" max="11034" width="15" style="2177" customWidth="1"/>
    <col min="11035" max="11035" width="14.85546875" style="2177" bestFit="1" customWidth="1"/>
    <col min="11036" max="11036" width="16.140625" style="2177" bestFit="1" customWidth="1"/>
    <col min="11037" max="11263" width="9.140625" style="2177"/>
    <col min="11264" max="11264" width="24" style="2177" bestFit="1" customWidth="1"/>
    <col min="11265" max="11265" width="43.85546875" style="2177" customWidth="1"/>
    <col min="11266" max="11266" width="19.7109375" style="2177" bestFit="1" customWidth="1"/>
    <col min="11267" max="11267" width="15.28515625" style="2177" bestFit="1" customWidth="1"/>
    <col min="11268" max="11268" width="17.5703125" style="2177" bestFit="1" customWidth="1"/>
    <col min="11269" max="11269" width="13.42578125" style="2177" customWidth="1"/>
    <col min="11270" max="11270" width="15.28515625" style="2177" bestFit="1" customWidth="1"/>
    <col min="11271" max="11271" width="14.140625" style="2177" bestFit="1" customWidth="1"/>
    <col min="11272" max="11272" width="15.28515625" style="2177" customWidth="1"/>
    <col min="11273" max="11273" width="15.85546875" style="2177" customWidth="1"/>
    <col min="11274" max="11274" width="17" style="2177" bestFit="1" customWidth="1"/>
    <col min="11275" max="11275" width="12.7109375" style="2177" customWidth="1"/>
    <col min="11276" max="11276" width="13.7109375" style="2177" customWidth="1"/>
    <col min="11277" max="11277" width="13.85546875" style="2177" bestFit="1" customWidth="1"/>
    <col min="11278" max="11278" width="16.5703125" style="2177" customWidth="1"/>
    <col min="11279" max="11279" width="16.140625" style="2177" customWidth="1"/>
    <col min="11280" max="11280" width="16.7109375" style="2177" bestFit="1" customWidth="1"/>
    <col min="11281" max="11281" width="15.5703125" style="2177" bestFit="1" customWidth="1"/>
    <col min="11282" max="11282" width="18" style="2177" customWidth="1"/>
    <col min="11283" max="11283" width="16.42578125" style="2177" bestFit="1" customWidth="1"/>
    <col min="11284" max="11284" width="14.28515625" style="2177" customWidth="1"/>
    <col min="11285" max="11285" width="12.85546875" style="2177" bestFit="1" customWidth="1"/>
    <col min="11286" max="11286" width="11.28515625" style="2177" bestFit="1" customWidth="1"/>
    <col min="11287" max="11287" width="12.5703125" style="2177" bestFit="1" customWidth="1"/>
    <col min="11288" max="11288" width="14" style="2177" bestFit="1" customWidth="1"/>
    <col min="11289" max="11289" width="6" style="2177" bestFit="1" customWidth="1"/>
    <col min="11290" max="11290" width="15" style="2177" customWidth="1"/>
    <col min="11291" max="11291" width="14.85546875" style="2177" bestFit="1" customWidth="1"/>
    <col min="11292" max="11292" width="16.140625" style="2177" bestFit="1" customWidth="1"/>
    <col min="11293" max="11519" width="9.140625" style="2177"/>
    <col min="11520" max="11520" width="24" style="2177" bestFit="1" customWidth="1"/>
    <col min="11521" max="11521" width="43.85546875" style="2177" customWidth="1"/>
    <col min="11522" max="11522" width="19.7109375" style="2177" bestFit="1" customWidth="1"/>
    <col min="11523" max="11523" width="15.28515625" style="2177" bestFit="1" customWidth="1"/>
    <col min="11524" max="11524" width="17.5703125" style="2177" bestFit="1" customWidth="1"/>
    <col min="11525" max="11525" width="13.42578125" style="2177" customWidth="1"/>
    <col min="11526" max="11526" width="15.28515625" style="2177" bestFit="1" customWidth="1"/>
    <col min="11527" max="11527" width="14.140625" style="2177" bestFit="1" customWidth="1"/>
    <col min="11528" max="11528" width="15.28515625" style="2177" customWidth="1"/>
    <col min="11529" max="11529" width="15.85546875" style="2177" customWidth="1"/>
    <col min="11530" max="11530" width="17" style="2177" bestFit="1" customWidth="1"/>
    <col min="11531" max="11531" width="12.7109375" style="2177" customWidth="1"/>
    <col min="11532" max="11532" width="13.7109375" style="2177" customWidth="1"/>
    <col min="11533" max="11533" width="13.85546875" style="2177" bestFit="1" customWidth="1"/>
    <col min="11534" max="11534" width="16.5703125" style="2177" customWidth="1"/>
    <col min="11535" max="11535" width="16.140625" style="2177" customWidth="1"/>
    <col min="11536" max="11536" width="16.7109375" style="2177" bestFit="1" customWidth="1"/>
    <col min="11537" max="11537" width="15.5703125" style="2177" bestFit="1" customWidth="1"/>
    <col min="11538" max="11538" width="18" style="2177" customWidth="1"/>
    <col min="11539" max="11539" width="16.42578125" style="2177" bestFit="1" customWidth="1"/>
    <col min="11540" max="11540" width="14.28515625" style="2177" customWidth="1"/>
    <col min="11541" max="11541" width="12.85546875" style="2177" bestFit="1" customWidth="1"/>
    <col min="11542" max="11542" width="11.28515625" style="2177" bestFit="1" customWidth="1"/>
    <col min="11543" max="11543" width="12.5703125" style="2177" bestFit="1" customWidth="1"/>
    <col min="11544" max="11544" width="14" style="2177" bestFit="1" customWidth="1"/>
    <col min="11545" max="11545" width="6" style="2177" bestFit="1" customWidth="1"/>
    <col min="11546" max="11546" width="15" style="2177" customWidth="1"/>
    <col min="11547" max="11547" width="14.85546875" style="2177" bestFit="1" customWidth="1"/>
    <col min="11548" max="11548" width="16.140625" style="2177" bestFit="1" customWidth="1"/>
    <col min="11549" max="11775" width="9.140625" style="2177"/>
    <col min="11776" max="11776" width="24" style="2177" bestFit="1" customWidth="1"/>
    <col min="11777" max="11777" width="43.85546875" style="2177" customWidth="1"/>
    <col min="11778" max="11778" width="19.7109375" style="2177" bestFit="1" customWidth="1"/>
    <col min="11779" max="11779" width="15.28515625" style="2177" bestFit="1" customWidth="1"/>
    <col min="11780" max="11780" width="17.5703125" style="2177" bestFit="1" customWidth="1"/>
    <col min="11781" max="11781" width="13.42578125" style="2177" customWidth="1"/>
    <col min="11782" max="11782" width="15.28515625" style="2177" bestFit="1" customWidth="1"/>
    <col min="11783" max="11783" width="14.140625" style="2177" bestFit="1" customWidth="1"/>
    <col min="11784" max="11784" width="15.28515625" style="2177" customWidth="1"/>
    <col min="11785" max="11785" width="15.85546875" style="2177" customWidth="1"/>
    <col min="11786" max="11786" width="17" style="2177" bestFit="1" customWidth="1"/>
    <col min="11787" max="11787" width="12.7109375" style="2177" customWidth="1"/>
    <col min="11788" max="11788" width="13.7109375" style="2177" customWidth="1"/>
    <col min="11789" max="11789" width="13.85546875" style="2177" bestFit="1" customWidth="1"/>
    <col min="11790" max="11790" width="16.5703125" style="2177" customWidth="1"/>
    <col min="11791" max="11791" width="16.140625" style="2177" customWidth="1"/>
    <col min="11792" max="11792" width="16.7109375" style="2177" bestFit="1" customWidth="1"/>
    <col min="11793" max="11793" width="15.5703125" style="2177" bestFit="1" customWidth="1"/>
    <col min="11794" max="11794" width="18" style="2177" customWidth="1"/>
    <col min="11795" max="11795" width="16.42578125" style="2177" bestFit="1" customWidth="1"/>
    <col min="11796" max="11796" width="14.28515625" style="2177" customWidth="1"/>
    <col min="11797" max="11797" width="12.85546875" style="2177" bestFit="1" customWidth="1"/>
    <col min="11798" max="11798" width="11.28515625" style="2177" bestFit="1" customWidth="1"/>
    <col min="11799" max="11799" width="12.5703125" style="2177" bestFit="1" customWidth="1"/>
    <col min="11800" max="11800" width="14" style="2177" bestFit="1" customWidth="1"/>
    <col min="11801" max="11801" width="6" style="2177" bestFit="1" customWidth="1"/>
    <col min="11802" max="11802" width="15" style="2177" customWidth="1"/>
    <col min="11803" max="11803" width="14.85546875" style="2177" bestFit="1" customWidth="1"/>
    <col min="11804" max="11804" width="16.140625" style="2177" bestFit="1" customWidth="1"/>
    <col min="11805" max="12031" width="9.140625" style="2177"/>
    <col min="12032" max="12032" width="24" style="2177" bestFit="1" customWidth="1"/>
    <col min="12033" max="12033" width="43.85546875" style="2177" customWidth="1"/>
    <col min="12034" max="12034" width="19.7109375" style="2177" bestFit="1" customWidth="1"/>
    <col min="12035" max="12035" width="15.28515625" style="2177" bestFit="1" customWidth="1"/>
    <col min="12036" max="12036" width="17.5703125" style="2177" bestFit="1" customWidth="1"/>
    <col min="12037" max="12037" width="13.42578125" style="2177" customWidth="1"/>
    <col min="12038" max="12038" width="15.28515625" style="2177" bestFit="1" customWidth="1"/>
    <col min="12039" max="12039" width="14.140625" style="2177" bestFit="1" customWidth="1"/>
    <col min="12040" max="12040" width="15.28515625" style="2177" customWidth="1"/>
    <col min="12041" max="12041" width="15.85546875" style="2177" customWidth="1"/>
    <col min="12042" max="12042" width="17" style="2177" bestFit="1" customWidth="1"/>
    <col min="12043" max="12043" width="12.7109375" style="2177" customWidth="1"/>
    <col min="12044" max="12044" width="13.7109375" style="2177" customWidth="1"/>
    <col min="12045" max="12045" width="13.85546875" style="2177" bestFit="1" customWidth="1"/>
    <col min="12046" max="12046" width="16.5703125" style="2177" customWidth="1"/>
    <col min="12047" max="12047" width="16.140625" style="2177" customWidth="1"/>
    <col min="12048" max="12048" width="16.7109375" style="2177" bestFit="1" customWidth="1"/>
    <col min="12049" max="12049" width="15.5703125" style="2177" bestFit="1" customWidth="1"/>
    <col min="12050" max="12050" width="18" style="2177" customWidth="1"/>
    <col min="12051" max="12051" width="16.42578125" style="2177" bestFit="1" customWidth="1"/>
    <col min="12052" max="12052" width="14.28515625" style="2177" customWidth="1"/>
    <col min="12053" max="12053" width="12.85546875" style="2177" bestFit="1" customWidth="1"/>
    <col min="12054" max="12054" width="11.28515625" style="2177" bestFit="1" customWidth="1"/>
    <col min="12055" max="12055" width="12.5703125" style="2177" bestFit="1" customWidth="1"/>
    <col min="12056" max="12056" width="14" style="2177" bestFit="1" customWidth="1"/>
    <col min="12057" max="12057" width="6" style="2177" bestFit="1" customWidth="1"/>
    <col min="12058" max="12058" width="15" style="2177" customWidth="1"/>
    <col min="12059" max="12059" width="14.85546875" style="2177" bestFit="1" customWidth="1"/>
    <col min="12060" max="12060" width="16.140625" style="2177" bestFit="1" customWidth="1"/>
    <col min="12061" max="12287" width="9.140625" style="2177"/>
    <col min="12288" max="12288" width="24" style="2177" bestFit="1" customWidth="1"/>
    <col min="12289" max="12289" width="43.85546875" style="2177" customWidth="1"/>
    <col min="12290" max="12290" width="19.7109375" style="2177" bestFit="1" customWidth="1"/>
    <col min="12291" max="12291" width="15.28515625" style="2177" bestFit="1" customWidth="1"/>
    <col min="12292" max="12292" width="17.5703125" style="2177" bestFit="1" customWidth="1"/>
    <col min="12293" max="12293" width="13.42578125" style="2177" customWidth="1"/>
    <col min="12294" max="12294" width="15.28515625" style="2177" bestFit="1" customWidth="1"/>
    <col min="12295" max="12295" width="14.140625" style="2177" bestFit="1" customWidth="1"/>
    <col min="12296" max="12296" width="15.28515625" style="2177" customWidth="1"/>
    <col min="12297" max="12297" width="15.85546875" style="2177" customWidth="1"/>
    <col min="12298" max="12298" width="17" style="2177" bestFit="1" customWidth="1"/>
    <col min="12299" max="12299" width="12.7109375" style="2177" customWidth="1"/>
    <col min="12300" max="12300" width="13.7109375" style="2177" customWidth="1"/>
    <col min="12301" max="12301" width="13.85546875" style="2177" bestFit="1" customWidth="1"/>
    <col min="12302" max="12302" width="16.5703125" style="2177" customWidth="1"/>
    <col min="12303" max="12303" width="16.140625" style="2177" customWidth="1"/>
    <col min="12304" max="12304" width="16.7109375" style="2177" bestFit="1" customWidth="1"/>
    <col min="12305" max="12305" width="15.5703125" style="2177" bestFit="1" customWidth="1"/>
    <col min="12306" max="12306" width="18" style="2177" customWidth="1"/>
    <col min="12307" max="12307" width="16.42578125" style="2177" bestFit="1" customWidth="1"/>
    <col min="12308" max="12308" width="14.28515625" style="2177" customWidth="1"/>
    <col min="12309" max="12309" width="12.85546875" style="2177" bestFit="1" customWidth="1"/>
    <col min="12310" max="12310" width="11.28515625" style="2177" bestFit="1" customWidth="1"/>
    <col min="12311" max="12311" width="12.5703125" style="2177" bestFit="1" customWidth="1"/>
    <col min="12312" max="12312" width="14" style="2177" bestFit="1" customWidth="1"/>
    <col min="12313" max="12313" width="6" style="2177" bestFit="1" customWidth="1"/>
    <col min="12314" max="12314" width="15" style="2177" customWidth="1"/>
    <col min="12315" max="12315" width="14.85546875" style="2177" bestFit="1" customWidth="1"/>
    <col min="12316" max="12316" width="16.140625" style="2177" bestFit="1" customWidth="1"/>
    <col min="12317" max="12543" width="9.140625" style="2177"/>
    <col min="12544" max="12544" width="24" style="2177" bestFit="1" customWidth="1"/>
    <col min="12545" max="12545" width="43.85546875" style="2177" customWidth="1"/>
    <col min="12546" max="12546" width="19.7109375" style="2177" bestFit="1" customWidth="1"/>
    <col min="12547" max="12547" width="15.28515625" style="2177" bestFit="1" customWidth="1"/>
    <col min="12548" max="12548" width="17.5703125" style="2177" bestFit="1" customWidth="1"/>
    <col min="12549" max="12549" width="13.42578125" style="2177" customWidth="1"/>
    <col min="12550" max="12550" width="15.28515625" style="2177" bestFit="1" customWidth="1"/>
    <col min="12551" max="12551" width="14.140625" style="2177" bestFit="1" customWidth="1"/>
    <col min="12552" max="12552" width="15.28515625" style="2177" customWidth="1"/>
    <col min="12553" max="12553" width="15.85546875" style="2177" customWidth="1"/>
    <col min="12554" max="12554" width="17" style="2177" bestFit="1" customWidth="1"/>
    <col min="12555" max="12555" width="12.7109375" style="2177" customWidth="1"/>
    <col min="12556" max="12556" width="13.7109375" style="2177" customWidth="1"/>
    <col min="12557" max="12557" width="13.85546875" style="2177" bestFit="1" customWidth="1"/>
    <col min="12558" max="12558" width="16.5703125" style="2177" customWidth="1"/>
    <col min="12559" max="12559" width="16.140625" style="2177" customWidth="1"/>
    <col min="12560" max="12560" width="16.7109375" style="2177" bestFit="1" customWidth="1"/>
    <col min="12561" max="12561" width="15.5703125" style="2177" bestFit="1" customWidth="1"/>
    <col min="12562" max="12562" width="18" style="2177" customWidth="1"/>
    <col min="12563" max="12563" width="16.42578125" style="2177" bestFit="1" customWidth="1"/>
    <col min="12564" max="12564" width="14.28515625" style="2177" customWidth="1"/>
    <col min="12565" max="12565" width="12.85546875" style="2177" bestFit="1" customWidth="1"/>
    <col min="12566" max="12566" width="11.28515625" style="2177" bestFit="1" customWidth="1"/>
    <col min="12567" max="12567" width="12.5703125" style="2177" bestFit="1" customWidth="1"/>
    <col min="12568" max="12568" width="14" style="2177" bestFit="1" customWidth="1"/>
    <col min="12569" max="12569" width="6" style="2177" bestFit="1" customWidth="1"/>
    <col min="12570" max="12570" width="15" style="2177" customWidth="1"/>
    <col min="12571" max="12571" width="14.85546875" style="2177" bestFit="1" customWidth="1"/>
    <col min="12572" max="12572" width="16.140625" style="2177" bestFit="1" customWidth="1"/>
    <col min="12573" max="12799" width="9.140625" style="2177"/>
    <col min="12800" max="12800" width="24" style="2177" bestFit="1" customWidth="1"/>
    <col min="12801" max="12801" width="43.85546875" style="2177" customWidth="1"/>
    <col min="12802" max="12802" width="19.7109375" style="2177" bestFit="1" customWidth="1"/>
    <col min="12803" max="12803" width="15.28515625" style="2177" bestFit="1" customWidth="1"/>
    <col min="12804" max="12804" width="17.5703125" style="2177" bestFit="1" customWidth="1"/>
    <col min="12805" max="12805" width="13.42578125" style="2177" customWidth="1"/>
    <col min="12806" max="12806" width="15.28515625" style="2177" bestFit="1" customWidth="1"/>
    <col min="12807" max="12807" width="14.140625" style="2177" bestFit="1" customWidth="1"/>
    <col min="12808" max="12808" width="15.28515625" style="2177" customWidth="1"/>
    <col min="12809" max="12809" width="15.85546875" style="2177" customWidth="1"/>
    <col min="12810" max="12810" width="17" style="2177" bestFit="1" customWidth="1"/>
    <col min="12811" max="12811" width="12.7109375" style="2177" customWidth="1"/>
    <col min="12812" max="12812" width="13.7109375" style="2177" customWidth="1"/>
    <col min="12813" max="12813" width="13.85546875" style="2177" bestFit="1" customWidth="1"/>
    <col min="12814" max="12814" width="16.5703125" style="2177" customWidth="1"/>
    <col min="12815" max="12815" width="16.140625" style="2177" customWidth="1"/>
    <col min="12816" max="12816" width="16.7109375" style="2177" bestFit="1" customWidth="1"/>
    <col min="12817" max="12817" width="15.5703125" style="2177" bestFit="1" customWidth="1"/>
    <col min="12818" max="12818" width="18" style="2177" customWidth="1"/>
    <col min="12819" max="12819" width="16.42578125" style="2177" bestFit="1" customWidth="1"/>
    <col min="12820" max="12820" width="14.28515625" style="2177" customWidth="1"/>
    <col min="12821" max="12821" width="12.85546875" style="2177" bestFit="1" customWidth="1"/>
    <col min="12822" max="12822" width="11.28515625" style="2177" bestFit="1" customWidth="1"/>
    <col min="12823" max="12823" width="12.5703125" style="2177" bestFit="1" customWidth="1"/>
    <col min="12824" max="12824" width="14" style="2177" bestFit="1" customWidth="1"/>
    <col min="12825" max="12825" width="6" style="2177" bestFit="1" customWidth="1"/>
    <col min="12826" max="12826" width="15" style="2177" customWidth="1"/>
    <col min="12827" max="12827" width="14.85546875" style="2177" bestFit="1" customWidth="1"/>
    <col min="12828" max="12828" width="16.140625" style="2177" bestFit="1" customWidth="1"/>
    <col min="12829" max="13055" width="9.140625" style="2177"/>
    <col min="13056" max="13056" width="24" style="2177" bestFit="1" customWidth="1"/>
    <col min="13057" max="13057" width="43.85546875" style="2177" customWidth="1"/>
    <col min="13058" max="13058" width="19.7109375" style="2177" bestFit="1" customWidth="1"/>
    <col min="13059" max="13059" width="15.28515625" style="2177" bestFit="1" customWidth="1"/>
    <col min="13060" max="13060" width="17.5703125" style="2177" bestFit="1" customWidth="1"/>
    <col min="13061" max="13061" width="13.42578125" style="2177" customWidth="1"/>
    <col min="13062" max="13062" width="15.28515625" style="2177" bestFit="1" customWidth="1"/>
    <col min="13063" max="13063" width="14.140625" style="2177" bestFit="1" customWidth="1"/>
    <col min="13064" max="13064" width="15.28515625" style="2177" customWidth="1"/>
    <col min="13065" max="13065" width="15.85546875" style="2177" customWidth="1"/>
    <col min="13066" max="13066" width="17" style="2177" bestFit="1" customWidth="1"/>
    <col min="13067" max="13067" width="12.7109375" style="2177" customWidth="1"/>
    <col min="13068" max="13068" width="13.7109375" style="2177" customWidth="1"/>
    <col min="13069" max="13069" width="13.85546875" style="2177" bestFit="1" customWidth="1"/>
    <col min="13070" max="13070" width="16.5703125" style="2177" customWidth="1"/>
    <col min="13071" max="13071" width="16.140625" style="2177" customWidth="1"/>
    <col min="13072" max="13072" width="16.7109375" style="2177" bestFit="1" customWidth="1"/>
    <col min="13073" max="13073" width="15.5703125" style="2177" bestFit="1" customWidth="1"/>
    <col min="13074" max="13074" width="18" style="2177" customWidth="1"/>
    <col min="13075" max="13075" width="16.42578125" style="2177" bestFit="1" customWidth="1"/>
    <col min="13076" max="13076" width="14.28515625" style="2177" customWidth="1"/>
    <col min="13077" max="13077" width="12.85546875" style="2177" bestFit="1" customWidth="1"/>
    <col min="13078" max="13078" width="11.28515625" style="2177" bestFit="1" customWidth="1"/>
    <col min="13079" max="13079" width="12.5703125" style="2177" bestFit="1" customWidth="1"/>
    <col min="13080" max="13080" width="14" style="2177" bestFit="1" customWidth="1"/>
    <col min="13081" max="13081" width="6" style="2177" bestFit="1" customWidth="1"/>
    <col min="13082" max="13082" width="15" style="2177" customWidth="1"/>
    <col min="13083" max="13083" width="14.85546875" style="2177" bestFit="1" customWidth="1"/>
    <col min="13084" max="13084" width="16.140625" style="2177" bestFit="1" customWidth="1"/>
    <col min="13085" max="13311" width="9.140625" style="2177"/>
    <col min="13312" max="13312" width="24" style="2177" bestFit="1" customWidth="1"/>
    <col min="13313" max="13313" width="43.85546875" style="2177" customWidth="1"/>
    <col min="13314" max="13314" width="19.7109375" style="2177" bestFit="1" customWidth="1"/>
    <col min="13315" max="13315" width="15.28515625" style="2177" bestFit="1" customWidth="1"/>
    <col min="13316" max="13316" width="17.5703125" style="2177" bestFit="1" customWidth="1"/>
    <col min="13317" max="13317" width="13.42578125" style="2177" customWidth="1"/>
    <col min="13318" max="13318" width="15.28515625" style="2177" bestFit="1" customWidth="1"/>
    <col min="13319" max="13319" width="14.140625" style="2177" bestFit="1" customWidth="1"/>
    <col min="13320" max="13320" width="15.28515625" style="2177" customWidth="1"/>
    <col min="13321" max="13321" width="15.85546875" style="2177" customWidth="1"/>
    <col min="13322" max="13322" width="17" style="2177" bestFit="1" customWidth="1"/>
    <col min="13323" max="13323" width="12.7109375" style="2177" customWidth="1"/>
    <col min="13324" max="13324" width="13.7109375" style="2177" customWidth="1"/>
    <col min="13325" max="13325" width="13.85546875" style="2177" bestFit="1" customWidth="1"/>
    <col min="13326" max="13326" width="16.5703125" style="2177" customWidth="1"/>
    <col min="13327" max="13327" width="16.140625" style="2177" customWidth="1"/>
    <col min="13328" max="13328" width="16.7109375" style="2177" bestFit="1" customWidth="1"/>
    <col min="13329" max="13329" width="15.5703125" style="2177" bestFit="1" customWidth="1"/>
    <col min="13330" max="13330" width="18" style="2177" customWidth="1"/>
    <col min="13331" max="13331" width="16.42578125" style="2177" bestFit="1" customWidth="1"/>
    <col min="13332" max="13332" width="14.28515625" style="2177" customWidth="1"/>
    <col min="13333" max="13333" width="12.85546875" style="2177" bestFit="1" customWidth="1"/>
    <col min="13334" max="13334" width="11.28515625" style="2177" bestFit="1" customWidth="1"/>
    <col min="13335" max="13335" width="12.5703125" style="2177" bestFit="1" customWidth="1"/>
    <col min="13336" max="13336" width="14" style="2177" bestFit="1" customWidth="1"/>
    <col min="13337" max="13337" width="6" style="2177" bestFit="1" customWidth="1"/>
    <col min="13338" max="13338" width="15" style="2177" customWidth="1"/>
    <col min="13339" max="13339" width="14.85546875" style="2177" bestFit="1" customWidth="1"/>
    <col min="13340" max="13340" width="16.140625" style="2177" bestFit="1" customWidth="1"/>
    <col min="13341" max="13567" width="9.140625" style="2177"/>
    <col min="13568" max="13568" width="24" style="2177" bestFit="1" customWidth="1"/>
    <col min="13569" max="13569" width="43.85546875" style="2177" customWidth="1"/>
    <col min="13570" max="13570" width="19.7109375" style="2177" bestFit="1" customWidth="1"/>
    <col min="13571" max="13571" width="15.28515625" style="2177" bestFit="1" customWidth="1"/>
    <col min="13572" max="13572" width="17.5703125" style="2177" bestFit="1" customWidth="1"/>
    <col min="13573" max="13573" width="13.42578125" style="2177" customWidth="1"/>
    <col min="13574" max="13574" width="15.28515625" style="2177" bestFit="1" customWidth="1"/>
    <col min="13575" max="13575" width="14.140625" style="2177" bestFit="1" customWidth="1"/>
    <col min="13576" max="13576" width="15.28515625" style="2177" customWidth="1"/>
    <col min="13577" max="13577" width="15.85546875" style="2177" customWidth="1"/>
    <col min="13578" max="13578" width="17" style="2177" bestFit="1" customWidth="1"/>
    <col min="13579" max="13579" width="12.7109375" style="2177" customWidth="1"/>
    <col min="13580" max="13580" width="13.7109375" style="2177" customWidth="1"/>
    <col min="13581" max="13581" width="13.85546875" style="2177" bestFit="1" customWidth="1"/>
    <col min="13582" max="13582" width="16.5703125" style="2177" customWidth="1"/>
    <col min="13583" max="13583" width="16.140625" style="2177" customWidth="1"/>
    <col min="13584" max="13584" width="16.7109375" style="2177" bestFit="1" customWidth="1"/>
    <col min="13585" max="13585" width="15.5703125" style="2177" bestFit="1" customWidth="1"/>
    <col min="13586" max="13586" width="18" style="2177" customWidth="1"/>
    <col min="13587" max="13587" width="16.42578125" style="2177" bestFit="1" customWidth="1"/>
    <col min="13588" max="13588" width="14.28515625" style="2177" customWidth="1"/>
    <col min="13589" max="13589" width="12.85546875" style="2177" bestFit="1" customWidth="1"/>
    <col min="13590" max="13590" width="11.28515625" style="2177" bestFit="1" customWidth="1"/>
    <col min="13591" max="13591" width="12.5703125" style="2177" bestFit="1" customWidth="1"/>
    <col min="13592" max="13592" width="14" style="2177" bestFit="1" customWidth="1"/>
    <col min="13593" max="13593" width="6" style="2177" bestFit="1" customWidth="1"/>
    <col min="13594" max="13594" width="15" style="2177" customWidth="1"/>
    <col min="13595" max="13595" width="14.85546875" style="2177" bestFit="1" customWidth="1"/>
    <col min="13596" max="13596" width="16.140625" style="2177" bestFit="1" customWidth="1"/>
    <col min="13597" max="13823" width="9.140625" style="2177"/>
    <col min="13824" max="13824" width="24" style="2177" bestFit="1" customWidth="1"/>
    <col min="13825" max="13825" width="43.85546875" style="2177" customWidth="1"/>
    <col min="13826" max="13826" width="19.7109375" style="2177" bestFit="1" customWidth="1"/>
    <col min="13827" max="13827" width="15.28515625" style="2177" bestFit="1" customWidth="1"/>
    <col min="13828" max="13828" width="17.5703125" style="2177" bestFit="1" customWidth="1"/>
    <col min="13829" max="13829" width="13.42578125" style="2177" customWidth="1"/>
    <col min="13830" max="13830" width="15.28515625" style="2177" bestFit="1" customWidth="1"/>
    <col min="13831" max="13831" width="14.140625" style="2177" bestFit="1" customWidth="1"/>
    <col min="13832" max="13832" width="15.28515625" style="2177" customWidth="1"/>
    <col min="13833" max="13833" width="15.85546875" style="2177" customWidth="1"/>
    <col min="13834" max="13834" width="17" style="2177" bestFit="1" customWidth="1"/>
    <col min="13835" max="13835" width="12.7109375" style="2177" customWidth="1"/>
    <col min="13836" max="13836" width="13.7109375" style="2177" customWidth="1"/>
    <col min="13837" max="13837" width="13.85546875" style="2177" bestFit="1" customWidth="1"/>
    <col min="13838" max="13838" width="16.5703125" style="2177" customWidth="1"/>
    <col min="13839" max="13839" width="16.140625" style="2177" customWidth="1"/>
    <col min="13840" max="13840" width="16.7109375" style="2177" bestFit="1" customWidth="1"/>
    <col min="13841" max="13841" width="15.5703125" style="2177" bestFit="1" customWidth="1"/>
    <col min="13842" max="13842" width="18" style="2177" customWidth="1"/>
    <col min="13843" max="13843" width="16.42578125" style="2177" bestFit="1" customWidth="1"/>
    <col min="13844" max="13844" width="14.28515625" style="2177" customWidth="1"/>
    <col min="13845" max="13845" width="12.85546875" style="2177" bestFit="1" customWidth="1"/>
    <col min="13846" max="13846" width="11.28515625" style="2177" bestFit="1" customWidth="1"/>
    <col min="13847" max="13847" width="12.5703125" style="2177" bestFit="1" customWidth="1"/>
    <col min="13848" max="13848" width="14" style="2177" bestFit="1" customWidth="1"/>
    <col min="13849" max="13849" width="6" style="2177" bestFit="1" customWidth="1"/>
    <col min="13850" max="13850" width="15" style="2177" customWidth="1"/>
    <col min="13851" max="13851" width="14.85546875" style="2177" bestFit="1" customWidth="1"/>
    <col min="13852" max="13852" width="16.140625" style="2177" bestFit="1" customWidth="1"/>
    <col min="13853" max="14079" width="9.140625" style="2177"/>
    <col min="14080" max="14080" width="24" style="2177" bestFit="1" customWidth="1"/>
    <col min="14081" max="14081" width="43.85546875" style="2177" customWidth="1"/>
    <col min="14082" max="14082" width="19.7109375" style="2177" bestFit="1" customWidth="1"/>
    <col min="14083" max="14083" width="15.28515625" style="2177" bestFit="1" customWidth="1"/>
    <col min="14084" max="14084" width="17.5703125" style="2177" bestFit="1" customWidth="1"/>
    <col min="14085" max="14085" width="13.42578125" style="2177" customWidth="1"/>
    <col min="14086" max="14086" width="15.28515625" style="2177" bestFit="1" customWidth="1"/>
    <col min="14087" max="14087" width="14.140625" style="2177" bestFit="1" customWidth="1"/>
    <col min="14088" max="14088" width="15.28515625" style="2177" customWidth="1"/>
    <col min="14089" max="14089" width="15.85546875" style="2177" customWidth="1"/>
    <col min="14090" max="14090" width="17" style="2177" bestFit="1" customWidth="1"/>
    <col min="14091" max="14091" width="12.7109375" style="2177" customWidth="1"/>
    <col min="14092" max="14092" width="13.7109375" style="2177" customWidth="1"/>
    <col min="14093" max="14093" width="13.85546875" style="2177" bestFit="1" customWidth="1"/>
    <col min="14094" max="14094" width="16.5703125" style="2177" customWidth="1"/>
    <col min="14095" max="14095" width="16.140625" style="2177" customWidth="1"/>
    <col min="14096" max="14096" width="16.7109375" style="2177" bestFit="1" customWidth="1"/>
    <col min="14097" max="14097" width="15.5703125" style="2177" bestFit="1" customWidth="1"/>
    <col min="14098" max="14098" width="18" style="2177" customWidth="1"/>
    <col min="14099" max="14099" width="16.42578125" style="2177" bestFit="1" customWidth="1"/>
    <col min="14100" max="14100" width="14.28515625" style="2177" customWidth="1"/>
    <col min="14101" max="14101" width="12.85546875" style="2177" bestFit="1" customWidth="1"/>
    <col min="14102" max="14102" width="11.28515625" style="2177" bestFit="1" customWidth="1"/>
    <col min="14103" max="14103" width="12.5703125" style="2177" bestFit="1" customWidth="1"/>
    <col min="14104" max="14104" width="14" style="2177" bestFit="1" customWidth="1"/>
    <col min="14105" max="14105" width="6" style="2177" bestFit="1" customWidth="1"/>
    <col min="14106" max="14106" width="15" style="2177" customWidth="1"/>
    <col min="14107" max="14107" width="14.85546875" style="2177" bestFit="1" customWidth="1"/>
    <col min="14108" max="14108" width="16.140625" style="2177" bestFit="1" customWidth="1"/>
    <col min="14109" max="14335" width="9.140625" style="2177"/>
    <col min="14336" max="14336" width="24" style="2177" bestFit="1" customWidth="1"/>
    <col min="14337" max="14337" width="43.85546875" style="2177" customWidth="1"/>
    <col min="14338" max="14338" width="19.7109375" style="2177" bestFit="1" customWidth="1"/>
    <col min="14339" max="14339" width="15.28515625" style="2177" bestFit="1" customWidth="1"/>
    <col min="14340" max="14340" width="17.5703125" style="2177" bestFit="1" customWidth="1"/>
    <col min="14341" max="14341" width="13.42578125" style="2177" customWidth="1"/>
    <col min="14342" max="14342" width="15.28515625" style="2177" bestFit="1" customWidth="1"/>
    <col min="14343" max="14343" width="14.140625" style="2177" bestFit="1" customWidth="1"/>
    <col min="14344" max="14344" width="15.28515625" style="2177" customWidth="1"/>
    <col min="14345" max="14345" width="15.85546875" style="2177" customWidth="1"/>
    <col min="14346" max="14346" width="17" style="2177" bestFit="1" customWidth="1"/>
    <col min="14347" max="14347" width="12.7109375" style="2177" customWidth="1"/>
    <col min="14348" max="14348" width="13.7109375" style="2177" customWidth="1"/>
    <col min="14349" max="14349" width="13.85546875" style="2177" bestFit="1" customWidth="1"/>
    <col min="14350" max="14350" width="16.5703125" style="2177" customWidth="1"/>
    <col min="14351" max="14351" width="16.140625" style="2177" customWidth="1"/>
    <col min="14352" max="14352" width="16.7109375" style="2177" bestFit="1" customWidth="1"/>
    <col min="14353" max="14353" width="15.5703125" style="2177" bestFit="1" customWidth="1"/>
    <col min="14354" max="14354" width="18" style="2177" customWidth="1"/>
    <col min="14355" max="14355" width="16.42578125" style="2177" bestFit="1" customWidth="1"/>
    <col min="14356" max="14356" width="14.28515625" style="2177" customWidth="1"/>
    <col min="14357" max="14357" width="12.85546875" style="2177" bestFit="1" customWidth="1"/>
    <col min="14358" max="14358" width="11.28515625" style="2177" bestFit="1" customWidth="1"/>
    <col min="14359" max="14359" width="12.5703125" style="2177" bestFit="1" customWidth="1"/>
    <col min="14360" max="14360" width="14" style="2177" bestFit="1" customWidth="1"/>
    <col min="14361" max="14361" width="6" style="2177" bestFit="1" customWidth="1"/>
    <col min="14362" max="14362" width="15" style="2177" customWidth="1"/>
    <col min="14363" max="14363" width="14.85546875" style="2177" bestFit="1" customWidth="1"/>
    <col min="14364" max="14364" width="16.140625" style="2177" bestFit="1" customWidth="1"/>
    <col min="14365" max="14591" width="9.140625" style="2177"/>
    <col min="14592" max="14592" width="24" style="2177" bestFit="1" customWidth="1"/>
    <col min="14593" max="14593" width="43.85546875" style="2177" customWidth="1"/>
    <col min="14594" max="14594" width="19.7109375" style="2177" bestFit="1" customWidth="1"/>
    <col min="14595" max="14595" width="15.28515625" style="2177" bestFit="1" customWidth="1"/>
    <col min="14596" max="14596" width="17.5703125" style="2177" bestFit="1" customWidth="1"/>
    <col min="14597" max="14597" width="13.42578125" style="2177" customWidth="1"/>
    <col min="14598" max="14598" width="15.28515625" style="2177" bestFit="1" customWidth="1"/>
    <col min="14599" max="14599" width="14.140625" style="2177" bestFit="1" customWidth="1"/>
    <col min="14600" max="14600" width="15.28515625" style="2177" customWidth="1"/>
    <col min="14601" max="14601" width="15.85546875" style="2177" customWidth="1"/>
    <col min="14602" max="14602" width="17" style="2177" bestFit="1" customWidth="1"/>
    <col min="14603" max="14603" width="12.7109375" style="2177" customWidth="1"/>
    <col min="14604" max="14604" width="13.7109375" style="2177" customWidth="1"/>
    <col min="14605" max="14605" width="13.85546875" style="2177" bestFit="1" customWidth="1"/>
    <col min="14606" max="14606" width="16.5703125" style="2177" customWidth="1"/>
    <col min="14607" max="14607" width="16.140625" style="2177" customWidth="1"/>
    <col min="14608" max="14608" width="16.7109375" style="2177" bestFit="1" customWidth="1"/>
    <col min="14609" max="14609" width="15.5703125" style="2177" bestFit="1" customWidth="1"/>
    <col min="14610" max="14610" width="18" style="2177" customWidth="1"/>
    <col min="14611" max="14611" width="16.42578125" style="2177" bestFit="1" customWidth="1"/>
    <col min="14612" max="14612" width="14.28515625" style="2177" customWidth="1"/>
    <col min="14613" max="14613" width="12.85546875" style="2177" bestFit="1" customWidth="1"/>
    <col min="14614" max="14614" width="11.28515625" style="2177" bestFit="1" customWidth="1"/>
    <col min="14615" max="14615" width="12.5703125" style="2177" bestFit="1" customWidth="1"/>
    <col min="14616" max="14616" width="14" style="2177" bestFit="1" customWidth="1"/>
    <col min="14617" max="14617" width="6" style="2177" bestFit="1" customWidth="1"/>
    <col min="14618" max="14618" width="15" style="2177" customWidth="1"/>
    <col min="14619" max="14619" width="14.85546875" style="2177" bestFit="1" customWidth="1"/>
    <col min="14620" max="14620" width="16.140625" style="2177" bestFit="1" customWidth="1"/>
    <col min="14621" max="14847" width="9.140625" style="2177"/>
    <col min="14848" max="14848" width="24" style="2177" bestFit="1" customWidth="1"/>
    <col min="14849" max="14849" width="43.85546875" style="2177" customWidth="1"/>
    <col min="14850" max="14850" width="19.7109375" style="2177" bestFit="1" customWidth="1"/>
    <col min="14851" max="14851" width="15.28515625" style="2177" bestFit="1" customWidth="1"/>
    <col min="14852" max="14852" width="17.5703125" style="2177" bestFit="1" customWidth="1"/>
    <col min="14853" max="14853" width="13.42578125" style="2177" customWidth="1"/>
    <col min="14854" max="14854" width="15.28515625" style="2177" bestFit="1" customWidth="1"/>
    <col min="14855" max="14855" width="14.140625" style="2177" bestFit="1" customWidth="1"/>
    <col min="14856" max="14856" width="15.28515625" style="2177" customWidth="1"/>
    <col min="14857" max="14857" width="15.85546875" style="2177" customWidth="1"/>
    <col min="14858" max="14858" width="17" style="2177" bestFit="1" customWidth="1"/>
    <col min="14859" max="14859" width="12.7109375" style="2177" customWidth="1"/>
    <col min="14860" max="14860" width="13.7109375" style="2177" customWidth="1"/>
    <col min="14861" max="14861" width="13.85546875" style="2177" bestFit="1" customWidth="1"/>
    <col min="14862" max="14862" width="16.5703125" style="2177" customWidth="1"/>
    <col min="14863" max="14863" width="16.140625" style="2177" customWidth="1"/>
    <col min="14864" max="14864" width="16.7109375" style="2177" bestFit="1" customWidth="1"/>
    <col min="14865" max="14865" width="15.5703125" style="2177" bestFit="1" customWidth="1"/>
    <col min="14866" max="14866" width="18" style="2177" customWidth="1"/>
    <col min="14867" max="14867" width="16.42578125" style="2177" bestFit="1" customWidth="1"/>
    <col min="14868" max="14868" width="14.28515625" style="2177" customWidth="1"/>
    <col min="14869" max="14869" width="12.85546875" style="2177" bestFit="1" customWidth="1"/>
    <col min="14870" max="14870" width="11.28515625" style="2177" bestFit="1" customWidth="1"/>
    <col min="14871" max="14871" width="12.5703125" style="2177" bestFit="1" customWidth="1"/>
    <col min="14872" max="14872" width="14" style="2177" bestFit="1" customWidth="1"/>
    <col min="14873" max="14873" width="6" style="2177" bestFit="1" customWidth="1"/>
    <col min="14874" max="14874" width="15" style="2177" customWidth="1"/>
    <col min="14875" max="14875" width="14.85546875" style="2177" bestFit="1" customWidth="1"/>
    <col min="14876" max="14876" width="16.140625" style="2177" bestFit="1" customWidth="1"/>
    <col min="14877" max="15103" width="9.140625" style="2177"/>
    <col min="15104" max="15104" width="24" style="2177" bestFit="1" customWidth="1"/>
    <col min="15105" max="15105" width="43.85546875" style="2177" customWidth="1"/>
    <col min="15106" max="15106" width="19.7109375" style="2177" bestFit="1" customWidth="1"/>
    <col min="15107" max="15107" width="15.28515625" style="2177" bestFit="1" customWidth="1"/>
    <col min="15108" max="15108" width="17.5703125" style="2177" bestFit="1" customWidth="1"/>
    <col min="15109" max="15109" width="13.42578125" style="2177" customWidth="1"/>
    <col min="15110" max="15110" width="15.28515625" style="2177" bestFit="1" customWidth="1"/>
    <col min="15111" max="15111" width="14.140625" style="2177" bestFit="1" customWidth="1"/>
    <col min="15112" max="15112" width="15.28515625" style="2177" customWidth="1"/>
    <col min="15113" max="15113" width="15.85546875" style="2177" customWidth="1"/>
    <col min="15114" max="15114" width="17" style="2177" bestFit="1" customWidth="1"/>
    <col min="15115" max="15115" width="12.7109375" style="2177" customWidth="1"/>
    <col min="15116" max="15116" width="13.7109375" style="2177" customWidth="1"/>
    <col min="15117" max="15117" width="13.85546875" style="2177" bestFit="1" customWidth="1"/>
    <col min="15118" max="15118" width="16.5703125" style="2177" customWidth="1"/>
    <col min="15119" max="15119" width="16.140625" style="2177" customWidth="1"/>
    <col min="15120" max="15120" width="16.7109375" style="2177" bestFit="1" customWidth="1"/>
    <col min="15121" max="15121" width="15.5703125" style="2177" bestFit="1" customWidth="1"/>
    <col min="15122" max="15122" width="18" style="2177" customWidth="1"/>
    <col min="15123" max="15123" width="16.42578125" style="2177" bestFit="1" customWidth="1"/>
    <col min="15124" max="15124" width="14.28515625" style="2177" customWidth="1"/>
    <col min="15125" max="15125" width="12.85546875" style="2177" bestFit="1" customWidth="1"/>
    <col min="15126" max="15126" width="11.28515625" style="2177" bestFit="1" customWidth="1"/>
    <col min="15127" max="15127" width="12.5703125" style="2177" bestFit="1" customWidth="1"/>
    <col min="15128" max="15128" width="14" style="2177" bestFit="1" customWidth="1"/>
    <col min="15129" max="15129" width="6" style="2177" bestFit="1" customWidth="1"/>
    <col min="15130" max="15130" width="15" style="2177" customWidth="1"/>
    <col min="15131" max="15131" width="14.85546875" style="2177" bestFit="1" customWidth="1"/>
    <col min="15132" max="15132" width="16.140625" style="2177" bestFit="1" customWidth="1"/>
    <col min="15133" max="15359" width="9.140625" style="2177"/>
    <col min="15360" max="15360" width="24" style="2177" bestFit="1" customWidth="1"/>
    <col min="15361" max="15361" width="43.85546875" style="2177" customWidth="1"/>
    <col min="15362" max="15362" width="19.7109375" style="2177" bestFit="1" customWidth="1"/>
    <col min="15363" max="15363" width="15.28515625" style="2177" bestFit="1" customWidth="1"/>
    <col min="15364" max="15364" width="17.5703125" style="2177" bestFit="1" customWidth="1"/>
    <col min="15365" max="15365" width="13.42578125" style="2177" customWidth="1"/>
    <col min="15366" max="15366" width="15.28515625" style="2177" bestFit="1" customWidth="1"/>
    <col min="15367" max="15367" width="14.140625" style="2177" bestFit="1" customWidth="1"/>
    <col min="15368" max="15368" width="15.28515625" style="2177" customWidth="1"/>
    <col min="15369" max="15369" width="15.85546875" style="2177" customWidth="1"/>
    <col min="15370" max="15370" width="17" style="2177" bestFit="1" customWidth="1"/>
    <col min="15371" max="15371" width="12.7109375" style="2177" customWidth="1"/>
    <col min="15372" max="15372" width="13.7109375" style="2177" customWidth="1"/>
    <col min="15373" max="15373" width="13.85546875" style="2177" bestFit="1" customWidth="1"/>
    <col min="15374" max="15374" width="16.5703125" style="2177" customWidth="1"/>
    <col min="15375" max="15375" width="16.140625" style="2177" customWidth="1"/>
    <col min="15376" max="15376" width="16.7109375" style="2177" bestFit="1" customWidth="1"/>
    <col min="15377" max="15377" width="15.5703125" style="2177" bestFit="1" customWidth="1"/>
    <col min="15378" max="15378" width="18" style="2177" customWidth="1"/>
    <col min="15379" max="15379" width="16.42578125" style="2177" bestFit="1" customWidth="1"/>
    <col min="15380" max="15380" width="14.28515625" style="2177" customWidth="1"/>
    <col min="15381" max="15381" width="12.85546875" style="2177" bestFit="1" customWidth="1"/>
    <col min="15382" max="15382" width="11.28515625" style="2177" bestFit="1" customWidth="1"/>
    <col min="15383" max="15383" width="12.5703125" style="2177" bestFit="1" customWidth="1"/>
    <col min="15384" max="15384" width="14" style="2177" bestFit="1" customWidth="1"/>
    <col min="15385" max="15385" width="6" style="2177" bestFit="1" customWidth="1"/>
    <col min="15386" max="15386" width="15" style="2177" customWidth="1"/>
    <col min="15387" max="15387" width="14.85546875" style="2177" bestFit="1" customWidth="1"/>
    <col min="15388" max="15388" width="16.140625" style="2177" bestFit="1" customWidth="1"/>
    <col min="15389" max="15615" width="9.140625" style="2177"/>
    <col min="15616" max="15616" width="24" style="2177" bestFit="1" customWidth="1"/>
    <col min="15617" max="15617" width="43.85546875" style="2177" customWidth="1"/>
    <col min="15618" max="15618" width="19.7109375" style="2177" bestFit="1" customWidth="1"/>
    <col min="15619" max="15619" width="15.28515625" style="2177" bestFit="1" customWidth="1"/>
    <col min="15620" max="15620" width="17.5703125" style="2177" bestFit="1" customWidth="1"/>
    <col min="15621" max="15621" width="13.42578125" style="2177" customWidth="1"/>
    <col min="15622" max="15622" width="15.28515625" style="2177" bestFit="1" customWidth="1"/>
    <col min="15623" max="15623" width="14.140625" style="2177" bestFit="1" customWidth="1"/>
    <col min="15624" max="15624" width="15.28515625" style="2177" customWidth="1"/>
    <col min="15625" max="15625" width="15.85546875" style="2177" customWidth="1"/>
    <col min="15626" max="15626" width="17" style="2177" bestFit="1" customWidth="1"/>
    <col min="15627" max="15627" width="12.7109375" style="2177" customWidth="1"/>
    <col min="15628" max="15628" width="13.7109375" style="2177" customWidth="1"/>
    <col min="15629" max="15629" width="13.85546875" style="2177" bestFit="1" customWidth="1"/>
    <col min="15630" max="15630" width="16.5703125" style="2177" customWidth="1"/>
    <col min="15631" max="15631" width="16.140625" style="2177" customWidth="1"/>
    <col min="15632" max="15632" width="16.7109375" style="2177" bestFit="1" customWidth="1"/>
    <col min="15633" max="15633" width="15.5703125" style="2177" bestFit="1" customWidth="1"/>
    <col min="15634" max="15634" width="18" style="2177" customWidth="1"/>
    <col min="15635" max="15635" width="16.42578125" style="2177" bestFit="1" customWidth="1"/>
    <col min="15636" max="15636" width="14.28515625" style="2177" customWidth="1"/>
    <col min="15637" max="15637" width="12.85546875" style="2177" bestFit="1" customWidth="1"/>
    <col min="15638" max="15638" width="11.28515625" style="2177" bestFit="1" customWidth="1"/>
    <col min="15639" max="15639" width="12.5703125" style="2177" bestFit="1" customWidth="1"/>
    <col min="15640" max="15640" width="14" style="2177" bestFit="1" customWidth="1"/>
    <col min="15641" max="15641" width="6" style="2177" bestFit="1" customWidth="1"/>
    <col min="15642" max="15642" width="15" style="2177" customWidth="1"/>
    <col min="15643" max="15643" width="14.85546875" style="2177" bestFit="1" customWidth="1"/>
    <col min="15644" max="15644" width="16.140625" style="2177" bestFit="1" customWidth="1"/>
    <col min="15645" max="15871" width="9.140625" style="2177"/>
    <col min="15872" max="15872" width="24" style="2177" bestFit="1" customWidth="1"/>
    <col min="15873" max="15873" width="43.85546875" style="2177" customWidth="1"/>
    <col min="15874" max="15874" width="19.7109375" style="2177" bestFit="1" customWidth="1"/>
    <col min="15875" max="15875" width="15.28515625" style="2177" bestFit="1" customWidth="1"/>
    <col min="15876" max="15876" width="17.5703125" style="2177" bestFit="1" customWidth="1"/>
    <col min="15877" max="15877" width="13.42578125" style="2177" customWidth="1"/>
    <col min="15878" max="15878" width="15.28515625" style="2177" bestFit="1" customWidth="1"/>
    <col min="15879" max="15879" width="14.140625" style="2177" bestFit="1" customWidth="1"/>
    <col min="15880" max="15880" width="15.28515625" style="2177" customWidth="1"/>
    <col min="15881" max="15881" width="15.85546875" style="2177" customWidth="1"/>
    <col min="15882" max="15882" width="17" style="2177" bestFit="1" customWidth="1"/>
    <col min="15883" max="15883" width="12.7109375" style="2177" customWidth="1"/>
    <col min="15884" max="15884" width="13.7109375" style="2177" customWidth="1"/>
    <col min="15885" max="15885" width="13.85546875" style="2177" bestFit="1" customWidth="1"/>
    <col min="15886" max="15886" width="16.5703125" style="2177" customWidth="1"/>
    <col min="15887" max="15887" width="16.140625" style="2177" customWidth="1"/>
    <col min="15888" max="15888" width="16.7109375" style="2177" bestFit="1" customWidth="1"/>
    <col min="15889" max="15889" width="15.5703125" style="2177" bestFit="1" customWidth="1"/>
    <col min="15890" max="15890" width="18" style="2177" customWidth="1"/>
    <col min="15891" max="15891" width="16.42578125" style="2177" bestFit="1" customWidth="1"/>
    <col min="15892" max="15892" width="14.28515625" style="2177" customWidth="1"/>
    <col min="15893" max="15893" width="12.85546875" style="2177" bestFit="1" customWidth="1"/>
    <col min="15894" max="15894" width="11.28515625" style="2177" bestFit="1" customWidth="1"/>
    <col min="15895" max="15895" width="12.5703125" style="2177" bestFit="1" customWidth="1"/>
    <col min="15896" max="15896" width="14" style="2177" bestFit="1" customWidth="1"/>
    <col min="15897" max="15897" width="6" style="2177" bestFit="1" customWidth="1"/>
    <col min="15898" max="15898" width="15" style="2177" customWidth="1"/>
    <col min="15899" max="15899" width="14.85546875" style="2177" bestFit="1" customWidth="1"/>
    <col min="15900" max="15900" width="16.140625" style="2177" bestFit="1" customWidth="1"/>
    <col min="15901" max="16127" width="9.140625" style="2177"/>
    <col min="16128" max="16128" width="24" style="2177" bestFit="1" customWidth="1"/>
    <col min="16129" max="16129" width="43.85546875" style="2177" customWidth="1"/>
    <col min="16130" max="16130" width="19.7109375" style="2177" bestFit="1" customWidth="1"/>
    <col min="16131" max="16131" width="15.28515625" style="2177" bestFit="1" customWidth="1"/>
    <col min="16132" max="16132" width="17.5703125" style="2177" bestFit="1" customWidth="1"/>
    <col min="16133" max="16133" width="13.42578125" style="2177" customWidth="1"/>
    <col min="16134" max="16134" width="15.28515625" style="2177" bestFit="1" customWidth="1"/>
    <col min="16135" max="16135" width="14.140625" style="2177" bestFit="1" customWidth="1"/>
    <col min="16136" max="16136" width="15.28515625" style="2177" customWidth="1"/>
    <col min="16137" max="16137" width="15.85546875" style="2177" customWidth="1"/>
    <col min="16138" max="16138" width="17" style="2177" bestFit="1" customWidth="1"/>
    <col min="16139" max="16139" width="12.7109375" style="2177" customWidth="1"/>
    <col min="16140" max="16140" width="13.7109375" style="2177" customWidth="1"/>
    <col min="16141" max="16141" width="13.85546875" style="2177" bestFit="1" customWidth="1"/>
    <col min="16142" max="16142" width="16.5703125" style="2177" customWidth="1"/>
    <col min="16143" max="16143" width="16.140625" style="2177" customWidth="1"/>
    <col min="16144" max="16144" width="16.7109375" style="2177" bestFit="1" customWidth="1"/>
    <col min="16145" max="16145" width="15.5703125" style="2177" bestFit="1" customWidth="1"/>
    <col min="16146" max="16146" width="18" style="2177" customWidth="1"/>
    <col min="16147" max="16147" width="16.42578125" style="2177" bestFit="1" customWidth="1"/>
    <col min="16148" max="16148" width="14.28515625" style="2177" customWidth="1"/>
    <col min="16149" max="16149" width="12.85546875" style="2177" bestFit="1" customWidth="1"/>
    <col min="16150" max="16150" width="11.28515625" style="2177" bestFit="1" customWidth="1"/>
    <col min="16151" max="16151" width="12.5703125" style="2177" bestFit="1" customWidth="1"/>
    <col min="16152" max="16152" width="14" style="2177" bestFit="1" customWidth="1"/>
    <col min="16153" max="16153" width="6" style="2177" bestFit="1" customWidth="1"/>
    <col min="16154" max="16154" width="15" style="2177" customWidth="1"/>
    <col min="16155" max="16155" width="14.85546875" style="2177" bestFit="1" customWidth="1"/>
    <col min="16156" max="16156" width="16.140625" style="2177" bestFit="1" customWidth="1"/>
    <col min="16157" max="16384" width="9.140625" style="2177"/>
  </cols>
  <sheetData>
    <row r="1" spans="1:33" ht="57.75" customHeight="1" thickBot="1">
      <c r="C1" s="1812" t="s">
        <v>660</v>
      </c>
      <c r="D1" s="1812" t="s">
        <v>278</v>
      </c>
      <c r="E1" s="1812" t="s">
        <v>6</v>
      </c>
      <c r="F1" s="1812">
        <v>18231029</v>
      </c>
      <c r="G1" s="1812" t="s">
        <v>31</v>
      </c>
      <c r="J1" s="1592"/>
      <c r="M1" s="1812" t="s">
        <v>660</v>
      </c>
      <c r="N1" s="1812" t="s">
        <v>278</v>
      </c>
      <c r="O1" s="1812" t="s">
        <v>6</v>
      </c>
      <c r="P1" s="1812">
        <v>18231029</v>
      </c>
      <c r="Q1" s="1812" t="s">
        <v>31</v>
      </c>
      <c r="V1" s="1812" t="s">
        <v>660</v>
      </c>
      <c r="W1" s="1812" t="s">
        <v>278</v>
      </c>
      <c r="X1" s="1812" t="s">
        <v>6</v>
      </c>
      <c r="Y1" s="1812">
        <v>18231029</v>
      </c>
      <c r="Z1" s="1812" t="s">
        <v>31</v>
      </c>
    </row>
    <row r="2" spans="1:33" ht="16.5" thickBot="1">
      <c r="C2" s="1592"/>
      <c r="D2" s="1575"/>
      <c r="H2" s="1576" t="s">
        <v>674</v>
      </c>
      <c r="R2" s="3596"/>
      <c r="S2" s="3596"/>
      <c r="T2" s="3597" t="s">
        <v>36</v>
      </c>
      <c r="U2" s="3598"/>
      <c r="V2" s="3599"/>
      <c r="W2" s="3594" t="s">
        <v>37</v>
      </c>
    </row>
    <row r="3" spans="1:33" ht="26.25" thickBot="1">
      <c r="A3" s="2802" t="s">
        <v>660</v>
      </c>
      <c r="B3" s="2802"/>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33" ht="16.5" thickBot="1">
      <c r="A4" s="2802" t="s">
        <v>278</v>
      </c>
      <c r="B4" s="2802"/>
      <c r="C4" s="1575"/>
      <c r="G4" s="1804" t="s">
        <v>668</v>
      </c>
      <c r="H4" s="2003">
        <v>12621</v>
      </c>
      <c r="I4" s="2002">
        <v>0</v>
      </c>
      <c r="J4" s="2002">
        <v>8923</v>
      </c>
      <c r="K4" s="2002">
        <v>5300</v>
      </c>
      <c r="L4" s="2002">
        <v>350</v>
      </c>
      <c r="M4" s="2002">
        <v>9000</v>
      </c>
      <c r="N4" s="2002">
        <v>300</v>
      </c>
      <c r="O4" s="2002">
        <v>100</v>
      </c>
      <c r="P4" s="2002">
        <v>22530</v>
      </c>
      <c r="Q4" s="2002">
        <v>0</v>
      </c>
      <c r="R4" s="2000">
        <v>59125</v>
      </c>
      <c r="S4" s="2041">
        <v>15500</v>
      </c>
      <c r="T4" s="1541">
        <f>P4/R4</f>
        <v>0.38105708245243131</v>
      </c>
      <c r="U4" s="1541">
        <f>(K4+(I4*1.63))/R4</f>
        <v>8.9640591966173355E-2</v>
      </c>
      <c r="V4" s="1541">
        <f>M4/R4</f>
        <v>0.15221987315010571</v>
      </c>
      <c r="W4" s="1539">
        <f>R4/S4</f>
        <v>3.814516129032258</v>
      </c>
    </row>
    <row r="5" spans="1:33" ht="16.5" thickBot="1">
      <c r="A5" s="2802" t="s">
        <v>6</v>
      </c>
      <c r="B5" s="2802"/>
      <c r="C5" s="1592"/>
      <c r="G5" s="1592">
        <v>2016</v>
      </c>
      <c r="H5" s="1582">
        <f>D15</f>
        <v>13594.95</v>
      </c>
      <c r="I5" s="1549">
        <f>D21</f>
        <v>0</v>
      </c>
      <c r="J5" s="1549">
        <f>D27</f>
        <v>9067.8316500000019</v>
      </c>
      <c r="K5" s="1549">
        <f>D34</f>
        <v>0</v>
      </c>
      <c r="L5" s="1549">
        <f>D40</f>
        <v>500</v>
      </c>
      <c r="M5" s="1549">
        <f>D46</f>
        <v>0</v>
      </c>
      <c r="N5" s="1549">
        <f>D52</f>
        <v>100</v>
      </c>
      <c r="O5" s="1549">
        <f>D58</f>
        <v>120</v>
      </c>
      <c r="P5" s="1549">
        <f>D64</f>
        <v>22500.003000000001</v>
      </c>
      <c r="Q5" s="1549">
        <f>D65</f>
        <v>0</v>
      </c>
      <c r="R5" s="2001">
        <f>SUM(H5:Q5)</f>
        <v>45882.784650000001</v>
      </c>
      <c r="S5" s="2042">
        <f>T15</f>
        <v>23600</v>
      </c>
      <c r="T5" s="1542">
        <f>P5/R5</f>
        <v>0.49038006676432183</v>
      </c>
      <c r="U5" s="1542">
        <f>(K5+(I5*1.63))/R5</f>
        <v>0</v>
      </c>
      <c r="V5" s="1542">
        <f>M5/R5</f>
        <v>0</v>
      </c>
      <c r="W5" s="1540">
        <f>R5/S5</f>
        <v>1.9441857902542374</v>
      </c>
    </row>
    <row r="6" spans="1:33" ht="16.5" thickBot="1">
      <c r="A6" s="2802">
        <v>18231029</v>
      </c>
      <c r="B6" s="2802"/>
      <c r="D6" s="1592"/>
      <c r="G6" s="1592">
        <v>2017</v>
      </c>
      <c r="H6" s="57">
        <f>E15</f>
        <v>13934.849999999999</v>
      </c>
      <c r="I6" s="1990">
        <f>E21</f>
        <v>0</v>
      </c>
      <c r="J6" s="1989">
        <f>E27</f>
        <v>9475.6980000000003</v>
      </c>
      <c r="K6" s="58">
        <f>E34</f>
        <v>0</v>
      </c>
      <c r="L6" s="58">
        <f>E40</f>
        <v>500</v>
      </c>
      <c r="M6" s="58">
        <f>E46</f>
        <v>0</v>
      </c>
      <c r="N6" s="58">
        <f>E52</f>
        <v>100</v>
      </c>
      <c r="O6" s="58">
        <f>E58</f>
        <v>120</v>
      </c>
      <c r="P6" s="58">
        <f>E64</f>
        <v>33750.002999999997</v>
      </c>
      <c r="Q6" s="58">
        <f>E65</f>
        <v>0</v>
      </c>
      <c r="R6" s="1997">
        <f>SUM(H6:Q6)</f>
        <v>57880.550999999992</v>
      </c>
      <c r="S6" s="2043">
        <f>U15</f>
        <v>27400</v>
      </c>
      <c r="T6" s="1542">
        <f>P6/R6</f>
        <v>0.58309747258625788</v>
      </c>
      <c r="U6" s="1542">
        <f>(K6+(I6*1.63))/R6</f>
        <v>0</v>
      </c>
      <c r="V6" s="1542">
        <f>M6/R6</f>
        <v>0</v>
      </c>
      <c r="W6" s="1540">
        <f>R6/S6</f>
        <v>2.1124288686131383</v>
      </c>
    </row>
    <row r="7" spans="1:33" ht="16.5" thickBot="1">
      <c r="A7" s="2802" t="s">
        <v>31</v>
      </c>
      <c r="B7" s="2802"/>
      <c r="D7" s="1592"/>
      <c r="G7" s="1608" t="s">
        <v>23</v>
      </c>
      <c r="H7" s="1564">
        <f>SUM(H5:H6)</f>
        <v>27529.8</v>
      </c>
      <c r="I7" s="1991">
        <f t="shared" ref="I7:Q7" si="0">SUM(I5:I6)</f>
        <v>0</v>
      </c>
      <c r="J7" s="1992">
        <f t="shared" si="0"/>
        <v>18543.529650000004</v>
      </c>
      <c r="K7" s="1993">
        <f t="shared" si="0"/>
        <v>0</v>
      </c>
      <c r="L7" s="1991">
        <f t="shared" si="0"/>
        <v>1000</v>
      </c>
      <c r="M7" s="1992">
        <f t="shared" si="0"/>
        <v>0</v>
      </c>
      <c r="N7" s="1991">
        <f t="shared" si="0"/>
        <v>200</v>
      </c>
      <c r="O7" s="1992">
        <f t="shared" si="0"/>
        <v>240</v>
      </c>
      <c r="P7" s="1993">
        <f t="shared" si="0"/>
        <v>56250.005999999994</v>
      </c>
      <c r="Q7" s="1991">
        <f t="shared" si="0"/>
        <v>0</v>
      </c>
      <c r="R7" s="1993">
        <f>SUM(H7:Q7)</f>
        <v>103763.33564999999</v>
      </c>
      <c r="S7" s="2600">
        <f>SUM(S5:S6)</f>
        <v>51000</v>
      </c>
      <c r="T7" s="1542">
        <f>P7/R7</f>
        <v>0.54209905307723205</v>
      </c>
      <c r="U7" s="1542">
        <f>(K7+(I7*1.63))/R7</f>
        <v>0</v>
      </c>
      <c r="V7" s="1542">
        <f>M7/R7</f>
        <v>0</v>
      </c>
      <c r="W7" s="1540">
        <f>R7/S7</f>
        <v>2.0345752088235294</v>
      </c>
    </row>
    <row r="8" spans="1:33" ht="15.75">
      <c r="A8" s="2193"/>
      <c r="B8" s="2802"/>
      <c r="D8" s="1592"/>
    </row>
    <row r="9" spans="1:33" ht="20.25" customHeight="1">
      <c r="A9" s="2802"/>
      <c r="B9" s="2802"/>
      <c r="D9" s="1592"/>
    </row>
    <row r="10" spans="1:33">
      <c r="A10" s="2802"/>
      <c r="B10" s="2802"/>
      <c r="C10" s="1915" t="s">
        <v>329</v>
      </c>
      <c r="D10" s="1915"/>
      <c r="E10" s="1915"/>
      <c r="F10" s="1915"/>
      <c r="H10" s="3601" t="s">
        <v>317</v>
      </c>
      <c r="I10" s="3601"/>
      <c r="J10" s="3601"/>
      <c r="K10" s="3601"/>
      <c r="L10" s="3601"/>
      <c r="M10" s="3601"/>
      <c r="N10" s="3601"/>
      <c r="O10" s="3601"/>
      <c r="P10" s="3601"/>
      <c r="Q10" s="1927"/>
      <c r="R10" s="1927"/>
      <c r="S10" s="1927"/>
      <c r="T10" s="1927"/>
      <c r="U10" s="1927"/>
      <c r="V10" s="1927"/>
      <c r="W10" s="2800" t="s">
        <v>317</v>
      </c>
      <c r="X10" s="1927"/>
      <c r="Y10" s="1927"/>
      <c r="Z10" s="3601" t="s">
        <v>317</v>
      </c>
      <c r="AA10" s="3601"/>
      <c r="AB10" s="3601"/>
      <c r="AC10" s="3601"/>
      <c r="AD10" s="3601"/>
      <c r="AE10" s="3601"/>
      <c r="AF10" s="3601"/>
      <c r="AG10" s="1927"/>
    </row>
    <row r="11" spans="1:33">
      <c r="A11" s="2802"/>
      <c r="B11" s="2802"/>
      <c r="H11" s="1917"/>
      <c r="I11" s="1918"/>
      <c r="J11" s="1918"/>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c r="A12" s="2802"/>
      <c r="B12" s="2802"/>
      <c r="C12" s="1887" t="s">
        <v>314</v>
      </c>
      <c r="D12" s="2157">
        <f>D15+D21+D27+D34+D40+D4+D52+D58+D64</f>
        <v>45882.784650000001</v>
      </c>
      <c r="E12" s="1948">
        <f>E15+E21+E27+E34+E40+E46+E52+E58+E64</f>
        <v>57880.550999999992</v>
      </c>
      <c r="F12" s="2157">
        <f>D12+E12</f>
        <v>103763.33564999999</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12" t="s">
        <v>319</v>
      </c>
      <c r="AA12" s="3612"/>
      <c r="AB12" s="3612"/>
      <c r="AC12" s="3612"/>
      <c r="AD12" s="3612"/>
      <c r="AE12" s="3612"/>
      <c r="AF12" s="3612"/>
      <c r="AG12" s="1917"/>
    </row>
    <row r="13" spans="1:33">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1936" t="s">
        <v>262</v>
      </c>
      <c r="AA13" s="1936" t="s">
        <v>61</v>
      </c>
      <c r="AB13" s="1936" t="s">
        <v>62</v>
      </c>
      <c r="AC13" s="1936" t="s">
        <v>63</v>
      </c>
      <c r="AD13" s="1936" t="s">
        <v>64</v>
      </c>
      <c r="AE13" s="1936" t="s">
        <v>65</v>
      </c>
      <c r="AF13" s="1936" t="s">
        <v>325</v>
      </c>
      <c r="AG13" s="1917"/>
    </row>
    <row r="14" spans="1:33"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1919" t="s">
        <v>326</v>
      </c>
      <c r="AA14" s="1936"/>
      <c r="AB14" s="1936"/>
      <c r="AC14" s="1936"/>
      <c r="AD14" s="1936"/>
      <c r="AE14" s="1936"/>
      <c r="AF14" s="1936"/>
      <c r="AG14" s="1917"/>
    </row>
    <row r="15" spans="1:33">
      <c r="B15" s="1886" t="s">
        <v>312</v>
      </c>
      <c r="C15" s="2106" t="s">
        <v>46</v>
      </c>
      <c r="D15" s="2158">
        <f>SUM(D16:D19)</f>
        <v>13594.95</v>
      </c>
      <c r="E15" s="1926">
        <f>SUM(E16:E19)</f>
        <v>13934.849999999999</v>
      </c>
      <c r="F15" s="2157">
        <f>D15+E15</f>
        <v>27529.8</v>
      </c>
      <c r="H15" s="1938" t="s">
        <v>327</v>
      </c>
      <c r="I15" s="1939"/>
      <c r="J15" s="1939"/>
      <c r="K15" s="1940"/>
      <c r="L15" s="1941">
        <f>SUMPRODUCT(L16:L165,S16:S165)</f>
        <v>171750.00400000002</v>
      </c>
      <c r="M15" s="1941">
        <f>SUM(M16:M165)</f>
        <v>225.00300000000001</v>
      </c>
      <c r="N15" s="1942" t="s">
        <v>241</v>
      </c>
      <c r="O15" s="1940">
        <v>9</v>
      </c>
      <c r="P15" s="1940"/>
      <c r="Q15" s="1940"/>
      <c r="R15" s="1940"/>
      <c r="S15" s="1940"/>
      <c r="T15" s="1943">
        <f t="shared" ref="T15:X15" si="1">SUM(T16:T65)</f>
        <v>23600</v>
      </c>
      <c r="U15" s="1943">
        <f t="shared" si="1"/>
        <v>27400</v>
      </c>
      <c r="V15" s="1943">
        <f t="shared" si="1"/>
        <v>51000</v>
      </c>
      <c r="W15" s="1941">
        <f t="shared" si="1"/>
        <v>22500.003000000001</v>
      </c>
      <c r="X15" s="1941">
        <f t="shared" si="1"/>
        <v>33750.002999999997</v>
      </c>
      <c r="Y15" s="1941">
        <f>SUM(Y16:Y65)</f>
        <v>56250.006000000001</v>
      </c>
      <c r="Z15" s="1945">
        <v>0</v>
      </c>
      <c r="AA15" s="1944" t="s">
        <v>328</v>
      </c>
      <c r="AB15" s="1944" t="s">
        <v>328</v>
      </c>
      <c r="AC15" s="1941">
        <v>0</v>
      </c>
      <c r="AD15" s="1941">
        <v>0</v>
      </c>
      <c r="AE15" s="1941">
        <v>0</v>
      </c>
      <c r="AF15" s="1941">
        <v>0</v>
      </c>
      <c r="AG15" s="1917"/>
    </row>
    <row r="16" spans="1:33">
      <c r="B16" s="2610">
        <v>0.1</v>
      </c>
      <c r="C16" s="2197" t="s">
        <v>792</v>
      </c>
      <c r="D16" s="2201">
        <v>9063.3000000000011</v>
      </c>
      <c r="E16" s="2200">
        <v>9289.9</v>
      </c>
      <c r="F16" s="1879">
        <f>SUM(D16:E16)</f>
        <v>18353.2</v>
      </c>
      <c r="H16" s="1922" t="s">
        <v>1453</v>
      </c>
      <c r="I16" s="2927">
        <v>7500</v>
      </c>
      <c r="J16" s="1932" t="s">
        <v>81</v>
      </c>
      <c r="K16" s="1922" t="s">
        <v>1066</v>
      </c>
      <c r="L16" s="1929">
        <v>1E-3</v>
      </c>
      <c r="M16" s="1929">
        <v>1E-3</v>
      </c>
      <c r="N16" s="1923">
        <v>0.27372262773722628</v>
      </c>
      <c r="O16" s="1922">
        <v>5</v>
      </c>
      <c r="P16" s="1925" t="s">
        <v>1249</v>
      </c>
      <c r="Q16" s="1928">
        <v>1</v>
      </c>
      <c r="R16" s="1928">
        <v>1</v>
      </c>
      <c r="S16" s="1931">
        <f>SUM(Q16:R16)</f>
        <v>2</v>
      </c>
      <c r="T16" s="1931">
        <f>Q16*I16</f>
        <v>7500</v>
      </c>
      <c r="U16" s="1931">
        <f>R16*I16</f>
        <v>7500</v>
      </c>
      <c r="V16" s="1931">
        <f>SUM(T16:U16)</f>
        <v>15000</v>
      </c>
      <c r="W16" s="1921">
        <f>Q16*M16</f>
        <v>1E-3</v>
      </c>
      <c r="X16" s="1921">
        <f>R16*M16</f>
        <v>1E-3</v>
      </c>
      <c r="Y16" s="1921">
        <f>SUM(W16:X16)</f>
        <v>2E-3</v>
      </c>
      <c r="Z16" s="1946">
        <v>0</v>
      </c>
      <c r="AA16" s="1920" t="s">
        <v>241</v>
      </c>
      <c r="AB16" s="1920" t="s">
        <v>241</v>
      </c>
      <c r="AC16" s="1921" t="s">
        <v>241</v>
      </c>
      <c r="AD16" s="1921" t="s">
        <v>241</v>
      </c>
      <c r="AE16" s="1921" t="s">
        <v>241</v>
      </c>
      <c r="AF16" s="1921" t="s">
        <v>241</v>
      </c>
      <c r="AG16" s="1917"/>
    </row>
    <row r="17" spans="2:33">
      <c r="B17" s="2610">
        <v>0.05</v>
      </c>
      <c r="C17" s="2197" t="s">
        <v>1298</v>
      </c>
      <c r="D17" s="2199">
        <v>4531.6500000000005</v>
      </c>
      <c r="E17" s="2198">
        <v>4644.95</v>
      </c>
      <c r="F17" s="2191">
        <f t="shared" ref="F17:F30" si="2">SUM(D17:E17)</f>
        <v>9176.6</v>
      </c>
      <c r="H17" s="1922" t="s">
        <v>1454</v>
      </c>
      <c r="I17" s="2927">
        <v>61</v>
      </c>
      <c r="J17" s="1932" t="s">
        <v>81</v>
      </c>
      <c r="K17" s="1922" t="s">
        <v>909</v>
      </c>
      <c r="L17" s="1929">
        <v>167</v>
      </c>
      <c r="M17" s="1929">
        <v>150</v>
      </c>
      <c r="N17" s="1923">
        <v>0.33394160583941607</v>
      </c>
      <c r="O17" s="1922">
        <v>5</v>
      </c>
      <c r="P17" s="1925" t="s">
        <v>1249</v>
      </c>
      <c r="Q17" s="1928">
        <v>100</v>
      </c>
      <c r="R17" s="1928">
        <v>150</v>
      </c>
      <c r="S17" s="1931">
        <f t="shared" ref="S17:S30" si="3">SUM(Q17:R17)</f>
        <v>250</v>
      </c>
      <c r="T17" s="1931">
        <f t="shared" ref="T17:T30" si="4">Q17*I17</f>
        <v>6100</v>
      </c>
      <c r="U17" s="1931">
        <f t="shared" ref="U17:U30" si="5">R17*I17</f>
        <v>9150</v>
      </c>
      <c r="V17" s="1931">
        <f t="shared" ref="V17:V30" si="6">SUM(T17:U17)</f>
        <v>15250</v>
      </c>
      <c r="W17" s="1921">
        <f t="shared" ref="W17:W30" si="7">Q17*M17</f>
        <v>15000</v>
      </c>
      <c r="X17" s="1921">
        <f t="shared" ref="X17:X30" si="8">R17*M17</f>
        <v>22500</v>
      </c>
      <c r="Y17" s="1921">
        <f t="shared" ref="Y17:Y30" si="9">SUM(W17:X17)</f>
        <v>37500</v>
      </c>
      <c r="Z17" s="1946">
        <v>0</v>
      </c>
      <c r="AA17" s="1920" t="s">
        <v>241</v>
      </c>
      <c r="AB17" s="1920" t="s">
        <v>241</v>
      </c>
      <c r="AC17" s="1921" t="s">
        <v>241</v>
      </c>
      <c r="AD17" s="1921" t="s">
        <v>241</v>
      </c>
      <c r="AE17" s="1921" t="s">
        <v>241</v>
      </c>
      <c r="AF17" s="1921" t="s">
        <v>241</v>
      </c>
      <c r="AG17" s="1917"/>
    </row>
    <row r="18" spans="2:33">
      <c r="B18" s="2610"/>
      <c r="C18" s="2197"/>
      <c r="D18" s="2199"/>
      <c r="E18" s="2198"/>
      <c r="F18" s="2191">
        <f t="shared" si="2"/>
        <v>0</v>
      </c>
      <c r="H18" s="1922" t="s">
        <v>1304</v>
      </c>
      <c r="I18" s="2927">
        <v>4</v>
      </c>
      <c r="J18" s="1932" t="s">
        <v>81</v>
      </c>
      <c r="K18" s="1922" t="s">
        <v>909</v>
      </c>
      <c r="L18" s="1929">
        <v>100</v>
      </c>
      <c r="M18" s="1929">
        <v>25</v>
      </c>
      <c r="N18" s="1923">
        <v>2.1897810218978103E-2</v>
      </c>
      <c r="O18" s="1922">
        <v>10</v>
      </c>
      <c r="P18" s="1925" t="s">
        <v>1249</v>
      </c>
      <c r="Q18" s="1928">
        <v>100</v>
      </c>
      <c r="R18" s="1928">
        <v>150</v>
      </c>
      <c r="S18" s="1931">
        <f t="shared" si="3"/>
        <v>250</v>
      </c>
      <c r="T18" s="1931">
        <f t="shared" si="4"/>
        <v>400</v>
      </c>
      <c r="U18" s="1931">
        <f t="shared" si="5"/>
        <v>600</v>
      </c>
      <c r="V18" s="1931">
        <f t="shared" si="6"/>
        <v>1000</v>
      </c>
      <c r="W18" s="1921">
        <f t="shared" si="7"/>
        <v>2500</v>
      </c>
      <c r="X18" s="1921">
        <f t="shared" si="8"/>
        <v>3750</v>
      </c>
      <c r="Y18" s="1921">
        <f t="shared" si="9"/>
        <v>6250</v>
      </c>
      <c r="Z18" s="1946">
        <v>0</v>
      </c>
      <c r="AA18" s="1920" t="s">
        <v>241</v>
      </c>
      <c r="AB18" s="1920" t="s">
        <v>241</v>
      </c>
      <c r="AC18" s="1921" t="s">
        <v>241</v>
      </c>
      <c r="AD18" s="1921" t="s">
        <v>241</v>
      </c>
      <c r="AE18" s="1921" t="s">
        <v>241</v>
      </c>
      <c r="AF18" s="1921" t="s">
        <v>241</v>
      </c>
      <c r="AG18" s="1917"/>
    </row>
    <row r="19" spans="2:33">
      <c r="B19" s="2610"/>
      <c r="C19" s="2197"/>
      <c r="D19" s="1903"/>
      <c r="E19" s="1902"/>
      <c r="F19" s="2191">
        <f t="shared" si="2"/>
        <v>0</v>
      </c>
      <c r="H19" s="1922" t="s">
        <v>1305</v>
      </c>
      <c r="I19" s="2927">
        <v>11</v>
      </c>
      <c r="J19" s="1932" t="s">
        <v>81</v>
      </c>
      <c r="K19" s="1922" t="s">
        <v>909</v>
      </c>
      <c r="L19" s="1929">
        <v>100</v>
      </c>
      <c r="M19" s="1929">
        <v>50</v>
      </c>
      <c r="N19" s="1923">
        <v>6.0218978102189784E-2</v>
      </c>
      <c r="O19" s="1922">
        <v>10</v>
      </c>
      <c r="P19" s="1925" t="s">
        <v>1249</v>
      </c>
      <c r="Q19" s="1928">
        <v>100</v>
      </c>
      <c r="R19" s="1928">
        <v>150</v>
      </c>
      <c r="S19" s="1931">
        <f t="shared" si="3"/>
        <v>250</v>
      </c>
      <c r="T19" s="1931">
        <f t="shared" si="4"/>
        <v>1100</v>
      </c>
      <c r="U19" s="1931">
        <f t="shared" si="5"/>
        <v>1650</v>
      </c>
      <c r="V19" s="1931">
        <f t="shared" si="6"/>
        <v>2750</v>
      </c>
      <c r="W19" s="1921">
        <f t="shared" si="7"/>
        <v>5000</v>
      </c>
      <c r="X19" s="1921">
        <f t="shared" si="8"/>
        <v>7500</v>
      </c>
      <c r="Y19" s="1921">
        <f t="shared" si="9"/>
        <v>12500</v>
      </c>
      <c r="Z19" s="1946">
        <v>0</v>
      </c>
      <c r="AA19" s="1920" t="s">
        <v>241</v>
      </c>
      <c r="AB19" s="1920" t="s">
        <v>241</v>
      </c>
      <c r="AC19" s="1921" t="s">
        <v>241</v>
      </c>
      <c r="AD19" s="1921" t="s">
        <v>241</v>
      </c>
      <c r="AE19" s="1921" t="s">
        <v>241</v>
      </c>
      <c r="AF19" s="1921" t="s">
        <v>241</v>
      </c>
      <c r="AG19" s="1917"/>
    </row>
    <row r="20" spans="2:33">
      <c r="B20" s="2926">
        <f>SUM(B16:B19)</f>
        <v>0.15000000000000002</v>
      </c>
      <c r="C20" s="1952"/>
      <c r="D20" s="1954"/>
      <c r="E20" s="1955"/>
      <c r="F20" s="1957"/>
      <c r="H20" s="1922" t="s">
        <v>1455</v>
      </c>
      <c r="I20" s="2927">
        <v>7500</v>
      </c>
      <c r="J20" s="1932" t="s">
        <v>81</v>
      </c>
      <c r="K20" s="1922" t="s">
        <v>1066</v>
      </c>
      <c r="L20" s="1929">
        <v>40000</v>
      </c>
      <c r="M20" s="1929">
        <v>1E-3</v>
      </c>
      <c r="N20" s="1923">
        <v>0.27372262773722628</v>
      </c>
      <c r="O20" s="1922">
        <v>15</v>
      </c>
      <c r="P20" s="1925" t="s">
        <v>1249</v>
      </c>
      <c r="Q20" s="1928">
        <v>1</v>
      </c>
      <c r="R20" s="1928">
        <v>1</v>
      </c>
      <c r="S20" s="1931">
        <f t="shared" si="3"/>
        <v>2</v>
      </c>
      <c r="T20" s="1931">
        <f t="shared" si="4"/>
        <v>7500</v>
      </c>
      <c r="U20" s="1931">
        <f t="shared" si="5"/>
        <v>7500</v>
      </c>
      <c r="V20" s="1931">
        <f t="shared" si="6"/>
        <v>15000</v>
      </c>
      <c r="W20" s="1921">
        <f t="shared" si="7"/>
        <v>1E-3</v>
      </c>
      <c r="X20" s="1921">
        <f t="shared" si="8"/>
        <v>1E-3</v>
      </c>
      <c r="Y20" s="1921">
        <f t="shared" si="9"/>
        <v>2E-3</v>
      </c>
      <c r="Z20" s="1946">
        <v>0</v>
      </c>
      <c r="AA20" s="1920" t="s">
        <v>241</v>
      </c>
      <c r="AB20" s="1920" t="s">
        <v>241</v>
      </c>
      <c r="AC20" s="1921" t="s">
        <v>241</v>
      </c>
      <c r="AD20" s="1921" t="s">
        <v>241</v>
      </c>
      <c r="AE20" s="1921" t="s">
        <v>241</v>
      </c>
      <c r="AF20" s="1921" t="s">
        <v>241</v>
      </c>
      <c r="AG20" s="1917"/>
    </row>
    <row r="21" spans="2:33">
      <c r="C21" s="2106" t="s">
        <v>47</v>
      </c>
      <c r="D21" s="2158">
        <f>SUM(D22:D25)</f>
        <v>0</v>
      </c>
      <c r="E21" s="1926">
        <f>SUM(E22:E25)</f>
        <v>0</v>
      </c>
      <c r="F21" s="2157">
        <f>D21+E21</f>
        <v>0</v>
      </c>
      <c r="H21" s="1922" t="s">
        <v>1456</v>
      </c>
      <c r="I21" s="2927">
        <v>1000</v>
      </c>
      <c r="J21" s="1932" t="s">
        <v>81</v>
      </c>
      <c r="K21" s="1922" t="s">
        <v>909</v>
      </c>
      <c r="L21" s="1929">
        <v>1E-3</v>
      </c>
      <c r="M21" s="1929">
        <v>1E-3</v>
      </c>
      <c r="N21" s="1923">
        <v>3.6496350364963501E-2</v>
      </c>
      <c r="O21" s="1922">
        <v>15</v>
      </c>
      <c r="P21" s="1925" t="s">
        <v>1249</v>
      </c>
      <c r="Q21" s="1928">
        <v>1</v>
      </c>
      <c r="R21" s="1928">
        <v>1</v>
      </c>
      <c r="S21" s="1931">
        <f t="shared" si="3"/>
        <v>2</v>
      </c>
      <c r="T21" s="1931">
        <f t="shared" si="4"/>
        <v>1000</v>
      </c>
      <c r="U21" s="1931">
        <f t="shared" si="5"/>
        <v>1000</v>
      </c>
      <c r="V21" s="1931">
        <f t="shared" si="6"/>
        <v>2000</v>
      </c>
      <c r="W21" s="1921">
        <f t="shared" si="7"/>
        <v>1E-3</v>
      </c>
      <c r="X21" s="1921">
        <f t="shared" si="8"/>
        <v>1E-3</v>
      </c>
      <c r="Y21" s="1921">
        <f t="shared" si="9"/>
        <v>2E-3</v>
      </c>
      <c r="Z21" s="1946">
        <v>0</v>
      </c>
      <c r="AA21" s="1920" t="s">
        <v>241</v>
      </c>
      <c r="AB21" s="1920" t="s">
        <v>241</v>
      </c>
      <c r="AC21" s="1921" t="s">
        <v>241</v>
      </c>
      <c r="AD21" s="1921" t="s">
        <v>241</v>
      </c>
      <c r="AE21" s="1921" t="s">
        <v>241</v>
      </c>
      <c r="AF21" s="1921" t="s">
        <v>241</v>
      </c>
      <c r="AG21" s="1917"/>
    </row>
    <row r="22" spans="2:33">
      <c r="C22" s="2197"/>
      <c r="D22" s="2201"/>
      <c r="E22" s="2200"/>
      <c r="F22" s="1879">
        <f t="shared" si="2"/>
        <v>0</v>
      </c>
      <c r="H22" s="1922"/>
      <c r="I22" s="2927"/>
      <c r="J22" s="1932" t="s">
        <v>241</v>
      </c>
      <c r="K22" s="1922"/>
      <c r="L22" s="1929"/>
      <c r="M22" s="1929"/>
      <c r="N22" s="1923"/>
      <c r="O22" s="1922"/>
      <c r="P22" s="1925"/>
      <c r="Q22" s="1928"/>
      <c r="R22" s="1928"/>
      <c r="S22" s="1931">
        <f t="shared" si="3"/>
        <v>0</v>
      </c>
      <c r="T22" s="1931">
        <f t="shared" si="4"/>
        <v>0</v>
      </c>
      <c r="U22" s="1931">
        <f t="shared" si="5"/>
        <v>0</v>
      </c>
      <c r="V22" s="1931">
        <f t="shared" si="6"/>
        <v>0</v>
      </c>
      <c r="W22" s="1921">
        <f t="shared" si="7"/>
        <v>0</v>
      </c>
      <c r="X22" s="1921">
        <f t="shared" si="8"/>
        <v>0</v>
      </c>
      <c r="Y22" s="1921">
        <f t="shared" si="9"/>
        <v>0</v>
      </c>
      <c r="Z22" s="1946"/>
      <c r="AA22" s="1920" t="s">
        <v>241</v>
      </c>
      <c r="AB22" s="1920" t="s">
        <v>241</v>
      </c>
      <c r="AC22" s="1921" t="s">
        <v>241</v>
      </c>
      <c r="AD22" s="1921" t="s">
        <v>241</v>
      </c>
      <c r="AE22" s="1921" t="s">
        <v>241</v>
      </c>
      <c r="AF22" s="1921" t="s">
        <v>241</v>
      </c>
      <c r="AG22" s="1917"/>
    </row>
    <row r="23" spans="2:33">
      <c r="C23" s="2197"/>
      <c r="D23" s="1900"/>
      <c r="E23" s="1899"/>
      <c r="F23" s="2191">
        <f t="shared" si="2"/>
        <v>0</v>
      </c>
      <c r="H23" s="1922"/>
      <c r="I23" s="2927"/>
      <c r="J23" s="1932" t="s">
        <v>241</v>
      </c>
      <c r="K23" s="1922"/>
      <c r="L23" s="1929"/>
      <c r="M23" s="1929"/>
      <c r="N23" s="1923"/>
      <c r="O23" s="1922"/>
      <c r="P23" s="1925"/>
      <c r="Q23" s="1928"/>
      <c r="R23" s="1928"/>
      <c r="S23" s="1931">
        <f t="shared" si="3"/>
        <v>0</v>
      </c>
      <c r="T23" s="1931">
        <f t="shared" si="4"/>
        <v>0</v>
      </c>
      <c r="U23" s="1931">
        <f t="shared" si="5"/>
        <v>0</v>
      </c>
      <c r="V23" s="1931">
        <f t="shared" si="6"/>
        <v>0</v>
      </c>
      <c r="W23" s="1921">
        <f t="shared" si="7"/>
        <v>0</v>
      </c>
      <c r="X23" s="1921">
        <f t="shared" si="8"/>
        <v>0</v>
      </c>
      <c r="Y23" s="1921">
        <f t="shared" si="9"/>
        <v>0</v>
      </c>
      <c r="Z23" s="1946"/>
      <c r="AA23" s="1920" t="s">
        <v>241</v>
      </c>
      <c r="AB23" s="1920" t="s">
        <v>241</v>
      </c>
      <c r="AC23" s="1921" t="s">
        <v>241</v>
      </c>
      <c r="AD23" s="1921" t="s">
        <v>241</v>
      </c>
      <c r="AE23" s="1921" t="s">
        <v>241</v>
      </c>
      <c r="AF23" s="1921" t="s">
        <v>241</v>
      </c>
      <c r="AG23" s="1917"/>
    </row>
    <row r="24" spans="2:33">
      <c r="C24" s="2197"/>
      <c r="D24" s="1898"/>
      <c r="E24" s="1897"/>
      <c r="F24" s="2191">
        <f t="shared" si="2"/>
        <v>0</v>
      </c>
      <c r="H24" s="1922"/>
      <c r="I24" s="2927"/>
      <c r="J24" s="1932" t="s">
        <v>241</v>
      </c>
      <c r="K24" s="1922"/>
      <c r="L24" s="1929"/>
      <c r="M24" s="1929"/>
      <c r="N24" s="1923"/>
      <c r="O24" s="1922"/>
      <c r="P24" s="1925"/>
      <c r="Q24" s="1928"/>
      <c r="R24" s="1928"/>
      <c r="S24" s="1931">
        <f t="shared" si="3"/>
        <v>0</v>
      </c>
      <c r="T24" s="1931">
        <f t="shared" si="4"/>
        <v>0</v>
      </c>
      <c r="U24" s="1931">
        <f t="shared" si="5"/>
        <v>0</v>
      </c>
      <c r="V24" s="1931">
        <f t="shared" si="6"/>
        <v>0</v>
      </c>
      <c r="W24" s="1921">
        <f t="shared" si="7"/>
        <v>0</v>
      </c>
      <c r="X24" s="1921">
        <f t="shared" si="8"/>
        <v>0</v>
      </c>
      <c r="Y24" s="1921">
        <f t="shared" si="9"/>
        <v>0</v>
      </c>
      <c r="Z24" s="1946"/>
      <c r="AA24" s="1920" t="s">
        <v>241</v>
      </c>
      <c r="AB24" s="1920" t="s">
        <v>241</v>
      </c>
      <c r="AC24" s="1921" t="s">
        <v>241</v>
      </c>
      <c r="AD24" s="1921" t="s">
        <v>241</v>
      </c>
      <c r="AE24" s="1921" t="s">
        <v>241</v>
      </c>
      <c r="AF24" s="1921" t="s">
        <v>241</v>
      </c>
      <c r="AG24" s="1917"/>
    </row>
    <row r="25" spans="2:33">
      <c r="C25" s="2197"/>
      <c r="D25" s="1896"/>
      <c r="E25" s="1899"/>
      <c r="F25" s="2191">
        <f t="shared" si="2"/>
        <v>0</v>
      </c>
      <c r="H25" s="1922"/>
      <c r="I25" s="2927"/>
      <c r="J25" s="1932" t="s">
        <v>241</v>
      </c>
      <c r="K25" s="1922"/>
      <c r="L25" s="1929"/>
      <c r="M25" s="1929"/>
      <c r="N25" s="1923"/>
      <c r="O25" s="1922"/>
      <c r="P25" s="1925"/>
      <c r="Q25" s="1928"/>
      <c r="R25" s="1928"/>
      <c r="S25" s="1931">
        <f t="shared" si="3"/>
        <v>0</v>
      </c>
      <c r="T25" s="1931">
        <f t="shared" si="4"/>
        <v>0</v>
      </c>
      <c r="U25" s="1931">
        <f t="shared" si="5"/>
        <v>0</v>
      </c>
      <c r="V25" s="1931">
        <f t="shared" si="6"/>
        <v>0</v>
      </c>
      <c r="W25" s="1921">
        <f t="shared" si="7"/>
        <v>0</v>
      </c>
      <c r="X25" s="1921">
        <f t="shared" si="8"/>
        <v>0</v>
      </c>
      <c r="Y25" s="1921">
        <f t="shared" si="9"/>
        <v>0</v>
      </c>
      <c r="Z25" s="1946"/>
      <c r="AA25" s="1920" t="s">
        <v>241</v>
      </c>
      <c r="AB25" s="1920" t="s">
        <v>241</v>
      </c>
      <c r="AC25" s="1921" t="s">
        <v>241</v>
      </c>
      <c r="AD25" s="1921" t="s">
        <v>241</v>
      </c>
      <c r="AE25" s="1921" t="s">
        <v>241</v>
      </c>
      <c r="AF25" s="1921" t="s">
        <v>241</v>
      </c>
      <c r="AG25" s="1917"/>
    </row>
    <row r="26" spans="2:33">
      <c r="C26" s="1877"/>
      <c r="D26" s="1892"/>
      <c r="E26" s="1884"/>
      <c r="F26" s="1892"/>
      <c r="H26" s="1922"/>
      <c r="I26" s="2927"/>
      <c r="J26" s="1932" t="s">
        <v>241</v>
      </c>
      <c r="K26" s="1922"/>
      <c r="L26" s="1929"/>
      <c r="M26" s="1929"/>
      <c r="N26" s="1923"/>
      <c r="O26" s="1922"/>
      <c r="P26" s="1925"/>
      <c r="Q26" s="1928"/>
      <c r="R26" s="1928"/>
      <c r="S26" s="1931">
        <f t="shared" si="3"/>
        <v>0</v>
      </c>
      <c r="T26" s="1931">
        <f t="shared" si="4"/>
        <v>0</v>
      </c>
      <c r="U26" s="1931">
        <f t="shared" si="5"/>
        <v>0</v>
      </c>
      <c r="V26" s="1931">
        <f t="shared" si="6"/>
        <v>0</v>
      </c>
      <c r="W26" s="1921">
        <f t="shared" si="7"/>
        <v>0</v>
      </c>
      <c r="X26" s="1921">
        <f t="shared" si="8"/>
        <v>0</v>
      </c>
      <c r="Y26" s="1921">
        <f t="shared" si="9"/>
        <v>0</v>
      </c>
      <c r="Z26" s="1946"/>
      <c r="AA26" s="1920" t="s">
        <v>241</v>
      </c>
      <c r="AB26" s="1920" t="s">
        <v>241</v>
      </c>
      <c r="AC26" s="1921" t="s">
        <v>241</v>
      </c>
      <c r="AD26" s="1921" t="s">
        <v>241</v>
      </c>
      <c r="AE26" s="1921" t="s">
        <v>241</v>
      </c>
      <c r="AF26" s="1921" t="s">
        <v>241</v>
      </c>
      <c r="AG26" s="1917"/>
    </row>
    <row r="27" spans="2:33">
      <c r="C27" s="2106" t="s">
        <v>48</v>
      </c>
      <c r="D27" s="2158">
        <f>SUM(D29:D32)</f>
        <v>9067.8316500000019</v>
      </c>
      <c r="E27" s="1926">
        <f>SUM(E29:E32)</f>
        <v>9475.6980000000003</v>
      </c>
      <c r="F27" s="2157">
        <f>D27+E27</f>
        <v>18543.529650000004</v>
      </c>
      <c r="H27" s="1922"/>
      <c r="I27" s="2927"/>
      <c r="J27" s="1932" t="s">
        <v>241</v>
      </c>
      <c r="K27" s="1922"/>
      <c r="L27" s="1929"/>
      <c r="M27" s="1929"/>
      <c r="N27" s="1923"/>
      <c r="O27" s="1922"/>
      <c r="P27" s="1925"/>
      <c r="Q27" s="1928"/>
      <c r="R27" s="1928"/>
      <c r="S27" s="1931">
        <f t="shared" si="3"/>
        <v>0</v>
      </c>
      <c r="T27" s="1931">
        <f t="shared" si="4"/>
        <v>0</v>
      </c>
      <c r="U27" s="1931">
        <f t="shared" si="5"/>
        <v>0</v>
      </c>
      <c r="V27" s="1931">
        <f t="shared" si="6"/>
        <v>0</v>
      </c>
      <c r="W27" s="1921">
        <f t="shared" si="7"/>
        <v>0</v>
      </c>
      <c r="X27" s="1921">
        <f t="shared" si="8"/>
        <v>0</v>
      </c>
      <c r="Y27" s="1921">
        <f t="shared" si="9"/>
        <v>0</v>
      </c>
      <c r="Z27" s="1946"/>
      <c r="AA27" s="1920" t="s">
        <v>241</v>
      </c>
      <c r="AB27" s="1920" t="s">
        <v>241</v>
      </c>
      <c r="AC27" s="1921" t="s">
        <v>241</v>
      </c>
      <c r="AD27" s="1921" t="s">
        <v>241</v>
      </c>
      <c r="AE27" s="1921" t="s">
        <v>241</v>
      </c>
      <c r="AF27" s="1921" t="s">
        <v>241</v>
      </c>
      <c r="AG27" s="1917"/>
    </row>
    <row r="28" spans="2:33">
      <c r="C28" s="1909" t="s">
        <v>315</v>
      </c>
      <c r="D28" s="1912">
        <v>0.66700000000000004</v>
      </c>
      <c r="E28" s="1913">
        <v>0.68</v>
      </c>
      <c r="F28" s="1949"/>
      <c r="H28" s="1922"/>
      <c r="I28" s="2927"/>
      <c r="J28" s="1932" t="s">
        <v>241</v>
      </c>
      <c r="K28" s="1922"/>
      <c r="L28" s="1929"/>
      <c r="M28" s="1929"/>
      <c r="N28" s="1923"/>
      <c r="O28" s="1922"/>
      <c r="P28" s="1925"/>
      <c r="Q28" s="1928"/>
      <c r="R28" s="1928"/>
      <c r="S28" s="1931">
        <f t="shared" si="3"/>
        <v>0</v>
      </c>
      <c r="T28" s="1931">
        <f t="shared" si="4"/>
        <v>0</v>
      </c>
      <c r="U28" s="1931">
        <f t="shared" si="5"/>
        <v>0</v>
      </c>
      <c r="V28" s="1931">
        <f t="shared" si="6"/>
        <v>0</v>
      </c>
      <c r="W28" s="1921">
        <f t="shared" si="7"/>
        <v>0</v>
      </c>
      <c r="X28" s="1921">
        <f t="shared" si="8"/>
        <v>0</v>
      </c>
      <c r="Y28" s="1921">
        <f t="shared" si="9"/>
        <v>0</v>
      </c>
      <c r="Z28" s="1946"/>
      <c r="AA28" s="1920" t="s">
        <v>241</v>
      </c>
      <c r="AB28" s="1920" t="s">
        <v>241</v>
      </c>
      <c r="AC28" s="1921" t="s">
        <v>241</v>
      </c>
      <c r="AD28" s="1921" t="s">
        <v>241</v>
      </c>
      <c r="AE28" s="1921" t="s">
        <v>241</v>
      </c>
      <c r="AF28" s="1921" t="s">
        <v>241</v>
      </c>
      <c r="AG28" s="1917"/>
    </row>
    <row r="29" spans="2:33">
      <c r="C29" s="2197" t="s">
        <v>778</v>
      </c>
      <c r="D29" s="2202">
        <f>D15*D28</f>
        <v>9067.8316500000019</v>
      </c>
      <c r="E29" s="2163">
        <f>E15*E28</f>
        <v>9475.6980000000003</v>
      </c>
      <c r="F29" s="2191">
        <f t="shared" si="2"/>
        <v>18543.529650000004</v>
      </c>
      <c r="H29" s="1922"/>
      <c r="I29" s="2927"/>
      <c r="J29" s="1932" t="s">
        <v>241</v>
      </c>
      <c r="K29" s="1922"/>
      <c r="L29" s="1929"/>
      <c r="M29" s="1929"/>
      <c r="N29" s="1923"/>
      <c r="O29" s="1922"/>
      <c r="P29" s="1925"/>
      <c r="Q29" s="1928"/>
      <c r="R29" s="1928"/>
      <c r="S29" s="1931">
        <f t="shared" si="3"/>
        <v>0</v>
      </c>
      <c r="T29" s="1931">
        <f t="shared" si="4"/>
        <v>0</v>
      </c>
      <c r="U29" s="1931">
        <f t="shared" si="5"/>
        <v>0</v>
      </c>
      <c r="V29" s="1931">
        <f t="shared" si="6"/>
        <v>0</v>
      </c>
      <c r="W29" s="1921">
        <f t="shared" si="7"/>
        <v>0</v>
      </c>
      <c r="X29" s="1921">
        <f t="shared" si="8"/>
        <v>0</v>
      </c>
      <c r="Y29" s="1921">
        <f t="shared" si="9"/>
        <v>0</v>
      </c>
      <c r="Z29" s="1946"/>
      <c r="AA29" s="1920" t="s">
        <v>241</v>
      </c>
      <c r="AB29" s="1920" t="s">
        <v>241</v>
      </c>
      <c r="AC29" s="1921" t="s">
        <v>241</v>
      </c>
      <c r="AD29" s="1921" t="s">
        <v>241</v>
      </c>
      <c r="AE29" s="1921" t="s">
        <v>241</v>
      </c>
      <c r="AF29" s="1921" t="s">
        <v>241</v>
      </c>
      <c r="AG29" s="1917"/>
    </row>
    <row r="30" spans="2:33">
      <c r="C30" s="2197" t="s">
        <v>779</v>
      </c>
      <c r="D30" s="1973">
        <f>D21*D28</f>
        <v>0</v>
      </c>
      <c r="E30" s="2163">
        <f>E21*E28</f>
        <v>0</v>
      </c>
      <c r="F30" s="2191">
        <f t="shared" si="2"/>
        <v>0</v>
      </c>
      <c r="H30" s="1922"/>
      <c r="I30" s="2927"/>
      <c r="J30" s="1932" t="s">
        <v>241</v>
      </c>
      <c r="K30" s="1922"/>
      <c r="L30" s="1929"/>
      <c r="M30" s="1929"/>
      <c r="N30" s="1923"/>
      <c r="O30" s="1922"/>
      <c r="P30" s="1925"/>
      <c r="Q30" s="1928"/>
      <c r="R30" s="1928"/>
      <c r="S30" s="1931">
        <f t="shared" si="3"/>
        <v>0</v>
      </c>
      <c r="T30" s="1931">
        <f t="shared" si="4"/>
        <v>0</v>
      </c>
      <c r="U30" s="1931">
        <f t="shared" si="5"/>
        <v>0</v>
      </c>
      <c r="V30" s="1931">
        <f t="shared" si="6"/>
        <v>0</v>
      </c>
      <c r="W30" s="1921">
        <f t="shared" si="7"/>
        <v>0</v>
      </c>
      <c r="X30" s="1921">
        <f t="shared" si="8"/>
        <v>0</v>
      </c>
      <c r="Y30" s="1921">
        <f t="shared" si="9"/>
        <v>0</v>
      </c>
      <c r="Z30" s="1946"/>
      <c r="AA30" s="1920" t="s">
        <v>241</v>
      </c>
      <c r="AB30" s="1920" t="s">
        <v>241</v>
      </c>
      <c r="AC30" s="1921" t="s">
        <v>241</v>
      </c>
      <c r="AD30" s="1921" t="s">
        <v>241</v>
      </c>
      <c r="AE30" s="1921" t="s">
        <v>241</v>
      </c>
      <c r="AF30" s="1921" t="s">
        <v>241</v>
      </c>
      <c r="AG30" s="1917"/>
    </row>
    <row r="31" spans="2:33">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1946"/>
      <c r="AA31" s="1920" t="s">
        <v>241</v>
      </c>
      <c r="AB31" s="1920" t="s">
        <v>241</v>
      </c>
      <c r="AC31" s="1921" t="s">
        <v>241</v>
      </c>
      <c r="AD31" s="1921" t="s">
        <v>241</v>
      </c>
      <c r="AE31" s="1921" t="s">
        <v>241</v>
      </c>
      <c r="AF31" s="1921" t="s">
        <v>241</v>
      </c>
      <c r="AG31" s="1917"/>
    </row>
    <row r="32" spans="2:33">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1946"/>
      <c r="AA32" s="1920" t="s">
        <v>241</v>
      </c>
      <c r="AB32" s="1920" t="s">
        <v>241</v>
      </c>
      <c r="AC32" s="1921" t="s">
        <v>241</v>
      </c>
      <c r="AD32" s="1921" t="s">
        <v>241</v>
      </c>
      <c r="AE32" s="1921" t="s">
        <v>241</v>
      </c>
      <c r="AF32" s="1921" t="s">
        <v>241</v>
      </c>
      <c r="AG32" s="1917"/>
    </row>
    <row r="33" spans="1:33">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1946"/>
      <c r="AA33" s="1920" t="s">
        <v>241</v>
      </c>
      <c r="AB33" s="1920" t="s">
        <v>241</v>
      </c>
      <c r="AC33" s="1921" t="s">
        <v>241</v>
      </c>
      <c r="AD33" s="1921" t="s">
        <v>241</v>
      </c>
      <c r="AE33" s="1921" t="s">
        <v>241</v>
      </c>
      <c r="AF33" s="1921" t="s">
        <v>241</v>
      </c>
      <c r="AG33" s="1917"/>
    </row>
    <row r="34" spans="1:33">
      <c r="A34" s="2802" t="s">
        <v>660</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1946"/>
      <c r="AA34" s="1920" t="s">
        <v>241</v>
      </c>
      <c r="AB34" s="1920" t="s">
        <v>241</v>
      </c>
      <c r="AC34" s="1921" t="s">
        <v>241</v>
      </c>
      <c r="AD34" s="1921" t="s">
        <v>241</v>
      </c>
      <c r="AE34" s="1921" t="s">
        <v>241</v>
      </c>
      <c r="AF34" s="1921" t="s">
        <v>241</v>
      </c>
      <c r="AG34" s="1917"/>
    </row>
    <row r="35" spans="1:33">
      <c r="A35" s="2802" t="s">
        <v>278</v>
      </c>
      <c r="C35" s="2197"/>
      <c r="D35" s="2202"/>
      <c r="E35" s="2203"/>
      <c r="F35" s="2191">
        <f t="shared" ref="F35:F44" si="10">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1946"/>
      <c r="AA35" s="1920" t="s">
        <v>241</v>
      </c>
      <c r="AB35" s="1920" t="s">
        <v>241</v>
      </c>
      <c r="AC35" s="1921" t="s">
        <v>241</v>
      </c>
      <c r="AD35" s="1921" t="s">
        <v>241</v>
      </c>
      <c r="AE35" s="1921" t="s">
        <v>241</v>
      </c>
      <c r="AF35" s="1921" t="s">
        <v>241</v>
      </c>
      <c r="AG35" s="1917"/>
    </row>
    <row r="36" spans="1:33">
      <c r="A36" s="2802" t="s">
        <v>6</v>
      </c>
      <c r="C36" s="2197"/>
      <c r="D36" s="2202"/>
      <c r="E36" s="2203"/>
      <c r="F36" s="2191">
        <f t="shared" si="10"/>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1946"/>
      <c r="AA36" s="1920" t="s">
        <v>241</v>
      </c>
      <c r="AB36" s="1920" t="s">
        <v>241</v>
      </c>
      <c r="AC36" s="1921" t="s">
        <v>241</v>
      </c>
      <c r="AD36" s="1921" t="s">
        <v>241</v>
      </c>
      <c r="AE36" s="1921" t="s">
        <v>241</v>
      </c>
      <c r="AF36" s="1921" t="s">
        <v>241</v>
      </c>
      <c r="AG36" s="1917"/>
    </row>
    <row r="37" spans="1:33">
      <c r="A37" s="2802">
        <v>18231029</v>
      </c>
      <c r="C37" s="2197"/>
      <c r="D37" s="2202"/>
      <c r="E37" s="2203"/>
      <c r="F37" s="2191">
        <f t="shared" si="10"/>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1946"/>
      <c r="AA37" s="1920" t="s">
        <v>241</v>
      </c>
      <c r="AB37" s="1920" t="s">
        <v>241</v>
      </c>
      <c r="AC37" s="1921" t="s">
        <v>241</v>
      </c>
      <c r="AD37" s="1921" t="s">
        <v>241</v>
      </c>
      <c r="AE37" s="1921" t="s">
        <v>241</v>
      </c>
      <c r="AF37" s="1921" t="s">
        <v>241</v>
      </c>
      <c r="AG37" s="1917"/>
    </row>
    <row r="38" spans="1:33">
      <c r="A38" s="2802" t="s">
        <v>31</v>
      </c>
      <c r="C38" s="2197"/>
      <c r="D38" s="2202"/>
      <c r="E38" s="2203"/>
      <c r="F38" s="2191">
        <f t="shared" si="10"/>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1946"/>
      <c r="AA38" s="1920" t="s">
        <v>241</v>
      </c>
      <c r="AB38" s="1920" t="s">
        <v>241</v>
      </c>
      <c r="AC38" s="1921" t="s">
        <v>241</v>
      </c>
      <c r="AD38" s="1921" t="s">
        <v>241</v>
      </c>
      <c r="AE38" s="1921" t="s">
        <v>241</v>
      </c>
      <c r="AF38" s="1921" t="s">
        <v>241</v>
      </c>
      <c r="AG38" s="1917"/>
    </row>
    <row r="39" spans="1:33">
      <c r="A39" s="2193"/>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1946"/>
      <c r="AA39" s="1920" t="s">
        <v>241</v>
      </c>
      <c r="AB39" s="1920" t="s">
        <v>241</v>
      </c>
      <c r="AC39" s="1921" t="s">
        <v>241</v>
      </c>
      <c r="AD39" s="1921" t="s">
        <v>241</v>
      </c>
      <c r="AE39" s="1921" t="s">
        <v>241</v>
      </c>
      <c r="AF39" s="1921" t="s">
        <v>241</v>
      </c>
      <c r="AG39" s="1917"/>
    </row>
    <row r="40" spans="1:33">
      <c r="A40" s="2193"/>
      <c r="C40" s="2106" t="s">
        <v>506</v>
      </c>
      <c r="D40" s="2158">
        <f>SUM(D41:D44)</f>
        <v>500</v>
      </c>
      <c r="E40" s="1926">
        <f>SUM(E41:E44)</f>
        <v>500</v>
      </c>
      <c r="F40" s="2157">
        <f>D40+E40</f>
        <v>1000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1946"/>
      <c r="AA40" s="1920" t="s">
        <v>241</v>
      </c>
      <c r="AB40" s="1920" t="s">
        <v>241</v>
      </c>
      <c r="AC40" s="1921" t="s">
        <v>241</v>
      </c>
      <c r="AD40" s="1921" t="s">
        <v>241</v>
      </c>
      <c r="AE40" s="1921" t="s">
        <v>241</v>
      </c>
      <c r="AF40" s="1921" t="s">
        <v>241</v>
      </c>
      <c r="AG40" s="1917"/>
    </row>
    <row r="41" spans="1:33">
      <c r="C41" s="2197"/>
      <c r="D41" s="2202">
        <v>500</v>
      </c>
      <c r="E41" s="2203">
        <v>500</v>
      </c>
      <c r="F41" s="2191">
        <f t="shared" si="10"/>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1946"/>
      <c r="AA41" s="1920" t="s">
        <v>241</v>
      </c>
      <c r="AB41" s="1920" t="s">
        <v>241</v>
      </c>
      <c r="AC41" s="1921" t="s">
        <v>241</v>
      </c>
      <c r="AD41" s="1921" t="s">
        <v>241</v>
      </c>
      <c r="AE41" s="1921" t="s">
        <v>241</v>
      </c>
      <c r="AF41" s="1921" t="s">
        <v>241</v>
      </c>
      <c r="AG41" s="1917"/>
    </row>
    <row r="42" spans="1:33">
      <c r="C42" s="2197"/>
      <c r="D42" s="2202"/>
      <c r="E42" s="2203"/>
      <c r="F42" s="2191">
        <f t="shared" si="10"/>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1946"/>
      <c r="AA42" s="1920" t="s">
        <v>241</v>
      </c>
      <c r="AB42" s="1920" t="s">
        <v>241</v>
      </c>
      <c r="AC42" s="1921" t="s">
        <v>241</v>
      </c>
      <c r="AD42" s="1921" t="s">
        <v>241</v>
      </c>
      <c r="AE42" s="1921" t="s">
        <v>241</v>
      </c>
      <c r="AF42" s="1921" t="s">
        <v>241</v>
      </c>
      <c r="AG42" s="1917"/>
    </row>
    <row r="43" spans="1:33">
      <c r="C43" s="2197"/>
      <c r="D43" s="2202"/>
      <c r="E43" s="2203"/>
      <c r="F43" s="2191">
        <f t="shared" si="10"/>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1946"/>
      <c r="AA43" s="1920" t="s">
        <v>241</v>
      </c>
      <c r="AB43" s="1920" t="s">
        <v>241</v>
      </c>
      <c r="AC43" s="1921" t="s">
        <v>241</v>
      </c>
      <c r="AD43" s="1921" t="s">
        <v>241</v>
      </c>
      <c r="AE43" s="1921" t="s">
        <v>241</v>
      </c>
      <c r="AF43" s="1921" t="s">
        <v>241</v>
      </c>
      <c r="AG43" s="1917"/>
    </row>
    <row r="44" spans="1:33">
      <c r="C44" s="2197"/>
      <c r="D44" s="2202"/>
      <c r="E44" s="2203"/>
      <c r="F44" s="2191">
        <f t="shared" si="10"/>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1946"/>
      <c r="AA44" s="1920" t="s">
        <v>241</v>
      </c>
      <c r="AB44" s="1920" t="s">
        <v>241</v>
      </c>
      <c r="AC44" s="1921" t="s">
        <v>241</v>
      </c>
      <c r="AD44" s="1921" t="s">
        <v>241</v>
      </c>
      <c r="AE44" s="1921" t="s">
        <v>241</v>
      </c>
      <c r="AF44" s="1921" t="s">
        <v>241</v>
      </c>
      <c r="AG44" s="1917"/>
    </row>
    <row r="45" spans="1:33">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1946"/>
      <c r="AA45" s="1920" t="s">
        <v>241</v>
      </c>
      <c r="AB45" s="1920" t="s">
        <v>241</v>
      </c>
      <c r="AC45" s="1921" t="s">
        <v>241</v>
      </c>
      <c r="AD45" s="1921" t="s">
        <v>241</v>
      </c>
      <c r="AE45" s="1921" t="s">
        <v>241</v>
      </c>
      <c r="AF45" s="1921" t="s">
        <v>241</v>
      </c>
      <c r="AG45" s="1917"/>
    </row>
    <row r="46" spans="1:33">
      <c r="C46" s="2106" t="s">
        <v>50</v>
      </c>
      <c r="D46" s="2158">
        <f>SUM(D47:D50)</f>
        <v>0</v>
      </c>
      <c r="E46" s="1926">
        <f>SUM(E47:E50)</f>
        <v>0</v>
      </c>
      <c r="F46" s="2157">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1946"/>
      <c r="AA46" s="1920" t="s">
        <v>241</v>
      </c>
      <c r="AB46" s="1920" t="s">
        <v>241</v>
      </c>
      <c r="AC46" s="1921" t="s">
        <v>241</v>
      </c>
      <c r="AD46" s="1921" t="s">
        <v>241</v>
      </c>
      <c r="AE46" s="1921" t="s">
        <v>241</v>
      </c>
      <c r="AF46" s="1921" t="s">
        <v>241</v>
      </c>
      <c r="AG46" s="1917"/>
    </row>
    <row r="47" spans="1:33">
      <c r="C47" s="2197"/>
      <c r="D47" s="2202"/>
      <c r="E47" s="2203"/>
      <c r="F47" s="2191">
        <f t="shared" ref="F47:F62" si="11">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1946"/>
      <c r="AA47" s="1920" t="s">
        <v>241</v>
      </c>
      <c r="AB47" s="1920" t="s">
        <v>241</v>
      </c>
      <c r="AC47" s="1921" t="s">
        <v>241</v>
      </c>
      <c r="AD47" s="1921" t="s">
        <v>241</v>
      </c>
      <c r="AE47" s="1921" t="s">
        <v>241</v>
      </c>
      <c r="AF47" s="1921" t="s">
        <v>241</v>
      </c>
      <c r="AG47" s="1917"/>
    </row>
    <row r="48" spans="1:33">
      <c r="C48" s="2197"/>
      <c r="D48" s="2202"/>
      <c r="E48" s="2203"/>
      <c r="F48" s="2191">
        <f t="shared" si="11"/>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1946"/>
      <c r="AA48" s="1920" t="s">
        <v>241</v>
      </c>
      <c r="AB48" s="1920" t="s">
        <v>241</v>
      </c>
      <c r="AC48" s="1921" t="s">
        <v>241</v>
      </c>
      <c r="AD48" s="1921" t="s">
        <v>241</v>
      </c>
      <c r="AE48" s="1921" t="s">
        <v>241</v>
      </c>
      <c r="AF48" s="1921" t="s">
        <v>241</v>
      </c>
      <c r="AG48" s="1917"/>
    </row>
    <row r="49" spans="1:33">
      <c r="C49" s="2197"/>
      <c r="D49" s="2202"/>
      <c r="E49" s="2203"/>
      <c r="F49" s="2191">
        <f t="shared" si="11"/>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1946"/>
      <c r="AA49" s="1920" t="s">
        <v>241</v>
      </c>
      <c r="AB49" s="1920" t="s">
        <v>241</v>
      </c>
      <c r="AC49" s="1921" t="s">
        <v>241</v>
      </c>
      <c r="AD49" s="1921" t="s">
        <v>241</v>
      </c>
      <c r="AE49" s="1921" t="s">
        <v>241</v>
      </c>
      <c r="AF49" s="1921" t="s">
        <v>241</v>
      </c>
      <c r="AG49" s="1917"/>
    </row>
    <row r="50" spans="1:33">
      <c r="C50" s="2197"/>
      <c r="D50" s="2202"/>
      <c r="E50" s="2203"/>
      <c r="F50" s="2191">
        <f t="shared" si="11"/>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1946"/>
      <c r="AA50" s="1920" t="s">
        <v>241</v>
      </c>
      <c r="AB50" s="1920" t="s">
        <v>241</v>
      </c>
      <c r="AC50" s="1921" t="s">
        <v>241</v>
      </c>
      <c r="AD50" s="1921" t="s">
        <v>241</v>
      </c>
      <c r="AE50" s="1921" t="s">
        <v>241</v>
      </c>
      <c r="AF50" s="1921" t="s">
        <v>241</v>
      </c>
      <c r="AG50" s="1917"/>
    </row>
    <row r="51" spans="1:33">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1946"/>
      <c r="AA51" s="1920" t="s">
        <v>241</v>
      </c>
      <c r="AB51" s="1920" t="s">
        <v>241</v>
      </c>
      <c r="AC51" s="1921" t="s">
        <v>241</v>
      </c>
      <c r="AD51" s="1921" t="s">
        <v>241</v>
      </c>
      <c r="AE51" s="1921" t="s">
        <v>241</v>
      </c>
      <c r="AF51" s="1921" t="s">
        <v>241</v>
      </c>
      <c r="AG51" s="1917"/>
    </row>
    <row r="52" spans="1:33">
      <c r="C52" s="2106" t="s">
        <v>51</v>
      </c>
      <c r="D52" s="2158">
        <f>SUM(D53:D56)</f>
        <v>100</v>
      </c>
      <c r="E52" s="1926">
        <f>SUM(E53:E56)</f>
        <v>100</v>
      </c>
      <c r="F52" s="2157">
        <f>D52+E52</f>
        <v>200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1946"/>
      <c r="AA52" s="1920" t="s">
        <v>241</v>
      </c>
      <c r="AB52" s="1920" t="s">
        <v>241</v>
      </c>
      <c r="AC52" s="1921" t="s">
        <v>241</v>
      </c>
      <c r="AD52" s="1921" t="s">
        <v>241</v>
      </c>
      <c r="AE52" s="1921" t="s">
        <v>241</v>
      </c>
      <c r="AF52" s="1921" t="s">
        <v>241</v>
      </c>
      <c r="AG52" s="1917"/>
    </row>
    <row r="53" spans="1:33">
      <c r="C53" s="2197"/>
      <c r="D53" s="2202">
        <v>100</v>
      </c>
      <c r="E53" s="2163">
        <v>100</v>
      </c>
      <c r="F53" s="2191">
        <f t="shared" si="11"/>
        <v>200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1946"/>
      <c r="AA53" s="1920" t="s">
        <v>241</v>
      </c>
      <c r="AB53" s="1920" t="s">
        <v>241</v>
      </c>
      <c r="AC53" s="1921" t="s">
        <v>241</v>
      </c>
      <c r="AD53" s="1921" t="s">
        <v>241</v>
      </c>
      <c r="AE53" s="1921" t="s">
        <v>241</v>
      </c>
      <c r="AF53" s="1921" t="s">
        <v>241</v>
      </c>
      <c r="AG53" s="1917"/>
    </row>
    <row r="54" spans="1:33">
      <c r="C54" s="2197"/>
      <c r="D54" s="2202"/>
      <c r="E54" s="2163"/>
      <c r="F54" s="2191">
        <f t="shared" si="11"/>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1946"/>
      <c r="AA54" s="1920" t="s">
        <v>241</v>
      </c>
      <c r="AB54" s="1920" t="s">
        <v>241</v>
      </c>
      <c r="AC54" s="1921" t="s">
        <v>241</v>
      </c>
      <c r="AD54" s="1921" t="s">
        <v>241</v>
      </c>
      <c r="AE54" s="1921" t="s">
        <v>241</v>
      </c>
      <c r="AF54" s="1921" t="s">
        <v>241</v>
      </c>
      <c r="AG54" s="1917"/>
    </row>
    <row r="55" spans="1:33">
      <c r="C55" s="2197"/>
      <c r="D55" s="2202"/>
      <c r="E55" s="2163"/>
      <c r="F55" s="2191">
        <f t="shared" si="11"/>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1946"/>
      <c r="AA55" s="1920" t="s">
        <v>241</v>
      </c>
      <c r="AB55" s="1920" t="s">
        <v>241</v>
      </c>
      <c r="AC55" s="1921" t="s">
        <v>241</v>
      </c>
      <c r="AD55" s="1921" t="s">
        <v>241</v>
      </c>
      <c r="AE55" s="1921" t="s">
        <v>241</v>
      </c>
      <c r="AF55" s="1921" t="s">
        <v>241</v>
      </c>
      <c r="AG55" s="1917"/>
    </row>
    <row r="56" spans="1:33">
      <c r="C56" s="2197"/>
      <c r="D56" s="2202"/>
      <c r="E56" s="2163"/>
      <c r="F56" s="2191">
        <f t="shared" si="11"/>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1946"/>
      <c r="AA56" s="1920" t="s">
        <v>241</v>
      </c>
      <c r="AB56" s="1920" t="s">
        <v>241</v>
      </c>
      <c r="AC56" s="1921" t="s">
        <v>241</v>
      </c>
      <c r="AD56" s="1921" t="s">
        <v>241</v>
      </c>
      <c r="AE56" s="1921" t="s">
        <v>241</v>
      </c>
      <c r="AF56" s="1921" t="s">
        <v>241</v>
      </c>
      <c r="AG56" s="1917"/>
    </row>
    <row r="57" spans="1:33">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1946"/>
      <c r="AA57" s="1920" t="s">
        <v>241</v>
      </c>
      <c r="AB57" s="1920" t="s">
        <v>241</v>
      </c>
      <c r="AC57" s="1921" t="s">
        <v>241</v>
      </c>
      <c r="AD57" s="1921" t="s">
        <v>241</v>
      </c>
      <c r="AE57" s="1921" t="s">
        <v>241</v>
      </c>
      <c r="AF57" s="1921" t="s">
        <v>241</v>
      </c>
      <c r="AG57" s="1917"/>
    </row>
    <row r="58" spans="1:33">
      <c r="C58" s="2106" t="s">
        <v>52</v>
      </c>
      <c r="D58" s="2158">
        <f>SUM(D59:D62)</f>
        <v>120</v>
      </c>
      <c r="E58" s="1926">
        <f>SUM(E59:E62)</f>
        <v>120</v>
      </c>
      <c r="F58" s="2157">
        <f>D58+E58</f>
        <v>240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1946"/>
      <c r="AA58" s="1920" t="s">
        <v>241</v>
      </c>
      <c r="AB58" s="1920" t="s">
        <v>241</v>
      </c>
      <c r="AC58" s="1921" t="s">
        <v>241</v>
      </c>
      <c r="AD58" s="1921" t="s">
        <v>241</v>
      </c>
      <c r="AE58" s="1921" t="s">
        <v>241</v>
      </c>
      <c r="AF58" s="1921" t="s">
        <v>241</v>
      </c>
      <c r="AG58" s="1917"/>
    </row>
    <row r="59" spans="1:33">
      <c r="C59" s="2197"/>
      <c r="D59" s="2202">
        <v>120</v>
      </c>
      <c r="E59" s="2203">
        <v>120</v>
      </c>
      <c r="F59" s="2191">
        <f t="shared" si="11"/>
        <v>240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1946"/>
      <c r="AA59" s="1920" t="s">
        <v>241</v>
      </c>
      <c r="AB59" s="1920" t="s">
        <v>241</v>
      </c>
      <c r="AC59" s="1921" t="s">
        <v>241</v>
      </c>
      <c r="AD59" s="1921" t="s">
        <v>241</v>
      </c>
      <c r="AE59" s="1921" t="s">
        <v>241</v>
      </c>
      <c r="AF59" s="1921" t="s">
        <v>241</v>
      </c>
      <c r="AG59" s="1917"/>
    </row>
    <row r="60" spans="1:33">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1946"/>
      <c r="AA60" s="1920" t="s">
        <v>241</v>
      </c>
      <c r="AB60" s="1920" t="s">
        <v>241</v>
      </c>
      <c r="AC60" s="1921" t="s">
        <v>241</v>
      </c>
      <c r="AD60" s="1921" t="s">
        <v>241</v>
      </c>
      <c r="AE60" s="1921" t="s">
        <v>241</v>
      </c>
      <c r="AF60" s="1921" t="s">
        <v>241</v>
      </c>
      <c r="AG60" s="1917"/>
    </row>
    <row r="61" spans="1:33">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1946"/>
      <c r="AA61" s="1920" t="s">
        <v>241</v>
      </c>
      <c r="AB61" s="1920" t="s">
        <v>241</v>
      </c>
      <c r="AC61" s="1921" t="s">
        <v>241</v>
      </c>
      <c r="AD61" s="1921" t="s">
        <v>241</v>
      </c>
      <c r="AE61" s="1921" t="s">
        <v>241</v>
      </c>
      <c r="AF61" s="1921" t="s">
        <v>241</v>
      </c>
      <c r="AG61" s="1917"/>
    </row>
    <row r="62" spans="1:33">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1946"/>
      <c r="AA62" s="1920" t="s">
        <v>241</v>
      </c>
      <c r="AB62" s="1920" t="s">
        <v>241</v>
      </c>
      <c r="AC62" s="1921" t="s">
        <v>241</v>
      </c>
      <c r="AD62" s="1921" t="s">
        <v>241</v>
      </c>
      <c r="AE62" s="1921" t="s">
        <v>241</v>
      </c>
      <c r="AF62" s="1921" t="s">
        <v>241</v>
      </c>
      <c r="AG62" s="1917"/>
    </row>
    <row r="63" spans="1:33">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1946"/>
      <c r="AA63" s="1920" t="s">
        <v>241</v>
      </c>
      <c r="AB63" s="1920" t="s">
        <v>241</v>
      </c>
      <c r="AC63" s="1921" t="s">
        <v>241</v>
      </c>
      <c r="AD63" s="1921" t="s">
        <v>241</v>
      </c>
      <c r="AE63" s="1921" t="s">
        <v>241</v>
      </c>
      <c r="AF63" s="1921" t="s">
        <v>241</v>
      </c>
      <c r="AG63" s="1917"/>
    </row>
    <row r="64" spans="1:33">
      <c r="A64" s="2802" t="s">
        <v>660</v>
      </c>
      <c r="C64" s="2106" t="s">
        <v>53</v>
      </c>
      <c r="D64" s="2158">
        <f>W15</f>
        <v>22500.003000000001</v>
      </c>
      <c r="E64" s="1926">
        <f>X15</f>
        <v>33750.002999999997</v>
      </c>
      <c r="F64" s="2157">
        <f>D64+E64</f>
        <v>56250.005999999994</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1946"/>
      <c r="AA64" s="1920" t="s">
        <v>241</v>
      </c>
      <c r="AB64" s="1920" t="s">
        <v>241</v>
      </c>
      <c r="AC64" s="1921" t="s">
        <v>241</v>
      </c>
      <c r="AD64" s="1921" t="s">
        <v>241</v>
      </c>
      <c r="AE64" s="1921" t="s">
        <v>241</v>
      </c>
      <c r="AF64" s="1921" t="s">
        <v>241</v>
      </c>
      <c r="AG64" s="1917"/>
    </row>
    <row r="65" spans="1:33">
      <c r="A65" s="2802" t="s">
        <v>278</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1946"/>
      <c r="AA65" s="1920" t="s">
        <v>241</v>
      </c>
      <c r="AB65" s="1920" t="s">
        <v>241</v>
      </c>
      <c r="AC65" s="1921" t="s">
        <v>241</v>
      </c>
      <c r="AD65" s="1921" t="s">
        <v>241</v>
      </c>
      <c r="AE65" s="1921" t="s">
        <v>241</v>
      </c>
      <c r="AF65" s="1921" t="s">
        <v>241</v>
      </c>
      <c r="AG65" s="1917"/>
    </row>
    <row r="66" spans="1:33">
      <c r="A66" s="2802" t="s">
        <v>6</v>
      </c>
      <c r="C66" s="1968"/>
      <c r="D66" s="1963"/>
      <c r="E66" s="1964"/>
      <c r="F66" s="1965"/>
    </row>
    <row r="67" spans="1:33">
      <c r="A67" s="2802">
        <v>18231029</v>
      </c>
      <c r="C67" s="1959" t="s">
        <v>54</v>
      </c>
      <c r="D67" s="2202">
        <v>0</v>
      </c>
      <c r="E67" s="2202">
        <v>0</v>
      </c>
      <c r="F67" s="1956">
        <v>0</v>
      </c>
    </row>
    <row r="68" spans="1:33">
      <c r="A68" s="2802" t="s">
        <v>31</v>
      </c>
    </row>
    <row r="69" spans="1:33">
      <c r="A69" s="2193"/>
    </row>
    <row r="70" spans="1:33">
      <c r="A70" s="2193"/>
    </row>
    <row r="81" spans="5:5">
      <c r="E81" s="2177"/>
    </row>
    <row r="82" spans="5:5">
      <c r="E82" s="2177"/>
    </row>
    <row r="83" spans="5:5">
      <c r="E83" s="2177"/>
    </row>
    <row r="84" spans="5:5">
      <c r="E84" s="2177"/>
    </row>
    <row r="85" spans="5:5">
      <c r="E85" s="2177"/>
    </row>
    <row r="86" spans="5:5">
      <c r="E86" s="2177"/>
    </row>
    <row r="87" spans="5:5">
      <c r="E87" s="2177"/>
    </row>
    <row r="88" spans="5:5">
      <c r="E88" s="2177"/>
    </row>
    <row r="89" spans="5:5">
      <c r="E89" s="2177"/>
    </row>
    <row r="90" spans="5:5">
      <c r="E90" s="2177"/>
    </row>
    <row r="91" spans="5:5">
      <c r="E91" s="2177"/>
    </row>
    <row r="92" spans="5:5">
      <c r="E92" s="2177"/>
    </row>
    <row r="93" spans="5:5">
      <c r="E93" s="2177"/>
    </row>
    <row r="94" spans="5:5">
      <c r="E94" s="2177"/>
    </row>
    <row r="95" spans="5:5">
      <c r="E95" s="2177"/>
    </row>
    <row r="96" spans="5:5">
      <c r="E96" s="2177"/>
    </row>
    <row r="97" spans="5:5">
      <c r="E97" s="2177"/>
    </row>
    <row r="98" spans="5:5">
      <c r="E98" s="2177"/>
    </row>
    <row r="99" spans="5:5">
      <c r="E99" s="2177"/>
    </row>
    <row r="100" spans="5:5">
      <c r="E100" s="2177"/>
    </row>
    <row r="101" spans="5:5">
      <c r="E101" s="2177"/>
    </row>
    <row r="102" spans="5:5">
      <c r="E102" s="2177"/>
    </row>
    <row r="103" spans="5:5">
      <c r="E103" s="2177"/>
    </row>
    <row r="104" spans="5:5">
      <c r="E104" s="2177"/>
    </row>
    <row r="105" spans="5:5">
      <c r="E105" s="2177"/>
    </row>
    <row r="106" spans="5:5">
      <c r="E106" s="2177"/>
    </row>
    <row r="107" spans="5:5">
      <c r="E107" s="2177"/>
    </row>
    <row r="108" spans="5:5">
      <c r="E108" s="2177"/>
    </row>
    <row r="109" spans="5:5">
      <c r="E109" s="2177"/>
    </row>
    <row r="110" spans="5:5">
      <c r="E110" s="2177"/>
    </row>
    <row r="111" spans="5:5">
      <c r="E111" s="2177"/>
    </row>
  </sheetData>
  <customSheetViews>
    <customSheetView guid="{074EB09C-6289-46D7-9513-012B68BCA7BF}" showGridLines="0">
      <pane xSplit="1" ySplit="1" topLeftCell="B9" activePane="bottomRight" state="frozen"/>
      <selection pane="bottomRight" activeCell="D13" sqref="D13"/>
      <pageMargins left="0.7" right="0.7" top="0.75" bottom="0.75" header="0.3" footer="0.3"/>
    </customSheetView>
    <customSheetView guid="{D9EFFE19-D14B-4C6F-BDF4-FF696F73968D}" showGridLines="0">
      <pane xSplit="1" ySplit="1" topLeftCell="F2" activePane="bottomRight" state="frozen"/>
      <selection pane="bottomRight" activeCell="N28" sqref="N28"/>
      <pageMargins left="0.7" right="0.7" top="0.75" bottom="0.75" header="0.3" footer="0.3"/>
    </customSheetView>
  </customSheetViews>
  <mergeCells count="10">
    <mergeCell ref="H12:P12"/>
    <mergeCell ref="Q12:S12"/>
    <mergeCell ref="T12:V12"/>
    <mergeCell ref="W12:Y12"/>
    <mergeCell ref="Z12:AF12"/>
    <mergeCell ref="R2:S2"/>
    <mergeCell ref="T2:V2"/>
    <mergeCell ref="W2:W3"/>
    <mergeCell ref="H10:P10"/>
    <mergeCell ref="Z10:AF10"/>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AD165"/>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 style="2177" customWidth="1"/>
    <col min="2" max="2" width="15.28515625" style="2177" customWidth="1"/>
    <col min="3" max="3" width="29.42578125" style="2177" customWidth="1"/>
    <col min="4" max="4" width="23.28515625" style="2177" customWidth="1"/>
    <col min="5" max="5" width="17.28515625" style="2193" customWidth="1"/>
    <col min="6" max="6" width="17.28515625" style="2177" customWidth="1"/>
    <col min="7" max="7" width="16.28515625" style="2177" customWidth="1"/>
    <col min="8" max="8" width="39"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5.5703125" style="2177" bestFit="1" customWidth="1"/>
    <col min="18" max="18" width="16.140625" style="2177" customWidth="1"/>
    <col min="19" max="19" width="16.7109375" style="2177" bestFit="1" customWidth="1"/>
    <col min="20" max="21" width="15.5703125" style="2177" bestFit="1" customWidth="1"/>
    <col min="22" max="22" width="16.42578125" style="2177" bestFit="1" customWidth="1"/>
    <col min="23" max="23" width="14.28515625" style="2177" customWidth="1"/>
    <col min="24" max="25" width="16" style="2177" customWidth="1"/>
    <col min="26" max="26" width="12.5703125" bestFit="1" customWidth="1"/>
    <col min="27" max="252" width="9.140625" style="2177"/>
    <col min="253" max="253" width="24" style="2177" bestFit="1" customWidth="1"/>
    <col min="254" max="254" width="45.7109375" style="2177" bestFit="1" customWidth="1"/>
    <col min="255" max="255" width="19.7109375" style="2177" bestFit="1" customWidth="1"/>
    <col min="256" max="256" width="11.42578125" style="2177" bestFit="1" customWidth="1"/>
    <col min="257" max="257" width="19.85546875" style="2177" bestFit="1" customWidth="1"/>
    <col min="258" max="258" width="13.42578125" style="2177" customWidth="1"/>
    <col min="259" max="259" width="15.28515625" style="2177" bestFit="1" customWidth="1"/>
    <col min="260" max="260" width="14.140625" style="2177" bestFit="1" customWidth="1"/>
    <col min="261" max="261" width="15.28515625" style="2177" customWidth="1"/>
    <col min="262" max="262" width="15.85546875" style="2177" customWidth="1"/>
    <col min="263" max="263" width="17" style="2177" bestFit="1" customWidth="1"/>
    <col min="264" max="264" width="12.7109375" style="2177" customWidth="1"/>
    <col min="265" max="265" width="13.7109375" style="2177" customWidth="1"/>
    <col min="266" max="266" width="13.85546875" style="2177" bestFit="1" customWidth="1"/>
    <col min="267" max="267" width="15.5703125" style="2177" bestFit="1" customWidth="1"/>
    <col min="268" max="268" width="16.140625" style="2177" customWidth="1"/>
    <col min="269" max="269" width="16.7109375" style="2177" bestFit="1" customWidth="1"/>
    <col min="270" max="271" width="15.5703125" style="2177" bestFit="1" customWidth="1"/>
    <col min="272" max="272" width="16.42578125" style="2177" bestFit="1" customWidth="1"/>
    <col min="273" max="273" width="14.28515625" style="2177" customWidth="1"/>
    <col min="274" max="274" width="12.85546875" style="2177" bestFit="1" customWidth="1"/>
    <col min="275" max="275" width="11.28515625" style="2177" bestFit="1" customWidth="1"/>
    <col min="276" max="276" width="12.5703125" style="2177" bestFit="1" customWidth="1"/>
    <col min="277" max="277" width="14" style="2177" bestFit="1" customWidth="1"/>
    <col min="278" max="278" width="6" style="2177" bestFit="1" customWidth="1"/>
    <col min="279" max="279" width="15" style="2177" customWidth="1"/>
    <col min="280" max="280" width="14.85546875" style="2177" bestFit="1" customWidth="1"/>
    <col min="281" max="281" width="16.140625" style="2177" bestFit="1" customWidth="1"/>
    <col min="282" max="508" width="9.140625" style="2177"/>
    <col min="509" max="509" width="24" style="2177" bestFit="1" customWidth="1"/>
    <col min="510" max="510" width="45.7109375" style="2177" bestFit="1" customWidth="1"/>
    <col min="511" max="511" width="19.7109375" style="2177" bestFit="1" customWidth="1"/>
    <col min="512" max="512" width="11.42578125" style="2177" bestFit="1" customWidth="1"/>
    <col min="513" max="513" width="19.85546875" style="2177" bestFit="1" customWidth="1"/>
    <col min="514" max="514" width="13.42578125" style="2177" customWidth="1"/>
    <col min="515" max="515" width="15.28515625" style="2177" bestFit="1" customWidth="1"/>
    <col min="516" max="516" width="14.140625" style="2177" bestFit="1" customWidth="1"/>
    <col min="517" max="517" width="15.28515625" style="2177" customWidth="1"/>
    <col min="518" max="518" width="15.85546875" style="2177" customWidth="1"/>
    <col min="519" max="519" width="17" style="2177" bestFit="1" customWidth="1"/>
    <col min="520" max="520" width="12.7109375" style="2177" customWidth="1"/>
    <col min="521" max="521" width="13.7109375" style="2177" customWidth="1"/>
    <col min="522" max="522" width="13.85546875" style="2177" bestFit="1" customWidth="1"/>
    <col min="523" max="523" width="15.5703125" style="2177" bestFit="1" customWidth="1"/>
    <col min="524" max="524" width="16.140625" style="2177" customWidth="1"/>
    <col min="525" max="525" width="16.7109375" style="2177" bestFit="1" customWidth="1"/>
    <col min="526" max="527" width="15.5703125" style="2177" bestFit="1" customWidth="1"/>
    <col min="528" max="528" width="16.42578125" style="2177" bestFit="1" customWidth="1"/>
    <col min="529" max="529" width="14.28515625" style="2177" customWidth="1"/>
    <col min="530" max="530" width="12.85546875" style="2177" bestFit="1" customWidth="1"/>
    <col min="531" max="531" width="11.28515625" style="2177" bestFit="1" customWidth="1"/>
    <col min="532" max="532" width="12.5703125" style="2177" bestFit="1" customWidth="1"/>
    <col min="533" max="533" width="14" style="2177" bestFit="1" customWidth="1"/>
    <col min="534" max="534" width="6" style="2177" bestFit="1" customWidth="1"/>
    <col min="535" max="535" width="15" style="2177" customWidth="1"/>
    <col min="536" max="536" width="14.85546875" style="2177" bestFit="1" customWidth="1"/>
    <col min="537" max="537" width="16.140625" style="2177" bestFit="1" customWidth="1"/>
    <col min="538" max="764" width="9.140625" style="2177"/>
    <col min="765" max="765" width="24" style="2177" bestFit="1" customWidth="1"/>
    <col min="766" max="766" width="45.7109375" style="2177" bestFit="1" customWidth="1"/>
    <col min="767" max="767" width="19.7109375" style="2177" bestFit="1" customWidth="1"/>
    <col min="768" max="768" width="11.42578125" style="2177" bestFit="1" customWidth="1"/>
    <col min="769" max="769" width="19.85546875" style="2177" bestFit="1" customWidth="1"/>
    <col min="770" max="770" width="13.42578125" style="2177" customWidth="1"/>
    <col min="771" max="771" width="15.28515625" style="2177" bestFit="1" customWidth="1"/>
    <col min="772" max="772" width="14.140625" style="2177" bestFit="1" customWidth="1"/>
    <col min="773" max="773" width="15.28515625" style="2177" customWidth="1"/>
    <col min="774" max="774" width="15.85546875" style="2177" customWidth="1"/>
    <col min="775" max="775" width="17" style="2177" bestFit="1" customWidth="1"/>
    <col min="776" max="776" width="12.7109375" style="2177" customWidth="1"/>
    <col min="777" max="777" width="13.7109375" style="2177" customWidth="1"/>
    <col min="778" max="778" width="13.85546875" style="2177" bestFit="1" customWidth="1"/>
    <col min="779" max="779" width="15.5703125" style="2177" bestFit="1" customWidth="1"/>
    <col min="780" max="780" width="16.140625" style="2177" customWidth="1"/>
    <col min="781" max="781" width="16.7109375" style="2177" bestFit="1" customWidth="1"/>
    <col min="782" max="783" width="15.5703125" style="2177" bestFit="1" customWidth="1"/>
    <col min="784" max="784" width="16.42578125" style="2177" bestFit="1" customWidth="1"/>
    <col min="785" max="785" width="14.28515625" style="2177" customWidth="1"/>
    <col min="786" max="786" width="12.85546875" style="2177" bestFit="1" customWidth="1"/>
    <col min="787" max="787" width="11.28515625" style="2177" bestFit="1" customWidth="1"/>
    <col min="788" max="788" width="12.5703125" style="2177" bestFit="1" customWidth="1"/>
    <col min="789" max="789" width="14" style="2177" bestFit="1" customWidth="1"/>
    <col min="790" max="790" width="6" style="2177" bestFit="1" customWidth="1"/>
    <col min="791" max="791" width="15" style="2177" customWidth="1"/>
    <col min="792" max="792" width="14.85546875" style="2177" bestFit="1" customWidth="1"/>
    <col min="793" max="793" width="16.140625" style="2177" bestFit="1" customWidth="1"/>
    <col min="794" max="1020" width="9.140625" style="2177"/>
    <col min="1021" max="1021" width="24" style="2177" bestFit="1" customWidth="1"/>
    <col min="1022" max="1022" width="45.7109375" style="2177" bestFit="1" customWidth="1"/>
    <col min="1023" max="1023" width="19.7109375" style="2177" bestFit="1" customWidth="1"/>
    <col min="1024" max="1024" width="11.42578125" style="2177" bestFit="1" customWidth="1"/>
    <col min="1025" max="1025" width="19.85546875" style="2177" bestFit="1" customWidth="1"/>
    <col min="1026" max="1026" width="13.42578125" style="2177" customWidth="1"/>
    <col min="1027" max="1027" width="15.28515625" style="2177" bestFit="1" customWidth="1"/>
    <col min="1028" max="1028" width="14.140625" style="2177" bestFit="1" customWidth="1"/>
    <col min="1029" max="1029" width="15.28515625" style="2177" customWidth="1"/>
    <col min="1030" max="1030" width="15.85546875" style="2177" customWidth="1"/>
    <col min="1031" max="1031" width="17" style="2177" bestFit="1" customWidth="1"/>
    <col min="1032" max="1032" width="12.7109375" style="2177" customWidth="1"/>
    <col min="1033" max="1033" width="13.7109375" style="2177" customWidth="1"/>
    <col min="1034" max="1034" width="13.85546875" style="2177" bestFit="1" customWidth="1"/>
    <col min="1035" max="1035" width="15.5703125" style="2177" bestFit="1" customWidth="1"/>
    <col min="1036" max="1036" width="16.140625" style="2177" customWidth="1"/>
    <col min="1037" max="1037" width="16.7109375" style="2177" bestFit="1" customWidth="1"/>
    <col min="1038" max="1039" width="15.5703125" style="2177" bestFit="1" customWidth="1"/>
    <col min="1040" max="1040" width="16.42578125" style="2177" bestFit="1" customWidth="1"/>
    <col min="1041" max="1041" width="14.28515625" style="2177" customWidth="1"/>
    <col min="1042" max="1042" width="12.85546875" style="2177" bestFit="1" customWidth="1"/>
    <col min="1043" max="1043" width="11.28515625" style="2177" bestFit="1" customWidth="1"/>
    <col min="1044" max="1044" width="12.5703125" style="2177" bestFit="1" customWidth="1"/>
    <col min="1045" max="1045" width="14" style="2177" bestFit="1" customWidth="1"/>
    <col min="1046" max="1046" width="6" style="2177" bestFit="1" customWidth="1"/>
    <col min="1047" max="1047" width="15" style="2177" customWidth="1"/>
    <col min="1048" max="1048" width="14.85546875" style="2177" bestFit="1" customWidth="1"/>
    <col min="1049" max="1049" width="16.140625" style="2177" bestFit="1" customWidth="1"/>
    <col min="1050" max="1276" width="9.140625" style="2177"/>
    <col min="1277" max="1277" width="24" style="2177" bestFit="1" customWidth="1"/>
    <col min="1278" max="1278" width="45.7109375" style="2177" bestFit="1" customWidth="1"/>
    <col min="1279" max="1279" width="19.7109375" style="2177" bestFit="1" customWidth="1"/>
    <col min="1280" max="1280" width="11.42578125" style="2177" bestFit="1" customWidth="1"/>
    <col min="1281" max="1281" width="19.85546875" style="2177" bestFit="1" customWidth="1"/>
    <col min="1282" max="1282" width="13.42578125" style="2177" customWidth="1"/>
    <col min="1283" max="1283" width="15.28515625" style="2177" bestFit="1" customWidth="1"/>
    <col min="1284" max="1284" width="14.140625" style="2177" bestFit="1" customWidth="1"/>
    <col min="1285" max="1285" width="15.28515625" style="2177" customWidth="1"/>
    <col min="1286" max="1286" width="15.85546875" style="2177" customWidth="1"/>
    <col min="1287" max="1287" width="17" style="2177" bestFit="1" customWidth="1"/>
    <col min="1288" max="1288" width="12.7109375" style="2177" customWidth="1"/>
    <col min="1289" max="1289" width="13.7109375" style="2177" customWidth="1"/>
    <col min="1290" max="1290" width="13.85546875" style="2177" bestFit="1" customWidth="1"/>
    <col min="1291" max="1291" width="15.5703125" style="2177" bestFit="1" customWidth="1"/>
    <col min="1292" max="1292" width="16.140625" style="2177" customWidth="1"/>
    <col min="1293" max="1293" width="16.7109375" style="2177" bestFit="1" customWidth="1"/>
    <col min="1294" max="1295" width="15.5703125" style="2177" bestFit="1" customWidth="1"/>
    <col min="1296" max="1296" width="16.42578125" style="2177" bestFit="1" customWidth="1"/>
    <col min="1297" max="1297" width="14.28515625" style="2177" customWidth="1"/>
    <col min="1298" max="1298" width="12.85546875" style="2177" bestFit="1" customWidth="1"/>
    <col min="1299" max="1299" width="11.28515625" style="2177" bestFit="1" customWidth="1"/>
    <col min="1300" max="1300" width="12.5703125" style="2177" bestFit="1" customWidth="1"/>
    <col min="1301" max="1301" width="14" style="2177" bestFit="1" customWidth="1"/>
    <col min="1302" max="1302" width="6" style="2177" bestFit="1" customWidth="1"/>
    <col min="1303" max="1303" width="15" style="2177" customWidth="1"/>
    <col min="1304" max="1304" width="14.85546875" style="2177" bestFit="1" customWidth="1"/>
    <col min="1305" max="1305" width="16.140625" style="2177" bestFit="1" customWidth="1"/>
    <col min="1306" max="1532" width="9.140625" style="2177"/>
    <col min="1533" max="1533" width="24" style="2177" bestFit="1" customWidth="1"/>
    <col min="1534" max="1534" width="45.7109375" style="2177" bestFit="1" customWidth="1"/>
    <col min="1535" max="1535" width="19.7109375" style="2177" bestFit="1" customWidth="1"/>
    <col min="1536" max="1536" width="11.42578125" style="2177" bestFit="1" customWidth="1"/>
    <col min="1537" max="1537" width="19.85546875" style="2177" bestFit="1" customWidth="1"/>
    <col min="1538" max="1538" width="13.42578125" style="2177" customWidth="1"/>
    <col min="1539" max="1539" width="15.28515625" style="2177" bestFit="1" customWidth="1"/>
    <col min="1540" max="1540" width="14.140625" style="2177" bestFit="1" customWidth="1"/>
    <col min="1541" max="1541" width="15.28515625" style="2177" customWidth="1"/>
    <col min="1542" max="1542" width="15.85546875" style="2177" customWidth="1"/>
    <col min="1543" max="1543" width="17" style="2177" bestFit="1" customWidth="1"/>
    <col min="1544" max="1544" width="12.7109375" style="2177" customWidth="1"/>
    <col min="1545" max="1545" width="13.7109375" style="2177" customWidth="1"/>
    <col min="1546" max="1546" width="13.85546875" style="2177" bestFit="1" customWidth="1"/>
    <col min="1547" max="1547" width="15.5703125" style="2177" bestFit="1" customWidth="1"/>
    <col min="1548" max="1548" width="16.140625" style="2177" customWidth="1"/>
    <col min="1549" max="1549" width="16.7109375" style="2177" bestFit="1" customWidth="1"/>
    <col min="1550" max="1551" width="15.5703125" style="2177" bestFit="1" customWidth="1"/>
    <col min="1552" max="1552" width="16.42578125" style="2177" bestFit="1" customWidth="1"/>
    <col min="1553" max="1553" width="14.28515625" style="2177" customWidth="1"/>
    <col min="1554" max="1554" width="12.85546875" style="2177" bestFit="1" customWidth="1"/>
    <col min="1555" max="1555" width="11.28515625" style="2177" bestFit="1" customWidth="1"/>
    <col min="1556" max="1556" width="12.5703125" style="2177" bestFit="1" customWidth="1"/>
    <col min="1557" max="1557" width="14" style="2177" bestFit="1" customWidth="1"/>
    <col min="1558" max="1558" width="6" style="2177" bestFit="1" customWidth="1"/>
    <col min="1559" max="1559" width="15" style="2177" customWidth="1"/>
    <col min="1560" max="1560" width="14.85546875" style="2177" bestFit="1" customWidth="1"/>
    <col min="1561" max="1561" width="16.140625" style="2177" bestFit="1" customWidth="1"/>
    <col min="1562" max="1788" width="9.140625" style="2177"/>
    <col min="1789" max="1789" width="24" style="2177" bestFit="1" customWidth="1"/>
    <col min="1790" max="1790" width="45.7109375" style="2177" bestFit="1" customWidth="1"/>
    <col min="1791" max="1791" width="19.7109375" style="2177" bestFit="1" customWidth="1"/>
    <col min="1792" max="1792" width="11.42578125" style="2177" bestFit="1" customWidth="1"/>
    <col min="1793" max="1793" width="19.85546875" style="2177" bestFit="1" customWidth="1"/>
    <col min="1794" max="1794" width="13.42578125" style="2177" customWidth="1"/>
    <col min="1795" max="1795" width="15.28515625" style="2177" bestFit="1" customWidth="1"/>
    <col min="1796" max="1796" width="14.140625" style="2177" bestFit="1" customWidth="1"/>
    <col min="1797" max="1797" width="15.28515625" style="2177" customWidth="1"/>
    <col min="1798" max="1798" width="15.85546875" style="2177" customWidth="1"/>
    <col min="1799" max="1799" width="17" style="2177" bestFit="1" customWidth="1"/>
    <col min="1800" max="1800" width="12.7109375" style="2177" customWidth="1"/>
    <col min="1801" max="1801" width="13.7109375" style="2177" customWidth="1"/>
    <col min="1802" max="1802" width="13.85546875" style="2177" bestFit="1" customWidth="1"/>
    <col min="1803" max="1803" width="15.5703125" style="2177" bestFit="1" customWidth="1"/>
    <col min="1804" max="1804" width="16.140625" style="2177" customWidth="1"/>
    <col min="1805" max="1805" width="16.7109375" style="2177" bestFit="1" customWidth="1"/>
    <col min="1806" max="1807" width="15.5703125" style="2177" bestFit="1" customWidth="1"/>
    <col min="1808" max="1808" width="16.42578125" style="2177" bestFit="1" customWidth="1"/>
    <col min="1809" max="1809" width="14.28515625" style="2177" customWidth="1"/>
    <col min="1810" max="1810" width="12.85546875" style="2177" bestFit="1" customWidth="1"/>
    <col min="1811" max="1811" width="11.28515625" style="2177" bestFit="1" customWidth="1"/>
    <col min="1812" max="1812" width="12.5703125" style="2177" bestFit="1" customWidth="1"/>
    <col min="1813" max="1813" width="14" style="2177" bestFit="1" customWidth="1"/>
    <col min="1814" max="1814" width="6" style="2177" bestFit="1" customWidth="1"/>
    <col min="1815" max="1815" width="15" style="2177" customWidth="1"/>
    <col min="1816" max="1816" width="14.85546875" style="2177" bestFit="1" customWidth="1"/>
    <col min="1817" max="1817" width="16.140625" style="2177" bestFit="1" customWidth="1"/>
    <col min="1818" max="2044" width="9.140625" style="2177"/>
    <col min="2045" max="2045" width="24" style="2177" bestFit="1" customWidth="1"/>
    <col min="2046" max="2046" width="45.7109375" style="2177" bestFit="1" customWidth="1"/>
    <col min="2047" max="2047" width="19.7109375" style="2177" bestFit="1" customWidth="1"/>
    <col min="2048" max="2048" width="11.42578125" style="2177" bestFit="1" customWidth="1"/>
    <col min="2049" max="2049" width="19.85546875" style="2177" bestFit="1" customWidth="1"/>
    <col min="2050" max="2050" width="13.42578125" style="2177" customWidth="1"/>
    <col min="2051" max="2051" width="15.28515625" style="2177" bestFit="1" customWidth="1"/>
    <col min="2052" max="2052" width="14.140625" style="2177" bestFit="1" customWidth="1"/>
    <col min="2053" max="2053" width="15.28515625" style="2177" customWidth="1"/>
    <col min="2054" max="2054" width="15.85546875" style="2177" customWidth="1"/>
    <col min="2055" max="2055" width="17" style="2177" bestFit="1" customWidth="1"/>
    <col min="2056" max="2056" width="12.7109375" style="2177" customWidth="1"/>
    <col min="2057" max="2057" width="13.7109375" style="2177" customWidth="1"/>
    <col min="2058" max="2058" width="13.85546875" style="2177" bestFit="1" customWidth="1"/>
    <col min="2059" max="2059" width="15.5703125" style="2177" bestFit="1" customWidth="1"/>
    <col min="2060" max="2060" width="16.140625" style="2177" customWidth="1"/>
    <col min="2061" max="2061" width="16.7109375" style="2177" bestFit="1" customWidth="1"/>
    <col min="2062" max="2063" width="15.5703125" style="2177" bestFit="1" customWidth="1"/>
    <col min="2064" max="2064" width="16.42578125" style="2177" bestFit="1" customWidth="1"/>
    <col min="2065" max="2065" width="14.28515625" style="2177" customWidth="1"/>
    <col min="2066" max="2066" width="12.85546875" style="2177" bestFit="1" customWidth="1"/>
    <col min="2067" max="2067" width="11.28515625" style="2177" bestFit="1" customWidth="1"/>
    <col min="2068" max="2068" width="12.5703125" style="2177" bestFit="1" customWidth="1"/>
    <col min="2069" max="2069" width="14" style="2177" bestFit="1" customWidth="1"/>
    <col min="2070" max="2070" width="6" style="2177" bestFit="1" customWidth="1"/>
    <col min="2071" max="2071" width="15" style="2177" customWidth="1"/>
    <col min="2072" max="2072" width="14.85546875" style="2177" bestFit="1" customWidth="1"/>
    <col min="2073" max="2073" width="16.140625" style="2177" bestFit="1" customWidth="1"/>
    <col min="2074" max="2300" width="9.140625" style="2177"/>
    <col min="2301" max="2301" width="24" style="2177" bestFit="1" customWidth="1"/>
    <col min="2302" max="2302" width="45.7109375" style="2177" bestFit="1" customWidth="1"/>
    <col min="2303" max="2303" width="19.7109375" style="2177" bestFit="1" customWidth="1"/>
    <col min="2304" max="2304" width="11.42578125" style="2177" bestFit="1" customWidth="1"/>
    <col min="2305" max="2305" width="19.85546875" style="2177" bestFit="1" customWidth="1"/>
    <col min="2306" max="2306" width="13.42578125" style="2177" customWidth="1"/>
    <col min="2307" max="2307" width="15.28515625" style="2177" bestFit="1" customWidth="1"/>
    <col min="2308" max="2308" width="14.140625" style="2177" bestFit="1" customWidth="1"/>
    <col min="2309" max="2309" width="15.28515625" style="2177" customWidth="1"/>
    <col min="2310" max="2310" width="15.85546875" style="2177" customWidth="1"/>
    <col min="2311" max="2311" width="17" style="2177" bestFit="1" customWidth="1"/>
    <col min="2312" max="2312" width="12.7109375" style="2177" customWidth="1"/>
    <col min="2313" max="2313" width="13.7109375" style="2177" customWidth="1"/>
    <col min="2314" max="2314" width="13.85546875" style="2177" bestFit="1" customWidth="1"/>
    <col min="2315" max="2315" width="15.5703125" style="2177" bestFit="1" customWidth="1"/>
    <col min="2316" max="2316" width="16.140625" style="2177" customWidth="1"/>
    <col min="2317" max="2317" width="16.7109375" style="2177" bestFit="1" customWidth="1"/>
    <col min="2318" max="2319" width="15.5703125" style="2177" bestFit="1" customWidth="1"/>
    <col min="2320" max="2320" width="16.42578125" style="2177" bestFit="1" customWidth="1"/>
    <col min="2321" max="2321" width="14.28515625" style="2177" customWidth="1"/>
    <col min="2322" max="2322" width="12.85546875" style="2177" bestFit="1" customWidth="1"/>
    <col min="2323" max="2323" width="11.28515625" style="2177" bestFit="1" customWidth="1"/>
    <col min="2324" max="2324" width="12.5703125" style="2177" bestFit="1" customWidth="1"/>
    <col min="2325" max="2325" width="14" style="2177" bestFit="1" customWidth="1"/>
    <col min="2326" max="2326" width="6" style="2177" bestFit="1" customWidth="1"/>
    <col min="2327" max="2327" width="15" style="2177" customWidth="1"/>
    <col min="2328" max="2328" width="14.85546875" style="2177" bestFit="1" customWidth="1"/>
    <col min="2329" max="2329" width="16.140625" style="2177" bestFit="1" customWidth="1"/>
    <col min="2330" max="2556" width="9.140625" style="2177"/>
    <col min="2557" max="2557" width="24" style="2177" bestFit="1" customWidth="1"/>
    <col min="2558" max="2558" width="45.7109375" style="2177" bestFit="1" customWidth="1"/>
    <col min="2559" max="2559" width="19.7109375" style="2177" bestFit="1" customWidth="1"/>
    <col min="2560" max="2560" width="11.42578125" style="2177" bestFit="1" customWidth="1"/>
    <col min="2561" max="2561" width="19.85546875" style="2177" bestFit="1" customWidth="1"/>
    <col min="2562" max="2562" width="13.42578125" style="2177" customWidth="1"/>
    <col min="2563" max="2563" width="15.28515625" style="2177" bestFit="1" customWidth="1"/>
    <col min="2564" max="2564" width="14.140625" style="2177" bestFit="1" customWidth="1"/>
    <col min="2565" max="2565" width="15.28515625" style="2177" customWidth="1"/>
    <col min="2566" max="2566" width="15.85546875" style="2177" customWidth="1"/>
    <col min="2567" max="2567" width="17" style="2177" bestFit="1" customWidth="1"/>
    <col min="2568" max="2568" width="12.7109375" style="2177" customWidth="1"/>
    <col min="2569" max="2569" width="13.7109375" style="2177" customWidth="1"/>
    <col min="2570" max="2570" width="13.85546875" style="2177" bestFit="1" customWidth="1"/>
    <col min="2571" max="2571" width="15.5703125" style="2177" bestFit="1" customWidth="1"/>
    <col min="2572" max="2572" width="16.140625" style="2177" customWidth="1"/>
    <col min="2573" max="2573" width="16.7109375" style="2177" bestFit="1" customWidth="1"/>
    <col min="2574" max="2575" width="15.5703125" style="2177" bestFit="1" customWidth="1"/>
    <col min="2576" max="2576" width="16.42578125" style="2177" bestFit="1" customWidth="1"/>
    <col min="2577" max="2577" width="14.28515625" style="2177" customWidth="1"/>
    <col min="2578" max="2578" width="12.85546875" style="2177" bestFit="1" customWidth="1"/>
    <col min="2579" max="2579" width="11.28515625" style="2177" bestFit="1" customWidth="1"/>
    <col min="2580" max="2580" width="12.5703125" style="2177" bestFit="1" customWidth="1"/>
    <col min="2581" max="2581" width="14" style="2177" bestFit="1" customWidth="1"/>
    <col min="2582" max="2582" width="6" style="2177" bestFit="1" customWidth="1"/>
    <col min="2583" max="2583" width="15" style="2177" customWidth="1"/>
    <col min="2584" max="2584" width="14.85546875" style="2177" bestFit="1" customWidth="1"/>
    <col min="2585" max="2585" width="16.140625" style="2177" bestFit="1" customWidth="1"/>
    <col min="2586" max="2812" width="9.140625" style="2177"/>
    <col min="2813" max="2813" width="24" style="2177" bestFit="1" customWidth="1"/>
    <col min="2814" max="2814" width="45.7109375" style="2177" bestFit="1" customWidth="1"/>
    <col min="2815" max="2815" width="19.7109375" style="2177" bestFit="1" customWidth="1"/>
    <col min="2816" max="2816" width="11.42578125" style="2177" bestFit="1" customWidth="1"/>
    <col min="2817" max="2817" width="19.85546875" style="2177" bestFit="1" customWidth="1"/>
    <col min="2818" max="2818" width="13.42578125" style="2177" customWidth="1"/>
    <col min="2819" max="2819" width="15.28515625" style="2177" bestFit="1" customWidth="1"/>
    <col min="2820" max="2820" width="14.140625" style="2177" bestFit="1" customWidth="1"/>
    <col min="2821" max="2821" width="15.28515625" style="2177" customWidth="1"/>
    <col min="2822" max="2822" width="15.85546875" style="2177" customWidth="1"/>
    <col min="2823" max="2823" width="17" style="2177" bestFit="1" customWidth="1"/>
    <col min="2824" max="2824" width="12.7109375" style="2177" customWidth="1"/>
    <col min="2825" max="2825" width="13.7109375" style="2177" customWidth="1"/>
    <col min="2826" max="2826" width="13.85546875" style="2177" bestFit="1" customWidth="1"/>
    <col min="2827" max="2827" width="15.5703125" style="2177" bestFit="1" customWidth="1"/>
    <col min="2828" max="2828" width="16.140625" style="2177" customWidth="1"/>
    <col min="2829" max="2829" width="16.7109375" style="2177" bestFit="1" customWidth="1"/>
    <col min="2830" max="2831" width="15.5703125" style="2177" bestFit="1" customWidth="1"/>
    <col min="2832" max="2832" width="16.42578125" style="2177" bestFit="1" customWidth="1"/>
    <col min="2833" max="2833" width="14.28515625" style="2177" customWidth="1"/>
    <col min="2834" max="2834" width="12.85546875" style="2177" bestFit="1" customWidth="1"/>
    <col min="2835" max="2835" width="11.28515625" style="2177" bestFit="1" customWidth="1"/>
    <col min="2836" max="2836" width="12.5703125" style="2177" bestFit="1" customWidth="1"/>
    <col min="2837" max="2837" width="14" style="2177" bestFit="1" customWidth="1"/>
    <col min="2838" max="2838" width="6" style="2177" bestFit="1" customWidth="1"/>
    <col min="2839" max="2839" width="15" style="2177" customWidth="1"/>
    <col min="2840" max="2840" width="14.85546875" style="2177" bestFit="1" customWidth="1"/>
    <col min="2841" max="2841" width="16.140625" style="2177" bestFit="1" customWidth="1"/>
    <col min="2842" max="3068" width="9.140625" style="2177"/>
    <col min="3069" max="3069" width="24" style="2177" bestFit="1" customWidth="1"/>
    <col min="3070" max="3070" width="45.7109375" style="2177" bestFit="1" customWidth="1"/>
    <col min="3071" max="3071" width="19.7109375" style="2177" bestFit="1" customWidth="1"/>
    <col min="3072" max="3072" width="11.42578125" style="2177" bestFit="1" customWidth="1"/>
    <col min="3073" max="3073" width="19.85546875" style="2177" bestFit="1" customWidth="1"/>
    <col min="3074" max="3074" width="13.42578125" style="2177" customWidth="1"/>
    <col min="3075" max="3075" width="15.28515625" style="2177" bestFit="1" customWidth="1"/>
    <col min="3076" max="3076" width="14.140625" style="2177" bestFit="1" customWidth="1"/>
    <col min="3077" max="3077" width="15.28515625" style="2177" customWidth="1"/>
    <col min="3078" max="3078" width="15.85546875" style="2177" customWidth="1"/>
    <col min="3079" max="3079" width="17" style="2177" bestFit="1" customWidth="1"/>
    <col min="3080" max="3080" width="12.7109375" style="2177" customWidth="1"/>
    <col min="3081" max="3081" width="13.7109375" style="2177" customWidth="1"/>
    <col min="3082" max="3082" width="13.85546875" style="2177" bestFit="1" customWidth="1"/>
    <col min="3083" max="3083" width="15.5703125" style="2177" bestFit="1" customWidth="1"/>
    <col min="3084" max="3084" width="16.140625" style="2177" customWidth="1"/>
    <col min="3085" max="3085" width="16.7109375" style="2177" bestFit="1" customWidth="1"/>
    <col min="3086" max="3087" width="15.5703125" style="2177" bestFit="1" customWidth="1"/>
    <col min="3088" max="3088" width="16.42578125" style="2177" bestFit="1" customWidth="1"/>
    <col min="3089" max="3089" width="14.28515625" style="2177" customWidth="1"/>
    <col min="3090" max="3090" width="12.85546875" style="2177" bestFit="1" customWidth="1"/>
    <col min="3091" max="3091" width="11.28515625" style="2177" bestFit="1" customWidth="1"/>
    <col min="3092" max="3092" width="12.5703125" style="2177" bestFit="1" customWidth="1"/>
    <col min="3093" max="3093" width="14" style="2177" bestFit="1" customWidth="1"/>
    <col min="3094" max="3094" width="6" style="2177" bestFit="1" customWidth="1"/>
    <col min="3095" max="3095" width="15" style="2177" customWidth="1"/>
    <col min="3096" max="3096" width="14.85546875" style="2177" bestFit="1" customWidth="1"/>
    <col min="3097" max="3097" width="16.140625" style="2177" bestFit="1" customWidth="1"/>
    <col min="3098" max="3324" width="9.140625" style="2177"/>
    <col min="3325" max="3325" width="24" style="2177" bestFit="1" customWidth="1"/>
    <col min="3326" max="3326" width="45.7109375" style="2177" bestFit="1" customWidth="1"/>
    <col min="3327" max="3327" width="19.7109375" style="2177" bestFit="1" customWidth="1"/>
    <col min="3328" max="3328" width="11.42578125" style="2177" bestFit="1" customWidth="1"/>
    <col min="3329" max="3329" width="19.85546875" style="2177" bestFit="1" customWidth="1"/>
    <col min="3330" max="3330" width="13.42578125" style="2177" customWidth="1"/>
    <col min="3331" max="3331" width="15.28515625" style="2177" bestFit="1" customWidth="1"/>
    <col min="3332" max="3332" width="14.140625" style="2177" bestFit="1" customWidth="1"/>
    <col min="3333" max="3333" width="15.28515625" style="2177" customWidth="1"/>
    <col min="3334" max="3334" width="15.85546875" style="2177" customWidth="1"/>
    <col min="3335" max="3335" width="17" style="2177" bestFit="1" customWidth="1"/>
    <col min="3336" max="3336" width="12.7109375" style="2177" customWidth="1"/>
    <col min="3337" max="3337" width="13.7109375" style="2177" customWidth="1"/>
    <col min="3338" max="3338" width="13.85546875" style="2177" bestFit="1" customWidth="1"/>
    <col min="3339" max="3339" width="15.5703125" style="2177" bestFit="1" customWidth="1"/>
    <col min="3340" max="3340" width="16.140625" style="2177" customWidth="1"/>
    <col min="3341" max="3341" width="16.7109375" style="2177" bestFit="1" customWidth="1"/>
    <col min="3342" max="3343" width="15.5703125" style="2177" bestFit="1" customWidth="1"/>
    <col min="3344" max="3344" width="16.42578125" style="2177" bestFit="1" customWidth="1"/>
    <col min="3345" max="3345" width="14.28515625" style="2177" customWidth="1"/>
    <col min="3346" max="3346" width="12.85546875" style="2177" bestFit="1" customWidth="1"/>
    <col min="3347" max="3347" width="11.28515625" style="2177" bestFit="1" customWidth="1"/>
    <col min="3348" max="3348" width="12.5703125" style="2177" bestFit="1" customWidth="1"/>
    <col min="3349" max="3349" width="14" style="2177" bestFit="1" customWidth="1"/>
    <col min="3350" max="3350" width="6" style="2177" bestFit="1" customWidth="1"/>
    <col min="3351" max="3351" width="15" style="2177" customWidth="1"/>
    <col min="3352" max="3352" width="14.85546875" style="2177" bestFit="1" customWidth="1"/>
    <col min="3353" max="3353" width="16.140625" style="2177" bestFit="1" customWidth="1"/>
    <col min="3354" max="3580" width="9.140625" style="2177"/>
    <col min="3581" max="3581" width="24" style="2177" bestFit="1" customWidth="1"/>
    <col min="3582" max="3582" width="45.7109375" style="2177" bestFit="1" customWidth="1"/>
    <col min="3583" max="3583" width="19.7109375" style="2177" bestFit="1" customWidth="1"/>
    <col min="3584" max="3584" width="11.42578125" style="2177" bestFit="1" customWidth="1"/>
    <col min="3585" max="3585" width="19.85546875" style="2177" bestFit="1" customWidth="1"/>
    <col min="3586" max="3586" width="13.42578125" style="2177" customWidth="1"/>
    <col min="3587" max="3587" width="15.28515625" style="2177" bestFit="1" customWidth="1"/>
    <col min="3588" max="3588" width="14.140625" style="2177" bestFit="1" customWidth="1"/>
    <col min="3589" max="3589" width="15.28515625" style="2177" customWidth="1"/>
    <col min="3590" max="3590" width="15.85546875" style="2177" customWidth="1"/>
    <col min="3591" max="3591" width="17" style="2177" bestFit="1" customWidth="1"/>
    <col min="3592" max="3592" width="12.7109375" style="2177" customWidth="1"/>
    <col min="3593" max="3593" width="13.7109375" style="2177" customWidth="1"/>
    <col min="3594" max="3594" width="13.85546875" style="2177" bestFit="1" customWidth="1"/>
    <col min="3595" max="3595" width="15.5703125" style="2177" bestFit="1" customWidth="1"/>
    <col min="3596" max="3596" width="16.140625" style="2177" customWidth="1"/>
    <col min="3597" max="3597" width="16.7109375" style="2177" bestFit="1" customWidth="1"/>
    <col min="3598" max="3599" width="15.5703125" style="2177" bestFit="1" customWidth="1"/>
    <col min="3600" max="3600" width="16.42578125" style="2177" bestFit="1" customWidth="1"/>
    <col min="3601" max="3601" width="14.28515625" style="2177" customWidth="1"/>
    <col min="3602" max="3602" width="12.85546875" style="2177" bestFit="1" customWidth="1"/>
    <col min="3603" max="3603" width="11.28515625" style="2177" bestFit="1" customWidth="1"/>
    <col min="3604" max="3604" width="12.5703125" style="2177" bestFit="1" customWidth="1"/>
    <col min="3605" max="3605" width="14" style="2177" bestFit="1" customWidth="1"/>
    <col min="3606" max="3606" width="6" style="2177" bestFit="1" customWidth="1"/>
    <col min="3607" max="3607" width="15" style="2177" customWidth="1"/>
    <col min="3608" max="3608" width="14.85546875" style="2177" bestFit="1" customWidth="1"/>
    <col min="3609" max="3609" width="16.140625" style="2177" bestFit="1" customWidth="1"/>
    <col min="3610" max="3836" width="9.140625" style="2177"/>
    <col min="3837" max="3837" width="24" style="2177" bestFit="1" customWidth="1"/>
    <col min="3838" max="3838" width="45.7109375" style="2177" bestFit="1" customWidth="1"/>
    <col min="3839" max="3839" width="19.7109375" style="2177" bestFit="1" customWidth="1"/>
    <col min="3840" max="3840" width="11.42578125" style="2177" bestFit="1" customWidth="1"/>
    <col min="3841" max="3841" width="19.85546875" style="2177" bestFit="1" customWidth="1"/>
    <col min="3842" max="3842" width="13.42578125" style="2177" customWidth="1"/>
    <col min="3843" max="3843" width="15.28515625" style="2177" bestFit="1" customWidth="1"/>
    <col min="3844" max="3844" width="14.140625" style="2177" bestFit="1" customWidth="1"/>
    <col min="3845" max="3845" width="15.28515625" style="2177" customWidth="1"/>
    <col min="3846" max="3846" width="15.85546875" style="2177" customWidth="1"/>
    <col min="3847" max="3847" width="17" style="2177" bestFit="1" customWidth="1"/>
    <col min="3848" max="3848" width="12.7109375" style="2177" customWidth="1"/>
    <col min="3849" max="3849" width="13.7109375" style="2177" customWidth="1"/>
    <col min="3850" max="3850" width="13.85546875" style="2177" bestFit="1" customWidth="1"/>
    <col min="3851" max="3851" width="15.5703125" style="2177" bestFit="1" customWidth="1"/>
    <col min="3852" max="3852" width="16.140625" style="2177" customWidth="1"/>
    <col min="3853" max="3853" width="16.7109375" style="2177" bestFit="1" customWidth="1"/>
    <col min="3854" max="3855" width="15.5703125" style="2177" bestFit="1" customWidth="1"/>
    <col min="3856" max="3856" width="16.42578125" style="2177" bestFit="1" customWidth="1"/>
    <col min="3857" max="3857" width="14.28515625" style="2177" customWidth="1"/>
    <col min="3858" max="3858" width="12.85546875" style="2177" bestFit="1" customWidth="1"/>
    <col min="3859" max="3859" width="11.28515625" style="2177" bestFit="1" customWidth="1"/>
    <col min="3860" max="3860" width="12.5703125" style="2177" bestFit="1" customWidth="1"/>
    <col min="3861" max="3861" width="14" style="2177" bestFit="1" customWidth="1"/>
    <col min="3862" max="3862" width="6" style="2177" bestFit="1" customWidth="1"/>
    <col min="3863" max="3863" width="15" style="2177" customWidth="1"/>
    <col min="3864" max="3864" width="14.85546875" style="2177" bestFit="1" customWidth="1"/>
    <col min="3865" max="3865" width="16.140625" style="2177" bestFit="1" customWidth="1"/>
    <col min="3866" max="4092" width="9.140625" style="2177"/>
    <col min="4093" max="4093" width="24" style="2177" bestFit="1" customWidth="1"/>
    <col min="4094" max="4094" width="45.7109375" style="2177" bestFit="1" customWidth="1"/>
    <col min="4095" max="4095" width="19.7109375" style="2177" bestFit="1" customWidth="1"/>
    <col min="4096" max="4096" width="11.42578125" style="2177" bestFit="1" customWidth="1"/>
    <col min="4097" max="4097" width="19.85546875" style="2177" bestFit="1" customWidth="1"/>
    <col min="4098" max="4098" width="13.42578125" style="2177" customWidth="1"/>
    <col min="4099" max="4099" width="15.28515625" style="2177" bestFit="1" customWidth="1"/>
    <col min="4100" max="4100" width="14.140625" style="2177" bestFit="1" customWidth="1"/>
    <col min="4101" max="4101" width="15.28515625" style="2177" customWidth="1"/>
    <col min="4102" max="4102" width="15.85546875" style="2177" customWidth="1"/>
    <col min="4103" max="4103" width="17" style="2177" bestFit="1" customWidth="1"/>
    <col min="4104" max="4104" width="12.7109375" style="2177" customWidth="1"/>
    <col min="4105" max="4105" width="13.7109375" style="2177" customWidth="1"/>
    <col min="4106" max="4106" width="13.85546875" style="2177" bestFit="1" customWidth="1"/>
    <col min="4107" max="4107" width="15.5703125" style="2177" bestFit="1" customWidth="1"/>
    <col min="4108" max="4108" width="16.140625" style="2177" customWidth="1"/>
    <col min="4109" max="4109" width="16.7109375" style="2177" bestFit="1" customWidth="1"/>
    <col min="4110" max="4111" width="15.5703125" style="2177" bestFit="1" customWidth="1"/>
    <col min="4112" max="4112" width="16.42578125" style="2177" bestFit="1" customWidth="1"/>
    <col min="4113" max="4113" width="14.28515625" style="2177" customWidth="1"/>
    <col min="4114" max="4114" width="12.85546875" style="2177" bestFit="1" customWidth="1"/>
    <col min="4115" max="4115" width="11.28515625" style="2177" bestFit="1" customWidth="1"/>
    <col min="4116" max="4116" width="12.5703125" style="2177" bestFit="1" customWidth="1"/>
    <col min="4117" max="4117" width="14" style="2177" bestFit="1" customWidth="1"/>
    <col min="4118" max="4118" width="6" style="2177" bestFit="1" customWidth="1"/>
    <col min="4119" max="4119" width="15" style="2177" customWidth="1"/>
    <col min="4120" max="4120" width="14.85546875" style="2177" bestFit="1" customWidth="1"/>
    <col min="4121" max="4121" width="16.140625" style="2177" bestFit="1" customWidth="1"/>
    <col min="4122" max="4348" width="9.140625" style="2177"/>
    <col min="4349" max="4349" width="24" style="2177" bestFit="1" customWidth="1"/>
    <col min="4350" max="4350" width="45.7109375" style="2177" bestFit="1" customWidth="1"/>
    <col min="4351" max="4351" width="19.7109375" style="2177" bestFit="1" customWidth="1"/>
    <col min="4352" max="4352" width="11.42578125" style="2177" bestFit="1" customWidth="1"/>
    <col min="4353" max="4353" width="19.85546875" style="2177" bestFit="1" customWidth="1"/>
    <col min="4354" max="4354" width="13.42578125" style="2177" customWidth="1"/>
    <col min="4355" max="4355" width="15.28515625" style="2177" bestFit="1" customWidth="1"/>
    <col min="4356" max="4356" width="14.140625" style="2177" bestFit="1" customWidth="1"/>
    <col min="4357" max="4357" width="15.28515625" style="2177" customWidth="1"/>
    <col min="4358" max="4358" width="15.85546875" style="2177" customWidth="1"/>
    <col min="4359" max="4359" width="17" style="2177" bestFit="1" customWidth="1"/>
    <col min="4360" max="4360" width="12.7109375" style="2177" customWidth="1"/>
    <col min="4361" max="4361" width="13.7109375" style="2177" customWidth="1"/>
    <col min="4362" max="4362" width="13.85546875" style="2177" bestFit="1" customWidth="1"/>
    <col min="4363" max="4363" width="15.5703125" style="2177" bestFit="1" customWidth="1"/>
    <col min="4364" max="4364" width="16.140625" style="2177" customWidth="1"/>
    <col min="4365" max="4365" width="16.7109375" style="2177" bestFit="1" customWidth="1"/>
    <col min="4366" max="4367" width="15.5703125" style="2177" bestFit="1" customWidth="1"/>
    <col min="4368" max="4368" width="16.42578125" style="2177" bestFit="1" customWidth="1"/>
    <col min="4369" max="4369" width="14.28515625" style="2177" customWidth="1"/>
    <col min="4370" max="4370" width="12.85546875" style="2177" bestFit="1" customWidth="1"/>
    <col min="4371" max="4371" width="11.28515625" style="2177" bestFit="1" customWidth="1"/>
    <col min="4372" max="4372" width="12.5703125" style="2177" bestFit="1" customWidth="1"/>
    <col min="4373" max="4373" width="14" style="2177" bestFit="1" customWidth="1"/>
    <col min="4374" max="4374" width="6" style="2177" bestFit="1" customWidth="1"/>
    <col min="4375" max="4375" width="15" style="2177" customWidth="1"/>
    <col min="4376" max="4376" width="14.85546875" style="2177" bestFit="1" customWidth="1"/>
    <col min="4377" max="4377" width="16.140625" style="2177" bestFit="1" customWidth="1"/>
    <col min="4378" max="4604" width="9.140625" style="2177"/>
    <col min="4605" max="4605" width="24" style="2177" bestFit="1" customWidth="1"/>
    <col min="4606" max="4606" width="45.7109375" style="2177" bestFit="1" customWidth="1"/>
    <col min="4607" max="4607" width="19.7109375" style="2177" bestFit="1" customWidth="1"/>
    <col min="4608" max="4608" width="11.42578125" style="2177" bestFit="1" customWidth="1"/>
    <col min="4609" max="4609" width="19.85546875" style="2177" bestFit="1" customWidth="1"/>
    <col min="4610" max="4610" width="13.42578125" style="2177" customWidth="1"/>
    <col min="4611" max="4611" width="15.28515625" style="2177" bestFit="1" customWidth="1"/>
    <col min="4612" max="4612" width="14.140625" style="2177" bestFit="1" customWidth="1"/>
    <col min="4613" max="4613" width="15.28515625" style="2177" customWidth="1"/>
    <col min="4614" max="4614" width="15.85546875" style="2177" customWidth="1"/>
    <col min="4615" max="4615" width="17" style="2177" bestFit="1" customWidth="1"/>
    <col min="4616" max="4616" width="12.7109375" style="2177" customWidth="1"/>
    <col min="4617" max="4617" width="13.7109375" style="2177" customWidth="1"/>
    <col min="4618" max="4618" width="13.85546875" style="2177" bestFit="1" customWidth="1"/>
    <col min="4619" max="4619" width="15.5703125" style="2177" bestFit="1" customWidth="1"/>
    <col min="4620" max="4620" width="16.140625" style="2177" customWidth="1"/>
    <col min="4621" max="4621" width="16.7109375" style="2177" bestFit="1" customWidth="1"/>
    <col min="4622" max="4623" width="15.5703125" style="2177" bestFit="1" customWidth="1"/>
    <col min="4624" max="4624" width="16.42578125" style="2177" bestFit="1" customWidth="1"/>
    <col min="4625" max="4625" width="14.28515625" style="2177" customWidth="1"/>
    <col min="4626" max="4626" width="12.85546875" style="2177" bestFit="1" customWidth="1"/>
    <col min="4627" max="4627" width="11.28515625" style="2177" bestFit="1" customWidth="1"/>
    <col min="4628" max="4628" width="12.5703125" style="2177" bestFit="1" customWidth="1"/>
    <col min="4629" max="4629" width="14" style="2177" bestFit="1" customWidth="1"/>
    <col min="4630" max="4630" width="6" style="2177" bestFit="1" customWidth="1"/>
    <col min="4631" max="4631" width="15" style="2177" customWidth="1"/>
    <col min="4632" max="4632" width="14.85546875" style="2177" bestFit="1" customWidth="1"/>
    <col min="4633" max="4633" width="16.140625" style="2177" bestFit="1" customWidth="1"/>
    <col min="4634" max="4860" width="9.140625" style="2177"/>
    <col min="4861" max="4861" width="24" style="2177" bestFit="1" customWidth="1"/>
    <col min="4862" max="4862" width="45.7109375" style="2177" bestFit="1" customWidth="1"/>
    <col min="4863" max="4863" width="19.7109375" style="2177" bestFit="1" customWidth="1"/>
    <col min="4864" max="4864" width="11.42578125" style="2177" bestFit="1" customWidth="1"/>
    <col min="4865" max="4865" width="19.85546875" style="2177" bestFit="1" customWidth="1"/>
    <col min="4866" max="4866" width="13.42578125" style="2177" customWidth="1"/>
    <col min="4867" max="4867" width="15.28515625" style="2177" bestFit="1" customWidth="1"/>
    <col min="4868" max="4868" width="14.140625" style="2177" bestFit="1" customWidth="1"/>
    <col min="4869" max="4869" width="15.28515625" style="2177" customWidth="1"/>
    <col min="4870" max="4870" width="15.85546875" style="2177" customWidth="1"/>
    <col min="4871" max="4871" width="17" style="2177" bestFit="1" customWidth="1"/>
    <col min="4872" max="4872" width="12.7109375" style="2177" customWidth="1"/>
    <col min="4873" max="4873" width="13.7109375" style="2177" customWidth="1"/>
    <col min="4874" max="4874" width="13.85546875" style="2177" bestFit="1" customWidth="1"/>
    <col min="4875" max="4875" width="15.5703125" style="2177" bestFit="1" customWidth="1"/>
    <col min="4876" max="4876" width="16.140625" style="2177" customWidth="1"/>
    <col min="4877" max="4877" width="16.7109375" style="2177" bestFit="1" customWidth="1"/>
    <col min="4878" max="4879" width="15.5703125" style="2177" bestFit="1" customWidth="1"/>
    <col min="4880" max="4880" width="16.42578125" style="2177" bestFit="1" customWidth="1"/>
    <col min="4881" max="4881" width="14.28515625" style="2177" customWidth="1"/>
    <col min="4882" max="4882" width="12.85546875" style="2177" bestFit="1" customWidth="1"/>
    <col min="4883" max="4883" width="11.28515625" style="2177" bestFit="1" customWidth="1"/>
    <col min="4884" max="4884" width="12.5703125" style="2177" bestFit="1" customWidth="1"/>
    <col min="4885" max="4885" width="14" style="2177" bestFit="1" customWidth="1"/>
    <col min="4886" max="4886" width="6" style="2177" bestFit="1" customWidth="1"/>
    <col min="4887" max="4887" width="15" style="2177" customWidth="1"/>
    <col min="4888" max="4888" width="14.85546875" style="2177" bestFit="1" customWidth="1"/>
    <col min="4889" max="4889" width="16.140625" style="2177" bestFit="1" customWidth="1"/>
    <col min="4890" max="5116" width="9.140625" style="2177"/>
    <col min="5117" max="5117" width="24" style="2177" bestFit="1" customWidth="1"/>
    <col min="5118" max="5118" width="45.7109375" style="2177" bestFit="1" customWidth="1"/>
    <col min="5119" max="5119" width="19.7109375" style="2177" bestFit="1" customWidth="1"/>
    <col min="5120" max="5120" width="11.42578125" style="2177" bestFit="1" customWidth="1"/>
    <col min="5121" max="5121" width="19.85546875" style="2177" bestFit="1" customWidth="1"/>
    <col min="5122" max="5122" width="13.42578125" style="2177" customWidth="1"/>
    <col min="5123" max="5123" width="15.28515625" style="2177" bestFit="1" customWidth="1"/>
    <col min="5124" max="5124" width="14.140625" style="2177" bestFit="1" customWidth="1"/>
    <col min="5125" max="5125" width="15.28515625" style="2177" customWidth="1"/>
    <col min="5126" max="5126" width="15.85546875" style="2177" customWidth="1"/>
    <col min="5127" max="5127" width="17" style="2177" bestFit="1" customWidth="1"/>
    <col min="5128" max="5128" width="12.7109375" style="2177" customWidth="1"/>
    <col min="5129" max="5129" width="13.7109375" style="2177" customWidth="1"/>
    <col min="5130" max="5130" width="13.85546875" style="2177" bestFit="1" customWidth="1"/>
    <col min="5131" max="5131" width="15.5703125" style="2177" bestFit="1" customWidth="1"/>
    <col min="5132" max="5132" width="16.140625" style="2177" customWidth="1"/>
    <col min="5133" max="5133" width="16.7109375" style="2177" bestFit="1" customWidth="1"/>
    <col min="5134" max="5135" width="15.5703125" style="2177" bestFit="1" customWidth="1"/>
    <col min="5136" max="5136" width="16.42578125" style="2177" bestFit="1" customWidth="1"/>
    <col min="5137" max="5137" width="14.28515625" style="2177" customWidth="1"/>
    <col min="5138" max="5138" width="12.85546875" style="2177" bestFit="1" customWidth="1"/>
    <col min="5139" max="5139" width="11.28515625" style="2177" bestFit="1" customWidth="1"/>
    <col min="5140" max="5140" width="12.5703125" style="2177" bestFit="1" customWidth="1"/>
    <col min="5141" max="5141" width="14" style="2177" bestFit="1" customWidth="1"/>
    <col min="5142" max="5142" width="6" style="2177" bestFit="1" customWidth="1"/>
    <col min="5143" max="5143" width="15" style="2177" customWidth="1"/>
    <col min="5144" max="5144" width="14.85546875" style="2177" bestFit="1" customWidth="1"/>
    <col min="5145" max="5145" width="16.140625" style="2177" bestFit="1" customWidth="1"/>
    <col min="5146" max="5372" width="9.140625" style="2177"/>
    <col min="5373" max="5373" width="24" style="2177" bestFit="1" customWidth="1"/>
    <col min="5374" max="5374" width="45.7109375" style="2177" bestFit="1" customWidth="1"/>
    <col min="5375" max="5375" width="19.7109375" style="2177" bestFit="1" customWidth="1"/>
    <col min="5376" max="5376" width="11.42578125" style="2177" bestFit="1" customWidth="1"/>
    <col min="5377" max="5377" width="19.85546875" style="2177" bestFit="1" customWidth="1"/>
    <col min="5378" max="5378" width="13.42578125" style="2177" customWidth="1"/>
    <col min="5379" max="5379" width="15.28515625" style="2177" bestFit="1" customWidth="1"/>
    <col min="5380" max="5380" width="14.140625" style="2177" bestFit="1" customWidth="1"/>
    <col min="5381" max="5381" width="15.28515625" style="2177" customWidth="1"/>
    <col min="5382" max="5382" width="15.85546875" style="2177" customWidth="1"/>
    <col min="5383" max="5383" width="17" style="2177" bestFit="1" customWidth="1"/>
    <col min="5384" max="5384" width="12.7109375" style="2177" customWidth="1"/>
    <col min="5385" max="5385" width="13.7109375" style="2177" customWidth="1"/>
    <col min="5386" max="5386" width="13.85546875" style="2177" bestFit="1" customWidth="1"/>
    <col min="5387" max="5387" width="15.5703125" style="2177" bestFit="1" customWidth="1"/>
    <col min="5388" max="5388" width="16.140625" style="2177" customWidth="1"/>
    <col min="5389" max="5389" width="16.7109375" style="2177" bestFit="1" customWidth="1"/>
    <col min="5390" max="5391" width="15.5703125" style="2177" bestFit="1" customWidth="1"/>
    <col min="5392" max="5392" width="16.42578125" style="2177" bestFit="1" customWidth="1"/>
    <col min="5393" max="5393" width="14.28515625" style="2177" customWidth="1"/>
    <col min="5394" max="5394" width="12.85546875" style="2177" bestFit="1" customWidth="1"/>
    <col min="5395" max="5395" width="11.28515625" style="2177" bestFit="1" customWidth="1"/>
    <col min="5396" max="5396" width="12.5703125" style="2177" bestFit="1" customWidth="1"/>
    <col min="5397" max="5397" width="14" style="2177" bestFit="1" customWidth="1"/>
    <col min="5398" max="5398" width="6" style="2177" bestFit="1" customWidth="1"/>
    <col min="5399" max="5399" width="15" style="2177" customWidth="1"/>
    <col min="5400" max="5400" width="14.85546875" style="2177" bestFit="1" customWidth="1"/>
    <col min="5401" max="5401" width="16.140625" style="2177" bestFit="1" customWidth="1"/>
    <col min="5402" max="5628" width="9.140625" style="2177"/>
    <col min="5629" max="5629" width="24" style="2177" bestFit="1" customWidth="1"/>
    <col min="5630" max="5630" width="45.7109375" style="2177" bestFit="1" customWidth="1"/>
    <col min="5631" max="5631" width="19.7109375" style="2177" bestFit="1" customWidth="1"/>
    <col min="5632" max="5632" width="11.42578125" style="2177" bestFit="1" customWidth="1"/>
    <col min="5633" max="5633" width="19.85546875" style="2177" bestFit="1" customWidth="1"/>
    <col min="5634" max="5634" width="13.42578125" style="2177" customWidth="1"/>
    <col min="5635" max="5635" width="15.28515625" style="2177" bestFit="1" customWidth="1"/>
    <col min="5636" max="5636" width="14.140625" style="2177" bestFit="1" customWidth="1"/>
    <col min="5637" max="5637" width="15.28515625" style="2177" customWidth="1"/>
    <col min="5638" max="5638" width="15.85546875" style="2177" customWidth="1"/>
    <col min="5639" max="5639" width="17" style="2177" bestFit="1" customWidth="1"/>
    <col min="5640" max="5640" width="12.7109375" style="2177" customWidth="1"/>
    <col min="5641" max="5641" width="13.7109375" style="2177" customWidth="1"/>
    <col min="5642" max="5642" width="13.85546875" style="2177" bestFit="1" customWidth="1"/>
    <col min="5643" max="5643" width="15.5703125" style="2177" bestFit="1" customWidth="1"/>
    <col min="5644" max="5644" width="16.140625" style="2177" customWidth="1"/>
    <col min="5645" max="5645" width="16.7109375" style="2177" bestFit="1" customWidth="1"/>
    <col min="5646" max="5647" width="15.5703125" style="2177" bestFit="1" customWidth="1"/>
    <col min="5648" max="5648" width="16.42578125" style="2177" bestFit="1" customWidth="1"/>
    <col min="5649" max="5649" width="14.28515625" style="2177" customWidth="1"/>
    <col min="5650" max="5650" width="12.85546875" style="2177" bestFit="1" customWidth="1"/>
    <col min="5651" max="5651" width="11.28515625" style="2177" bestFit="1" customWidth="1"/>
    <col min="5652" max="5652" width="12.5703125" style="2177" bestFit="1" customWidth="1"/>
    <col min="5653" max="5653" width="14" style="2177" bestFit="1" customWidth="1"/>
    <col min="5654" max="5654" width="6" style="2177" bestFit="1" customWidth="1"/>
    <col min="5655" max="5655" width="15" style="2177" customWidth="1"/>
    <col min="5656" max="5656" width="14.85546875" style="2177" bestFit="1" customWidth="1"/>
    <col min="5657" max="5657" width="16.140625" style="2177" bestFit="1" customWidth="1"/>
    <col min="5658" max="5884" width="9.140625" style="2177"/>
    <col min="5885" max="5885" width="24" style="2177" bestFit="1" customWidth="1"/>
    <col min="5886" max="5886" width="45.7109375" style="2177" bestFit="1" customWidth="1"/>
    <col min="5887" max="5887" width="19.7109375" style="2177" bestFit="1" customWidth="1"/>
    <col min="5888" max="5888" width="11.42578125" style="2177" bestFit="1" customWidth="1"/>
    <col min="5889" max="5889" width="19.85546875" style="2177" bestFit="1" customWidth="1"/>
    <col min="5890" max="5890" width="13.42578125" style="2177" customWidth="1"/>
    <col min="5891" max="5891" width="15.28515625" style="2177" bestFit="1" customWidth="1"/>
    <col min="5892" max="5892" width="14.140625" style="2177" bestFit="1" customWidth="1"/>
    <col min="5893" max="5893" width="15.28515625" style="2177" customWidth="1"/>
    <col min="5894" max="5894" width="15.85546875" style="2177" customWidth="1"/>
    <col min="5895" max="5895" width="17" style="2177" bestFit="1" customWidth="1"/>
    <col min="5896" max="5896" width="12.7109375" style="2177" customWidth="1"/>
    <col min="5897" max="5897" width="13.7109375" style="2177" customWidth="1"/>
    <col min="5898" max="5898" width="13.85546875" style="2177" bestFit="1" customWidth="1"/>
    <col min="5899" max="5899" width="15.5703125" style="2177" bestFit="1" customWidth="1"/>
    <col min="5900" max="5900" width="16.140625" style="2177" customWidth="1"/>
    <col min="5901" max="5901" width="16.7109375" style="2177" bestFit="1" customWidth="1"/>
    <col min="5902" max="5903" width="15.5703125" style="2177" bestFit="1" customWidth="1"/>
    <col min="5904" max="5904" width="16.42578125" style="2177" bestFit="1" customWidth="1"/>
    <col min="5905" max="5905" width="14.28515625" style="2177" customWidth="1"/>
    <col min="5906" max="5906" width="12.85546875" style="2177" bestFit="1" customWidth="1"/>
    <col min="5907" max="5907" width="11.28515625" style="2177" bestFit="1" customWidth="1"/>
    <col min="5908" max="5908" width="12.5703125" style="2177" bestFit="1" customWidth="1"/>
    <col min="5909" max="5909" width="14" style="2177" bestFit="1" customWidth="1"/>
    <col min="5910" max="5910" width="6" style="2177" bestFit="1" customWidth="1"/>
    <col min="5911" max="5911" width="15" style="2177" customWidth="1"/>
    <col min="5912" max="5912" width="14.85546875" style="2177" bestFit="1" customWidth="1"/>
    <col min="5913" max="5913" width="16.140625" style="2177" bestFit="1" customWidth="1"/>
    <col min="5914" max="6140" width="9.140625" style="2177"/>
    <col min="6141" max="6141" width="24" style="2177" bestFit="1" customWidth="1"/>
    <col min="6142" max="6142" width="45.7109375" style="2177" bestFit="1" customWidth="1"/>
    <col min="6143" max="6143" width="19.7109375" style="2177" bestFit="1" customWidth="1"/>
    <col min="6144" max="6144" width="11.42578125" style="2177" bestFit="1" customWidth="1"/>
    <col min="6145" max="6145" width="19.85546875" style="2177" bestFit="1" customWidth="1"/>
    <col min="6146" max="6146" width="13.42578125" style="2177" customWidth="1"/>
    <col min="6147" max="6147" width="15.28515625" style="2177" bestFit="1" customWidth="1"/>
    <col min="6148" max="6148" width="14.140625" style="2177" bestFit="1" customWidth="1"/>
    <col min="6149" max="6149" width="15.28515625" style="2177" customWidth="1"/>
    <col min="6150" max="6150" width="15.85546875" style="2177" customWidth="1"/>
    <col min="6151" max="6151" width="17" style="2177" bestFit="1" customWidth="1"/>
    <col min="6152" max="6152" width="12.7109375" style="2177" customWidth="1"/>
    <col min="6153" max="6153" width="13.7109375" style="2177" customWidth="1"/>
    <col min="6154" max="6154" width="13.85546875" style="2177" bestFit="1" customWidth="1"/>
    <col min="6155" max="6155" width="15.5703125" style="2177" bestFit="1" customWidth="1"/>
    <col min="6156" max="6156" width="16.140625" style="2177" customWidth="1"/>
    <col min="6157" max="6157" width="16.7109375" style="2177" bestFit="1" customWidth="1"/>
    <col min="6158" max="6159" width="15.5703125" style="2177" bestFit="1" customWidth="1"/>
    <col min="6160" max="6160" width="16.42578125" style="2177" bestFit="1" customWidth="1"/>
    <col min="6161" max="6161" width="14.28515625" style="2177" customWidth="1"/>
    <col min="6162" max="6162" width="12.85546875" style="2177" bestFit="1" customWidth="1"/>
    <col min="6163" max="6163" width="11.28515625" style="2177" bestFit="1" customWidth="1"/>
    <col min="6164" max="6164" width="12.5703125" style="2177" bestFit="1" customWidth="1"/>
    <col min="6165" max="6165" width="14" style="2177" bestFit="1" customWidth="1"/>
    <col min="6166" max="6166" width="6" style="2177" bestFit="1" customWidth="1"/>
    <col min="6167" max="6167" width="15" style="2177" customWidth="1"/>
    <col min="6168" max="6168" width="14.85546875" style="2177" bestFit="1" customWidth="1"/>
    <col min="6169" max="6169" width="16.140625" style="2177" bestFit="1" customWidth="1"/>
    <col min="6170" max="6396" width="9.140625" style="2177"/>
    <col min="6397" max="6397" width="24" style="2177" bestFit="1" customWidth="1"/>
    <col min="6398" max="6398" width="45.7109375" style="2177" bestFit="1" customWidth="1"/>
    <col min="6399" max="6399" width="19.7109375" style="2177" bestFit="1" customWidth="1"/>
    <col min="6400" max="6400" width="11.42578125" style="2177" bestFit="1" customWidth="1"/>
    <col min="6401" max="6401" width="19.85546875" style="2177" bestFit="1" customWidth="1"/>
    <col min="6402" max="6402" width="13.42578125" style="2177" customWidth="1"/>
    <col min="6403" max="6403" width="15.28515625" style="2177" bestFit="1" customWidth="1"/>
    <col min="6404" max="6404" width="14.140625" style="2177" bestFit="1" customWidth="1"/>
    <col min="6405" max="6405" width="15.28515625" style="2177" customWidth="1"/>
    <col min="6406" max="6406" width="15.85546875" style="2177" customWidth="1"/>
    <col min="6407" max="6407" width="17" style="2177" bestFit="1" customWidth="1"/>
    <col min="6408" max="6408" width="12.7109375" style="2177" customWidth="1"/>
    <col min="6409" max="6409" width="13.7109375" style="2177" customWidth="1"/>
    <col min="6410" max="6410" width="13.85546875" style="2177" bestFit="1" customWidth="1"/>
    <col min="6411" max="6411" width="15.5703125" style="2177" bestFit="1" customWidth="1"/>
    <col min="6412" max="6412" width="16.140625" style="2177" customWidth="1"/>
    <col min="6413" max="6413" width="16.7109375" style="2177" bestFit="1" customWidth="1"/>
    <col min="6414" max="6415" width="15.5703125" style="2177" bestFit="1" customWidth="1"/>
    <col min="6416" max="6416" width="16.42578125" style="2177" bestFit="1" customWidth="1"/>
    <col min="6417" max="6417" width="14.28515625" style="2177" customWidth="1"/>
    <col min="6418" max="6418" width="12.85546875" style="2177" bestFit="1" customWidth="1"/>
    <col min="6419" max="6419" width="11.28515625" style="2177" bestFit="1" customWidth="1"/>
    <col min="6420" max="6420" width="12.5703125" style="2177" bestFit="1" customWidth="1"/>
    <col min="6421" max="6421" width="14" style="2177" bestFit="1" customWidth="1"/>
    <col min="6422" max="6422" width="6" style="2177" bestFit="1" customWidth="1"/>
    <col min="6423" max="6423" width="15" style="2177" customWidth="1"/>
    <col min="6424" max="6424" width="14.85546875" style="2177" bestFit="1" customWidth="1"/>
    <col min="6425" max="6425" width="16.140625" style="2177" bestFit="1" customWidth="1"/>
    <col min="6426" max="6652" width="9.140625" style="2177"/>
    <col min="6653" max="6653" width="24" style="2177" bestFit="1" customWidth="1"/>
    <col min="6654" max="6654" width="45.7109375" style="2177" bestFit="1" customWidth="1"/>
    <col min="6655" max="6655" width="19.7109375" style="2177" bestFit="1" customWidth="1"/>
    <col min="6656" max="6656" width="11.42578125" style="2177" bestFit="1" customWidth="1"/>
    <col min="6657" max="6657" width="19.85546875" style="2177" bestFit="1" customWidth="1"/>
    <col min="6658" max="6658" width="13.42578125" style="2177" customWidth="1"/>
    <col min="6659" max="6659" width="15.28515625" style="2177" bestFit="1" customWidth="1"/>
    <col min="6660" max="6660" width="14.140625" style="2177" bestFit="1" customWidth="1"/>
    <col min="6661" max="6661" width="15.28515625" style="2177" customWidth="1"/>
    <col min="6662" max="6662" width="15.85546875" style="2177" customWidth="1"/>
    <col min="6663" max="6663" width="17" style="2177" bestFit="1" customWidth="1"/>
    <col min="6664" max="6664" width="12.7109375" style="2177" customWidth="1"/>
    <col min="6665" max="6665" width="13.7109375" style="2177" customWidth="1"/>
    <col min="6666" max="6666" width="13.85546875" style="2177" bestFit="1" customWidth="1"/>
    <col min="6667" max="6667" width="15.5703125" style="2177" bestFit="1" customWidth="1"/>
    <col min="6668" max="6668" width="16.140625" style="2177" customWidth="1"/>
    <col min="6669" max="6669" width="16.7109375" style="2177" bestFit="1" customWidth="1"/>
    <col min="6670" max="6671" width="15.5703125" style="2177" bestFit="1" customWidth="1"/>
    <col min="6672" max="6672" width="16.42578125" style="2177" bestFit="1" customWidth="1"/>
    <col min="6673" max="6673" width="14.28515625" style="2177" customWidth="1"/>
    <col min="6674" max="6674" width="12.85546875" style="2177" bestFit="1" customWidth="1"/>
    <col min="6675" max="6675" width="11.28515625" style="2177" bestFit="1" customWidth="1"/>
    <col min="6676" max="6676" width="12.5703125" style="2177" bestFit="1" customWidth="1"/>
    <col min="6677" max="6677" width="14" style="2177" bestFit="1" customWidth="1"/>
    <col min="6678" max="6678" width="6" style="2177" bestFit="1" customWidth="1"/>
    <col min="6679" max="6679" width="15" style="2177" customWidth="1"/>
    <col min="6680" max="6680" width="14.85546875" style="2177" bestFit="1" customWidth="1"/>
    <col min="6681" max="6681" width="16.140625" style="2177" bestFit="1" customWidth="1"/>
    <col min="6682" max="6908" width="9.140625" style="2177"/>
    <col min="6909" max="6909" width="24" style="2177" bestFit="1" customWidth="1"/>
    <col min="6910" max="6910" width="45.7109375" style="2177" bestFit="1" customWidth="1"/>
    <col min="6911" max="6911" width="19.7109375" style="2177" bestFit="1" customWidth="1"/>
    <col min="6912" max="6912" width="11.42578125" style="2177" bestFit="1" customWidth="1"/>
    <col min="6913" max="6913" width="19.85546875" style="2177" bestFit="1" customWidth="1"/>
    <col min="6914" max="6914" width="13.42578125" style="2177" customWidth="1"/>
    <col min="6915" max="6915" width="15.28515625" style="2177" bestFit="1" customWidth="1"/>
    <col min="6916" max="6916" width="14.140625" style="2177" bestFit="1" customWidth="1"/>
    <col min="6917" max="6917" width="15.28515625" style="2177" customWidth="1"/>
    <col min="6918" max="6918" width="15.85546875" style="2177" customWidth="1"/>
    <col min="6919" max="6919" width="17" style="2177" bestFit="1" customWidth="1"/>
    <col min="6920" max="6920" width="12.7109375" style="2177" customWidth="1"/>
    <col min="6921" max="6921" width="13.7109375" style="2177" customWidth="1"/>
    <col min="6922" max="6922" width="13.85546875" style="2177" bestFit="1" customWidth="1"/>
    <col min="6923" max="6923" width="15.5703125" style="2177" bestFit="1" customWidth="1"/>
    <col min="6924" max="6924" width="16.140625" style="2177" customWidth="1"/>
    <col min="6925" max="6925" width="16.7109375" style="2177" bestFit="1" customWidth="1"/>
    <col min="6926" max="6927" width="15.5703125" style="2177" bestFit="1" customWidth="1"/>
    <col min="6928" max="6928" width="16.42578125" style="2177" bestFit="1" customWidth="1"/>
    <col min="6929" max="6929" width="14.28515625" style="2177" customWidth="1"/>
    <col min="6930" max="6930" width="12.85546875" style="2177" bestFit="1" customWidth="1"/>
    <col min="6931" max="6931" width="11.28515625" style="2177" bestFit="1" customWidth="1"/>
    <col min="6932" max="6932" width="12.5703125" style="2177" bestFit="1" customWidth="1"/>
    <col min="6933" max="6933" width="14" style="2177" bestFit="1" customWidth="1"/>
    <col min="6934" max="6934" width="6" style="2177" bestFit="1" customWidth="1"/>
    <col min="6935" max="6935" width="15" style="2177" customWidth="1"/>
    <col min="6936" max="6936" width="14.85546875" style="2177" bestFit="1" customWidth="1"/>
    <col min="6937" max="6937" width="16.140625" style="2177" bestFit="1" customWidth="1"/>
    <col min="6938" max="7164" width="9.140625" style="2177"/>
    <col min="7165" max="7165" width="24" style="2177" bestFit="1" customWidth="1"/>
    <col min="7166" max="7166" width="45.7109375" style="2177" bestFit="1" customWidth="1"/>
    <col min="7167" max="7167" width="19.7109375" style="2177" bestFit="1" customWidth="1"/>
    <col min="7168" max="7168" width="11.42578125" style="2177" bestFit="1" customWidth="1"/>
    <col min="7169" max="7169" width="19.85546875" style="2177" bestFit="1" customWidth="1"/>
    <col min="7170" max="7170" width="13.42578125" style="2177" customWidth="1"/>
    <col min="7171" max="7171" width="15.28515625" style="2177" bestFit="1" customWidth="1"/>
    <col min="7172" max="7172" width="14.140625" style="2177" bestFit="1" customWidth="1"/>
    <col min="7173" max="7173" width="15.28515625" style="2177" customWidth="1"/>
    <col min="7174" max="7174" width="15.85546875" style="2177" customWidth="1"/>
    <col min="7175" max="7175" width="17" style="2177" bestFit="1" customWidth="1"/>
    <col min="7176" max="7176" width="12.7109375" style="2177" customWidth="1"/>
    <col min="7177" max="7177" width="13.7109375" style="2177" customWidth="1"/>
    <col min="7178" max="7178" width="13.85546875" style="2177" bestFit="1" customWidth="1"/>
    <col min="7179" max="7179" width="15.5703125" style="2177" bestFit="1" customWidth="1"/>
    <col min="7180" max="7180" width="16.140625" style="2177" customWidth="1"/>
    <col min="7181" max="7181" width="16.7109375" style="2177" bestFit="1" customWidth="1"/>
    <col min="7182" max="7183" width="15.5703125" style="2177" bestFit="1" customWidth="1"/>
    <col min="7184" max="7184" width="16.42578125" style="2177" bestFit="1" customWidth="1"/>
    <col min="7185" max="7185" width="14.28515625" style="2177" customWidth="1"/>
    <col min="7186" max="7186" width="12.85546875" style="2177" bestFit="1" customWidth="1"/>
    <col min="7187" max="7187" width="11.28515625" style="2177" bestFit="1" customWidth="1"/>
    <col min="7188" max="7188" width="12.5703125" style="2177" bestFit="1" customWidth="1"/>
    <col min="7189" max="7189" width="14" style="2177" bestFit="1" customWidth="1"/>
    <col min="7190" max="7190" width="6" style="2177" bestFit="1" customWidth="1"/>
    <col min="7191" max="7191" width="15" style="2177" customWidth="1"/>
    <col min="7192" max="7192" width="14.85546875" style="2177" bestFit="1" customWidth="1"/>
    <col min="7193" max="7193" width="16.140625" style="2177" bestFit="1" customWidth="1"/>
    <col min="7194" max="7420" width="9.140625" style="2177"/>
    <col min="7421" max="7421" width="24" style="2177" bestFit="1" customWidth="1"/>
    <col min="7422" max="7422" width="45.7109375" style="2177" bestFit="1" customWidth="1"/>
    <col min="7423" max="7423" width="19.7109375" style="2177" bestFit="1" customWidth="1"/>
    <col min="7424" max="7424" width="11.42578125" style="2177" bestFit="1" customWidth="1"/>
    <col min="7425" max="7425" width="19.85546875" style="2177" bestFit="1" customWidth="1"/>
    <col min="7426" max="7426" width="13.42578125" style="2177" customWidth="1"/>
    <col min="7427" max="7427" width="15.28515625" style="2177" bestFit="1" customWidth="1"/>
    <col min="7428" max="7428" width="14.140625" style="2177" bestFit="1" customWidth="1"/>
    <col min="7429" max="7429" width="15.28515625" style="2177" customWidth="1"/>
    <col min="7430" max="7430" width="15.85546875" style="2177" customWidth="1"/>
    <col min="7431" max="7431" width="17" style="2177" bestFit="1" customWidth="1"/>
    <col min="7432" max="7432" width="12.7109375" style="2177" customWidth="1"/>
    <col min="7433" max="7433" width="13.7109375" style="2177" customWidth="1"/>
    <col min="7434" max="7434" width="13.85546875" style="2177" bestFit="1" customWidth="1"/>
    <col min="7435" max="7435" width="15.5703125" style="2177" bestFit="1" customWidth="1"/>
    <col min="7436" max="7436" width="16.140625" style="2177" customWidth="1"/>
    <col min="7437" max="7437" width="16.7109375" style="2177" bestFit="1" customWidth="1"/>
    <col min="7438" max="7439" width="15.5703125" style="2177" bestFit="1" customWidth="1"/>
    <col min="7440" max="7440" width="16.42578125" style="2177" bestFit="1" customWidth="1"/>
    <col min="7441" max="7441" width="14.28515625" style="2177" customWidth="1"/>
    <col min="7442" max="7442" width="12.85546875" style="2177" bestFit="1" customWidth="1"/>
    <col min="7443" max="7443" width="11.28515625" style="2177" bestFit="1" customWidth="1"/>
    <col min="7444" max="7444" width="12.5703125" style="2177" bestFit="1" customWidth="1"/>
    <col min="7445" max="7445" width="14" style="2177" bestFit="1" customWidth="1"/>
    <col min="7446" max="7446" width="6" style="2177" bestFit="1" customWidth="1"/>
    <col min="7447" max="7447" width="15" style="2177" customWidth="1"/>
    <col min="7448" max="7448" width="14.85546875" style="2177" bestFit="1" customWidth="1"/>
    <col min="7449" max="7449" width="16.140625" style="2177" bestFit="1" customWidth="1"/>
    <col min="7450" max="7676" width="9.140625" style="2177"/>
    <col min="7677" max="7677" width="24" style="2177" bestFit="1" customWidth="1"/>
    <col min="7678" max="7678" width="45.7109375" style="2177" bestFit="1" customWidth="1"/>
    <col min="7679" max="7679" width="19.7109375" style="2177" bestFit="1" customWidth="1"/>
    <col min="7680" max="7680" width="11.42578125" style="2177" bestFit="1" customWidth="1"/>
    <col min="7681" max="7681" width="19.85546875" style="2177" bestFit="1" customWidth="1"/>
    <col min="7682" max="7682" width="13.42578125" style="2177" customWidth="1"/>
    <col min="7683" max="7683" width="15.28515625" style="2177" bestFit="1" customWidth="1"/>
    <col min="7684" max="7684" width="14.140625" style="2177" bestFit="1" customWidth="1"/>
    <col min="7685" max="7685" width="15.28515625" style="2177" customWidth="1"/>
    <col min="7686" max="7686" width="15.85546875" style="2177" customWidth="1"/>
    <col min="7687" max="7687" width="17" style="2177" bestFit="1" customWidth="1"/>
    <col min="7688" max="7688" width="12.7109375" style="2177" customWidth="1"/>
    <col min="7689" max="7689" width="13.7109375" style="2177" customWidth="1"/>
    <col min="7690" max="7690" width="13.85546875" style="2177" bestFit="1" customWidth="1"/>
    <col min="7691" max="7691" width="15.5703125" style="2177" bestFit="1" customWidth="1"/>
    <col min="7692" max="7692" width="16.140625" style="2177" customWidth="1"/>
    <col min="7693" max="7693" width="16.7109375" style="2177" bestFit="1" customWidth="1"/>
    <col min="7694" max="7695" width="15.5703125" style="2177" bestFit="1" customWidth="1"/>
    <col min="7696" max="7696" width="16.42578125" style="2177" bestFit="1" customWidth="1"/>
    <col min="7697" max="7697" width="14.28515625" style="2177" customWidth="1"/>
    <col min="7698" max="7698" width="12.85546875" style="2177" bestFit="1" customWidth="1"/>
    <col min="7699" max="7699" width="11.28515625" style="2177" bestFit="1" customWidth="1"/>
    <col min="7700" max="7700" width="12.5703125" style="2177" bestFit="1" customWidth="1"/>
    <col min="7701" max="7701" width="14" style="2177" bestFit="1" customWidth="1"/>
    <col min="7702" max="7702" width="6" style="2177" bestFit="1" customWidth="1"/>
    <col min="7703" max="7703" width="15" style="2177" customWidth="1"/>
    <col min="7704" max="7704" width="14.85546875" style="2177" bestFit="1" customWidth="1"/>
    <col min="7705" max="7705" width="16.140625" style="2177" bestFit="1" customWidth="1"/>
    <col min="7706" max="7932" width="9.140625" style="2177"/>
    <col min="7933" max="7933" width="24" style="2177" bestFit="1" customWidth="1"/>
    <col min="7934" max="7934" width="45.7109375" style="2177" bestFit="1" customWidth="1"/>
    <col min="7935" max="7935" width="19.7109375" style="2177" bestFit="1" customWidth="1"/>
    <col min="7936" max="7936" width="11.42578125" style="2177" bestFit="1" customWidth="1"/>
    <col min="7937" max="7937" width="19.85546875" style="2177" bestFit="1" customWidth="1"/>
    <col min="7938" max="7938" width="13.42578125" style="2177" customWidth="1"/>
    <col min="7939" max="7939" width="15.28515625" style="2177" bestFit="1" customWidth="1"/>
    <col min="7940" max="7940" width="14.140625" style="2177" bestFit="1" customWidth="1"/>
    <col min="7941" max="7941" width="15.28515625" style="2177" customWidth="1"/>
    <col min="7942" max="7942" width="15.85546875" style="2177" customWidth="1"/>
    <col min="7943" max="7943" width="17" style="2177" bestFit="1" customWidth="1"/>
    <col min="7944" max="7944" width="12.7109375" style="2177" customWidth="1"/>
    <col min="7945" max="7945" width="13.7109375" style="2177" customWidth="1"/>
    <col min="7946" max="7946" width="13.85546875" style="2177" bestFit="1" customWidth="1"/>
    <col min="7947" max="7947" width="15.5703125" style="2177" bestFit="1" customWidth="1"/>
    <col min="7948" max="7948" width="16.140625" style="2177" customWidth="1"/>
    <col min="7949" max="7949" width="16.7109375" style="2177" bestFit="1" customWidth="1"/>
    <col min="7950" max="7951" width="15.5703125" style="2177" bestFit="1" customWidth="1"/>
    <col min="7952" max="7952" width="16.42578125" style="2177" bestFit="1" customWidth="1"/>
    <col min="7953" max="7953" width="14.28515625" style="2177" customWidth="1"/>
    <col min="7954" max="7954" width="12.85546875" style="2177" bestFit="1" customWidth="1"/>
    <col min="7955" max="7955" width="11.28515625" style="2177" bestFit="1" customWidth="1"/>
    <col min="7956" max="7956" width="12.5703125" style="2177" bestFit="1" customWidth="1"/>
    <col min="7957" max="7957" width="14" style="2177" bestFit="1" customWidth="1"/>
    <col min="7958" max="7958" width="6" style="2177" bestFit="1" customWidth="1"/>
    <col min="7959" max="7959" width="15" style="2177" customWidth="1"/>
    <col min="7960" max="7960" width="14.85546875" style="2177" bestFit="1" customWidth="1"/>
    <col min="7961" max="7961" width="16.140625" style="2177" bestFit="1" customWidth="1"/>
    <col min="7962" max="8188" width="9.140625" style="2177"/>
    <col min="8189" max="8189" width="24" style="2177" bestFit="1" customWidth="1"/>
    <col min="8190" max="8190" width="45.7109375" style="2177" bestFit="1" customWidth="1"/>
    <col min="8191" max="8191" width="19.7109375" style="2177" bestFit="1" customWidth="1"/>
    <col min="8192" max="8192" width="11.42578125" style="2177" bestFit="1" customWidth="1"/>
    <col min="8193" max="8193" width="19.85546875" style="2177" bestFit="1" customWidth="1"/>
    <col min="8194" max="8194" width="13.42578125" style="2177" customWidth="1"/>
    <col min="8195" max="8195" width="15.28515625" style="2177" bestFit="1" customWidth="1"/>
    <col min="8196" max="8196" width="14.140625" style="2177" bestFit="1" customWidth="1"/>
    <col min="8197" max="8197" width="15.28515625" style="2177" customWidth="1"/>
    <col min="8198" max="8198" width="15.85546875" style="2177" customWidth="1"/>
    <col min="8199" max="8199" width="17" style="2177" bestFit="1" customWidth="1"/>
    <col min="8200" max="8200" width="12.7109375" style="2177" customWidth="1"/>
    <col min="8201" max="8201" width="13.7109375" style="2177" customWidth="1"/>
    <col min="8202" max="8202" width="13.85546875" style="2177" bestFit="1" customWidth="1"/>
    <col min="8203" max="8203" width="15.5703125" style="2177" bestFit="1" customWidth="1"/>
    <col min="8204" max="8204" width="16.140625" style="2177" customWidth="1"/>
    <col min="8205" max="8205" width="16.7109375" style="2177" bestFit="1" customWidth="1"/>
    <col min="8206" max="8207" width="15.5703125" style="2177" bestFit="1" customWidth="1"/>
    <col min="8208" max="8208" width="16.42578125" style="2177" bestFit="1" customWidth="1"/>
    <col min="8209" max="8209" width="14.28515625" style="2177" customWidth="1"/>
    <col min="8210" max="8210" width="12.85546875" style="2177" bestFit="1" customWidth="1"/>
    <col min="8211" max="8211" width="11.28515625" style="2177" bestFit="1" customWidth="1"/>
    <col min="8212" max="8212" width="12.5703125" style="2177" bestFit="1" customWidth="1"/>
    <col min="8213" max="8213" width="14" style="2177" bestFit="1" customWidth="1"/>
    <col min="8214" max="8214" width="6" style="2177" bestFit="1" customWidth="1"/>
    <col min="8215" max="8215" width="15" style="2177" customWidth="1"/>
    <col min="8216" max="8216" width="14.85546875" style="2177" bestFit="1" customWidth="1"/>
    <col min="8217" max="8217" width="16.140625" style="2177" bestFit="1" customWidth="1"/>
    <col min="8218" max="8444" width="9.140625" style="2177"/>
    <col min="8445" max="8445" width="24" style="2177" bestFit="1" customWidth="1"/>
    <col min="8446" max="8446" width="45.7109375" style="2177" bestFit="1" customWidth="1"/>
    <col min="8447" max="8447" width="19.7109375" style="2177" bestFit="1" customWidth="1"/>
    <col min="8448" max="8448" width="11.42578125" style="2177" bestFit="1" customWidth="1"/>
    <col min="8449" max="8449" width="19.85546875" style="2177" bestFit="1" customWidth="1"/>
    <col min="8450" max="8450" width="13.42578125" style="2177" customWidth="1"/>
    <col min="8451" max="8451" width="15.28515625" style="2177" bestFit="1" customWidth="1"/>
    <col min="8452" max="8452" width="14.140625" style="2177" bestFit="1" customWidth="1"/>
    <col min="8453" max="8453" width="15.28515625" style="2177" customWidth="1"/>
    <col min="8454" max="8454" width="15.85546875" style="2177" customWidth="1"/>
    <col min="8455" max="8455" width="17" style="2177" bestFit="1" customWidth="1"/>
    <col min="8456" max="8456" width="12.7109375" style="2177" customWidth="1"/>
    <col min="8457" max="8457" width="13.7109375" style="2177" customWidth="1"/>
    <col min="8458" max="8458" width="13.85546875" style="2177" bestFit="1" customWidth="1"/>
    <col min="8459" max="8459" width="15.5703125" style="2177" bestFit="1" customWidth="1"/>
    <col min="8460" max="8460" width="16.140625" style="2177" customWidth="1"/>
    <col min="8461" max="8461" width="16.7109375" style="2177" bestFit="1" customWidth="1"/>
    <col min="8462" max="8463" width="15.5703125" style="2177" bestFit="1" customWidth="1"/>
    <col min="8464" max="8464" width="16.42578125" style="2177" bestFit="1" customWidth="1"/>
    <col min="8465" max="8465" width="14.28515625" style="2177" customWidth="1"/>
    <col min="8466" max="8466" width="12.85546875" style="2177" bestFit="1" customWidth="1"/>
    <col min="8467" max="8467" width="11.28515625" style="2177" bestFit="1" customWidth="1"/>
    <col min="8468" max="8468" width="12.5703125" style="2177" bestFit="1" customWidth="1"/>
    <col min="8469" max="8469" width="14" style="2177" bestFit="1" customWidth="1"/>
    <col min="8470" max="8470" width="6" style="2177" bestFit="1" customWidth="1"/>
    <col min="8471" max="8471" width="15" style="2177" customWidth="1"/>
    <col min="8472" max="8472" width="14.85546875" style="2177" bestFit="1" customWidth="1"/>
    <col min="8473" max="8473" width="16.140625" style="2177" bestFit="1" customWidth="1"/>
    <col min="8474" max="8700" width="9.140625" style="2177"/>
    <col min="8701" max="8701" width="24" style="2177" bestFit="1" customWidth="1"/>
    <col min="8702" max="8702" width="45.7109375" style="2177" bestFit="1" customWidth="1"/>
    <col min="8703" max="8703" width="19.7109375" style="2177" bestFit="1" customWidth="1"/>
    <col min="8704" max="8704" width="11.42578125" style="2177" bestFit="1" customWidth="1"/>
    <col min="8705" max="8705" width="19.85546875" style="2177" bestFit="1" customWidth="1"/>
    <col min="8706" max="8706" width="13.42578125" style="2177" customWidth="1"/>
    <col min="8707" max="8707" width="15.28515625" style="2177" bestFit="1" customWidth="1"/>
    <col min="8708" max="8708" width="14.140625" style="2177" bestFit="1" customWidth="1"/>
    <col min="8709" max="8709" width="15.28515625" style="2177" customWidth="1"/>
    <col min="8710" max="8710" width="15.85546875" style="2177" customWidth="1"/>
    <col min="8711" max="8711" width="17" style="2177" bestFit="1" customWidth="1"/>
    <col min="8712" max="8712" width="12.7109375" style="2177" customWidth="1"/>
    <col min="8713" max="8713" width="13.7109375" style="2177" customWidth="1"/>
    <col min="8714" max="8714" width="13.85546875" style="2177" bestFit="1" customWidth="1"/>
    <col min="8715" max="8715" width="15.5703125" style="2177" bestFit="1" customWidth="1"/>
    <col min="8716" max="8716" width="16.140625" style="2177" customWidth="1"/>
    <col min="8717" max="8717" width="16.7109375" style="2177" bestFit="1" customWidth="1"/>
    <col min="8718" max="8719" width="15.5703125" style="2177" bestFit="1" customWidth="1"/>
    <col min="8720" max="8720" width="16.42578125" style="2177" bestFit="1" customWidth="1"/>
    <col min="8721" max="8721" width="14.28515625" style="2177" customWidth="1"/>
    <col min="8722" max="8722" width="12.85546875" style="2177" bestFit="1" customWidth="1"/>
    <col min="8723" max="8723" width="11.28515625" style="2177" bestFit="1" customWidth="1"/>
    <col min="8724" max="8724" width="12.5703125" style="2177" bestFit="1" customWidth="1"/>
    <col min="8725" max="8725" width="14" style="2177" bestFit="1" customWidth="1"/>
    <col min="8726" max="8726" width="6" style="2177" bestFit="1" customWidth="1"/>
    <col min="8727" max="8727" width="15" style="2177" customWidth="1"/>
    <col min="8728" max="8728" width="14.85546875" style="2177" bestFit="1" customWidth="1"/>
    <col min="8729" max="8729" width="16.140625" style="2177" bestFit="1" customWidth="1"/>
    <col min="8730" max="8956" width="9.140625" style="2177"/>
    <col min="8957" max="8957" width="24" style="2177" bestFit="1" customWidth="1"/>
    <col min="8958" max="8958" width="45.7109375" style="2177" bestFit="1" customWidth="1"/>
    <col min="8959" max="8959" width="19.7109375" style="2177" bestFit="1" customWidth="1"/>
    <col min="8960" max="8960" width="11.42578125" style="2177" bestFit="1" customWidth="1"/>
    <col min="8961" max="8961" width="19.85546875" style="2177" bestFit="1" customWidth="1"/>
    <col min="8962" max="8962" width="13.42578125" style="2177" customWidth="1"/>
    <col min="8963" max="8963" width="15.28515625" style="2177" bestFit="1" customWidth="1"/>
    <col min="8964" max="8964" width="14.140625" style="2177" bestFit="1" customWidth="1"/>
    <col min="8965" max="8965" width="15.28515625" style="2177" customWidth="1"/>
    <col min="8966" max="8966" width="15.85546875" style="2177" customWidth="1"/>
    <col min="8967" max="8967" width="17" style="2177" bestFit="1" customWidth="1"/>
    <col min="8968" max="8968" width="12.7109375" style="2177" customWidth="1"/>
    <col min="8969" max="8969" width="13.7109375" style="2177" customWidth="1"/>
    <col min="8970" max="8970" width="13.85546875" style="2177" bestFit="1" customWidth="1"/>
    <col min="8971" max="8971" width="15.5703125" style="2177" bestFit="1" customWidth="1"/>
    <col min="8972" max="8972" width="16.140625" style="2177" customWidth="1"/>
    <col min="8973" max="8973" width="16.7109375" style="2177" bestFit="1" customWidth="1"/>
    <col min="8974" max="8975" width="15.5703125" style="2177" bestFit="1" customWidth="1"/>
    <col min="8976" max="8976" width="16.42578125" style="2177" bestFit="1" customWidth="1"/>
    <col min="8977" max="8977" width="14.28515625" style="2177" customWidth="1"/>
    <col min="8978" max="8978" width="12.85546875" style="2177" bestFit="1" customWidth="1"/>
    <col min="8979" max="8979" width="11.28515625" style="2177" bestFit="1" customWidth="1"/>
    <col min="8980" max="8980" width="12.5703125" style="2177" bestFit="1" customWidth="1"/>
    <col min="8981" max="8981" width="14" style="2177" bestFit="1" customWidth="1"/>
    <col min="8982" max="8982" width="6" style="2177" bestFit="1" customWidth="1"/>
    <col min="8983" max="8983" width="15" style="2177" customWidth="1"/>
    <col min="8984" max="8984" width="14.85546875" style="2177" bestFit="1" customWidth="1"/>
    <col min="8985" max="8985" width="16.140625" style="2177" bestFit="1" customWidth="1"/>
    <col min="8986" max="9212" width="9.140625" style="2177"/>
    <col min="9213" max="9213" width="24" style="2177" bestFit="1" customWidth="1"/>
    <col min="9214" max="9214" width="45.7109375" style="2177" bestFit="1" customWidth="1"/>
    <col min="9215" max="9215" width="19.7109375" style="2177" bestFit="1" customWidth="1"/>
    <col min="9216" max="9216" width="11.42578125" style="2177" bestFit="1" customWidth="1"/>
    <col min="9217" max="9217" width="19.85546875" style="2177" bestFit="1" customWidth="1"/>
    <col min="9218" max="9218" width="13.42578125" style="2177" customWidth="1"/>
    <col min="9219" max="9219" width="15.28515625" style="2177" bestFit="1" customWidth="1"/>
    <col min="9220" max="9220" width="14.140625" style="2177" bestFit="1" customWidth="1"/>
    <col min="9221" max="9221" width="15.28515625" style="2177" customWidth="1"/>
    <col min="9222" max="9222" width="15.85546875" style="2177" customWidth="1"/>
    <col min="9223" max="9223" width="17" style="2177" bestFit="1" customWidth="1"/>
    <col min="9224" max="9224" width="12.7109375" style="2177" customWidth="1"/>
    <col min="9225" max="9225" width="13.7109375" style="2177" customWidth="1"/>
    <col min="9226" max="9226" width="13.85546875" style="2177" bestFit="1" customWidth="1"/>
    <col min="9227" max="9227" width="15.5703125" style="2177" bestFit="1" customWidth="1"/>
    <col min="9228" max="9228" width="16.140625" style="2177" customWidth="1"/>
    <col min="9229" max="9229" width="16.7109375" style="2177" bestFit="1" customWidth="1"/>
    <col min="9230" max="9231" width="15.5703125" style="2177" bestFit="1" customWidth="1"/>
    <col min="9232" max="9232" width="16.42578125" style="2177" bestFit="1" customWidth="1"/>
    <col min="9233" max="9233" width="14.28515625" style="2177" customWidth="1"/>
    <col min="9234" max="9234" width="12.85546875" style="2177" bestFit="1" customWidth="1"/>
    <col min="9235" max="9235" width="11.28515625" style="2177" bestFit="1" customWidth="1"/>
    <col min="9236" max="9236" width="12.5703125" style="2177" bestFit="1" customWidth="1"/>
    <col min="9237" max="9237" width="14" style="2177" bestFit="1" customWidth="1"/>
    <col min="9238" max="9238" width="6" style="2177" bestFit="1" customWidth="1"/>
    <col min="9239" max="9239" width="15" style="2177" customWidth="1"/>
    <col min="9240" max="9240" width="14.85546875" style="2177" bestFit="1" customWidth="1"/>
    <col min="9241" max="9241" width="16.140625" style="2177" bestFit="1" customWidth="1"/>
    <col min="9242" max="9468" width="9.140625" style="2177"/>
    <col min="9469" max="9469" width="24" style="2177" bestFit="1" customWidth="1"/>
    <col min="9470" max="9470" width="45.7109375" style="2177" bestFit="1" customWidth="1"/>
    <col min="9471" max="9471" width="19.7109375" style="2177" bestFit="1" customWidth="1"/>
    <col min="9472" max="9472" width="11.42578125" style="2177" bestFit="1" customWidth="1"/>
    <col min="9473" max="9473" width="19.85546875" style="2177" bestFit="1" customWidth="1"/>
    <col min="9474" max="9474" width="13.42578125" style="2177" customWidth="1"/>
    <col min="9475" max="9475" width="15.28515625" style="2177" bestFit="1" customWidth="1"/>
    <col min="9476" max="9476" width="14.140625" style="2177" bestFit="1" customWidth="1"/>
    <col min="9477" max="9477" width="15.28515625" style="2177" customWidth="1"/>
    <col min="9478" max="9478" width="15.85546875" style="2177" customWidth="1"/>
    <col min="9479" max="9479" width="17" style="2177" bestFit="1" customWidth="1"/>
    <col min="9480" max="9480" width="12.7109375" style="2177" customWidth="1"/>
    <col min="9481" max="9481" width="13.7109375" style="2177" customWidth="1"/>
    <col min="9482" max="9482" width="13.85546875" style="2177" bestFit="1" customWidth="1"/>
    <col min="9483" max="9483" width="15.5703125" style="2177" bestFit="1" customWidth="1"/>
    <col min="9484" max="9484" width="16.140625" style="2177" customWidth="1"/>
    <col min="9485" max="9485" width="16.7109375" style="2177" bestFit="1" customWidth="1"/>
    <col min="9486" max="9487" width="15.5703125" style="2177" bestFit="1" customWidth="1"/>
    <col min="9488" max="9488" width="16.42578125" style="2177" bestFit="1" customWidth="1"/>
    <col min="9489" max="9489" width="14.28515625" style="2177" customWidth="1"/>
    <col min="9490" max="9490" width="12.85546875" style="2177" bestFit="1" customWidth="1"/>
    <col min="9491" max="9491" width="11.28515625" style="2177" bestFit="1" customWidth="1"/>
    <col min="9492" max="9492" width="12.5703125" style="2177" bestFit="1" customWidth="1"/>
    <col min="9493" max="9493" width="14" style="2177" bestFit="1" customWidth="1"/>
    <col min="9494" max="9494" width="6" style="2177" bestFit="1" customWidth="1"/>
    <col min="9495" max="9495" width="15" style="2177" customWidth="1"/>
    <col min="9496" max="9496" width="14.85546875" style="2177" bestFit="1" customWidth="1"/>
    <col min="9497" max="9497" width="16.140625" style="2177" bestFit="1" customWidth="1"/>
    <col min="9498" max="9724" width="9.140625" style="2177"/>
    <col min="9725" max="9725" width="24" style="2177" bestFit="1" customWidth="1"/>
    <col min="9726" max="9726" width="45.7109375" style="2177" bestFit="1" customWidth="1"/>
    <col min="9727" max="9727" width="19.7109375" style="2177" bestFit="1" customWidth="1"/>
    <col min="9728" max="9728" width="11.42578125" style="2177" bestFit="1" customWidth="1"/>
    <col min="9729" max="9729" width="19.85546875" style="2177" bestFit="1" customWidth="1"/>
    <col min="9730" max="9730" width="13.42578125" style="2177" customWidth="1"/>
    <col min="9731" max="9731" width="15.28515625" style="2177" bestFit="1" customWidth="1"/>
    <col min="9732" max="9732" width="14.140625" style="2177" bestFit="1" customWidth="1"/>
    <col min="9733" max="9733" width="15.28515625" style="2177" customWidth="1"/>
    <col min="9734" max="9734" width="15.85546875" style="2177" customWidth="1"/>
    <col min="9735" max="9735" width="17" style="2177" bestFit="1" customWidth="1"/>
    <col min="9736" max="9736" width="12.7109375" style="2177" customWidth="1"/>
    <col min="9737" max="9737" width="13.7109375" style="2177" customWidth="1"/>
    <col min="9738" max="9738" width="13.85546875" style="2177" bestFit="1" customWidth="1"/>
    <col min="9739" max="9739" width="15.5703125" style="2177" bestFit="1" customWidth="1"/>
    <col min="9740" max="9740" width="16.140625" style="2177" customWidth="1"/>
    <col min="9741" max="9741" width="16.7109375" style="2177" bestFit="1" customWidth="1"/>
    <col min="9742" max="9743" width="15.5703125" style="2177" bestFit="1" customWidth="1"/>
    <col min="9744" max="9744" width="16.42578125" style="2177" bestFit="1" customWidth="1"/>
    <col min="9745" max="9745" width="14.28515625" style="2177" customWidth="1"/>
    <col min="9746" max="9746" width="12.85546875" style="2177" bestFit="1" customWidth="1"/>
    <col min="9747" max="9747" width="11.28515625" style="2177" bestFit="1" customWidth="1"/>
    <col min="9748" max="9748" width="12.5703125" style="2177" bestFit="1" customWidth="1"/>
    <col min="9749" max="9749" width="14" style="2177" bestFit="1" customWidth="1"/>
    <col min="9750" max="9750" width="6" style="2177" bestFit="1" customWidth="1"/>
    <col min="9751" max="9751" width="15" style="2177" customWidth="1"/>
    <col min="9752" max="9752" width="14.85546875" style="2177" bestFit="1" customWidth="1"/>
    <col min="9753" max="9753" width="16.140625" style="2177" bestFit="1" customWidth="1"/>
    <col min="9754" max="9980" width="9.140625" style="2177"/>
    <col min="9981" max="9981" width="24" style="2177" bestFit="1" customWidth="1"/>
    <col min="9982" max="9982" width="45.7109375" style="2177" bestFit="1" customWidth="1"/>
    <col min="9983" max="9983" width="19.7109375" style="2177" bestFit="1" customWidth="1"/>
    <col min="9984" max="9984" width="11.42578125" style="2177" bestFit="1" customWidth="1"/>
    <col min="9985" max="9985" width="19.85546875" style="2177" bestFit="1" customWidth="1"/>
    <col min="9986" max="9986" width="13.42578125" style="2177" customWidth="1"/>
    <col min="9987" max="9987" width="15.28515625" style="2177" bestFit="1" customWidth="1"/>
    <col min="9988" max="9988" width="14.140625" style="2177" bestFit="1" customWidth="1"/>
    <col min="9989" max="9989" width="15.28515625" style="2177" customWidth="1"/>
    <col min="9990" max="9990" width="15.85546875" style="2177" customWidth="1"/>
    <col min="9991" max="9991" width="17" style="2177" bestFit="1" customWidth="1"/>
    <col min="9992" max="9992" width="12.7109375" style="2177" customWidth="1"/>
    <col min="9993" max="9993" width="13.7109375" style="2177" customWidth="1"/>
    <col min="9994" max="9994" width="13.85546875" style="2177" bestFit="1" customWidth="1"/>
    <col min="9995" max="9995" width="15.5703125" style="2177" bestFit="1" customWidth="1"/>
    <col min="9996" max="9996" width="16.140625" style="2177" customWidth="1"/>
    <col min="9997" max="9997" width="16.7109375" style="2177" bestFit="1" customWidth="1"/>
    <col min="9998" max="9999" width="15.5703125" style="2177" bestFit="1" customWidth="1"/>
    <col min="10000" max="10000" width="16.42578125" style="2177" bestFit="1" customWidth="1"/>
    <col min="10001" max="10001" width="14.28515625" style="2177" customWidth="1"/>
    <col min="10002" max="10002" width="12.85546875" style="2177" bestFit="1" customWidth="1"/>
    <col min="10003" max="10003" width="11.28515625" style="2177" bestFit="1" customWidth="1"/>
    <col min="10004" max="10004" width="12.5703125" style="2177" bestFit="1" customWidth="1"/>
    <col min="10005" max="10005" width="14" style="2177" bestFit="1" customWidth="1"/>
    <col min="10006" max="10006" width="6" style="2177" bestFit="1" customWidth="1"/>
    <col min="10007" max="10007" width="15" style="2177" customWidth="1"/>
    <col min="10008" max="10008" width="14.85546875" style="2177" bestFit="1" customWidth="1"/>
    <col min="10009" max="10009" width="16.140625" style="2177" bestFit="1" customWidth="1"/>
    <col min="10010" max="10236" width="9.140625" style="2177"/>
    <col min="10237" max="10237" width="24" style="2177" bestFit="1" customWidth="1"/>
    <col min="10238" max="10238" width="45.7109375" style="2177" bestFit="1" customWidth="1"/>
    <col min="10239" max="10239" width="19.7109375" style="2177" bestFit="1" customWidth="1"/>
    <col min="10240" max="10240" width="11.42578125" style="2177" bestFit="1" customWidth="1"/>
    <col min="10241" max="10241" width="19.85546875" style="2177" bestFit="1" customWidth="1"/>
    <col min="10242" max="10242" width="13.42578125" style="2177" customWidth="1"/>
    <col min="10243" max="10243" width="15.28515625" style="2177" bestFit="1" customWidth="1"/>
    <col min="10244" max="10244" width="14.140625" style="2177" bestFit="1" customWidth="1"/>
    <col min="10245" max="10245" width="15.28515625" style="2177" customWidth="1"/>
    <col min="10246" max="10246" width="15.85546875" style="2177" customWidth="1"/>
    <col min="10247" max="10247" width="17" style="2177" bestFit="1" customWidth="1"/>
    <col min="10248" max="10248" width="12.7109375" style="2177" customWidth="1"/>
    <col min="10249" max="10249" width="13.7109375" style="2177" customWidth="1"/>
    <col min="10250" max="10250" width="13.85546875" style="2177" bestFit="1" customWidth="1"/>
    <col min="10251" max="10251" width="15.5703125" style="2177" bestFit="1" customWidth="1"/>
    <col min="10252" max="10252" width="16.140625" style="2177" customWidth="1"/>
    <col min="10253" max="10253" width="16.7109375" style="2177" bestFit="1" customWidth="1"/>
    <col min="10254" max="10255" width="15.5703125" style="2177" bestFit="1" customWidth="1"/>
    <col min="10256" max="10256" width="16.42578125" style="2177" bestFit="1" customWidth="1"/>
    <col min="10257" max="10257" width="14.28515625" style="2177" customWidth="1"/>
    <col min="10258" max="10258" width="12.85546875" style="2177" bestFit="1" customWidth="1"/>
    <col min="10259" max="10259" width="11.28515625" style="2177" bestFit="1" customWidth="1"/>
    <col min="10260" max="10260" width="12.5703125" style="2177" bestFit="1" customWidth="1"/>
    <col min="10261" max="10261" width="14" style="2177" bestFit="1" customWidth="1"/>
    <col min="10262" max="10262" width="6" style="2177" bestFit="1" customWidth="1"/>
    <col min="10263" max="10263" width="15" style="2177" customWidth="1"/>
    <col min="10264" max="10264" width="14.85546875" style="2177" bestFit="1" customWidth="1"/>
    <col min="10265" max="10265" width="16.140625" style="2177" bestFit="1" customWidth="1"/>
    <col min="10266" max="10492" width="9.140625" style="2177"/>
    <col min="10493" max="10493" width="24" style="2177" bestFit="1" customWidth="1"/>
    <col min="10494" max="10494" width="45.7109375" style="2177" bestFit="1" customWidth="1"/>
    <col min="10495" max="10495" width="19.7109375" style="2177" bestFit="1" customWidth="1"/>
    <col min="10496" max="10496" width="11.42578125" style="2177" bestFit="1" customWidth="1"/>
    <col min="10497" max="10497" width="19.85546875" style="2177" bestFit="1" customWidth="1"/>
    <col min="10498" max="10498" width="13.42578125" style="2177" customWidth="1"/>
    <col min="10499" max="10499" width="15.28515625" style="2177" bestFit="1" customWidth="1"/>
    <col min="10500" max="10500" width="14.140625" style="2177" bestFit="1" customWidth="1"/>
    <col min="10501" max="10501" width="15.28515625" style="2177" customWidth="1"/>
    <col min="10502" max="10502" width="15.85546875" style="2177" customWidth="1"/>
    <col min="10503" max="10503" width="17" style="2177" bestFit="1" customWidth="1"/>
    <col min="10504" max="10504" width="12.7109375" style="2177" customWidth="1"/>
    <col min="10505" max="10505" width="13.7109375" style="2177" customWidth="1"/>
    <col min="10506" max="10506" width="13.85546875" style="2177" bestFit="1" customWidth="1"/>
    <col min="10507" max="10507" width="15.5703125" style="2177" bestFit="1" customWidth="1"/>
    <col min="10508" max="10508" width="16.140625" style="2177" customWidth="1"/>
    <col min="10509" max="10509" width="16.7109375" style="2177" bestFit="1" customWidth="1"/>
    <col min="10510" max="10511" width="15.5703125" style="2177" bestFit="1" customWidth="1"/>
    <col min="10512" max="10512" width="16.42578125" style="2177" bestFit="1" customWidth="1"/>
    <col min="10513" max="10513" width="14.28515625" style="2177" customWidth="1"/>
    <col min="10514" max="10514" width="12.85546875" style="2177" bestFit="1" customWidth="1"/>
    <col min="10515" max="10515" width="11.28515625" style="2177" bestFit="1" customWidth="1"/>
    <col min="10516" max="10516" width="12.5703125" style="2177" bestFit="1" customWidth="1"/>
    <col min="10517" max="10517" width="14" style="2177" bestFit="1" customWidth="1"/>
    <col min="10518" max="10518" width="6" style="2177" bestFit="1" customWidth="1"/>
    <col min="10519" max="10519" width="15" style="2177" customWidth="1"/>
    <col min="10520" max="10520" width="14.85546875" style="2177" bestFit="1" customWidth="1"/>
    <col min="10521" max="10521" width="16.140625" style="2177" bestFit="1" customWidth="1"/>
    <col min="10522" max="10748" width="9.140625" style="2177"/>
    <col min="10749" max="10749" width="24" style="2177" bestFit="1" customWidth="1"/>
    <col min="10750" max="10750" width="45.7109375" style="2177" bestFit="1" customWidth="1"/>
    <col min="10751" max="10751" width="19.7109375" style="2177" bestFit="1" customWidth="1"/>
    <col min="10752" max="10752" width="11.42578125" style="2177" bestFit="1" customWidth="1"/>
    <col min="10753" max="10753" width="19.85546875" style="2177" bestFit="1" customWidth="1"/>
    <col min="10754" max="10754" width="13.42578125" style="2177" customWidth="1"/>
    <col min="10755" max="10755" width="15.28515625" style="2177" bestFit="1" customWidth="1"/>
    <col min="10756" max="10756" width="14.140625" style="2177" bestFit="1" customWidth="1"/>
    <col min="10757" max="10757" width="15.28515625" style="2177" customWidth="1"/>
    <col min="10758" max="10758" width="15.85546875" style="2177" customWidth="1"/>
    <col min="10759" max="10759" width="17" style="2177" bestFit="1" customWidth="1"/>
    <col min="10760" max="10760" width="12.7109375" style="2177" customWidth="1"/>
    <col min="10761" max="10761" width="13.7109375" style="2177" customWidth="1"/>
    <col min="10762" max="10762" width="13.85546875" style="2177" bestFit="1" customWidth="1"/>
    <col min="10763" max="10763" width="15.5703125" style="2177" bestFit="1" customWidth="1"/>
    <col min="10764" max="10764" width="16.140625" style="2177" customWidth="1"/>
    <col min="10765" max="10765" width="16.7109375" style="2177" bestFit="1" customWidth="1"/>
    <col min="10766" max="10767" width="15.5703125" style="2177" bestFit="1" customWidth="1"/>
    <col min="10768" max="10768" width="16.42578125" style="2177" bestFit="1" customWidth="1"/>
    <col min="10769" max="10769" width="14.28515625" style="2177" customWidth="1"/>
    <col min="10770" max="10770" width="12.85546875" style="2177" bestFit="1" customWidth="1"/>
    <col min="10771" max="10771" width="11.28515625" style="2177" bestFit="1" customWidth="1"/>
    <col min="10772" max="10772" width="12.5703125" style="2177" bestFit="1" customWidth="1"/>
    <col min="10773" max="10773" width="14" style="2177" bestFit="1" customWidth="1"/>
    <col min="10774" max="10774" width="6" style="2177" bestFit="1" customWidth="1"/>
    <col min="10775" max="10775" width="15" style="2177" customWidth="1"/>
    <col min="10776" max="10776" width="14.85546875" style="2177" bestFit="1" customWidth="1"/>
    <col min="10777" max="10777" width="16.140625" style="2177" bestFit="1" customWidth="1"/>
    <col min="10778" max="11004" width="9.140625" style="2177"/>
    <col min="11005" max="11005" width="24" style="2177" bestFit="1" customWidth="1"/>
    <col min="11006" max="11006" width="45.7109375" style="2177" bestFit="1" customWidth="1"/>
    <col min="11007" max="11007" width="19.7109375" style="2177" bestFit="1" customWidth="1"/>
    <col min="11008" max="11008" width="11.42578125" style="2177" bestFit="1" customWidth="1"/>
    <col min="11009" max="11009" width="19.85546875" style="2177" bestFit="1" customWidth="1"/>
    <col min="11010" max="11010" width="13.42578125" style="2177" customWidth="1"/>
    <col min="11011" max="11011" width="15.28515625" style="2177" bestFit="1" customWidth="1"/>
    <col min="11012" max="11012" width="14.140625" style="2177" bestFit="1" customWidth="1"/>
    <col min="11013" max="11013" width="15.28515625" style="2177" customWidth="1"/>
    <col min="11014" max="11014" width="15.85546875" style="2177" customWidth="1"/>
    <col min="11015" max="11015" width="17" style="2177" bestFit="1" customWidth="1"/>
    <col min="11016" max="11016" width="12.7109375" style="2177" customWidth="1"/>
    <col min="11017" max="11017" width="13.7109375" style="2177" customWidth="1"/>
    <col min="11018" max="11018" width="13.85546875" style="2177" bestFit="1" customWidth="1"/>
    <col min="11019" max="11019" width="15.5703125" style="2177" bestFit="1" customWidth="1"/>
    <col min="11020" max="11020" width="16.140625" style="2177" customWidth="1"/>
    <col min="11021" max="11021" width="16.7109375" style="2177" bestFit="1" customWidth="1"/>
    <col min="11022" max="11023" width="15.5703125" style="2177" bestFit="1" customWidth="1"/>
    <col min="11024" max="11024" width="16.42578125" style="2177" bestFit="1" customWidth="1"/>
    <col min="11025" max="11025" width="14.28515625" style="2177" customWidth="1"/>
    <col min="11026" max="11026" width="12.85546875" style="2177" bestFit="1" customWidth="1"/>
    <col min="11027" max="11027" width="11.28515625" style="2177" bestFit="1" customWidth="1"/>
    <col min="11028" max="11028" width="12.5703125" style="2177" bestFit="1" customWidth="1"/>
    <col min="11029" max="11029" width="14" style="2177" bestFit="1" customWidth="1"/>
    <col min="11030" max="11030" width="6" style="2177" bestFit="1" customWidth="1"/>
    <col min="11031" max="11031" width="15" style="2177" customWidth="1"/>
    <col min="11032" max="11032" width="14.85546875" style="2177" bestFit="1" customWidth="1"/>
    <col min="11033" max="11033" width="16.140625" style="2177" bestFit="1" customWidth="1"/>
    <col min="11034" max="11260" width="9.140625" style="2177"/>
    <col min="11261" max="11261" width="24" style="2177" bestFit="1" customWidth="1"/>
    <col min="11262" max="11262" width="45.7109375" style="2177" bestFit="1" customWidth="1"/>
    <col min="11263" max="11263" width="19.7109375" style="2177" bestFit="1" customWidth="1"/>
    <col min="11264" max="11264" width="11.42578125" style="2177" bestFit="1" customWidth="1"/>
    <col min="11265" max="11265" width="19.85546875" style="2177" bestFit="1" customWidth="1"/>
    <col min="11266" max="11266" width="13.42578125" style="2177" customWidth="1"/>
    <col min="11267" max="11267" width="15.28515625" style="2177" bestFit="1" customWidth="1"/>
    <col min="11268" max="11268" width="14.140625" style="2177" bestFit="1" customWidth="1"/>
    <col min="11269" max="11269" width="15.28515625" style="2177" customWidth="1"/>
    <col min="11270" max="11270" width="15.85546875" style="2177" customWidth="1"/>
    <col min="11271" max="11271" width="17" style="2177" bestFit="1" customWidth="1"/>
    <col min="11272" max="11272" width="12.7109375" style="2177" customWidth="1"/>
    <col min="11273" max="11273" width="13.7109375" style="2177" customWidth="1"/>
    <col min="11274" max="11274" width="13.85546875" style="2177" bestFit="1" customWidth="1"/>
    <col min="11275" max="11275" width="15.5703125" style="2177" bestFit="1" customWidth="1"/>
    <col min="11276" max="11276" width="16.140625" style="2177" customWidth="1"/>
    <col min="11277" max="11277" width="16.7109375" style="2177" bestFit="1" customWidth="1"/>
    <col min="11278" max="11279" width="15.5703125" style="2177" bestFit="1" customWidth="1"/>
    <col min="11280" max="11280" width="16.42578125" style="2177" bestFit="1" customWidth="1"/>
    <col min="11281" max="11281" width="14.28515625" style="2177" customWidth="1"/>
    <col min="11282" max="11282" width="12.85546875" style="2177" bestFit="1" customWidth="1"/>
    <col min="11283" max="11283" width="11.28515625" style="2177" bestFit="1" customWidth="1"/>
    <col min="11284" max="11284" width="12.5703125" style="2177" bestFit="1" customWidth="1"/>
    <col min="11285" max="11285" width="14" style="2177" bestFit="1" customWidth="1"/>
    <col min="11286" max="11286" width="6" style="2177" bestFit="1" customWidth="1"/>
    <col min="11287" max="11287" width="15" style="2177" customWidth="1"/>
    <col min="11288" max="11288" width="14.85546875" style="2177" bestFit="1" customWidth="1"/>
    <col min="11289" max="11289" width="16.140625" style="2177" bestFit="1" customWidth="1"/>
    <col min="11290" max="11516" width="9.140625" style="2177"/>
    <col min="11517" max="11517" width="24" style="2177" bestFit="1" customWidth="1"/>
    <col min="11518" max="11518" width="45.7109375" style="2177" bestFit="1" customWidth="1"/>
    <col min="11519" max="11519" width="19.7109375" style="2177" bestFit="1" customWidth="1"/>
    <col min="11520" max="11520" width="11.42578125" style="2177" bestFit="1" customWidth="1"/>
    <col min="11521" max="11521" width="19.85546875" style="2177" bestFit="1" customWidth="1"/>
    <col min="11522" max="11522" width="13.42578125" style="2177" customWidth="1"/>
    <col min="11523" max="11523" width="15.28515625" style="2177" bestFit="1" customWidth="1"/>
    <col min="11524" max="11524" width="14.140625" style="2177" bestFit="1" customWidth="1"/>
    <col min="11525" max="11525" width="15.28515625" style="2177" customWidth="1"/>
    <col min="11526" max="11526" width="15.85546875" style="2177" customWidth="1"/>
    <col min="11527" max="11527" width="17" style="2177" bestFit="1" customWidth="1"/>
    <col min="11528" max="11528" width="12.7109375" style="2177" customWidth="1"/>
    <col min="11529" max="11529" width="13.7109375" style="2177" customWidth="1"/>
    <col min="11530" max="11530" width="13.85546875" style="2177" bestFit="1" customWidth="1"/>
    <col min="11531" max="11531" width="15.5703125" style="2177" bestFit="1" customWidth="1"/>
    <col min="11532" max="11532" width="16.140625" style="2177" customWidth="1"/>
    <col min="11533" max="11533" width="16.7109375" style="2177" bestFit="1" customWidth="1"/>
    <col min="11534" max="11535" width="15.5703125" style="2177" bestFit="1" customWidth="1"/>
    <col min="11536" max="11536" width="16.42578125" style="2177" bestFit="1" customWidth="1"/>
    <col min="11537" max="11537" width="14.28515625" style="2177" customWidth="1"/>
    <col min="11538" max="11538" width="12.85546875" style="2177" bestFit="1" customWidth="1"/>
    <col min="11539" max="11539" width="11.28515625" style="2177" bestFit="1" customWidth="1"/>
    <col min="11540" max="11540" width="12.5703125" style="2177" bestFit="1" customWidth="1"/>
    <col min="11541" max="11541" width="14" style="2177" bestFit="1" customWidth="1"/>
    <col min="11542" max="11542" width="6" style="2177" bestFit="1" customWidth="1"/>
    <col min="11543" max="11543" width="15" style="2177" customWidth="1"/>
    <col min="11544" max="11544" width="14.85546875" style="2177" bestFit="1" customWidth="1"/>
    <col min="11545" max="11545" width="16.140625" style="2177" bestFit="1" customWidth="1"/>
    <col min="11546" max="11772" width="9.140625" style="2177"/>
    <col min="11773" max="11773" width="24" style="2177" bestFit="1" customWidth="1"/>
    <col min="11774" max="11774" width="45.7109375" style="2177" bestFit="1" customWidth="1"/>
    <col min="11775" max="11775" width="19.7109375" style="2177" bestFit="1" customWidth="1"/>
    <col min="11776" max="11776" width="11.42578125" style="2177" bestFit="1" customWidth="1"/>
    <col min="11777" max="11777" width="19.85546875" style="2177" bestFit="1" customWidth="1"/>
    <col min="11778" max="11778" width="13.42578125" style="2177" customWidth="1"/>
    <col min="11779" max="11779" width="15.28515625" style="2177" bestFit="1" customWidth="1"/>
    <col min="11780" max="11780" width="14.140625" style="2177" bestFit="1" customWidth="1"/>
    <col min="11781" max="11781" width="15.28515625" style="2177" customWidth="1"/>
    <col min="11782" max="11782" width="15.85546875" style="2177" customWidth="1"/>
    <col min="11783" max="11783" width="17" style="2177" bestFit="1" customWidth="1"/>
    <col min="11784" max="11784" width="12.7109375" style="2177" customWidth="1"/>
    <col min="11785" max="11785" width="13.7109375" style="2177" customWidth="1"/>
    <col min="11786" max="11786" width="13.85546875" style="2177" bestFit="1" customWidth="1"/>
    <col min="11787" max="11787" width="15.5703125" style="2177" bestFit="1" customWidth="1"/>
    <col min="11788" max="11788" width="16.140625" style="2177" customWidth="1"/>
    <col min="11789" max="11789" width="16.7109375" style="2177" bestFit="1" customWidth="1"/>
    <col min="11790" max="11791" width="15.5703125" style="2177" bestFit="1" customWidth="1"/>
    <col min="11792" max="11792" width="16.42578125" style="2177" bestFit="1" customWidth="1"/>
    <col min="11793" max="11793" width="14.28515625" style="2177" customWidth="1"/>
    <col min="11794" max="11794" width="12.85546875" style="2177" bestFit="1" customWidth="1"/>
    <col min="11795" max="11795" width="11.28515625" style="2177" bestFit="1" customWidth="1"/>
    <col min="11796" max="11796" width="12.5703125" style="2177" bestFit="1" customWidth="1"/>
    <col min="11797" max="11797" width="14" style="2177" bestFit="1" customWidth="1"/>
    <col min="11798" max="11798" width="6" style="2177" bestFit="1" customWidth="1"/>
    <col min="11799" max="11799" width="15" style="2177" customWidth="1"/>
    <col min="11800" max="11800" width="14.85546875" style="2177" bestFit="1" customWidth="1"/>
    <col min="11801" max="11801" width="16.140625" style="2177" bestFit="1" customWidth="1"/>
    <col min="11802" max="12028" width="9.140625" style="2177"/>
    <col min="12029" max="12029" width="24" style="2177" bestFit="1" customWidth="1"/>
    <col min="12030" max="12030" width="45.7109375" style="2177" bestFit="1" customWidth="1"/>
    <col min="12031" max="12031" width="19.7109375" style="2177" bestFit="1" customWidth="1"/>
    <col min="12032" max="12032" width="11.42578125" style="2177" bestFit="1" customWidth="1"/>
    <col min="12033" max="12033" width="19.85546875" style="2177" bestFit="1" customWidth="1"/>
    <col min="12034" max="12034" width="13.42578125" style="2177" customWidth="1"/>
    <col min="12035" max="12035" width="15.28515625" style="2177" bestFit="1" customWidth="1"/>
    <col min="12036" max="12036" width="14.140625" style="2177" bestFit="1" customWidth="1"/>
    <col min="12037" max="12037" width="15.28515625" style="2177" customWidth="1"/>
    <col min="12038" max="12038" width="15.85546875" style="2177" customWidth="1"/>
    <col min="12039" max="12039" width="17" style="2177" bestFit="1" customWidth="1"/>
    <col min="12040" max="12040" width="12.7109375" style="2177" customWidth="1"/>
    <col min="12041" max="12041" width="13.7109375" style="2177" customWidth="1"/>
    <col min="12042" max="12042" width="13.85546875" style="2177" bestFit="1" customWidth="1"/>
    <col min="12043" max="12043" width="15.5703125" style="2177" bestFit="1" customWidth="1"/>
    <col min="12044" max="12044" width="16.140625" style="2177" customWidth="1"/>
    <col min="12045" max="12045" width="16.7109375" style="2177" bestFit="1" customWidth="1"/>
    <col min="12046" max="12047" width="15.5703125" style="2177" bestFit="1" customWidth="1"/>
    <col min="12048" max="12048" width="16.42578125" style="2177" bestFit="1" customWidth="1"/>
    <col min="12049" max="12049" width="14.28515625" style="2177" customWidth="1"/>
    <col min="12050" max="12050" width="12.85546875" style="2177" bestFit="1" customWidth="1"/>
    <col min="12051" max="12051" width="11.28515625" style="2177" bestFit="1" customWidth="1"/>
    <col min="12052" max="12052" width="12.5703125" style="2177" bestFit="1" customWidth="1"/>
    <col min="12053" max="12053" width="14" style="2177" bestFit="1" customWidth="1"/>
    <col min="12054" max="12054" width="6" style="2177" bestFit="1" customWidth="1"/>
    <col min="12055" max="12055" width="15" style="2177" customWidth="1"/>
    <col min="12056" max="12056" width="14.85546875" style="2177" bestFit="1" customWidth="1"/>
    <col min="12057" max="12057" width="16.140625" style="2177" bestFit="1" customWidth="1"/>
    <col min="12058" max="12284" width="9.140625" style="2177"/>
    <col min="12285" max="12285" width="24" style="2177" bestFit="1" customWidth="1"/>
    <col min="12286" max="12286" width="45.7109375" style="2177" bestFit="1" customWidth="1"/>
    <col min="12287" max="12287" width="19.7109375" style="2177" bestFit="1" customWidth="1"/>
    <col min="12288" max="12288" width="11.42578125" style="2177" bestFit="1" customWidth="1"/>
    <col min="12289" max="12289" width="19.85546875" style="2177" bestFit="1" customWidth="1"/>
    <col min="12290" max="12290" width="13.42578125" style="2177" customWidth="1"/>
    <col min="12291" max="12291" width="15.28515625" style="2177" bestFit="1" customWidth="1"/>
    <col min="12292" max="12292" width="14.140625" style="2177" bestFit="1" customWidth="1"/>
    <col min="12293" max="12293" width="15.28515625" style="2177" customWidth="1"/>
    <col min="12294" max="12294" width="15.85546875" style="2177" customWidth="1"/>
    <col min="12295" max="12295" width="17" style="2177" bestFit="1" customWidth="1"/>
    <col min="12296" max="12296" width="12.7109375" style="2177" customWidth="1"/>
    <col min="12297" max="12297" width="13.7109375" style="2177" customWidth="1"/>
    <col min="12298" max="12298" width="13.85546875" style="2177" bestFit="1" customWidth="1"/>
    <col min="12299" max="12299" width="15.5703125" style="2177" bestFit="1" customWidth="1"/>
    <col min="12300" max="12300" width="16.140625" style="2177" customWidth="1"/>
    <col min="12301" max="12301" width="16.7109375" style="2177" bestFit="1" customWidth="1"/>
    <col min="12302" max="12303" width="15.5703125" style="2177" bestFit="1" customWidth="1"/>
    <col min="12304" max="12304" width="16.42578125" style="2177" bestFit="1" customWidth="1"/>
    <col min="12305" max="12305" width="14.28515625" style="2177" customWidth="1"/>
    <col min="12306" max="12306" width="12.85546875" style="2177" bestFit="1" customWidth="1"/>
    <col min="12307" max="12307" width="11.28515625" style="2177" bestFit="1" customWidth="1"/>
    <col min="12308" max="12308" width="12.5703125" style="2177" bestFit="1" customWidth="1"/>
    <col min="12309" max="12309" width="14" style="2177" bestFit="1" customWidth="1"/>
    <col min="12310" max="12310" width="6" style="2177" bestFit="1" customWidth="1"/>
    <col min="12311" max="12311" width="15" style="2177" customWidth="1"/>
    <col min="12312" max="12312" width="14.85546875" style="2177" bestFit="1" customWidth="1"/>
    <col min="12313" max="12313" width="16.140625" style="2177" bestFit="1" customWidth="1"/>
    <col min="12314" max="12540" width="9.140625" style="2177"/>
    <col min="12541" max="12541" width="24" style="2177" bestFit="1" customWidth="1"/>
    <col min="12542" max="12542" width="45.7109375" style="2177" bestFit="1" customWidth="1"/>
    <col min="12543" max="12543" width="19.7109375" style="2177" bestFit="1" customWidth="1"/>
    <col min="12544" max="12544" width="11.42578125" style="2177" bestFit="1" customWidth="1"/>
    <col min="12545" max="12545" width="19.85546875" style="2177" bestFit="1" customWidth="1"/>
    <col min="12546" max="12546" width="13.42578125" style="2177" customWidth="1"/>
    <col min="12547" max="12547" width="15.28515625" style="2177" bestFit="1" customWidth="1"/>
    <col min="12548" max="12548" width="14.140625" style="2177" bestFit="1" customWidth="1"/>
    <col min="12549" max="12549" width="15.28515625" style="2177" customWidth="1"/>
    <col min="12550" max="12550" width="15.85546875" style="2177" customWidth="1"/>
    <col min="12551" max="12551" width="17" style="2177" bestFit="1" customWidth="1"/>
    <col min="12552" max="12552" width="12.7109375" style="2177" customWidth="1"/>
    <col min="12553" max="12553" width="13.7109375" style="2177" customWidth="1"/>
    <col min="12554" max="12554" width="13.85546875" style="2177" bestFit="1" customWidth="1"/>
    <col min="12555" max="12555" width="15.5703125" style="2177" bestFit="1" customWidth="1"/>
    <col min="12556" max="12556" width="16.140625" style="2177" customWidth="1"/>
    <col min="12557" max="12557" width="16.7109375" style="2177" bestFit="1" customWidth="1"/>
    <col min="12558" max="12559" width="15.5703125" style="2177" bestFit="1" customWidth="1"/>
    <col min="12560" max="12560" width="16.42578125" style="2177" bestFit="1" customWidth="1"/>
    <col min="12561" max="12561" width="14.28515625" style="2177" customWidth="1"/>
    <col min="12562" max="12562" width="12.85546875" style="2177" bestFit="1" customWidth="1"/>
    <col min="12563" max="12563" width="11.28515625" style="2177" bestFit="1" customWidth="1"/>
    <col min="12564" max="12564" width="12.5703125" style="2177" bestFit="1" customWidth="1"/>
    <col min="12565" max="12565" width="14" style="2177" bestFit="1" customWidth="1"/>
    <col min="12566" max="12566" width="6" style="2177" bestFit="1" customWidth="1"/>
    <col min="12567" max="12567" width="15" style="2177" customWidth="1"/>
    <col min="12568" max="12568" width="14.85546875" style="2177" bestFit="1" customWidth="1"/>
    <col min="12569" max="12569" width="16.140625" style="2177" bestFit="1" customWidth="1"/>
    <col min="12570" max="12796" width="9.140625" style="2177"/>
    <col min="12797" max="12797" width="24" style="2177" bestFit="1" customWidth="1"/>
    <col min="12798" max="12798" width="45.7109375" style="2177" bestFit="1" customWidth="1"/>
    <col min="12799" max="12799" width="19.7109375" style="2177" bestFit="1" customWidth="1"/>
    <col min="12800" max="12800" width="11.42578125" style="2177" bestFit="1" customWidth="1"/>
    <col min="12801" max="12801" width="19.85546875" style="2177" bestFit="1" customWidth="1"/>
    <col min="12802" max="12802" width="13.42578125" style="2177" customWidth="1"/>
    <col min="12803" max="12803" width="15.28515625" style="2177" bestFit="1" customWidth="1"/>
    <col min="12804" max="12804" width="14.140625" style="2177" bestFit="1" customWidth="1"/>
    <col min="12805" max="12805" width="15.28515625" style="2177" customWidth="1"/>
    <col min="12806" max="12806" width="15.85546875" style="2177" customWidth="1"/>
    <col min="12807" max="12807" width="17" style="2177" bestFit="1" customWidth="1"/>
    <col min="12808" max="12808" width="12.7109375" style="2177" customWidth="1"/>
    <col min="12809" max="12809" width="13.7109375" style="2177" customWidth="1"/>
    <col min="12810" max="12810" width="13.85546875" style="2177" bestFit="1" customWidth="1"/>
    <col min="12811" max="12811" width="15.5703125" style="2177" bestFit="1" customWidth="1"/>
    <col min="12812" max="12812" width="16.140625" style="2177" customWidth="1"/>
    <col min="12813" max="12813" width="16.7109375" style="2177" bestFit="1" customWidth="1"/>
    <col min="12814" max="12815" width="15.5703125" style="2177" bestFit="1" customWidth="1"/>
    <col min="12816" max="12816" width="16.42578125" style="2177" bestFit="1" customWidth="1"/>
    <col min="12817" max="12817" width="14.28515625" style="2177" customWidth="1"/>
    <col min="12818" max="12818" width="12.85546875" style="2177" bestFit="1" customWidth="1"/>
    <col min="12819" max="12819" width="11.28515625" style="2177" bestFit="1" customWidth="1"/>
    <col min="12820" max="12820" width="12.5703125" style="2177" bestFit="1" customWidth="1"/>
    <col min="12821" max="12821" width="14" style="2177" bestFit="1" customWidth="1"/>
    <col min="12822" max="12822" width="6" style="2177" bestFit="1" customWidth="1"/>
    <col min="12823" max="12823" width="15" style="2177" customWidth="1"/>
    <col min="12824" max="12824" width="14.85546875" style="2177" bestFit="1" customWidth="1"/>
    <col min="12825" max="12825" width="16.140625" style="2177" bestFit="1" customWidth="1"/>
    <col min="12826" max="13052" width="9.140625" style="2177"/>
    <col min="13053" max="13053" width="24" style="2177" bestFit="1" customWidth="1"/>
    <col min="13054" max="13054" width="45.7109375" style="2177" bestFit="1" customWidth="1"/>
    <col min="13055" max="13055" width="19.7109375" style="2177" bestFit="1" customWidth="1"/>
    <col min="13056" max="13056" width="11.42578125" style="2177" bestFit="1" customWidth="1"/>
    <col min="13057" max="13057" width="19.85546875" style="2177" bestFit="1" customWidth="1"/>
    <col min="13058" max="13058" width="13.42578125" style="2177" customWidth="1"/>
    <col min="13059" max="13059" width="15.28515625" style="2177" bestFit="1" customWidth="1"/>
    <col min="13060" max="13060" width="14.140625" style="2177" bestFit="1" customWidth="1"/>
    <col min="13061" max="13061" width="15.28515625" style="2177" customWidth="1"/>
    <col min="13062" max="13062" width="15.85546875" style="2177" customWidth="1"/>
    <col min="13063" max="13063" width="17" style="2177" bestFit="1" customWidth="1"/>
    <col min="13064" max="13064" width="12.7109375" style="2177" customWidth="1"/>
    <col min="13065" max="13065" width="13.7109375" style="2177" customWidth="1"/>
    <col min="13066" max="13066" width="13.85546875" style="2177" bestFit="1" customWidth="1"/>
    <col min="13067" max="13067" width="15.5703125" style="2177" bestFit="1" customWidth="1"/>
    <col min="13068" max="13068" width="16.140625" style="2177" customWidth="1"/>
    <col min="13069" max="13069" width="16.7109375" style="2177" bestFit="1" customWidth="1"/>
    <col min="13070" max="13071" width="15.5703125" style="2177" bestFit="1" customWidth="1"/>
    <col min="13072" max="13072" width="16.42578125" style="2177" bestFit="1" customWidth="1"/>
    <col min="13073" max="13073" width="14.28515625" style="2177" customWidth="1"/>
    <col min="13074" max="13074" width="12.85546875" style="2177" bestFit="1" customWidth="1"/>
    <col min="13075" max="13075" width="11.28515625" style="2177" bestFit="1" customWidth="1"/>
    <col min="13076" max="13076" width="12.5703125" style="2177" bestFit="1" customWidth="1"/>
    <col min="13077" max="13077" width="14" style="2177" bestFit="1" customWidth="1"/>
    <col min="13078" max="13078" width="6" style="2177" bestFit="1" customWidth="1"/>
    <col min="13079" max="13079" width="15" style="2177" customWidth="1"/>
    <col min="13080" max="13080" width="14.85546875" style="2177" bestFit="1" customWidth="1"/>
    <col min="13081" max="13081" width="16.140625" style="2177" bestFit="1" customWidth="1"/>
    <col min="13082" max="13308" width="9.140625" style="2177"/>
    <col min="13309" max="13309" width="24" style="2177" bestFit="1" customWidth="1"/>
    <col min="13310" max="13310" width="45.7109375" style="2177" bestFit="1" customWidth="1"/>
    <col min="13311" max="13311" width="19.7109375" style="2177" bestFit="1" customWidth="1"/>
    <col min="13312" max="13312" width="11.42578125" style="2177" bestFit="1" customWidth="1"/>
    <col min="13313" max="13313" width="19.85546875" style="2177" bestFit="1" customWidth="1"/>
    <col min="13314" max="13314" width="13.42578125" style="2177" customWidth="1"/>
    <col min="13315" max="13315" width="15.28515625" style="2177" bestFit="1" customWidth="1"/>
    <col min="13316" max="13316" width="14.140625" style="2177" bestFit="1" customWidth="1"/>
    <col min="13317" max="13317" width="15.28515625" style="2177" customWidth="1"/>
    <col min="13318" max="13318" width="15.85546875" style="2177" customWidth="1"/>
    <col min="13319" max="13319" width="17" style="2177" bestFit="1" customWidth="1"/>
    <col min="13320" max="13320" width="12.7109375" style="2177" customWidth="1"/>
    <col min="13321" max="13321" width="13.7109375" style="2177" customWidth="1"/>
    <col min="13322" max="13322" width="13.85546875" style="2177" bestFit="1" customWidth="1"/>
    <col min="13323" max="13323" width="15.5703125" style="2177" bestFit="1" customWidth="1"/>
    <col min="13324" max="13324" width="16.140625" style="2177" customWidth="1"/>
    <col min="13325" max="13325" width="16.7109375" style="2177" bestFit="1" customWidth="1"/>
    <col min="13326" max="13327" width="15.5703125" style="2177" bestFit="1" customWidth="1"/>
    <col min="13328" max="13328" width="16.42578125" style="2177" bestFit="1" customWidth="1"/>
    <col min="13329" max="13329" width="14.28515625" style="2177" customWidth="1"/>
    <col min="13330" max="13330" width="12.85546875" style="2177" bestFit="1" customWidth="1"/>
    <col min="13331" max="13331" width="11.28515625" style="2177" bestFit="1" customWidth="1"/>
    <col min="13332" max="13332" width="12.5703125" style="2177" bestFit="1" customWidth="1"/>
    <col min="13333" max="13333" width="14" style="2177" bestFit="1" customWidth="1"/>
    <col min="13334" max="13334" width="6" style="2177" bestFit="1" customWidth="1"/>
    <col min="13335" max="13335" width="15" style="2177" customWidth="1"/>
    <col min="13336" max="13336" width="14.85546875" style="2177" bestFit="1" customWidth="1"/>
    <col min="13337" max="13337" width="16.140625" style="2177" bestFit="1" customWidth="1"/>
    <col min="13338" max="13564" width="9.140625" style="2177"/>
    <col min="13565" max="13565" width="24" style="2177" bestFit="1" customWidth="1"/>
    <col min="13566" max="13566" width="45.7109375" style="2177" bestFit="1" customWidth="1"/>
    <col min="13567" max="13567" width="19.7109375" style="2177" bestFit="1" customWidth="1"/>
    <col min="13568" max="13568" width="11.42578125" style="2177" bestFit="1" customWidth="1"/>
    <col min="13569" max="13569" width="19.85546875" style="2177" bestFit="1" customWidth="1"/>
    <col min="13570" max="13570" width="13.42578125" style="2177" customWidth="1"/>
    <col min="13571" max="13571" width="15.28515625" style="2177" bestFit="1" customWidth="1"/>
    <col min="13572" max="13572" width="14.140625" style="2177" bestFit="1" customWidth="1"/>
    <col min="13573" max="13573" width="15.28515625" style="2177" customWidth="1"/>
    <col min="13574" max="13574" width="15.85546875" style="2177" customWidth="1"/>
    <col min="13575" max="13575" width="17" style="2177" bestFit="1" customWidth="1"/>
    <col min="13576" max="13576" width="12.7109375" style="2177" customWidth="1"/>
    <col min="13577" max="13577" width="13.7109375" style="2177" customWidth="1"/>
    <col min="13578" max="13578" width="13.85546875" style="2177" bestFit="1" customWidth="1"/>
    <col min="13579" max="13579" width="15.5703125" style="2177" bestFit="1" customWidth="1"/>
    <col min="13580" max="13580" width="16.140625" style="2177" customWidth="1"/>
    <col min="13581" max="13581" width="16.7109375" style="2177" bestFit="1" customWidth="1"/>
    <col min="13582" max="13583" width="15.5703125" style="2177" bestFit="1" customWidth="1"/>
    <col min="13584" max="13584" width="16.42578125" style="2177" bestFit="1" customWidth="1"/>
    <col min="13585" max="13585" width="14.28515625" style="2177" customWidth="1"/>
    <col min="13586" max="13586" width="12.85546875" style="2177" bestFit="1" customWidth="1"/>
    <col min="13587" max="13587" width="11.28515625" style="2177" bestFit="1" customWidth="1"/>
    <col min="13588" max="13588" width="12.5703125" style="2177" bestFit="1" customWidth="1"/>
    <col min="13589" max="13589" width="14" style="2177" bestFit="1" customWidth="1"/>
    <col min="13590" max="13590" width="6" style="2177" bestFit="1" customWidth="1"/>
    <col min="13591" max="13591" width="15" style="2177" customWidth="1"/>
    <col min="13592" max="13592" width="14.85546875" style="2177" bestFit="1" customWidth="1"/>
    <col min="13593" max="13593" width="16.140625" style="2177" bestFit="1" customWidth="1"/>
    <col min="13594" max="13820" width="9.140625" style="2177"/>
    <col min="13821" max="13821" width="24" style="2177" bestFit="1" customWidth="1"/>
    <col min="13822" max="13822" width="45.7109375" style="2177" bestFit="1" customWidth="1"/>
    <col min="13823" max="13823" width="19.7109375" style="2177" bestFit="1" customWidth="1"/>
    <col min="13824" max="13824" width="11.42578125" style="2177" bestFit="1" customWidth="1"/>
    <col min="13825" max="13825" width="19.85546875" style="2177" bestFit="1" customWidth="1"/>
    <col min="13826" max="13826" width="13.42578125" style="2177" customWidth="1"/>
    <col min="13827" max="13827" width="15.28515625" style="2177" bestFit="1" customWidth="1"/>
    <col min="13828" max="13828" width="14.140625" style="2177" bestFit="1" customWidth="1"/>
    <col min="13829" max="13829" width="15.28515625" style="2177" customWidth="1"/>
    <col min="13830" max="13830" width="15.85546875" style="2177" customWidth="1"/>
    <col min="13831" max="13831" width="17" style="2177" bestFit="1" customWidth="1"/>
    <col min="13832" max="13832" width="12.7109375" style="2177" customWidth="1"/>
    <col min="13833" max="13833" width="13.7109375" style="2177" customWidth="1"/>
    <col min="13834" max="13834" width="13.85546875" style="2177" bestFit="1" customWidth="1"/>
    <col min="13835" max="13835" width="15.5703125" style="2177" bestFit="1" customWidth="1"/>
    <col min="13836" max="13836" width="16.140625" style="2177" customWidth="1"/>
    <col min="13837" max="13837" width="16.7109375" style="2177" bestFit="1" customWidth="1"/>
    <col min="13838" max="13839" width="15.5703125" style="2177" bestFit="1" customWidth="1"/>
    <col min="13840" max="13840" width="16.42578125" style="2177" bestFit="1" customWidth="1"/>
    <col min="13841" max="13841" width="14.28515625" style="2177" customWidth="1"/>
    <col min="13842" max="13842" width="12.85546875" style="2177" bestFit="1" customWidth="1"/>
    <col min="13843" max="13843" width="11.28515625" style="2177" bestFit="1" customWidth="1"/>
    <col min="13844" max="13844" width="12.5703125" style="2177" bestFit="1" customWidth="1"/>
    <col min="13845" max="13845" width="14" style="2177" bestFit="1" customWidth="1"/>
    <col min="13846" max="13846" width="6" style="2177" bestFit="1" customWidth="1"/>
    <col min="13847" max="13847" width="15" style="2177" customWidth="1"/>
    <col min="13848" max="13848" width="14.85546875" style="2177" bestFit="1" customWidth="1"/>
    <col min="13849" max="13849" width="16.140625" style="2177" bestFit="1" customWidth="1"/>
    <col min="13850" max="14076" width="9.140625" style="2177"/>
    <col min="14077" max="14077" width="24" style="2177" bestFit="1" customWidth="1"/>
    <col min="14078" max="14078" width="45.7109375" style="2177" bestFit="1" customWidth="1"/>
    <col min="14079" max="14079" width="19.7109375" style="2177" bestFit="1" customWidth="1"/>
    <col min="14080" max="14080" width="11.42578125" style="2177" bestFit="1" customWidth="1"/>
    <col min="14081" max="14081" width="19.85546875" style="2177" bestFit="1" customWidth="1"/>
    <col min="14082" max="14082" width="13.42578125" style="2177" customWidth="1"/>
    <col min="14083" max="14083" width="15.28515625" style="2177" bestFit="1" customWidth="1"/>
    <col min="14084" max="14084" width="14.140625" style="2177" bestFit="1" customWidth="1"/>
    <col min="14085" max="14085" width="15.28515625" style="2177" customWidth="1"/>
    <col min="14086" max="14086" width="15.85546875" style="2177" customWidth="1"/>
    <col min="14087" max="14087" width="17" style="2177" bestFit="1" customWidth="1"/>
    <col min="14088" max="14088" width="12.7109375" style="2177" customWidth="1"/>
    <col min="14089" max="14089" width="13.7109375" style="2177" customWidth="1"/>
    <col min="14090" max="14090" width="13.85546875" style="2177" bestFit="1" customWidth="1"/>
    <col min="14091" max="14091" width="15.5703125" style="2177" bestFit="1" customWidth="1"/>
    <col min="14092" max="14092" width="16.140625" style="2177" customWidth="1"/>
    <col min="14093" max="14093" width="16.7109375" style="2177" bestFit="1" customWidth="1"/>
    <col min="14094" max="14095" width="15.5703125" style="2177" bestFit="1" customWidth="1"/>
    <col min="14096" max="14096" width="16.42578125" style="2177" bestFit="1" customWidth="1"/>
    <col min="14097" max="14097" width="14.28515625" style="2177" customWidth="1"/>
    <col min="14098" max="14098" width="12.85546875" style="2177" bestFit="1" customWidth="1"/>
    <col min="14099" max="14099" width="11.28515625" style="2177" bestFit="1" customWidth="1"/>
    <col min="14100" max="14100" width="12.5703125" style="2177" bestFit="1" customWidth="1"/>
    <col min="14101" max="14101" width="14" style="2177" bestFit="1" customWidth="1"/>
    <col min="14102" max="14102" width="6" style="2177" bestFit="1" customWidth="1"/>
    <col min="14103" max="14103" width="15" style="2177" customWidth="1"/>
    <col min="14104" max="14104" width="14.85546875" style="2177" bestFit="1" customWidth="1"/>
    <col min="14105" max="14105" width="16.140625" style="2177" bestFit="1" customWidth="1"/>
    <col min="14106" max="14332" width="9.140625" style="2177"/>
    <col min="14333" max="14333" width="24" style="2177" bestFit="1" customWidth="1"/>
    <col min="14334" max="14334" width="45.7109375" style="2177" bestFit="1" customWidth="1"/>
    <col min="14335" max="14335" width="19.7109375" style="2177" bestFit="1" customWidth="1"/>
    <col min="14336" max="14336" width="11.42578125" style="2177" bestFit="1" customWidth="1"/>
    <col min="14337" max="14337" width="19.85546875" style="2177" bestFit="1" customWidth="1"/>
    <col min="14338" max="14338" width="13.42578125" style="2177" customWidth="1"/>
    <col min="14339" max="14339" width="15.28515625" style="2177" bestFit="1" customWidth="1"/>
    <col min="14340" max="14340" width="14.140625" style="2177" bestFit="1" customWidth="1"/>
    <col min="14341" max="14341" width="15.28515625" style="2177" customWidth="1"/>
    <col min="14342" max="14342" width="15.85546875" style="2177" customWidth="1"/>
    <col min="14343" max="14343" width="17" style="2177" bestFit="1" customWidth="1"/>
    <col min="14344" max="14344" width="12.7109375" style="2177" customWidth="1"/>
    <col min="14345" max="14345" width="13.7109375" style="2177" customWidth="1"/>
    <col min="14346" max="14346" width="13.85546875" style="2177" bestFit="1" customWidth="1"/>
    <col min="14347" max="14347" width="15.5703125" style="2177" bestFit="1" customWidth="1"/>
    <col min="14348" max="14348" width="16.140625" style="2177" customWidth="1"/>
    <col min="14349" max="14349" width="16.7109375" style="2177" bestFit="1" customWidth="1"/>
    <col min="14350" max="14351" width="15.5703125" style="2177" bestFit="1" customWidth="1"/>
    <col min="14352" max="14352" width="16.42578125" style="2177" bestFit="1" customWidth="1"/>
    <col min="14353" max="14353" width="14.28515625" style="2177" customWidth="1"/>
    <col min="14354" max="14354" width="12.85546875" style="2177" bestFit="1" customWidth="1"/>
    <col min="14355" max="14355" width="11.28515625" style="2177" bestFit="1" customWidth="1"/>
    <col min="14356" max="14356" width="12.5703125" style="2177" bestFit="1" customWidth="1"/>
    <col min="14357" max="14357" width="14" style="2177" bestFit="1" customWidth="1"/>
    <col min="14358" max="14358" width="6" style="2177" bestFit="1" customWidth="1"/>
    <col min="14359" max="14359" width="15" style="2177" customWidth="1"/>
    <col min="14360" max="14360" width="14.85546875" style="2177" bestFit="1" customWidth="1"/>
    <col min="14361" max="14361" width="16.140625" style="2177" bestFit="1" customWidth="1"/>
    <col min="14362" max="14588" width="9.140625" style="2177"/>
    <col min="14589" max="14589" width="24" style="2177" bestFit="1" customWidth="1"/>
    <col min="14590" max="14590" width="45.7109375" style="2177" bestFit="1" customWidth="1"/>
    <col min="14591" max="14591" width="19.7109375" style="2177" bestFit="1" customWidth="1"/>
    <col min="14592" max="14592" width="11.42578125" style="2177" bestFit="1" customWidth="1"/>
    <col min="14593" max="14593" width="19.85546875" style="2177" bestFit="1" customWidth="1"/>
    <col min="14594" max="14594" width="13.42578125" style="2177" customWidth="1"/>
    <col min="14595" max="14595" width="15.28515625" style="2177" bestFit="1" customWidth="1"/>
    <col min="14596" max="14596" width="14.140625" style="2177" bestFit="1" customWidth="1"/>
    <col min="14597" max="14597" width="15.28515625" style="2177" customWidth="1"/>
    <col min="14598" max="14598" width="15.85546875" style="2177" customWidth="1"/>
    <col min="14599" max="14599" width="17" style="2177" bestFit="1" customWidth="1"/>
    <col min="14600" max="14600" width="12.7109375" style="2177" customWidth="1"/>
    <col min="14601" max="14601" width="13.7109375" style="2177" customWidth="1"/>
    <col min="14602" max="14602" width="13.85546875" style="2177" bestFit="1" customWidth="1"/>
    <col min="14603" max="14603" width="15.5703125" style="2177" bestFit="1" customWidth="1"/>
    <col min="14604" max="14604" width="16.140625" style="2177" customWidth="1"/>
    <col min="14605" max="14605" width="16.7109375" style="2177" bestFit="1" customWidth="1"/>
    <col min="14606" max="14607" width="15.5703125" style="2177" bestFit="1" customWidth="1"/>
    <col min="14608" max="14608" width="16.42578125" style="2177" bestFit="1" customWidth="1"/>
    <col min="14609" max="14609" width="14.28515625" style="2177" customWidth="1"/>
    <col min="14610" max="14610" width="12.85546875" style="2177" bestFit="1" customWidth="1"/>
    <col min="14611" max="14611" width="11.28515625" style="2177" bestFit="1" customWidth="1"/>
    <col min="14612" max="14612" width="12.5703125" style="2177" bestFit="1" customWidth="1"/>
    <col min="14613" max="14613" width="14" style="2177" bestFit="1" customWidth="1"/>
    <col min="14614" max="14614" width="6" style="2177" bestFit="1" customWidth="1"/>
    <col min="14615" max="14615" width="15" style="2177" customWidth="1"/>
    <col min="14616" max="14616" width="14.85546875" style="2177" bestFit="1" customWidth="1"/>
    <col min="14617" max="14617" width="16.140625" style="2177" bestFit="1" customWidth="1"/>
    <col min="14618" max="14844" width="9.140625" style="2177"/>
    <col min="14845" max="14845" width="24" style="2177" bestFit="1" customWidth="1"/>
    <col min="14846" max="14846" width="45.7109375" style="2177" bestFit="1" customWidth="1"/>
    <col min="14847" max="14847" width="19.7109375" style="2177" bestFit="1" customWidth="1"/>
    <col min="14848" max="14848" width="11.42578125" style="2177" bestFit="1" customWidth="1"/>
    <col min="14849" max="14849" width="19.85546875" style="2177" bestFit="1" customWidth="1"/>
    <col min="14850" max="14850" width="13.42578125" style="2177" customWidth="1"/>
    <col min="14851" max="14851" width="15.28515625" style="2177" bestFit="1" customWidth="1"/>
    <col min="14852" max="14852" width="14.140625" style="2177" bestFit="1" customWidth="1"/>
    <col min="14853" max="14853" width="15.28515625" style="2177" customWidth="1"/>
    <col min="14854" max="14854" width="15.85546875" style="2177" customWidth="1"/>
    <col min="14855" max="14855" width="17" style="2177" bestFit="1" customWidth="1"/>
    <col min="14856" max="14856" width="12.7109375" style="2177" customWidth="1"/>
    <col min="14857" max="14857" width="13.7109375" style="2177" customWidth="1"/>
    <col min="14858" max="14858" width="13.85546875" style="2177" bestFit="1" customWidth="1"/>
    <col min="14859" max="14859" width="15.5703125" style="2177" bestFit="1" customWidth="1"/>
    <col min="14860" max="14860" width="16.140625" style="2177" customWidth="1"/>
    <col min="14861" max="14861" width="16.7109375" style="2177" bestFit="1" customWidth="1"/>
    <col min="14862" max="14863" width="15.5703125" style="2177" bestFit="1" customWidth="1"/>
    <col min="14864" max="14864" width="16.42578125" style="2177" bestFit="1" customWidth="1"/>
    <col min="14865" max="14865" width="14.28515625" style="2177" customWidth="1"/>
    <col min="14866" max="14866" width="12.85546875" style="2177" bestFit="1" customWidth="1"/>
    <col min="14867" max="14867" width="11.28515625" style="2177" bestFit="1" customWidth="1"/>
    <col min="14868" max="14868" width="12.5703125" style="2177" bestFit="1" customWidth="1"/>
    <col min="14869" max="14869" width="14" style="2177" bestFit="1" customWidth="1"/>
    <col min="14870" max="14870" width="6" style="2177" bestFit="1" customWidth="1"/>
    <col min="14871" max="14871" width="15" style="2177" customWidth="1"/>
    <col min="14872" max="14872" width="14.85546875" style="2177" bestFit="1" customWidth="1"/>
    <col min="14873" max="14873" width="16.140625" style="2177" bestFit="1" customWidth="1"/>
    <col min="14874" max="15100" width="9.140625" style="2177"/>
    <col min="15101" max="15101" width="24" style="2177" bestFit="1" customWidth="1"/>
    <col min="15102" max="15102" width="45.7109375" style="2177" bestFit="1" customWidth="1"/>
    <col min="15103" max="15103" width="19.7109375" style="2177" bestFit="1" customWidth="1"/>
    <col min="15104" max="15104" width="11.42578125" style="2177" bestFit="1" customWidth="1"/>
    <col min="15105" max="15105" width="19.85546875" style="2177" bestFit="1" customWidth="1"/>
    <col min="15106" max="15106" width="13.42578125" style="2177" customWidth="1"/>
    <col min="15107" max="15107" width="15.28515625" style="2177" bestFit="1" customWidth="1"/>
    <col min="15108" max="15108" width="14.140625" style="2177" bestFit="1" customWidth="1"/>
    <col min="15109" max="15109" width="15.28515625" style="2177" customWidth="1"/>
    <col min="15110" max="15110" width="15.85546875" style="2177" customWidth="1"/>
    <col min="15111" max="15111" width="17" style="2177" bestFit="1" customWidth="1"/>
    <col min="15112" max="15112" width="12.7109375" style="2177" customWidth="1"/>
    <col min="15113" max="15113" width="13.7109375" style="2177" customWidth="1"/>
    <col min="15114" max="15114" width="13.85546875" style="2177" bestFit="1" customWidth="1"/>
    <col min="15115" max="15115" width="15.5703125" style="2177" bestFit="1" customWidth="1"/>
    <col min="15116" max="15116" width="16.140625" style="2177" customWidth="1"/>
    <col min="15117" max="15117" width="16.7109375" style="2177" bestFit="1" customWidth="1"/>
    <col min="15118" max="15119" width="15.5703125" style="2177" bestFit="1" customWidth="1"/>
    <col min="15120" max="15120" width="16.42578125" style="2177" bestFit="1" customWidth="1"/>
    <col min="15121" max="15121" width="14.28515625" style="2177" customWidth="1"/>
    <col min="15122" max="15122" width="12.85546875" style="2177" bestFit="1" customWidth="1"/>
    <col min="15123" max="15123" width="11.28515625" style="2177" bestFit="1" customWidth="1"/>
    <col min="15124" max="15124" width="12.5703125" style="2177" bestFit="1" customWidth="1"/>
    <col min="15125" max="15125" width="14" style="2177" bestFit="1" customWidth="1"/>
    <col min="15126" max="15126" width="6" style="2177" bestFit="1" customWidth="1"/>
    <col min="15127" max="15127" width="15" style="2177" customWidth="1"/>
    <col min="15128" max="15128" width="14.85546875" style="2177" bestFit="1" customWidth="1"/>
    <col min="15129" max="15129" width="16.140625" style="2177" bestFit="1" customWidth="1"/>
    <col min="15130" max="15356" width="9.140625" style="2177"/>
    <col min="15357" max="15357" width="24" style="2177" bestFit="1" customWidth="1"/>
    <col min="15358" max="15358" width="45.7109375" style="2177" bestFit="1" customWidth="1"/>
    <col min="15359" max="15359" width="19.7109375" style="2177" bestFit="1" customWidth="1"/>
    <col min="15360" max="15360" width="11.42578125" style="2177" bestFit="1" customWidth="1"/>
    <col min="15361" max="15361" width="19.85546875" style="2177" bestFit="1" customWidth="1"/>
    <col min="15362" max="15362" width="13.42578125" style="2177" customWidth="1"/>
    <col min="15363" max="15363" width="15.28515625" style="2177" bestFit="1" customWidth="1"/>
    <col min="15364" max="15364" width="14.140625" style="2177" bestFit="1" customWidth="1"/>
    <col min="15365" max="15365" width="15.28515625" style="2177" customWidth="1"/>
    <col min="15366" max="15366" width="15.85546875" style="2177" customWidth="1"/>
    <col min="15367" max="15367" width="17" style="2177" bestFit="1" customWidth="1"/>
    <col min="15368" max="15368" width="12.7109375" style="2177" customWidth="1"/>
    <col min="15369" max="15369" width="13.7109375" style="2177" customWidth="1"/>
    <col min="15370" max="15370" width="13.85546875" style="2177" bestFit="1" customWidth="1"/>
    <col min="15371" max="15371" width="15.5703125" style="2177" bestFit="1" customWidth="1"/>
    <col min="15372" max="15372" width="16.140625" style="2177" customWidth="1"/>
    <col min="15373" max="15373" width="16.7109375" style="2177" bestFit="1" customWidth="1"/>
    <col min="15374" max="15375" width="15.5703125" style="2177" bestFit="1" customWidth="1"/>
    <col min="15376" max="15376" width="16.42578125" style="2177" bestFit="1" customWidth="1"/>
    <col min="15377" max="15377" width="14.28515625" style="2177" customWidth="1"/>
    <col min="15378" max="15378" width="12.85546875" style="2177" bestFit="1" customWidth="1"/>
    <col min="15379" max="15379" width="11.28515625" style="2177" bestFit="1" customWidth="1"/>
    <col min="15380" max="15380" width="12.5703125" style="2177" bestFit="1" customWidth="1"/>
    <col min="15381" max="15381" width="14" style="2177" bestFit="1" customWidth="1"/>
    <col min="15382" max="15382" width="6" style="2177" bestFit="1" customWidth="1"/>
    <col min="15383" max="15383" width="15" style="2177" customWidth="1"/>
    <col min="15384" max="15384" width="14.85546875" style="2177" bestFit="1" customWidth="1"/>
    <col min="15385" max="15385" width="16.140625" style="2177" bestFit="1" customWidth="1"/>
    <col min="15386" max="15612" width="9.140625" style="2177"/>
    <col min="15613" max="15613" width="24" style="2177" bestFit="1" customWidth="1"/>
    <col min="15614" max="15614" width="45.7109375" style="2177" bestFit="1" customWidth="1"/>
    <col min="15615" max="15615" width="19.7109375" style="2177" bestFit="1" customWidth="1"/>
    <col min="15616" max="15616" width="11.42578125" style="2177" bestFit="1" customWidth="1"/>
    <col min="15617" max="15617" width="19.85546875" style="2177" bestFit="1" customWidth="1"/>
    <col min="15618" max="15618" width="13.42578125" style="2177" customWidth="1"/>
    <col min="15619" max="15619" width="15.28515625" style="2177" bestFit="1" customWidth="1"/>
    <col min="15620" max="15620" width="14.140625" style="2177" bestFit="1" customWidth="1"/>
    <col min="15621" max="15621" width="15.28515625" style="2177" customWidth="1"/>
    <col min="15622" max="15622" width="15.85546875" style="2177" customWidth="1"/>
    <col min="15623" max="15623" width="17" style="2177" bestFit="1" customWidth="1"/>
    <col min="15624" max="15624" width="12.7109375" style="2177" customWidth="1"/>
    <col min="15625" max="15625" width="13.7109375" style="2177" customWidth="1"/>
    <col min="15626" max="15626" width="13.85546875" style="2177" bestFit="1" customWidth="1"/>
    <col min="15627" max="15627" width="15.5703125" style="2177" bestFit="1" customWidth="1"/>
    <col min="15628" max="15628" width="16.140625" style="2177" customWidth="1"/>
    <col min="15629" max="15629" width="16.7109375" style="2177" bestFit="1" customWidth="1"/>
    <col min="15630" max="15631" width="15.5703125" style="2177" bestFit="1" customWidth="1"/>
    <col min="15632" max="15632" width="16.42578125" style="2177" bestFit="1" customWidth="1"/>
    <col min="15633" max="15633" width="14.28515625" style="2177" customWidth="1"/>
    <col min="15634" max="15634" width="12.85546875" style="2177" bestFit="1" customWidth="1"/>
    <col min="15635" max="15635" width="11.28515625" style="2177" bestFit="1" customWidth="1"/>
    <col min="15636" max="15636" width="12.5703125" style="2177" bestFit="1" customWidth="1"/>
    <col min="15637" max="15637" width="14" style="2177" bestFit="1" customWidth="1"/>
    <col min="15638" max="15638" width="6" style="2177" bestFit="1" customWidth="1"/>
    <col min="15639" max="15639" width="15" style="2177" customWidth="1"/>
    <col min="15640" max="15640" width="14.85546875" style="2177" bestFit="1" customWidth="1"/>
    <col min="15641" max="15641" width="16.140625" style="2177" bestFit="1" customWidth="1"/>
    <col min="15642" max="15868" width="9.140625" style="2177"/>
    <col min="15869" max="15869" width="24" style="2177" bestFit="1" customWidth="1"/>
    <col min="15870" max="15870" width="45.7109375" style="2177" bestFit="1" customWidth="1"/>
    <col min="15871" max="15871" width="19.7109375" style="2177" bestFit="1" customWidth="1"/>
    <col min="15872" max="15872" width="11.42578125" style="2177" bestFit="1" customWidth="1"/>
    <col min="15873" max="15873" width="19.85546875" style="2177" bestFit="1" customWidth="1"/>
    <col min="15874" max="15874" width="13.42578125" style="2177" customWidth="1"/>
    <col min="15875" max="15875" width="15.28515625" style="2177" bestFit="1" customWidth="1"/>
    <col min="15876" max="15876" width="14.140625" style="2177" bestFit="1" customWidth="1"/>
    <col min="15877" max="15877" width="15.28515625" style="2177" customWidth="1"/>
    <col min="15878" max="15878" width="15.85546875" style="2177" customWidth="1"/>
    <col min="15879" max="15879" width="17" style="2177" bestFit="1" customWidth="1"/>
    <col min="15880" max="15880" width="12.7109375" style="2177" customWidth="1"/>
    <col min="15881" max="15881" width="13.7109375" style="2177" customWidth="1"/>
    <col min="15882" max="15882" width="13.85546875" style="2177" bestFit="1" customWidth="1"/>
    <col min="15883" max="15883" width="15.5703125" style="2177" bestFit="1" customWidth="1"/>
    <col min="15884" max="15884" width="16.140625" style="2177" customWidth="1"/>
    <col min="15885" max="15885" width="16.7109375" style="2177" bestFit="1" customWidth="1"/>
    <col min="15886" max="15887" width="15.5703125" style="2177" bestFit="1" customWidth="1"/>
    <col min="15888" max="15888" width="16.42578125" style="2177" bestFit="1" customWidth="1"/>
    <col min="15889" max="15889" width="14.28515625" style="2177" customWidth="1"/>
    <col min="15890" max="15890" width="12.85546875" style="2177" bestFit="1" customWidth="1"/>
    <col min="15891" max="15891" width="11.28515625" style="2177" bestFit="1" customWidth="1"/>
    <col min="15892" max="15892" width="12.5703125" style="2177" bestFit="1" customWidth="1"/>
    <col min="15893" max="15893" width="14" style="2177" bestFit="1" customWidth="1"/>
    <col min="15894" max="15894" width="6" style="2177" bestFit="1" customWidth="1"/>
    <col min="15895" max="15895" width="15" style="2177" customWidth="1"/>
    <col min="15896" max="15896" width="14.85546875" style="2177" bestFit="1" customWidth="1"/>
    <col min="15897" max="15897" width="16.140625" style="2177" bestFit="1" customWidth="1"/>
    <col min="15898" max="16124" width="9.140625" style="2177"/>
    <col min="16125" max="16125" width="24" style="2177" bestFit="1" customWidth="1"/>
    <col min="16126" max="16126" width="45.7109375" style="2177" bestFit="1" customWidth="1"/>
    <col min="16127" max="16127" width="19.7109375" style="2177" bestFit="1" customWidth="1"/>
    <col min="16128" max="16128" width="11.42578125" style="2177" bestFit="1" customWidth="1"/>
    <col min="16129" max="16129" width="19.85546875" style="2177" bestFit="1" customWidth="1"/>
    <col min="16130" max="16130" width="13.42578125" style="2177" customWidth="1"/>
    <col min="16131" max="16131" width="15.28515625" style="2177" bestFit="1" customWidth="1"/>
    <col min="16132" max="16132" width="14.140625" style="2177" bestFit="1" customWidth="1"/>
    <col min="16133" max="16133" width="15.28515625" style="2177" customWidth="1"/>
    <col min="16134" max="16134" width="15.85546875" style="2177" customWidth="1"/>
    <col min="16135" max="16135" width="17" style="2177" bestFit="1" customWidth="1"/>
    <col min="16136" max="16136" width="12.7109375" style="2177" customWidth="1"/>
    <col min="16137" max="16137" width="13.7109375" style="2177" customWidth="1"/>
    <col min="16138" max="16138" width="13.85546875" style="2177" bestFit="1" customWidth="1"/>
    <col min="16139" max="16139" width="15.5703125" style="2177" bestFit="1" customWidth="1"/>
    <col min="16140" max="16140" width="16.140625" style="2177" customWidth="1"/>
    <col min="16141" max="16141" width="16.7109375" style="2177" bestFit="1" customWidth="1"/>
    <col min="16142" max="16143" width="15.5703125" style="2177" bestFit="1" customWidth="1"/>
    <col min="16144" max="16144" width="16.42578125" style="2177" bestFit="1" customWidth="1"/>
    <col min="16145" max="16145" width="14.28515625" style="2177" customWidth="1"/>
    <col min="16146" max="16146" width="12.85546875" style="2177" bestFit="1" customWidth="1"/>
    <col min="16147" max="16147" width="11.28515625" style="2177" bestFit="1" customWidth="1"/>
    <col min="16148" max="16148" width="12.5703125" style="2177" bestFit="1" customWidth="1"/>
    <col min="16149" max="16149" width="14" style="2177" bestFit="1" customWidth="1"/>
    <col min="16150" max="16150" width="6" style="2177" bestFit="1" customWidth="1"/>
    <col min="16151" max="16151" width="15" style="2177" customWidth="1"/>
    <col min="16152" max="16152" width="14.85546875" style="2177" bestFit="1" customWidth="1"/>
    <col min="16153" max="16153" width="16.140625" style="2177" bestFit="1" customWidth="1"/>
    <col min="16154" max="16384" width="9.140625" style="2177"/>
  </cols>
  <sheetData>
    <row r="1" spans="1:30" ht="54" customHeight="1" thickBot="1">
      <c r="C1" s="1853" t="s">
        <v>606</v>
      </c>
      <c r="D1" s="1812" t="s">
        <v>283</v>
      </c>
      <c r="E1" s="1853" t="s">
        <v>6</v>
      </c>
      <c r="F1" s="1853">
        <v>18230522</v>
      </c>
      <c r="G1" s="1853" t="s">
        <v>5</v>
      </c>
      <c r="J1" s="1812"/>
      <c r="K1" s="1812"/>
      <c r="L1" s="1812"/>
      <c r="M1" s="1853" t="s">
        <v>606</v>
      </c>
      <c r="N1" s="1812" t="s">
        <v>283</v>
      </c>
      <c r="O1" s="1853" t="s">
        <v>6</v>
      </c>
      <c r="P1" s="1853">
        <v>18230629</v>
      </c>
      <c r="Q1" s="1853" t="s">
        <v>5</v>
      </c>
      <c r="V1" s="1853" t="s">
        <v>77</v>
      </c>
      <c r="W1" s="1812" t="s">
        <v>283</v>
      </c>
      <c r="X1" s="1853" t="s">
        <v>6</v>
      </c>
      <c r="Y1" s="1853">
        <v>18230629</v>
      </c>
      <c r="Z1" s="1853" t="s">
        <v>5</v>
      </c>
    </row>
    <row r="2" spans="1:30" ht="16.5" thickBot="1">
      <c r="C2" s="1592"/>
      <c r="D2" s="1575"/>
      <c r="H2" s="1576" t="s">
        <v>674</v>
      </c>
      <c r="R2" s="3596"/>
      <c r="S2" s="3596"/>
      <c r="T2" s="3597" t="s">
        <v>36</v>
      </c>
      <c r="U2" s="3598"/>
      <c r="V2" s="3599"/>
      <c r="W2" s="3594" t="s">
        <v>37</v>
      </c>
      <c r="Z2" s="2177"/>
    </row>
    <row r="3" spans="1:30" ht="27.75" thickBot="1">
      <c r="A3" s="1852" t="s">
        <v>606</v>
      </c>
      <c r="B3" s="1852"/>
      <c r="C3" s="2715" t="s">
        <v>615</v>
      </c>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c r="Z3" s="2177"/>
    </row>
    <row r="4" spans="1:30" ht="16.5" thickBot="1">
      <c r="A4" s="2705" t="s">
        <v>283</v>
      </c>
      <c r="B4" s="2705"/>
      <c r="C4" s="1575"/>
      <c r="G4" s="1804" t="s">
        <v>668</v>
      </c>
      <c r="H4" s="2003">
        <v>57188</v>
      </c>
      <c r="I4" s="2002">
        <v>7000</v>
      </c>
      <c r="J4" s="2002">
        <v>45381</v>
      </c>
      <c r="K4" s="2002">
        <v>16200</v>
      </c>
      <c r="L4" s="2002">
        <v>2500</v>
      </c>
      <c r="M4" s="2002">
        <v>566124</v>
      </c>
      <c r="N4" s="2002">
        <v>1000</v>
      </c>
      <c r="O4" s="2002">
        <v>1000</v>
      </c>
      <c r="P4" s="2002">
        <v>430615</v>
      </c>
      <c r="Q4" s="2002">
        <v>0</v>
      </c>
      <c r="R4" s="2000">
        <v>1127007</v>
      </c>
      <c r="S4" s="1998">
        <v>3219475</v>
      </c>
      <c r="T4" s="1541">
        <f>P4/R4</f>
        <v>0.38208724524337473</v>
      </c>
      <c r="U4" s="1541">
        <f>(K4+(I4*1.63))/R4</f>
        <v>2.4498516868129479E-2</v>
      </c>
      <c r="V4" s="1541">
        <f>M4/R4</f>
        <v>0.50232518520293135</v>
      </c>
      <c r="W4" s="1539">
        <f>R4/S4</f>
        <v>0.35005924879056366</v>
      </c>
      <c r="Z4" s="2177"/>
    </row>
    <row r="5" spans="1:30" ht="16.5" thickBot="1">
      <c r="A5" s="1852" t="s">
        <v>6</v>
      </c>
      <c r="B5" s="1852"/>
      <c r="C5" s="1592"/>
      <c r="G5" s="1592">
        <v>2016</v>
      </c>
      <c r="H5" s="1582">
        <f>D15</f>
        <v>55594.8</v>
      </c>
      <c r="I5" s="1549">
        <f>D21</f>
        <v>8000.04</v>
      </c>
      <c r="J5" s="1549">
        <f>D27</f>
        <v>42417.758280000009</v>
      </c>
      <c r="K5" s="1549">
        <f>D34</f>
        <v>18827.400000000001</v>
      </c>
      <c r="L5" s="1549">
        <f>D40</f>
        <v>4000</v>
      </c>
      <c r="M5" s="1549">
        <f>D46</f>
        <v>422538</v>
      </c>
      <c r="N5" s="1549">
        <f>D52</f>
        <v>1000</v>
      </c>
      <c r="O5" s="1549">
        <f>D58</f>
        <v>2000</v>
      </c>
      <c r="P5" s="1549">
        <f>D64</f>
        <v>422521</v>
      </c>
      <c r="Q5" s="1549">
        <f>D65</f>
        <v>0</v>
      </c>
      <c r="R5" s="2001">
        <f>SUM(H5:Q5)</f>
        <v>976898.99827999994</v>
      </c>
      <c r="S5" s="1999">
        <f>T15</f>
        <v>17346930</v>
      </c>
      <c r="T5" s="1542">
        <f>P5/R5</f>
        <v>0.43251247134444959</v>
      </c>
      <c r="U5" s="1542">
        <f>(K5+(I5*1.63))/R5</f>
        <v>3.2621043993399726E-2</v>
      </c>
      <c r="V5" s="1542">
        <f>M5/R5</f>
        <v>0.43252987334816745</v>
      </c>
      <c r="W5" s="1540">
        <f>R5/S5</f>
        <v>5.6315382507452327E-2</v>
      </c>
      <c r="Z5" s="2177"/>
    </row>
    <row r="6" spans="1:30" ht="16.5" thickBot="1">
      <c r="A6" s="1852">
        <v>18230522</v>
      </c>
      <c r="B6" s="1852"/>
      <c r="C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1542" t="e">
        <f>P6/R6</f>
        <v>#DIV/0!</v>
      </c>
      <c r="U6" s="1542" t="e">
        <f>(K6+(I6*1.63))/R6</f>
        <v>#DIV/0!</v>
      </c>
      <c r="V6" s="1542" t="e">
        <f>M6/R6</f>
        <v>#DIV/0!</v>
      </c>
      <c r="W6" s="1540" t="e">
        <f>R6/S6</f>
        <v>#DIV/0!</v>
      </c>
      <c r="Z6" s="2177"/>
    </row>
    <row r="7" spans="1:30" ht="16.5" thickBot="1">
      <c r="A7" s="1852" t="s">
        <v>5</v>
      </c>
      <c r="B7" s="2705"/>
      <c r="C7" s="1592"/>
      <c r="G7" s="1608" t="s">
        <v>23</v>
      </c>
      <c r="H7" s="1564">
        <f>SUM(H5:H6)</f>
        <v>55594.8</v>
      </c>
      <c r="I7" s="1991">
        <f t="shared" ref="I7:Q7" si="0">SUM(I5:I6)</f>
        <v>8000.04</v>
      </c>
      <c r="J7" s="1992">
        <f t="shared" si="0"/>
        <v>42417.758280000009</v>
      </c>
      <c r="K7" s="1993">
        <f t="shared" si="0"/>
        <v>18827.400000000001</v>
      </c>
      <c r="L7" s="1991">
        <f t="shared" si="0"/>
        <v>4000</v>
      </c>
      <c r="M7" s="1992">
        <f t="shared" si="0"/>
        <v>422538</v>
      </c>
      <c r="N7" s="1991">
        <f t="shared" si="0"/>
        <v>1000</v>
      </c>
      <c r="O7" s="1992">
        <f t="shared" si="0"/>
        <v>2000</v>
      </c>
      <c r="P7" s="1993">
        <f t="shared" si="0"/>
        <v>422521</v>
      </c>
      <c r="Q7" s="1991">
        <f t="shared" si="0"/>
        <v>0</v>
      </c>
      <c r="R7" s="1993">
        <f>SUM(H7:Q7)</f>
        <v>976898.99827999994</v>
      </c>
      <c r="S7" s="1994">
        <f>S5+S6</f>
        <v>17346930</v>
      </c>
      <c r="T7" s="1542">
        <f>P7/R7</f>
        <v>0.43251247134444959</v>
      </c>
      <c r="U7" s="1542">
        <f>(K7+(I7*1.63))/R7</f>
        <v>3.2621043993399726E-2</v>
      </c>
      <c r="V7" s="1542">
        <f>M7/R7</f>
        <v>0.43252987334816745</v>
      </c>
      <c r="W7" s="1540">
        <f>R7/S7</f>
        <v>5.6315382507452327E-2</v>
      </c>
      <c r="Z7" s="2177"/>
    </row>
    <row r="8" spans="1:30" ht="15.75">
      <c r="B8" s="1852"/>
      <c r="C8" s="1592"/>
      <c r="Z8" s="2177"/>
    </row>
    <row r="9" spans="1:30" ht="20.25" customHeight="1">
      <c r="A9" s="2705"/>
      <c r="B9" s="2705"/>
      <c r="C9" s="1592"/>
      <c r="Z9" s="2177"/>
    </row>
    <row r="10" spans="1:30">
      <c r="A10" s="2705"/>
      <c r="B10" s="2705"/>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c r="Z10" s="2931"/>
      <c r="AA10" s="2324"/>
      <c r="AB10" s="2324"/>
      <c r="AC10" s="2324"/>
      <c r="AD10" s="2324"/>
    </row>
    <row r="11" spans="1:30">
      <c r="H11" s="1917"/>
      <c r="I11" s="1918"/>
      <c r="J11" s="1918"/>
      <c r="K11" s="1917"/>
      <c r="L11" s="1917"/>
      <c r="M11" s="1917"/>
      <c r="N11" s="1917"/>
      <c r="O11" s="1917"/>
      <c r="P11" s="1917"/>
      <c r="Q11" s="1917"/>
      <c r="R11" s="1917"/>
      <c r="S11" s="1917"/>
      <c r="T11" s="1917"/>
      <c r="U11" s="1917"/>
      <c r="V11" s="1917"/>
      <c r="W11" s="1917"/>
      <c r="X11" s="1917"/>
      <c r="Y11" s="1917"/>
      <c r="Z11" s="2325"/>
      <c r="AA11" s="2325"/>
      <c r="AB11" s="2325"/>
      <c r="AC11" s="2325"/>
      <c r="AD11" s="2325"/>
    </row>
    <row r="12" spans="1:30">
      <c r="C12" s="1887" t="s">
        <v>314</v>
      </c>
      <c r="D12" s="2157">
        <f>D15+D21+D27+D34+D40+D46+D52+D58+D64</f>
        <v>976898.99827999994</v>
      </c>
      <c r="E12" s="1948">
        <f>E15+E21+E27+E34+E40+E46+E52+E58+E64</f>
        <v>0</v>
      </c>
      <c r="F12" s="2157">
        <f>D12+E12</f>
        <v>976898.99827999994</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2985" t="s">
        <v>1118</v>
      </c>
      <c r="AA12" s="2325"/>
      <c r="AB12" s="2325"/>
      <c r="AC12" s="3627"/>
      <c r="AD12" s="3627"/>
    </row>
    <row r="13" spans="1:30">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985" t="s">
        <v>1131</v>
      </c>
      <c r="AA13" s="2325"/>
      <c r="AB13" s="2325"/>
      <c r="AC13" s="3628"/>
      <c r="AD13" s="3628"/>
    </row>
    <row r="14" spans="1:30"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986" t="s">
        <v>326</v>
      </c>
      <c r="AA14" s="2325"/>
      <c r="AB14" s="2325"/>
      <c r="AC14" s="2326"/>
      <c r="AD14" s="2326"/>
    </row>
    <row r="15" spans="1:30">
      <c r="B15" s="1886" t="s">
        <v>312</v>
      </c>
      <c r="C15" s="2106" t="s">
        <v>46</v>
      </c>
      <c r="D15" s="2158">
        <f>SUM(D16:D19)</f>
        <v>55594.8</v>
      </c>
      <c r="E15" s="1926">
        <f>SUM(E16:E19)</f>
        <v>0</v>
      </c>
      <c r="F15" s="2157">
        <f>D15+E15</f>
        <v>55594.8</v>
      </c>
      <c r="H15" s="1938" t="s">
        <v>327</v>
      </c>
      <c r="I15" s="1939"/>
      <c r="J15" s="1939"/>
      <c r="K15" s="1940"/>
      <c r="L15" s="1941">
        <f>SUMPRODUCT(L16:L19,S16:S19)</f>
        <v>422521</v>
      </c>
      <c r="M15" s="1941">
        <f>SUM(M16:M19)</f>
        <v>17</v>
      </c>
      <c r="N15" s="1942" t="s">
        <v>241</v>
      </c>
      <c r="O15" s="1940">
        <v>2</v>
      </c>
      <c r="P15" s="1940"/>
      <c r="Q15" s="1940"/>
      <c r="R15" s="1940"/>
      <c r="S15" s="1940"/>
      <c r="T15" s="1943">
        <f t="shared" ref="T15:Y15" si="1">SUM(T16:T65)</f>
        <v>17346930</v>
      </c>
      <c r="U15" s="1943">
        <f t="shared" si="1"/>
        <v>0</v>
      </c>
      <c r="V15" s="1943">
        <f t="shared" si="1"/>
        <v>17346930</v>
      </c>
      <c r="W15" s="1941">
        <f t="shared" si="1"/>
        <v>422521</v>
      </c>
      <c r="X15" s="1941">
        <f t="shared" si="1"/>
        <v>0</v>
      </c>
      <c r="Y15" s="1941">
        <f t="shared" si="1"/>
        <v>422521</v>
      </c>
      <c r="Z15" s="2987"/>
      <c r="AA15" s="2325"/>
      <c r="AB15" s="2325"/>
      <c r="AC15" s="2331"/>
      <c r="AD15" s="2331"/>
    </row>
    <row r="16" spans="1:30">
      <c r="B16" s="2610">
        <v>0.6</v>
      </c>
      <c r="C16" s="2197" t="s">
        <v>792</v>
      </c>
      <c r="D16" s="2201">
        <v>55594.8</v>
      </c>
      <c r="E16" s="2200">
        <v>0</v>
      </c>
      <c r="F16" s="1879">
        <f>SUM(D16:E16)</f>
        <v>55594.8</v>
      </c>
      <c r="H16" s="1922" t="s">
        <v>1441</v>
      </c>
      <c r="I16" s="1928">
        <v>248</v>
      </c>
      <c r="J16" s="1932" t="s">
        <v>120</v>
      </c>
      <c r="K16" s="1922" t="s">
        <v>966</v>
      </c>
      <c r="L16" s="1929">
        <v>5</v>
      </c>
      <c r="M16" s="1929">
        <v>5</v>
      </c>
      <c r="N16" s="1923">
        <v>0.35028248587570621</v>
      </c>
      <c r="O16" s="1922">
        <v>2</v>
      </c>
      <c r="P16" s="1925" t="s">
        <v>954</v>
      </c>
      <c r="Q16" s="1928">
        <v>22521</v>
      </c>
      <c r="R16" s="1928">
        <v>0</v>
      </c>
      <c r="S16" s="1931">
        <f t="shared" ref="S16:S19" si="2">SUM(Q16:R16)</f>
        <v>22521</v>
      </c>
      <c r="T16" s="1931">
        <f t="shared" ref="T16:T19" si="3">Q16*I16</f>
        <v>5585208</v>
      </c>
      <c r="U16" s="1931">
        <f t="shared" ref="U16:U19" si="4">R16*I16</f>
        <v>0</v>
      </c>
      <c r="V16" s="1931">
        <f t="shared" ref="V16:V19" si="5">SUM(T16:U16)</f>
        <v>5585208</v>
      </c>
      <c r="W16" s="1921">
        <f t="shared" ref="W16:W19" si="6">Q16*M16</f>
        <v>112605</v>
      </c>
      <c r="X16" s="1921">
        <f t="shared" ref="X16:X19" si="7">R16*M16</f>
        <v>0</v>
      </c>
      <c r="Y16" s="1921">
        <f t="shared" ref="Y16:Y19" si="8">SUM(W16:X16)</f>
        <v>112605</v>
      </c>
      <c r="Z16" s="2988">
        <v>0</v>
      </c>
      <c r="AA16" s="2325"/>
      <c r="AB16" s="2325"/>
      <c r="AC16" s="2333"/>
      <c r="AD16" s="2333"/>
    </row>
    <row r="17" spans="2:30">
      <c r="B17" s="2610"/>
      <c r="C17" s="2197"/>
      <c r="D17" s="2199"/>
      <c r="E17" s="2198"/>
      <c r="F17" s="2191">
        <f t="shared" ref="F17:F30" si="9">SUM(D17:E17)</f>
        <v>0</v>
      </c>
      <c r="H17" s="1922" t="s">
        <v>1442</v>
      </c>
      <c r="I17" s="1928">
        <v>172</v>
      </c>
      <c r="J17" s="1932" t="s">
        <v>120</v>
      </c>
      <c r="K17" s="1922" t="s">
        <v>966</v>
      </c>
      <c r="L17" s="1929">
        <v>4</v>
      </c>
      <c r="M17" s="1929">
        <v>4</v>
      </c>
      <c r="N17" s="1923">
        <v>0.24293785310734464</v>
      </c>
      <c r="O17" s="1922">
        <v>2</v>
      </c>
      <c r="P17" s="1925" t="s">
        <v>954</v>
      </c>
      <c r="Q17" s="1928">
        <v>21277</v>
      </c>
      <c r="R17" s="1928">
        <v>0</v>
      </c>
      <c r="S17" s="1931">
        <f t="shared" si="2"/>
        <v>21277</v>
      </c>
      <c r="T17" s="1931">
        <f t="shared" si="3"/>
        <v>3659644</v>
      </c>
      <c r="U17" s="1931">
        <f t="shared" si="4"/>
        <v>0</v>
      </c>
      <c r="V17" s="1931">
        <f t="shared" si="5"/>
        <v>3659644</v>
      </c>
      <c r="W17" s="1921">
        <f t="shared" si="6"/>
        <v>85108</v>
      </c>
      <c r="X17" s="1921">
        <f t="shared" si="7"/>
        <v>0</v>
      </c>
      <c r="Y17" s="1921">
        <f t="shared" si="8"/>
        <v>85108</v>
      </c>
      <c r="Z17" s="2988">
        <v>0</v>
      </c>
      <c r="AA17" s="2325"/>
      <c r="AB17" s="2325"/>
      <c r="AC17" s="2333"/>
      <c r="AD17" s="2333"/>
    </row>
    <row r="18" spans="2:30">
      <c r="B18" s="2610"/>
      <c r="C18" s="2197"/>
      <c r="D18" s="2199"/>
      <c r="E18" s="2198"/>
      <c r="F18" s="2191">
        <f t="shared" si="9"/>
        <v>0</v>
      </c>
      <c r="H18" s="1922" t="s">
        <v>1443</v>
      </c>
      <c r="I18" s="1928">
        <v>113</v>
      </c>
      <c r="J18" s="1932" t="s">
        <v>120</v>
      </c>
      <c r="K18" s="1922" t="s">
        <v>966</v>
      </c>
      <c r="L18" s="1929">
        <v>4</v>
      </c>
      <c r="M18" s="1929">
        <v>4</v>
      </c>
      <c r="N18" s="1923">
        <v>0.1596045197740113</v>
      </c>
      <c r="O18" s="1922">
        <v>2</v>
      </c>
      <c r="P18" s="1925" t="s">
        <v>954</v>
      </c>
      <c r="Q18" s="1928">
        <v>27956</v>
      </c>
      <c r="R18" s="1928">
        <v>0</v>
      </c>
      <c r="S18" s="1931">
        <f t="shared" si="2"/>
        <v>27956</v>
      </c>
      <c r="T18" s="1931">
        <f t="shared" si="3"/>
        <v>3159028</v>
      </c>
      <c r="U18" s="1931">
        <f t="shared" si="4"/>
        <v>0</v>
      </c>
      <c r="V18" s="1931">
        <f t="shared" si="5"/>
        <v>3159028</v>
      </c>
      <c r="W18" s="1921">
        <f t="shared" si="6"/>
        <v>111824</v>
      </c>
      <c r="X18" s="1921">
        <f t="shared" si="7"/>
        <v>0</v>
      </c>
      <c r="Y18" s="1921">
        <f t="shared" si="8"/>
        <v>111824</v>
      </c>
      <c r="Z18" s="2988">
        <v>0</v>
      </c>
      <c r="AA18" s="2325"/>
      <c r="AB18" s="2325"/>
      <c r="AC18" s="2333"/>
      <c r="AD18" s="2333"/>
    </row>
    <row r="19" spans="2:30">
      <c r="B19" s="2610"/>
      <c r="C19" s="2197"/>
      <c r="D19" s="1903"/>
      <c r="E19" s="1902"/>
      <c r="F19" s="2191">
        <f t="shared" si="9"/>
        <v>0</v>
      </c>
      <c r="H19" s="1922" t="s">
        <v>1444</v>
      </c>
      <c r="I19" s="1928">
        <v>175</v>
      </c>
      <c r="J19" s="1932" t="s">
        <v>120</v>
      </c>
      <c r="K19" s="1922" t="s">
        <v>966</v>
      </c>
      <c r="L19" s="1929">
        <v>4</v>
      </c>
      <c r="M19" s="1929">
        <v>4</v>
      </c>
      <c r="N19" s="1923">
        <v>0.24717514124293785</v>
      </c>
      <c r="O19" s="1922">
        <v>2</v>
      </c>
      <c r="P19" s="1925" t="s">
        <v>954</v>
      </c>
      <c r="Q19" s="1928">
        <v>28246</v>
      </c>
      <c r="R19" s="1928">
        <v>0</v>
      </c>
      <c r="S19" s="1931">
        <f t="shared" si="2"/>
        <v>28246</v>
      </c>
      <c r="T19" s="1931">
        <f t="shared" si="3"/>
        <v>4943050</v>
      </c>
      <c r="U19" s="1931">
        <f t="shared" si="4"/>
        <v>0</v>
      </c>
      <c r="V19" s="1931">
        <f t="shared" si="5"/>
        <v>4943050</v>
      </c>
      <c r="W19" s="1921">
        <f t="shared" si="6"/>
        <v>112984</v>
      </c>
      <c r="X19" s="1921">
        <f t="shared" si="7"/>
        <v>0</v>
      </c>
      <c r="Y19" s="1921">
        <f t="shared" si="8"/>
        <v>112984</v>
      </c>
      <c r="Z19" s="2988">
        <v>0</v>
      </c>
      <c r="AA19" s="2325"/>
      <c r="AB19" s="2325"/>
      <c r="AC19" s="2333"/>
      <c r="AD19" s="2333"/>
    </row>
    <row r="20" spans="2:30">
      <c r="B20" s="1908">
        <f>SUM(B16:B19)</f>
        <v>0.6</v>
      </c>
      <c r="C20" s="1952"/>
      <c r="D20" s="1954"/>
      <c r="E20" s="1955"/>
      <c r="F20" s="1957"/>
      <c r="H20" s="1922"/>
      <c r="I20" s="1928"/>
      <c r="J20" s="1932"/>
      <c r="K20" s="1922"/>
      <c r="L20" s="1929"/>
      <c r="M20" s="1929"/>
      <c r="N20" s="1923"/>
      <c r="O20" s="1922"/>
      <c r="P20" s="1925"/>
      <c r="Q20" s="1928"/>
      <c r="R20" s="1928"/>
      <c r="S20" s="1931"/>
      <c r="T20" s="1931"/>
      <c r="U20" s="1931"/>
      <c r="V20" s="1931"/>
      <c r="W20" s="1921"/>
      <c r="X20" s="1921"/>
      <c r="Y20" s="1921"/>
      <c r="Z20" s="2988">
        <v>0</v>
      </c>
      <c r="AA20" s="2325"/>
      <c r="AB20" s="2325"/>
      <c r="AC20" s="2333"/>
      <c r="AD20" s="2333"/>
    </row>
    <row r="21" spans="2:30">
      <c r="C21" s="2106" t="s">
        <v>47</v>
      </c>
      <c r="D21" s="2158">
        <f>SUM(D22:D25)</f>
        <v>8000.04</v>
      </c>
      <c r="E21" s="1926">
        <f>SUM(E22:E25)</f>
        <v>0</v>
      </c>
      <c r="F21" s="2157">
        <f>D21+E21</f>
        <v>8000.04</v>
      </c>
      <c r="H21" s="1922"/>
      <c r="I21" s="1928"/>
      <c r="J21" s="1932"/>
      <c r="K21" s="1922"/>
      <c r="L21" s="1929"/>
      <c r="M21" s="1929"/>
      <c r="N21" s="1923"/>
      <c r="O21" s="1922"/>
      <c r="P21" s="1925"/>
      <c r="Q21" s="1928"/>
      <c r="R21" s="1928"/>
      <c r="S21" s="1931"/>
      <c r="T21" s="1931"/>
      <c r="U21" s="1931"/>
      <c r="V21" s="1931"/>
      <c r="W21" s="1921"/>
      <c r="X21" s="1921"/>
      <c r="Y21" s="1921"/>
      <c r="Z21" s="2988">
        <v>0</v>
      </c>
      <c r="AA21" s="2325"/>
      <c r="AB21" s="2325"/>
      <c r="AC21" s="2333"/>
      <c r="AD21" s="2333"/>
    </row>
    <row r="22" spans="2:30">
      <c r="C22" s="2197" t="s">
        <v>968</v>
      </c>
      <c r="D22" s="2201">
        <v>4000.02</v>
      </c>
      <c r="E22" s="2200">
        <v>0</v>
      </c>
      <c r="F22" s="1879">
        <f t="shared" si="9"/>
        <v>4000.02</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2988">
        <v>0</v>
      </c>
      <c r="AA22" s="2325"/>
      <c r="AB22" s="2325"/>
      <c r="AC22" s="2333"/>
      <c r="AD22" s="2333"/>
    </row>
    <row r="23" spans="2:30">
      <c r="C23" s="2197" t="s">
        <v>1193</v>
      </c>
      <c r="D23" s="2053">
        <v>4000.02</v>
      </c>
      <c r="E23" s="2054">
        <v>0</v>
      </c>
      <c r="F23" s="2191">
        <f t="shared" si="9"/>
        <v>4000.02</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2988">
        <v>0</v>
      </c>
      <c r="AA23" s="2325"/>
      <c r="AB23" s="2325"/>
      <c r="AC23" s="2333"/>
      <c r="AD23" s="2333"/>
    </row>
    <row r="24" spans="2:30">
      <c r="C24" s="2197"/>
      <c r="D24" s="1898"/>
      <c r="E24" s="1897"/>
      <c r="F24" s="2191">
        <f t="shared" si="9"/>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2988">
        <v>0</v>
      </c>
      <c r="AA24" s="2325"/>
      <c r="AB24" s="2325"/>
      <c r="AC24" s="2333"/>
      <c r="AD24" s="2333"/>
    </row>
    <row r="25" spans="2:30">
      <c r="C25" s="2197"/>
      <c r="D25" s="1896"/>
      <c r="E25" s="1899"/>
      <c r="F25" s="2191">
        <f t="shared" si="9"/>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2988">
        <v>0</v>
      </c>
      <c r="AA25" s="2325"/>
      <c r="AB25" s="2325"/>
      <c r="AC25" s="2333"/>
      <c r="AD25" s="2333"/>
    </row>
    <row r="26" spans="2:30">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2988">
        <v>0</v>
      </c>
      <c r="AA26" s="2325"/>
      <c r="AB26" s="2325"/>
      <c r="AC26" s="2333"/>
      <c r="AD26" s="2333"/>
    </row>
    <row r="27" spans="2:30">
      <c r="C27" s="2106" t="s">
        <v>48</v>
      </c>
      <c r="D27" s="2158">
        <f>SUM(D29:D32)</f>
        <v>42417.758280000009</v>
      </c>
      <c r="E27" s="1926">
        <f>SUM(E29:E32)</f>
        <v>0</v>
      </c>
      <c r="F27" s="2157">
        <f>D27+E27</f>
        <v>42417.758280000009</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2988">
        <v>0</v>
      </c>
      <c r="AA27" s="2325"/>
      <c r="AB27" s="2325"/>
      <c r="AC27" s="2333"/>
      <c r="AD27" s="2333"/>
    </row>
    <row r="28" spans="2:30">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2988">
        <v>0</v>
      </c>
      <c r="AA28" s="2325"/>
      <c r="AB28" s="2325"/>
      <c r="AC28" s="2333"/>
      <c r="AD28" s="2333"/>
    </row>
    <row r="29" spans="2:30">
      <c r="C29" s="2197" t="s">
        <v>778</v>
      </c>
      <c r="D29" s="2202">
        <f>D15*D28</f>
        <v>37081.731600000006</v>
      </c>
      <c r="E29" s="2163">
        <f>E15*E28</f>
        <v>0</v>
      </c>
      <c r="F29" s="2191">
        <f t="shared" si="9"/>
        <v>37081.731600000006</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988">
        <v>0</v>
      </c>
      <c r="AA29" s="2325"/>
      <c r="AB29" s="2325"/>
      <c r="AC29" s="2333"/>
      <c r="AD29" s="2333"/>
    </row>
    <row r="30" spans="2:30">
      <c r="C30" s="2197" t="s">
        <v>779</v>
      </c>
      <c r="D30" s="1973">
        <f>D21*D28</f>
        <v>5336.0266799999999</v>
      </c>
      <c r="E30" s="2163">
        <f>E21*E28</f>
        <v>0</v>
      </c>
      <c r="F30" s="2191">
        <f t="shared" si="9"/>
        <v>5336.0266799999999</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988">
        <v>0</v>
      </c>
      <c r="AA30" s="2325"/>
      <c r="AB30" s="2325"/>
      <c r="AC30" s="2333"/>
      <c r="AD30" s="2333"/>
    </row>
    <row r="31" spans="2:30">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988">
        <v>0</v>
      </c>
      <c r="AA31" s="2325"/>
      <c r="AB31" s="2325"/>
      <c r="AC31" s="2333"/>
      <c r="AD31" s="2333"/>
    </row>
    <row r="32" spans="2:30">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988">
        <v>0</v>
      </c>
      <c r="AA32" s="2325"/>
      <c r="AB32" s="2325"/>
      <c r="AC32" s="2333"/>
      <c r="AD32" s="2333"/>
    </row>
    <row r="33" spans="1:30">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988">
        <v>0</v>
      </c>
      <c r="AA33" s="2325"/>
      <c r="AB33" s="2325"/>
      <c r="AC33" s="2333"/>
      <c r="AD33" s="2333"/>
    </row>
    <row r="34" spans="1:30">
      <c r="A34" s="1852" t="s">
        <v>606</v>
      </c>
      <c r="C34" s="2106" t="s">
        <v>49</v>
      </c>
      <c r="D34" s="2158">
        <f>SUM(D35:D38)</f>
        <v>18827.400000000001</v>
      </c>
      <c r="E34" s="1926">
        <f>SUM(E35:E38)</f>
        <v>0</v>
      </c>
      <c r="F34" s="2157">
        <f>D34+E34</f>
        <v>18827.400000000001</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988">
        <v>0</v>
      </c>
      <c r="AA34" s="2325"/>
      <c r="AB34" s="2325"/>
      <c r="AC34" s="2333"/>
      <c r="AD34" s="2333"/>
    </row>
    <row r="35" spans="1:30">
      <c r="A35" s="2705" t="s">
        <v>283</v>
      </c>
      <c r="C35" s="2197" t="s">
        <v>960</v>
      </c>
      <c r="D35" s="2202">
        <v>18827.400000000001</v>
      </c>
      <c r="E35" s="2203">
        <v>0</v>
      </c>
      <c r="F35" s="2191">
        <f t="shared" ref="F35:F44" si="10">SUM(D35:E35)</f>
        <v>18827.400000000001</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988">
        <v>0</v>
      </c>
      <c r="AA35" s="2325"/>
      <c r="AB35" s="2325"/>
      <c r="AC35" s="2333"/>
      <c r="AD35" s="2333"/>
    </row>
    <row r="36" spans="1:30">
      <c r="A36" s="1852" t="s">
        <v>6</v>
      </c>
      <c r="C36" s="2197"/>
      <c r="D36" s="2202"/>
      <c r="E36" s="2203"/>
      <c r="F36" s="2191">
        <f t="shared" si="10"/>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988">
        <v>0</v>
      </c>
      <c r="AA36" s="2325"/>
      <c r="AB36" s="2325"/>
      <c r="AC36" s="2333"/>
      <c r="AD36" s="2333"/>
    </row>
    <row r="37" spans="1:30">
      <c r="A37" s="1852">
        <v>18230522</v>
      </c>
      <c r="C37" s="2197"/>
      <c r="D37" s="2202"/>
      <c r="E37" s="2203"/>
      <c r="F37" s="2191">
        <f t="shared" si="10"/>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988">
        <v>0</v>
      </c>
      <c r="AA37" s="2325"/>
      <c r="AB37" s="2325"/>
      <c r="AC37" s="2333"/>
      <c r="AD37" s="2333"/>
    </row>
    <row r="38" spans="1:30">
      <c r="A38" s="1852" t="s">
        <v>5</v>
      </c>
      <c r="C38" s="2197"/>
      <c r="D38" s="2202"/>
      <c r="E38" s="2203"/>
      <c r="F38" s="2191">
        <f t="shared" si="10"/>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988">
        <v>0</v>
      </c>
      <c r="AA38" s="2325"/>
      <c r="AB38" s="2325"/>
      <c r="AC38" s="2333"/>
      <c r="AD38" s="2333"/>
    </row>
    <row r="39" spans="1:30">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988">
        <v>0</v>
      </c>
      <c r="AA39" s="2325"/>
      <c r="AB39" s="2325"/>
      <c r="AC39" s="2333"/>
      <c r="AD39" s="2333"/>
    </row>
    <row r="40" spans="1:30">
      <c r="C40" s="2106" t="s">
        <v>506</v>
      </c>
      <c r="D40" s="2158">
        <f>SUM(D41:D44)</f>
        <v>4000</v>
      </c>
      <c r="E40" s="1926">
        <f>SUM(E41:E44)</f>
        <v>0</v>
      </c>
      <c r="F40" s="2157">
        <f>D40+E40</f>
        <v>4000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988">
        <v>0</v>
      </c>
      <c r="AA40" s="2325"/>
      <c r="AB40" s="2325"/>
      <c r="AC40" s="2333"/>
      <c r="AD40" s="2333"/>
    </row>
    <row r="41" spans="1:30">
      <c r="C41" s="2983" t="s">
        <v>1445</v>
      </c>
      <c r="D41" s="2984">
        <v>2000</v>
      </c>
      <c r="E41" s="2203"/>
      <c r="F41" s="2191">
        <f t="shared" si="10"/>
        <v>2000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988">
        <v>0</v>
      </c>
      <c r="AA41" s="2325"/>
      <c r="AB41" s="2325"/>
      <c r="AC41" s="2333"/>
      <c r="AD41" s="2333"/>
    </row>
    <row r="42" spans="1:30">
      <c r="C42" s="2983" t="s">
        <v>1446</v>
      </c>
      <c r="D42" s="2984">
        <v>2000</v>
      </c>
      <c r="E42" s="2203"/>
      <c r="F42" s="2191">
        <f t="shared" si="10"/>
        <v>2000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988">
        <v>0</v>
      </c>
      <c r="AA42" s="2325"/>
      <c r="AB42" s="2325"/>
      <c r="AC42" s="2333"/>
      <c r="AD42" s="2333"/>
    </row>
    <row r="43" spans="1:30">
      <c r="C43" s="2197"/>
      <c r="D43" s="2202"/>
      <c r="E43" s="2203"/>
      <c r="F43" s="2191">
        <f t="shared" si="10"/>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988">
        <v>0</v>
      </c>
      <c r="AA43" s="2325"/>
      <c r="AB43" s="2325"/>
      <c r="AC43" s="2333"/>
      <c r="AD43" s="2333"/>
    </row>
    <row r="44" spans="1:30">
      <c r="C44" s="2197"/>
      <c r="D44" s="2202"/>
      <c r="E44" s="2203"/>
      <c r="F44" s="2191">
        <f t="shared" si="10"/>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988">
        <v>0</v>
      </c>
      <c r="AA44" s="2325"/>
      <c r="AB44" s="2325"/>
      <c r="AC44" s="2333"/>
      <c r="AD44" s="2333"/>
    </row>
    <row r="45" spans="1:30">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988">
        <v>0</v>
      </c>
      <c r="AA45" s="2325"/>
      <c r="AB45" s="2325"/>
      <c r="AC45" s="2333"/>
      <c r="AD45" s="2333"/>
    </row>
    <row r="46" spans="1:30">
      <c r="C46" s="2106" t="s">
        <v>50</v>
      </c>
      <c r="D46" s="2158">
        <f>SUM(D47:D50)</f>
        <v>422538</v>
      </c>
      <c r="E46" s="1926">
        <f>SUM(E47:E50)</f>
        <v>0</v>
      </c>
      <c r="F46" s="2157">
        <f>D46+E46</f>
        <v>422538</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988">
        <v>0</v>
      </c>
      <c r="AA46" s="2325"/>
      <c r="AB46" s="2325"/>
      <c r="AC46" s="2333"/>
      <c r="AD46" s="2333"/>
    </row>
    <row r="47" spans="1:30">
      <c r="C47" s="2983" t="s">
        <v>963</v>
      </c>
      <c r="D47" s="2984">
        <v>422538</v>
      </c>
      <c r="E47" s="2203"/>
      <c r="F47" s="2191">
        <f t="shared" ref="F47:F62" si="11">SUM(D47:E47)</f>
        <v>422538</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988">
        <v>0</v>
      </c>
      <c r="AA47" s="2325"/>
      <c r="AB47" s="2325"/>
      <c r="AC47" s="2333"/>
      <c r="AD47" s="2333"/>
    </row>
    <row r="48" spans="1:30">
      <c r="C48" s="2197"/>
      <c r="D48" s="2202"/>
      <c r="E48" s="2203"/>
      <c r="F48" s="2191">
        <f t="shared" si="11"/>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988">
        <v>0</v>
      </c>
      <c r="AA48" s="2325"/>
      <c r="AB48" s="2325"/>
      <c r="AC48" s="2333"/>
      <c r="AD48" s="2333"/>
    </row>
    <row r="49" spans="1:30">
      <c r="C49" s="2197"/>
      <c r="D49" s="2202"/>
      <c r="E49" s="2203"/>
      <c r="F49" s="2191">
        <f t="shared" si="11"/>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988">
        <v>0</v>
      </c>
      <c r="AA49" s="2325"/>
      <c r="AB49" s="2325"/>
      <c r="AC49" s="2333"/>
      <c r="AD49" s="2333"/>
    </row>
    <row r="50" spans="1:30">
      <c r="C50" s="2197"/>
      <c r="D50" s="2202"/>
      <c r="E50" s="2203"/>
      <c r="F50" s="2191">
        <f t="shared" si="11"/>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988">
        <v>0</v>
      </c>
      <c r="AA50" s="2325"/>
      <c r="AB50" s="2325"/>
      <c r="AC50" s="2333"/>
      <c r="AD50" s="2333"/>
    </row>
    <row r="51" spans="1:30">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988">
        <v>0</v>
      </c>
      <c r="AA51" s="2325"/>
      <c r="AB51" s="2325"/>
      <c r="AC51" s="2333"/>
      <c r="AD51" s="2333"/>
    </row>
    <row r="52" spans="1:30">
      <c r="C52" s="2106" t="s">
        <v>51</v>
      </c>
      <c r="D52" s="2158">
        <f>SUM(D53:D56)</f>
        <v>1000</v>
      </c>
      <c r="E52" s="1926">
        <f>SUM(E53:E56)</f>
        <v>0</v>
      </c>
      <c r="F52" s="2157">
        <f>D52+E52</f>
        <v>1000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988">
        <v>0</v>
      </c>
      <c r="AA52" s="2325"/>
      <c r="AB52" s="2325"/>
      <c r="AC52" s="2333"/>
      <c r="AD52" s="2333"/>
    </row>
    <row r="53" spans="1:30">
      <c r="C53" s="2197"/>
      <c r="D53" s="2202">
        <v>1000</v>
      </c>
      <c r="E53" s="2163"/>
      <c r="F53" s="2191">
        <f t="shared" si="11"/>
        <v>1000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988">
        <v>0</v>
      </c>
      <c r="AA53" s="2325"/>
      <c r="AB53" s="2325"/>
      <c r="AC53" s="2333"/>
      <c r="AD53" s="2333"/>
    </row>
    <row r="54" spans="1:30">
      <c r="C54" s="2197"/>
      <c r="D54" s="2202"/>
      <c r="E54" s="2163"/>
      <c r="F54" s="2191">
        <f t="shared" si="11"/>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988">
        <v>0</v>
      </c>
      <c r="AA54" s="2325"/>
      <c r="AB54" s="2325"/>
      <c r="AC54" s="2333"/>
      <c r="AD54" s="2333"/>
    </row>
    <row r="55" spans="1:30">
      <c r="C55" s="2197"/>
      <c r="D55" s="2202"/>
      <c r="E55" s="2163"/>
      <c r="F55" s="2191">
        <f t="shared" si="11"/>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988">
        <v>0</v>
      </c>
      <c r="AA55" s="2325"/>
      <c r="AB55" s="2325"/>
      <c r="AC55" s="2333"/>
      <c r="AD55" s="2333"/>
    </row>
    <row r="56" spans="1:30">
      <c r="C56" s="2197"/>
      <c r="D56" s="2202"/>
      <c r="E56" s="2163"/>
      <c r="F56" s="2191">
        <f t="shared" si="11"/>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988">
        <v>0</v>
      </c>
      <c r="AA56" s="2325"/>
      <c r="AB56" s="2325"/>
      <c r="AC56" s="2333"/>
      <c r="AD56" s="2333"/>
    </row>
    <row r="57" spans="1:30">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988">
        <v>0</v>
      </c>
      <c r="AA57" s="2325"/>
      <c r="AB57" s="2325"/>
      <c r="AC57" s="2333"/>
      <c r="AD57" s="2333"/>
    </row>
    <row r="58" spans="1:30">
      <c r="C58" s="2106" t="s">
        <v>52</v>
      </c>
      <c r="D58" s="2158">
        <f>SUM(D59:D62)</f>
        <v>2000</v>
      </c>
      <c r="E58" s="1926">
        <f>SUM(E59:E62)</f>
        <v>0</v>
      </c>
      <c r="F58" s="2157">
        <f>D58+E58</f>
        <v>2000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988">
        <v>0</v>
      </c>
      <c r="AA58" s="2325"/>
      <c r="AB58" s="2325"/>
      <c r="AC58" s="2333"/>
      <c r="AD58" s="2333"/>
    </row>
    <row r="59" spans="1:30">
      <c r="C59" s="2197"/>
      <c r="D59" s="2202">
        <v>2000</v>
      </c>
      <c r="E59" s="2203"/>
      <c r="F59" s="2191">
        <f t="shared" si="11"/>
        <v>2000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988">
        <v>0</v>
      </c>
      <c r="AA59" s="2325"/>
      <c r="AB59" s="2325"/>
      <c r="AC59" s="2333"/>
      <c r="AD59" s="2333"/>
    </row>
    <row r="60" spans="1:30">
      <c r="C60" s="2197"/>
      <c r="D60" s="2202"/>
      <c r="E60" s="2203"/>
      <c r="F60" s="2191">
        <f t="shared" si="11"/>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988">
        <v>0</v>
      </c>
      <c r="AA60" s="2325"/>
      <c r="AB60" s="2325"/>
      <c r="AC60" s="2333"/>
      <c r="AD60" s="2333"/>
    </row>
    <row r="61" spans="1:30">
      <c r="C61" s="2197"/>
      <c r="D61" s="2202"/>
      <c r="E61" s="2203"/>
      <c r="F61" s="1890">
        <f t="shared" si="11"/>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988">
        <v>0</v>
      </c>
      <c r="AA61" s="2325"/>
      <c r="AB61" s="2325"/>
      <c r="AC61" s="2333"/>
      <c r="AD61" s="2333"/>
    </row>
    <row r="62" spans="1:30">
      <c r="C62" s="2197"/>
      <c r="D62" s="2202"/>
      <c r="E62" s="2203"/>
      <c r="F62" s="2191">
        <f t="shared" si="11"/>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988">
        <v>0</v>
      </c>
      <c r="AA62" s="2325"/>
      <c r="AB62" s="2325"/>
      <c r="AC62" s="2333"/>
      <c r="AD62" s="2333"/>
    </row>
    <row r="63" spans="1:30">
      <c r="A63" s="2259" t="s">
        <v>605</v>
      </c>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988">
        <v>0</v>
      </c>
      <c r="AA63" s="2325"/>
      <c r="AB63" s="2325"/>
      <c r="AC63" s="2333"/>
      <c r="AD63" s="2333"/>
    </row>
    <row r="64" spans="1:30">
      <c r="A64" s="1852" t="s">
        <v>77</v>
      </c>
      <c r="C64" s="2106" t="s">
        <v>53</v>
      </c>
      <c r="D64" s="2158">
        <f>W15</f>
        <v>422521</v>
      </c>
      <c r="E64" s="1926">
        <f>X15</f>
        <v>0</v>
      </c>
      <c r="F64" s="2157">
        <f>D64+E64</f>
        <v>422521</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988">
        <v>0</v>
      </c>
      <c r="AA64" s="2325"/>
      <c r="AB64" s="2325"/>
      <c r="AC64" s="2333"/>
      <c r="AD64" s="2333"/>
    </row>
    <row r="65" spans="1:30">
      <c r="A65" s="2705"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988">
        <v>0</v>
      </c>
      <c r="AA65" s="2325"/>
      <c r="AB65" s="2325"/>
      <c r="AC65" s="2333"/>
      <c r="AD65" s="2333"/>
    </row>
    <row r="66" spans="1:30">
      <c r="A66" s="1852" t="s">
        <v>6</v>
      </c>
      <c r="C66" s="1968"/>
      <c r="D66" s="1963"/>
      <c r="E66" s="1964"/>
      <c r="F66" s="1965"/>
      <c r="Z66" s="2989"/>
    </row>
    <row r="67" spans="1:30">
      <c r="A67" s="1852" t="s">
        <v>598</v>
      </c>
      <c r="C67" s="1959" t="s">
        <v>54</v>
      </c>
      <c r="D67" s="2202">
        <v>0</v>
      </c>
      <c r="E67" s="2202">
        <v>0</v>
      </c>
      <c r="F67" s="1956">
        <v>0</v>
      </c>
      <c r="Z67" s="2989"/>
    </row>
    <row r="68" spans="1:30">
      <c r="A68" s="1852" t="s">
        <v>5</v>
      </c>
      <c r="Z68" s="2989"/>
    </row>
    <row r="69" spans="1:30">
      <c r="Z69" s="2989"/>
    </row>
    <row r="70" spans="1:30">
      <c r="Z70" s="2989"/>
    </row>
    <row r="71" spans="1:30">
      <c r="Z71" s="2989"/>
    </row>
    <row r="72" spans="1:30">
      <c r="Z72" s="2989"/>
    </row>
    <row r="73" spans="1:30">
      <c r="Z73" s="2989"/>
    </row>
    <row r="74" spans="1:30">
      <c r="Z74" s="2989"/>
    </row>
    <row r="75" spans="1:30">
      <c r="Z75" s="2989"/>
    </row>
    <row r="76" spans="1:30">
      <c r="Z76" s="2989"/>
    </row>
    <row r="77" spans="1:30">
      <c r="Z77" s="2989"/>
    </row>
    <row r="78" spans="1:30">
      <c r="Z78" s="2989"/>
    </row>
    <row r="79" spans="1:30">
      <c r="Z79" s="2989"/>
    </row>
    <row r="80" spans="1:30">
      <c r="Z80" s="2989"/>
    </row>
    <row r="81" spans="26:26">
      <c r="Z81" s="2989"/>
    </row>
    <row r="82" spans="26:26">
      <c r="Z82" s="2989"/>
    </row>
    <row r="83" spans="26:26">
      <c r="Z83" s="2989"/>
    </row>
    <row r="84" spans="26:26">
      <c r="Z84" s="2989"/>
    </row>
    <row r="85" spans="26:26">
      <c r="Z85" s="2989"/>
    </row>
    <row r="86" spans="26:26">
      <c r="Z86" s="2989"/>
    </row>
    <row r="87" spans="26:26">
      <c r="Z87" s="2989"/>
    </row>
    <row r="88" spans="26:26">
      <c r="Z88" s="2989"/>
    </row>
    <row r="89" spans="26:26">
      <c r="Z89" s="2989"/>
    </row>
    <row r="90" spans="26:26">
      <c r="Z90" s="2989"/>
    </row>
    <row r="91" spans="26:26">
      <c r="Z91" s="2989"/>
    </row>
    <row r="92" spans="26:26">
      <c r="Z92" s="2989"/>
    </row>
    <row r="93" spans="26:26">
      <c r="Z93" s="2989"/>
    </row>
    <row r="94" spans="26:26">
      <c r="Z94" s="2989"/>
    </row>
    <row r="95" spans="26:26">
      <c r="Z95" s="2989"/>
    </row>
    <row r="96" spans="26:26">
      <c r="Z96" s="2989"/>
    </row>
    <row r="97" spans="26:26">
      <c r="Z97" s="2989"/>
    </row>
    <row r="98" spans="26:26">
      <c r="Z98" s="2989"/>
    </row>
    <row r="99" spans="26:26">
      <c r="Z99" s="2989"/>
    </row>
    <row r="100" spans="26:26">
      <c r="Z100" s="2989"/>
    </row>
    <row r="101" spans="26:26">
      <c r="Z101" s="2989"/>
    </row>
    <row r="102" spans="26:26">
      <c r="Z102" s="2989"/>
    </row>
    <row r="103" spans="26:26">
      <c r="Z103" s="2989"/>
    </row>
    <row r="104" spans="26:26">
      <c r="Z104" s="2989"/>
    </row>
    <row r="105" spans="26:26">
      <c r="Z105" s="2989"/>
    </row>
    <row r="106" spans="26:26">
      <c r="Z106" s="2989"/>
    </row>
    <row r="107" spans="26:26">
      <c r="Z107" s="2989"/>
    </row>
    <row r="108" spans="26:26">
      <c r="Z108" s="2989"/>
    </row>
    <row r="109" spans="26:26">
      <c r="Z109" s="2989"/>
    </row>
    <row r="110" spans="26:26">
      <c r="Z110" s="2989"/>
    </row>
    <row r="111" spans="26:26">
      <c r="Z111" s="2989"/>
    </row>
    <row r="112" spans="26:26">
      <c r="Z112" s="2989"/>
    </row>
    <row r="113" spans="26:26">
      <c r="Z113" s="2989"/>
    </row>
    <row r="114" spans="26:26">
      <c r="Z114" s="2989"/>
    </row>
    <row r="115" spans="26:26">
      <c r="Z115" s="2989"/>
    </row>
    <row r="116" spans="26:26">
      <c r="Z116" s="2989"/>
    </row>
    <row r="117" spans="26:26">
      <c r="Z117" s="2989"/>
    </row>
    <row r="118" spans="26:26">
      <c r="Z118" s="2989"/>
    </row>
    <row r="119" spans="26:26">
      <c r="Z119" s="2989"/>
    </row>
    <row r="120" spans="26:26">
      <c r="Z120" s="2989"/>
    </row>
    <row r="121" spans="26:26">
      <c r="Z121" s="2989"/>
    </row>
    <row r="122" spans="26:26">
      <c r="Z122" s="2989"/>
    </row>
    <row r="123" spans="26:26">
      <c r="Z123" s="2989"/>
    </row>
    <row r="124" spans="26:26">
      <c r="Z124" s="2989"/>
    </row>
    <row r="125" spans="26:26">
      <c r="Z125" s="2989"/>
    </row>
    <row r="126" spans="26:26">
      <c r="Z126" s="2989"/>
    </row>
    <row r="127" spans="26:26">
      <c r="Z127" s="2989"/>
    </row>
    <row r="128" spans="26:26">
      <c r="Z128" s="2989"/>
    </row>
    <row r="129" spans="26:26">
      <c r="Z129" s="2989"/>
    </row>
    <row r="130" spans="26:26">
      <c r="Z130" s="2989"/>
    </row>
    <row r="131" spans="26:26">
      <c r="Z131" s="2989"/>
    </row>
    <row r="132" spans="26:26">
      <c r="Z132" s="2989"/>
    </row>
    <row r="133" spans="26:26">
      <c r="Z133" s="2989"/>
    </row>
    <row r="134" spans="26:26">
      <c r="Z134" s="2989"/>
    </row>
    <row r="135" spans="26:26">
      <c r="Z135" s="2989"/>
    </row>
    <row r="136" spans="26:26">
      <c r="Z136" s="2989"/>
    </row>
    <row r="137" spans="26:26">
      <c r="Z137" s="2989"/>
    </row>
    <row r="138" spans="26:26">
      <c r="Z138" s="2989"/>
    </row>
    <row r="139" spans="26:26">
      <c r="Z139" s="2989"/>
    </row>
    <row r="140" spans="26:26">
      <c r="Z140" s="2989"/>
    </row>
    <row r="141" spans="26:26">
      <c r="Z141" s="2989"/>
    </row>
    <row r="142" spans="26:26">
      <c r="Z142" s="2989"/>
    </row>
    <row r="143" spans="26:26">
      <c r="Z143" s="2989"/>
    </row>
    <row r="144" spans="26:26">
      <c r="Z144" s="2989"/>
    </row>
    <row r="145" spans="26:26">
      <c r="Z145" s="2989"/>
    </row>
    <row r="146" spans="26:26">
      <c r="Z146" s="2989"/>
    </row>
    <row r="147" spans="26:26">
      <c r="Z147" s="2989"/>
    </row>
    <row r="148" spans="26:26">
      <c r="Z148" s="2989"/>
    </row>
    <row r="149" spans="26:26">
      <c r="Z149" s="2989"/>
    </row>
    <row r="150" spans="26:26">
      <c r="Z150" s="2989"/>
    </row>
    <row r="151" spans="26:26">
      <c r="Z151" s="2989"/>
    </row>
    <row r="152" spans="26:26">
      <c r="Z152" s="2989"/>
    </row>
    <row r="153" spans="26:26">
      <c r="Z153" s="2989"/>
    </row>
    <row r="154" spans="26:26">
      <c r="Z154" s="2989"/>
    </row>
    <row r="155" spans="26:26">
      <c r="Z155" s="2989"/>
    </row>
    <row r="156" spans="26:26">
      <c r="Z156" s="2989"/>
    </row>
    <row r="157" spans="26:26">
      <c r="Z157" s="2989"/>
    </row>
    <row r="158" spans="26:26">
      <c r="Z158" s="2989"/>
    </row>
    <row r="159" spans="26:26">
      <c r="Z159" s="2989"/>
    </row>
    <row r="160" spans="26:26">
      <c r="Z160" s="2989"/>
    </row>
    <row r="161" spans="26:26">
      <c r="Z161" s="2989"/>
    </row>
    <row r="162" spans="26:26">
      <c r="Z162" s="2989"/>
    </row>
    <row r="163" spans="26:26">
      <c r="Z163" s="2989"/>
    </row>
    <row r="164" spans="26:26">
      <c r="Z164" s="2989"/>
    </row>
    <row r="165" spans="26:26">
      <c r="Z165" s="2989"/>
    </row>
  </sheetData>
  <customSheetViews>
    <customSheetView guid="{074EB09C-6289-46D7-9513-012B68BCA7BF}" showGridLines="0">
      <pane xSplit="1" ySplit="1" topLeftCell="N2" activePane="bottomRight" state="frozen"/>
      <selection pane="bottomRight"/>
      <pageMargins left="0.2" right="0.23" top="0.37" bottom="0.31" header="0.3" footer="0.3"/>
      <pageSetup paperSize="17" scale="48" orientation="landscape" r:id="rId1"/>
    </customSheetView>
    <customSheetView guid="{D9EFFE19-D14B-4C6F-BDF4-FF696F73968D}" showGridLines="0">
      <pane xSplit="1" ySplit="1" topLeftCell="B2" activePane="bottomRight" state="frozen"/>
      <selection pane="bottomRight" activeCell="AA1" sqref="AA1:AA1048576"/>
      <pageMargins left="0.2" right="0.23" top="0.37" bottom="0.31" header="0.3" footer="0.3"/>
      <pageSetup paperSize="17" scale="48" orientation="landscape" r:id="rId2"/>
    </customSheetView>
  </customSheetViews>
  <mergeCells count="10">
    <mergeCell ref="AC12:AD12"/>
    <mergeCell ref="AC13:AD13"/>
    <mergeCell ref="R2:S2"/>
    <mergeCell ref="T2:V2"/>
    <mergeCell ref="W2:W3"/>
    <mergeCell ref="H10:P10"/>
    <mergeCell ref="H12:P12"/>
    <mergeCell ref="Q12:S12"/>
    <mergeCell ref="T12:V12"/>
    <mergeCell ref="W12:Y12"/>
  </mergeCells>
  <pageMargins left="0.2" right="0.23" top="0.37" bottom="0.31" header="0.3" footer="0.3"/>
  <pageSetup paperSize="17" scale="48" orientation="landscape" r:id="rId3"/>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749992370372631"/>
  </sheetPr>
  <dimension ref="A1:AJ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85546875" style="1164" customWidth="1"/>
    <col min="2" max="2" width="15.28515625" style="1866" customWidth="1"/>
    <col min="3" max="3" width="29.42578125" customWidth="1"/>
    <col min="4" max="4" width="23.28515625" customWidth="1"/>
    <col min="5" max="5" width="13.28515625" style="9" customWidth="1"/>
    <col min="6" max="6" width="13.2851562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7" max="27" width="14" bestFit="1" customWidth="1"/>
    <col min="28" max="28" width="6" bestFit="1" customWidth="1"/>
    <col min="29" max="29" width="15" customWidth="1"/>
    <col min="30" max="30" width="14.85546875" bestFit="1" customWidth="1"/>
    <col min="31" max="31" width="16.140625" bestFit="1" customWidth="1"/>
    <col min="259" max="259" width="24" bestFit="1" customWidth="1"/>
    <col min="260" max="260" width="45.7109375" bestFit="1" customWidth="1"/>
    <col min="261" max="261" width="19.7109375" bestFit="1" customWidth="1"/>
    <col min="262" max="262" width="11.42578125" bestFit="1" customWidth="1"/>
    <col min="263" max="263" width="19.85546875" bestFit="1" customWidth="1"/>
    <col min="264" max="264" width="13.42578125" customWidth="1"/>
    <col min="265" max="265" width="15.28515625" bestFit="1" customWidth="1"/>
    <col min="266" max="266" width="14.140625" bestFit="1" customWidth="1"/>
    <col min="267" max="267" width="15.28515625" customWidth="1"/>
    <col min="268" max="268" width="15.85546875" customWidth="1"/>
    <col min="269" max="269" width="17" bestFit="1" customWidth="1"/>
    <col min="270" max="270" width="12.7109375" customWidth="1"/>
    <col min="271" max="271" width="13.7109375" customWidth="1"/>
    <col min="272" max="272" width="13.85546875" bestFit="1" customWidth="1"/>
    <col min="273" max="273" width="15.5703125" bestFit="1" customWidth="1"/>
    <col min="274" max="274" width="16.140625" customWidth="1"/>
    <col min="275" max="275" width="16.7109375" bestFit="1" customWidth="1"/>
    <col min="276" max="277" width="15.5703125" bestFit="1" customWidth="1"/>
    <col min="278" max="278" width="16.42578125" bestFit="1" customWidth="1"/>
    <col min="279" max="279" width="14.28515625" customWidth="1"/>
    <col min="280" max="280" width="12.85546875" bestFit="1" customWidth="1"/>
    <col min="281" max="281" width="11.28515625" bestFit="1" customWidth="1"/>
    <col min="282" max="282" width="12.5703125" bestFit="1" customWidth="1"/>
    <col min="283" max="283" width="14" bestFit="1" customWidth="1"/>
    <col min="284" max="284" width="6" bestFit="1" customWidth="1"/>
    <col min="285" max="285" width="15" customWidth="1"/>
    <col min="286" max="286" width="14.85546875" bestFit="1" customWidth="1"/>
    <col min="287" max="287" width="16.140625" bestFit="1" customWidth="1"/>
    <col min="515" max="515" width="24" bestFit="1" customWidth="1"/>
    <col min="516" max="516" width="45.7109375" bestFit="1" customWidth="1"/>
    <col min="517" max="517" width="19.7109375" bestFit="1" customWidth="1"/>
    <col min="518" max="518" width="11.42578125" bestFit="1" customWidth="1"/>
    <col min="519" max="519" width="19.85546875" bestFit="1" customWidth="1"/>
    <col min="520" max="520" width="13.42578125" customWidth="1"/>
    <col min="521" max="521" width="15.28515625" bestFit="1" customWidth="1"/>
    <col min="522" max="522" width="14.140625" bestFit="1" customWidth="1"/>
    <col min="523" max="523" width="15.28515625" customWidth="1"/>
    <col min="524" max="524" width="15.85546875" customWidth="1"/>
    <col min="525" max="525" width="17" bestFit="1" customWidth="1"/>
    <col min="526" max="526" width="12.7109375" customWidth="1"/>
    <col min="527" max="527" width="13.7109375" customWidth="1"/>
    <col min="528" max="528" width="13.85546875" bestFit="1" customWidth="1"/>
    <col min="529" max="529" width="15.5703125" bestFit="1" customWidth="1"/>
    <col min="530" max="530" width="16.140625" customWidth="1"/>
    <col min="531" max="531" width="16.7109375" bestFit="1" customWidth="1"/>
    <col min="532" max="533" width="15.5703125" bestFit="1" customWidth="1"/>
    <col min="534" max="534" width="16.42578125" bestFit="1" customWidth="1"/>
    <col min="535" max="535" width="14.28515625" customWidth="1"/>
    <col min="536" max="536" width="12.85546875" bestFit="1" customWidth="1"/>
    <col min="537" max="537" width="11.28515625" bestFit="1" customWidth="1"/>
    <col min="538" max="538" width="12.5703125" bestFit="1" customWidth="1"/>
    <col min="539" max="539" width="14" bestFit="1" customWidth="1"/>
    <col min="540" max="540" width="6" bestFit="1" customWidth="1"/>
    <col min="541" max="541" width="15" customWidth="1"/>
    <col min="542" max="542" width="14.85546875" bestFit="1" customWidth="1"/>
    <col min="543" max="543" width="16.140625" bestFit="1" customWidth="1"/>
    <col min="771" max="771" width="24" bestFit="1" customWidth="1"/>
    <col min="772" max="772" width="45.7109375" bestFit="1" customWidth="1"/>
    <col min="773" max="773" width="19.7109375" bestFit="1" customWidth="1"/>
    <col min="774" max="774" width="11.42578125" bestFit="1" customWidth="1"/>
    <col min="775" max="775" width="19.85546875" bestFit="1" customWidth="1"/>
    <col min="776" max="776" width="13.42578125" customWidth="1"/>
    <col min="777" max="777" width="15.28515625" bestFit="1" customWidth="1"/>
    <col min="778" max="778" width="14.140625" bestFit="1" customWidth="1"/>
    <col min="779" max="779" width="15.28515625" customWidth="1"/>
    <col min="780" max="780" width="15.85546875" customWidth="1"/>
    <col min="781" max="781" width="17" bestFit="1" customWidth="1"/>
    <col min="782" max="782" width="12.7109375" customWidth="1"/>
    <col min="783" max="783" width="13.7109375" customWidth="1"/>
    <col min="784" max="784" width="13.85546875" bestFit="1" customWidth="1"/>
    <col min="785" max="785" width="15.5703125" bestFit="1" customWidth="1"/>
    <col min="786" max="786" width="16.140625" customWidth="1"/>
    <col min="787" max="787" width="16.7109375" bestFit="1" customWidth="1"/>
    <col min="788" max="789" width="15.5703125" bestFit="1" customWidth="1"/>
    <col min="790" max="790" width="16.42578125" bestFit="1" customWidth="1"/>
    <col min="791" max="791" width="14.28515625" customWidth="1"/>
    <col min="792" max="792" width="12.85546875" bestFit="1" customWidth="1"/>
    <col min="793" max="793" width="11.28515625" bestFit="1" customWidth="1"/>
    <col min="794" max="794" width="12.5703125" bestFit="1" customWidth="1"/>
    <col min="795" max="795" width="14" bestFit="1" customWidth="1"/>
    <col min="796" max="796" width="6" bestFit="1" customWidth="1"/>
    <col min="797" max="797" width="15" customWidth="1"/>
    <col min="798" max="798" width="14.85546875" bestFit="1" customWidth="1"/>
    <col min="799" max="799" width="16.140625" bestFit="1" customWidth="1"/>
    <col min="1027" max="1027" width="24" bestFit="1" customWidth="1"/>
    <col min="1028" max="1028" width="45.7109375" bestFit="1" customWidth="1"/>
    <col min="1029" max="1029" width="19.7109375" bestFit="1" customWidth="1"/>
    <col min="1030" max="1030" width="11.42578125" bestFit="1" customWidth="1"/>
    <col min="1031" max="1031" width="19.85546875" bestFit="1" customWidth="1"/>
    <col min="1032" max="1032" width="13.42578125" customWidth="1"/>
    <col min="1033" max="1033" width="15.28515625" bestFit="1" customWidth="1"/>
    <col min="1034" max="1034" width="14.140625" bestFit="1" customWidth="1"/>
    <col min="1035" max="1035" width="15.28515625" customWidth="1"/>
    <col min="1036" max="1036" width="15.85546875" customWidth="1"/>
    <col min="1037" max="1037" width="17" bestFit="1" customWidth="1"/>
    <col min="1038" max="1038" width="12.7109375" customWidth="1"/>
    <col min="1039" max="1039" width="13.7109375" customWidth="1"/>
    <col min="1040" max="1040" width="13.85546875" bestFit="1" customWidth="1"/>
    <col min="1041" max="1041" width="15.5703125" bestFit="1" customWidth="1"/>
    <col min="1042" max="1042" width="16.140625" customWidth="1"/>
    <col min="1043" max="1043" width="16.7109375" bestFit="1" customWidth="1"/>
    <col min="1044" max="1045" width="15.5703125" bestFit="1" customWidth="1"/>
    <col min="1046" max="1046" width="16.42578125" bestFit="1" customWidth="1"/>
    <col min="1047" max="1047" width="14.28515625" customWidth="1"/>
    <col min="1048" max="1048" width="12.85546875" bestFit="1" customWidth="1"/>
    <col min="1049" max="1049" width="11.28515625" bestFit="1" customWidth="1"/>
    <col min="1050" max="1050" width="12.5703125" bestFit="1" customWidth="1"/>
    <col min="1051" max="1051" width="14" bestFit="1" customWidth="1"/>
    <col min="1052" max="1052" width="6" bestFit="1" customWidth="1"/>
    <col min="1053" max="1053" width="15" customWidth="1"/>
    <col min="1054" max="1054" width="14.85546875" bestFit="1" customWidth="1"/>
    <col min="1055" max="1055" width="16.140625" bestFit="1" customWidth="1"/>
    <col min="1283" max="1283" width="24" bestFit="1" customWidth="1"/>
    <col min="1284" max="1284" width="45.7109375" bestFit="1" customWidth="1"/>
    <col min="1285" max="1285" width="19.7109375" bestFit="1" customWidth="1"/>
    <col min="1286" max="1286" width="11.42578125" bestFit="1" customWidth="1"/>
    <col min="1287" max="1287" width="19.85546875" bestFit="1" customWidth="1"/>
    <col min="1288" max="1288" width="13.42578125" customWidth="1"/>
    <col min="1289" max="1289" width="15.28515625" bestFit="1" customWidth="1"/>
    <col min="1290" max="1290" width="14.140625" bestFit="1" customWidth="1"/>
    <col min="1291" max="1291" width="15.28515625" customWidth="1"/>
    <col min="1292" max="1292" width="15.85546875" customWidth="1"/>
    <col min="1293" max="1293" width="17" bestFit="1" customWidth="1"/>
    <col min="1294" max="1294" width="12.7109375" customWidth="1"/>
    <col min="1295" max="1295" width="13.7109375" customWidth="1"/>
    <col min="1296" max="1296" width="13.85546875" bestFit="1" customWidth="1"/>
    <col min="1297" max="1297" width="15.5703125" bestFit="1" customWidth="1"/>
    <col min="1298" max="1298" width="16.140625" customWidth="1"/>
    <col min="1299" max="1299" width="16.7109375" bestFit="1" customWidth="1"/>
    <col min="1300" max="1301" width="15.5703125" bestFit="1" customWidth="1"/>
    <col min="1302" max="1302" width="16.42578125" bestFit="1" customWidth="1"/>
    <col min="1303" max="1303" width="14.28515625" customWidth="1"/>
    <col min="1304" max="1304" width="12.85546875" bestFit="1" customWidth="1"/>
    <col min="1305" max="1305" width="11.28515625" bestFit="1" customWidth="1"/>
    <col min="1306" max="1306" width="12.5703125" bestFit="1" customWidth="1"/>
    <col min="1307" max="1307" width="14" bestFit="1" customWidth="1"/>
    <col min="1308" max="1308" width="6" bestFit="1" customWidth="1"/>
    <col min="1309" max="1309" width="15" customWidth="1"/>
    <col min="1310" max="1310" width="14.85546875" bestFit="1" customWidth="1"/>
    <col min="1311" max="1311" width="16.140625" bestFit="1" customWidth="1"/>
    <col min="1539" max="1539" width="24" bestFit="1" customWidth="1"/>
    <col min="1540" max="1540" width="45.7109375" bestFit="1" customWidth="1"/>
    <col min="1541" max="1541" width="19.7109375" bestFit="1" customWidth="1"/>
    <col min="1542" max="1542" width="11.42578125" bestFit="1" customWidth="1"/>
    <col min="1543" max="1543" width="19.85546875" bestFit="1" customWidth="1"/>
    <col min="1544" max="1544" width="13.42578125" customWidth="1"/>
    <col min="1545" max="1545" width="15.28515625" bestFit="1" customWidth="1"/>
    <col min="1546" max="1546" width="14.140625" bestFit="1" customWidth="1"/>
    <col min="1547" max="1547" width="15.28515625" customWidth="1"/>
    <col min="1548" max="1548" width="15.85546875" customWidth="1"/>
    <col min="1549" max="1549" width="17" bestFit="1" customWidth="1"/>
    <col min="1550" max="1550" width="12.7109375" customWidth="1"/>
    <col min="1551" max="1551" width="13.7109375" customWidth="1"/>
    <col min="1552" max="1552" width="13.85546875" bestFit="1" customWidth="1"/>
    <col min="1553" max="1553" width="15.5703125" bestFit="1" customWidth="1"/>
    <col min="1554" max="1554" width="16.140625" customWidth="1"/>
    <col min="1555" max="1555" width="16.7109375" bestFit="1" customWidth="1"/>
    <col min="1556" max="1557" width="15.5703125" bestFit="1" customWidth="1"/>
    <col min="1558" max="1558" width="16.42578125" bestFit="1" customWidth="1"/>
    <col min="1559" max="1559" width="14.28515625" customWidth="1"/>
    <col min="1560" max="1560" width="12.85546875" bestFit="1" customWidth="1"/>
    <col min="1561" max="1561" width="11.28515625" bestFit="1" customWidth="1"/>
    <col min="1562" max="1562" width="12.5703125" bestFit="1" customWidth="1"/>
    <col min="1563" max="1563" width="14" bestFit="1" customWidth="1"/>
    <col min="1564" max="1564" width="6" bestFit="1" customWidth="1"/>
    <col min="1565" max="1565" width="15" customWidth="1"/>
    <col min="1566" max="1566" width="14.85546875" bestFit="1" customWidth="1"/>
    <col min="1567" max="1567" width="16.140625" bestFit="1" customWidth="1"/>
    <col min="1795" max="1795" width="24" bestFit="1" customWidth="1"/>
    <col min="1796" max="1796" width="45.7109375" bestFit="1" customWidth="1"/>
    <col min="1797" max="1797" width="19.7109375" bestFit="1" customWidth="1"/>
    <col min="1798" max="1798" width="11.42578125" bestFit="1" customWidth="1"/>
    <col min="1799" max="1799" width="19.85546875" bestFit="1" customWidth="1"/>
    <col min="1800" max="1800" width="13.42578125" customWidth="1"/>
    <col min="1801" max="1801" width="15.28515625" bestFit="1" customWidth="1"/>
    <col min="1802" max="1802" width="14.140625" bestFit="1" customWidth="1"/>
    <col min="1803" max="1803" width="15.28515625" customWidth="1"/>
    <col min="1804" max="1804" width="15.85546875" customWidth="1"/>
    <col min="1805" max="1805" width="17" bestFit="1" customWidth="1"/>
    <col min="1806" max="1806" width="12.7109375" customWidth="1"/>
    <col min="1807" max="1807" width="13.7109375" customWidth="1"/>
    <col min="1808" max="1808" width="13.85546875" bestFit="1" customWidth="1"/>
    <col min="1809" max="1809" width="15.5703125" bestFit="1" customWidth="1"/>
    <col min="1810" max="1810" width="16.140625" customWidth="1"/>
    <col min="1811" max="1811" width="16.7109375" bestFit="1" customWidth="1"/>
    <col min="1812" max="1813" width="15.5703125" bestFit="1" customWidth="1"/>
    <col min="1814" max="1814" width="16.42578125" bestFit="1" customWidth="1"/>
    <col min="1815" max="1815" width="14.28515625" customWidth="1"/>
    <col min="1816" max="1816" width="12.85546875" bestFit="1" customWidth="1"/>
    <col min="1817" max="1817" width="11.28515625" bestFit="1" customWidth="1"/>
    <col min="1818" max="1818" width="12.5703125" bestFit="1" customWidth="1"/>
    <col min="1819" max="1819" width="14" bestFit="1" customWidth="1"/>
    <col min="1820" max="1820" width="6" bestFit="1" customWidth="1"/>
    <col min="1821" max="1821" width="15" customWidth="1"/>
    <col min="1822" max="1822" width="14.85546875" bestFit="1" customWidth="1"/>
    <col min="1823" max="1823" width="16.140625" bestFit="1" customWidth="1"/>
    <col min="2051" max="2051" width="24" bestFit="1" customWidth="1"/>
    <col min="2052" max="2052" width="45.7109375" bestFit="1" customWidth="1"/>
    <col min="2053" max="2053" width="19.7109375" bestFit="1" customWidth="1"/>
    <col min="2054" max="2054" width="11.42578125" bestFit="1" customWidth="1"/>
    <col min="2055" max="2055" width="19.85546875" bestFit="1" customWidth="1"/>
    <col min="2056" max="2056" width="13.42578125" customWidth="1"/>
    <col min="2057" max="2057" width="15.28515625" bestFit="1" customWidth="1"/>
    <col min="2058" max="2058" width="14.140625" bestFit="1" customWidth="1"/>
    <col min="2059" max="2059" width="15.28515625" customWidth="1"/>
    <col min="2060" max="2060" width="15.85546875" customWidth="1"/>
    <col min="2061" max="2061" width="17" bestFit="1" customWidth="1"/>
    <col min="2062" max="2062" width="12.7109375" customWidth="1"/>
    <col min="2063" max="2063" width="13.7109375" customWidth="1"/>
    <col min="2064" max="2064" width="13.85546875" bestFit="1" customWidth="1"/>
    <col min="2065" max="2065" width="15.5703125" bestFit="1" customWidth="1"/>
    <col min="2066" max="2066" width="16.140625" customWidth="1"/>
    <col min="2067" max="2067" width="16.7109375" bestFit="1" customWidth="1"/>
    <col min="2068" max="2069" width="15.5703125" bestFit="1" customWidth="1"/>
    <col min="2070" max="2070" width="16.42578125" bestFit="1" customWidth="1"/>
    <col min="2071" max="2071" width="14.28515625" customWidth="1"/>
    <col min="2072" max="2072" width="12.85546875" bestFit="1" customWidth="1"/>
    <col min="2073" max="2073" width="11.28515625" bestFit="1" customWidth="1"/>
    <col min="2074" max="2074" width="12.5703125" bestFit="1" customWidth="1"/>
    <col min="2075" max="2075" width="14" bestFit="1" customWidth="1"/>
    <col min="2076" max="2076" width="6" bestFit="1" customWidth="1"/>
    <col min="2077" max="2077" width="15" customWidth="1"/>
    <col min="2078" max="2078" width="14.85546875" bestFit="1" customWidth="1"/>
    <col min="2079" max="2079" width="16.140625" bestFit="1" customWidth="1"/>
    <col min="2307" max="2307" width="24" bestFit="1" customWidth="1"/>
    <col min="2308" max="2308" width="45.7109375" bestFit="1" customWidth="1"/>
    <col min="2309" max="2309" width="19.7109375" bestFit="1" customWidth="1"/>
    <col min="2310" max="2310" width="11.42578125" bestFit="1" customWidth="1"/>
    <col min="2311" max="2311" width="19.85546875" bestFit="1" customWidth="1"/>
    <col min="2312" max="2312" width="13.42578125" customWidth="1"/>
    <col min="2313" max="2313" width="15.28515625" bestFit="1" customWidth="1"/>
    <col min="2314" max="2314" width="14.140625" bestFit="1" customWidth="1"/>
    <col min="2315" max="2315" width="15.28515625" customWidth="1"/>
    <col min="2316" max="2316" width="15.85546875" customWidth="1"/>
    <col min="2317" max="2317" width="17" bestFit="1" customWidth="1"/>
    <col min="2318" max="2318" width="12.7109375" customWidth="1"/>
    <col min="2319" max="2319" width="13.7109375" customWidth="1"/>
    <col min="2320" max="2320" width="13.85546875" bestFit="1" customWidth="1"/>
    <col min="2321" max="2321" width="15.5703125" bestFit="1" customWidth="1"/>
    <col min="2322" max="2322" width="16.140625" customWidth="1"/>
    <col min="2323" max="2323" width="16.7109375" bestFit="1" customWidth="1"/>
    <col min="2324" max="2325" width="15.5703125" bestFit="1" customWidth="1"/>
    <col min="2326" max="2326" width="16.42578125" bestFit="1" customWidth="1"/>
    <col min="2327" max="2327" width="14.28515625" customWidth="1"/>
    <col min="2328" max="2328" width="12.85546875" bestFit="1" customWidth="1"/>
    <col min="2329" max="2329" width="11.28515625" bestFit="1" customWidth="1"/>
    <col min="2330" max="2330" width="12.5703125" bestFit="1" customWidth="1"/>
    <col min="2331" max="2331" width="14" bestFit="1" customWidth="1"/>
    <col min="2332" max="2332" width="6" bestFit="1" customWidth="1"/>
    <col min="2333" max="2333" width="15" customWidth="1"/>
    <col min="2334" max="2334" width="14.85546875" bestFit="1" customWidth="1"/>
    <col min="2335" max="2335" width="16.140625" bestFit="1" customWidth="1"/>
    <col min="2563" max="2563" width="24" bestFit="1" customWidth="1"/>
    <col min="2564" max="2564" width="45.7109375" bestFit="1" customWidth="1"/>
    <col min="2565" max="2565" width="19.7109375" bestFit="1" customWidth="1"/>
    <col min="2566" max="2566" width="11.42578125" bestFit="1" customWidth="1"/>
    <col min="2567" max="2567" width="19.85546875" bestFit="1" customWidth="1"/>
    <col min="2568" max="2568" width="13.42578125" customWidth="1"/>
    <col min="2569" max="2569" width="15.28515625" bestFit="1" customWidth="1"/>
    <col min="2570" max="2570" width="14.140625" bestFit="1" customWidth="1"/>
    <col min="2571" max="2571" width="15.28515625" customWidth="1"/>
    <col min="2572" max="2572" width="15.85546875" customWidth="1"/>
    <col min="2573" max="2573" width="17" bestFit="1" customWidth="1"/>
    <col min="2574" max="2574" width="12.7109375" customWidth="1"/>
    <col min="2575" max="2575" width="13.7109375" customWidth="1"/>
    <col min="2576" max="2576" width="13.85546875" bestFit="1" customWidth="1"/>
    <col min="2577" max="2577" width="15.5703125" bestFit="1" customWidth="1"/>
    <col min="2578" max="2578" width="16.140625" customWidth="1"/>
    <col min="2579" max="2579" width="16.7109375" bestFit="1" customWidth="1"/>
    <col min="2580" max="2581" width="15.5703125" bestFit="1" customWidth="1"/>
    <col min="2582" max="2582" width="16.42578125" bestFit="1" customWidth="1"/>
    <col min="2583" max="2583" width="14.28515625" customWidth="1"/>
    <col min="2584" max="2584" width="12.85546875" bestFit="1" customWidth="1"/>
    <col min="2585" max="2585" width="11.28515625" bestFit="1" customWidth="1"/>
    <col min="2586" max="2586" width="12.5703125" bestFit="1" customWidth="1"/>
    <col min="2587" max="2587" width="14" bestFit="1" customWidth="1"/>
    <col min="2588" max="2588" width="6" bestFit="1" customWidth="1"/>
    <col min="2589" max="2589" width="15" customWidth="1"/>
    <col min="2590" max="2590" width="14.85546875" bestFit="1" customWidth="1"/>
    <col min="2591" max="2591" width="16.140625" bestFit="1" customWidth="1"/>
    <col min="2819" max="2819" width="24" bestFit="1" customWidth="1"/>
    <col min="2820" max="2820" width="45.7109375" bestFit="1" customWidth="1"/>
    <col min="2821" max="2821" width="19.7109375" bestFit="1" customWidth="1"/>
    <col min="2822" max="2822" width="11.42578125" bestFit="1" customWidth="1"/>
    <col min="2823" max="2823" width="19.85546875" bestFit="1" customWidth="1"/>
    <col min="2824" max="2824" width="13.42578125" customWidth="1"/>
    <col min="2825" max="2825" width="15.28515625" bestFit="1" customWidth="1"/>
    <col min="2826" max="2826" width="14.140625" bestFit="1" customWidth="1"/>
    <col min="2827" max="2827" width="15.28515625" customWidth="1"/>
    <col min="2828" max="2828" width="15.85546875" customWidth="1"/>
    <col min="2829" max="2829" width="17" bestFit="1" customWidth="1"/>
    <col min="2830" max="2830" width="12.7109375" customWidth="1"/>
    <col min="2831" max="2831" width="13.7109375" customWidth="1"/>
    <col min="2832" max="2832" width="13.85546875" bestFit="1" customWidth="1"/>
    <col min="2833" max="2833" width="15.5703125" bestFit="1" customWidth="1"/>
    <col min="2834" max="2834" width="16.140625" customWidth="1"/>
    <col min="2835" max="2835" width="16.7109375" bestFit="1" customWidth="1"/>
    <col min="2836" max="2837" width="15.5703125" bestFit="1" customWidth="1"/>
    <col min="2838" max="2838" width="16.42578125" bestFit="1" customWidth="1"/>
    <col min="2839" max="2839" width="14.28515625" customWidth="1"/>
    <col min="2840" max="2840" width="12.85546875" bestFit="1" customWidth="1"/>
    <col min="2841" max="2841" width="11.28515625" bestFit="1" customWidth="1"/>
    <col min="2842" max="2842" width="12.5703125" bestFit="1" customWidth="1"/>
    <col min="2843" max="2843" width="14" bestFit="1" customWidth="1"/>
    <col min="2844" max="2844" width="6" bestFit="1" customWidth="1"/>
    <col min="2845" max="2845" width="15" customWidth="1"/>
    <col min="2846" max="2846" width="14.85546875" bestFit="1" customWidth="1"/>
    <col min="2847" max="2847" width="16.140625" bestFit="1" customWidth="1"/>
    <col min="3075" max="3075" width="24" bestFit="1" customWidth="1"/>
    <col min="3076" max="3076" width="45.7109375" bestFit="1" customWidth="1"/>
    <col min="3077" max="3077" width="19.7109375" bestFit="1" customWidth="1"/>
    <col min="3078" max="3078" width="11.42578125" bestFit="1" customWidth="1"/>
    <col min="3079" max="3079" width="19.85546875" bestFit="1" customWidth="1"/>
    <col min="3080" max="3080" width="13.42578125" customWidth="1"/>
    <col min="3081" max="3081" width="15.28515625" bestFit="1" customWidth="1"/>
    <col min="3082" max="3082" width="14.140625" bestFit="1" customWidth="1"/>
    <col min="3083" max="3083" width="15.28515625" customWidth="1"/>
    <col min="3084" max="3084" width="15.85546875" customWidth="1"/>
    <col min="3085" max="3085" width="17" bestFit="1" customWidth="1"/>
    <col min="3086" max="3086" width="12.7109375" customWidth="1"/>
    <col min="3087" max="3087" width="13.7109375" customWidth="1"/>
    <col min="3088" max="3088" width="13.85546875" bestFit="1" customWidth="1"/>
    <col min="3089" max="3089" width="15.5703125" bestFit="1" customWidth="1"/>
    <col min="3090" max="3090" width="16.140625" customWidth="1"/>
    <col min="3091" max="3091" width="16.7109375" bestFit="1" customWidth="1"/>
    <col min="3092" max="3093" width="15.5703125" bestFit="1" customWidth="1"/>
    <col min="3094" max="3094" width="16.42578125" bestFit="1" customWidth="1"/>
    <col min="3095" max="3095" width="14.28515625" customWidth="1"/>
    <col min="3096" max="3096" width="12.85546875" bestFit="1" customWidth="1"/>
    <col min="3097" max="3097" width="11.28515625" bestFit="1" customWidth="1"/>
    <col min="3098" max="3098" width="12.5703125" bestFit="1" customWidth="1"/>
    <col min="3099" max="3099" width="14" bestFit="1" customWidth="1"/>
    <col min="3100" max="3100" width="6" bestFit="1" customWidth="1"/>
    <col min="3101" max="3101" width="15" customWidth="1"/>
    <col min="3102" max="3102" width="14.85546875" bestFit="1" customWidth="1"/>
    <col min="3103" max="3103" width="16.140625" bestFit="1" customWidth="1"/>
    <col min="3331" max="3331" width="24" bestFit="1" customWidth="1"/>
    <col min="3332" max="3332" width="45.7109375" bestFit="1" customWidth="1"/>
    <col min="3333" max="3333" width="19.7109375" bestFit="1" customWidth="1"/>
    <col min="3334" max="3334" width="11.42578125" bestFit="1" customWidth="1"/>
    <col min="3335" max="3335" width="19.85546875" bestFit="1" customWidth="1"/>
    <col min="3336" max="3336" width="13.42578125" customWidth="1"/>
    <col min="3337" max="3337" width="15.28515625" bestFit="1" customWidth="1"/>
    <col min="3338" max="3338" width="14.140625" bestFit="1" customWidth="1"/>
    <col min="3339" max="3339" width="15.28515625" customWidth="1"/>
    <col min="3340" max="3340" width="15.85546875" customWidth="1"/>
    <col min="3341" max="3341" width="17" bestFit="1" customWidth="1"/>
    <col min="3342" max="3342" width="12.7109375" customWidth="1"/>
    <col min="3343" max="3343" width="13.7109375" customWidth="1"/>
    <col min="3344" max="3344" width="13.85546875" bestFit="1" customWidth="1"/>
    <col min="3345" max="3345" width="15.5703125" bestFit="1" customWidth="1"/>
    <col min="3346" max="3346" width="16.140625" customWidth="1"/>
    <col min="3347" max="3347" width="16.7109375" bestFit="1" customWidth="1"/>
    <col min="3348" max="3349" width="15.5703125" bestFit="1" customWidth="1"/>
    <col min="3350" max="3350" width="16.42578125" bestFit="1" customWidth="1"/>
    <col min="3351" max="3351" width="14.28515625" customWidth="1"/>
    <col min="3352" max="3352" width="12.85546875" bestFit="1" customWidth="1"/>
    <col min="3353" max="3353" width="11.28515625" bestFit="1" customWidth="1"/>
    <col min="3354" max="3354" width="12.5703125" bestFit="1" customWidth="1"/>
    <col min="3355" max="3355" width="14" bestFit="1" customWidth="1"/>
    <col min="3356" max="3356" width="6" bestFit="1" customWidth="1"/>
    <col min="3357" max="3357" width="15" customWidth="1"/>
    <col min="3358" max="3358" width="14.85546875" bestFit="1" customWidth="1"/>
    <col min="3359" max="3359" width="16.140625" bestFit="1" customWidth="1"/>
    <col min="3587" max="3587" width="24" bestFit="1" customWidth="1"/>
    <col min="3588" max="3588" width="45.7109375" bestFit="1" customWidth="1"/>
    <col min="3589" max="3589" width="19.7109375" bestFit="1" customWidth="1"/>
    <col min="3590" max="3590" width="11.42578125" bestFit="1" customWidth="1"/>
    <col min="3591" max="3591" width="19.85546875" bestFit="1" customWidth="1"/>
    <col min="3592" max="3592" width="13.42578125" customWidth="1"/>
    <col min="3593" max="3593" width="15.28515625" bestFit="1" customWidth="1"/>
    <col min="3594" max="3594" width="14.140625" bestFit="1" customWidth="1"/>
    <col min="3595" max="3595" width="15.28515625" customWidth="1"/>
    <col min="3596" max="3596" width="15.85546875" customWidth="1"/>
    <col min="3597" max="3597" width="17" bestFit="1" customWidth="1"/>
    <col min="3598" max="3598" width="12.7109375" customWidth="1"/>
    <col min="3599" max="3599" width="13.7109375" customWidth="1"/>
    <col min="3600" max="3600" width="13.85546875" bestFit="1" customWidth="1"/>
    <col min="3601" max="3601" width="15.5703125" bestFit="1" customWidth="1"/>
    <col min="3602" max="3602" width="16.140625" customWidth="1"/>
    <col min="3603" max="3603" width="16.7109375" bestFit="1" customWidth="1"/>
    <col min="3604" max="3605" width="15.5703125" bestFit="1" customWidth="1"/>
    <col min="3606" max="3606" width="16.42578125" bestFit="1" customWidth="1"/>
    <col min="3607" max="3607" width="14.28515625" customWidth="1"/>
    <col min="3608" max="3608" width="12.85546875" bestFit="1" customWidth="1"/>
    <col min="3609" max="3609" width="11.28515625" bestFit="1" customWidth="1"/>
    <col min="3610" max="3610" width="12.5703125" bestFit="1" customWidth="1"/>
    <col min="3611" max="3611" width="14" bestFit="1" customWidth="1"/>
    <col min="3612" max="3612" width="6" bestFit="1" customWidth="1"/>
    <col min="3613" max="3613" width="15" customWidth="1"/>
    <col min="3614" max="3614" width="14.85546875" bestFit="1" customWidth="1"/>
    <col min="3615" max="3615" width="16.140625" bestFit="1" customWidth="1"/>
    <col min="3843" max="3843" width="24" bestFit="1" customWidth="1"/>
    <col min="3844" max="3844" width="45.7109375" bestFit="1" customWidth="1"/>
    <col min="3845" max="3845" width="19.7109375" bestFit="1" customWidth="1"/>
    <col min="3846" max="3846" width="11.42578125" bestFit="1" customWidth="1"/>
    <col min="3847" max="3847" width="19.85546875" bestFit="1" customWidth="1"/>
    <col min="3848" max="3848" width="13.42578125" customWidth="1"/>
    <col min="3849" max="3849" width="15.28515625" bestFit="1" customWidth="1"/>
    <col min="3850" max="3850" width="14.140625" bestFit="1" customWidth="1"/>
    <col min="3851" max="3851" width="15.28515625" customWidth="1"/>
    <col min="3852" max="3852" width="15.85546875" customWidth="1"/>
    <col min="3853" max="3853" width="17" bestFit="1" customWidth="1"/>
    <col min="3854" max="3854" width="12.7109375" customWidth="1"/>
    <col min="3855" max="3855" width="13.7109375" customWidth="1"/>
    <col min="3856" max="3856" width="13.85546875" bestFit="1" customWidth="1"/>
    <col min="3857" max="3857" width="15.5703125" bestFit="1" customWidth="1"/>
    <col min="3858" max="3858" width="16.140625" customWidth="1"/>
    <col min="3859" max="3859" width="16.7109375" bestFit="1" customWidth="1"/>
    <col min="3860" max="3861" width="15.5703125" bestFit="1" customWidth="1"/>
    <col min="3862" max="3862" width="16.42578125" bestFit="1" customWidth="1"/>
    <col min="3863" max="3863" width="14.28515625" customWidth="1"/>
    <col min="3864" max="3864" width="12.85546875" bestFit="1" customWidth="1"/>
    <col min="3865" max="3865" width="11.28515625" bestFit="1" customWidth="1"/>
    <col min="3866" max="3866" width="12.5703125" bestFit="1" customWidth="1"/>
    <col min="3867" max="3867" width="14" bestFit="1" customWidth="1"/>
    <col min="3868" max="3868" width="6" bestFit="1" customWidth="1"/>
    <col min="3869" max="3869" width="15" customWidth="1"/>
    <col min="3870" max="3870" width="14.85546875" bestFit="1" customWidth="1"/>
    <col min="3871" max="3871" width="16.140625" bestFit="1" customWidth="1"/>
    <col min="4099" max="4099" width="24" bestFit="1" customWidth="1"/>
    <col min="4100" max="4100" width="45.7109375" bestFit="1" customWidth="1"/>
    <col min="4101" max="4101" width="19.7109375" bestFit="1" customWidth="1"/>
    <col min="4102" max="4102" width="11.42578125" bestFit="1" customWidth="1"/>
    <col min="4103" max="4103" width="19.85546875" bestFit="1" customWidth="1"/>
    <col min="4104" max="4104" width="13.42578125" customWidth="1"/>
    <col min="4105" max="4105" width="15.28515625" bestFit="1" customWidth="1"/>
    <col min="4106" max="4106" width="14.140625" bestFit="1" customWidth="1"/>
    <col min="4107" max="4107" width="15.28515625" customWidth="1"/>
    <col min="4108" max="4108" width="15.85546875" customWidth="1"/>
    <col min="4109" max="4109" width="17" bestFit="1" customWidth="1"/>
    <col min="4110" max="4110" width="12.7109375" customWidth="1"/>
    <col min="4111" max="4111" width="13.7109375" customWidth="1"/>
    <col min="4112" max="4112" width="13.85546875" bestFit="1" customWidth="1"/>
    <col min="4113" max="4113" width="15.5703125" bestFit="1" customWidth="1"/>
    <col min="4114" max="4114" width="16.140625" customWidth="1"/>
    <col min="4115" max="4115" width="16.7109375" bestFit="1" customWidth="1"/>
    <col min="4116" max="4117" width="15.5703125" bestFit="1" customWidth="1"/>
    <col min="4118" max="4118" width="16.42578125" bestFit="1" customWidth="1"/>
    <col min="4119" max="4119" width="14.28515625" customWidth="1"/>
    <col min="4120" max="4120" width="12.85546875" bestFit="1" customWidth="1"/>
    <col min="4121" max="4121" width="11.28515625" bestFit="1" customWidth="1"/>
    <col min="4122" max="4122" width="12.5703125" bestFit="1" customWidth="1"/>
    <col min="4123" max="4123" width="14" bestFit="1" customWidth="1"/>
    <col min="4124" max="4124" width="6" bestFit="1" customWidth="1"/>
    <col min="4125" max="4125" width="15" customWidth="1"/>
    <col min="4126" max="4126" width="14.85546875" bestFit="1" customWidth="1"/>
    <col min="4127" max="4127" width="16.140625" bestFit="1" customWidth="1"/>
    <col min="4355" max="4355" width="24" bestFit="1" customWidth="1"/>
    <col min="4356" max="4356" width="45.7109375" bestFit="1" customWidth="1"/>
    <col min="4357" max="4357" width="19.7109375" bestFit="1" customWidth="1"/>
    <col min="4358" max="4358" width="11.42578125" bestFit="1" customWidth="1"/>
    <col min="4359" max="4359" width="19.85546875" bestFit="1" customWidth="1"/>
    <col min="4360" max="4360" width="13.42578125" customWidth="1"/>
    <col min="4361" max="4361" width="15.28515625" bestFit="1" customWidth="1"/>
    <col min="4362" max="4362" width="14.140625" bestFit="1" customWidth="1"/>
    <col min="4363" max="4363" width="15.28515625" customWidth="1"/>
    <col min="4364" max="4364" width="15.85546875" customWidth="1"/>
    <col min="4365" max="4365" width="17" bestFit="1" customWidth="1"/>
    <col min="4366" max="4366" width="12.7109375" customWidth="1"/>
    <col min="4367" max="4367" width="13.7109375" customWidth="1"/>
    <col min="4368" max="4368" width="13.85546875" bestFit="1" customWidth="1"/>
    <col min="4369" max="4369" width="15.5703125" bestFit="1" customWidth="1"/>
    <col min="4370" max="4370" width="16.140625" customWidth="1"/>
    <col min="4371" max="4371" width="16.7109375" bestFit="1" customWidth="1"/>
    <col min="4372" max="4373" width="15.5703125" bestFit="1" customWidth="1"/>
    <col min="4374" max="4374" width="16.42578125" bestFit="1" customWidth="1"/>
    <col min="4375" max="4375" width="14.28515625" customWidth="1"/>
    <col min="4376" max="4376" width="12.85546875" bestFit="1" customWidth="1"/>
    <col min="4377" max="4377" width="11.28515625" bestFit="1" customWidth="1"/>
    <col min="4378" max="4378" width="12.5703125" bestFit="1" customWidth="1"/>
    <col min="4379" max="4379" width="14" bestFit="1" customWidth="1"/>
    <col min="4380" max="4380" width="6" bestFit="1" customWidth="1"/>
    <col min="4381" max="4381" width="15" customWidth="1"/>
    <col min="4382" max="4382" width="14.85546875" bestFit="1" customWidth="1"/>
    <col min="4383" max="4383" width="16.140625" bestFit="1" customWidth="1"/>
    <col min="4611" max="4611" width="24" bestFit="1" customWidth="1"/>
    <col min="4612" max="4612" width="45.7109375" bestFit="1" customWidth="1"/>
    <col min="4613" max="4613" width="19.7109375" bestFit="1" customWidth="1"/>
    <col min="4614" max="4614" width="11.42578125" bestFit="1" customWidth="1"/>
    <col min="4615" max="4615" width="19.85546875" bestFit="1" customWidth="1"/>
    <col min="4616" max="4616" width="13.42578125" customWidth="1"/>
    <col min="4617" max="4617" width="15.28515625" bestFit="1" customWidth="1"/>
    <col min="4618" max="4618" width="14.140625" bestFit="1" customWidth="1"/>
    <col min="4619" max="4619" width="15.28515625" customWidth="1"/>
    <col min="4620" max="4620" width="15.85546875" customWidth="1"/>
    <col min="4621" max="4621" width="17" bestFit="1" customWidth="1"/>
    <col min="4622" max="4622" width="12.7109375" customWidth="1"/>
    <col min="4623" max="4623" width="13.7109375" customWidth="1"/>
    <col min="4624" max="4624" width="13.85546875" bestFit="1" customWidth="1"/>
    <col min="4625" max="4625" width="15.5703125" bestFit="1" customWidth="1"/>
    <col min="4626" max="4626" width="16.140625" customWidth="1"/>
    <col min="4627" max="4627" width="16.7109375" bestFit="1" customWidth="1"/>
    <col min="4628" max="4629" width="15.5703125" bestFit="1" customWidth="1"/>
    <col min="4630" max="4630" width="16.42578125" bestFit="1" customWidth="1"/>
    <col min="4631" max="4631" width="14.28515625" customWidth="1"/>
    <col min="4632" max="4632" width="12.85546875" bestFit="1" customWidth="1"/>
    <col min="4633" max="4633" width="11.28515625" bestFit="1" customWidth="1"/>
    <col min="4634" max="4634" width="12.5703125" bestFit="1" customWidth="1"/>
    <col min="4635" max="4635" width="14" bestFit="1" customWidth="1"/>
    <col min="4636" max="4636" width="6" bestFit="1" customWidth="1"/>
    <col min="4637" max="4637" width="15" customWidth="1"/>
    <col min="4638" max="4638" width="14.85546875" bestFit="1" customWidth="1"/>
    <col min="4639" max="4639" width="16.140625" bestFit="1" customWidth="1"/>
    <col min="4867" max="4867" width="24" bestFit="1" customWidth="1"/>
    <col min="4868" max="4868" width="45.7109375" bestFit="1" customWidth="1"/>
    <col min="4869" max="4869" width="19.7109375" bestFit="1" customWidth="1"/>
    <col min="4870" max="4870" width="11.42578125" bestFit="1" customWidth="1"/>
    <col min="4871" max="4871" width="19.85546875" bestFit="1" customWidth="1"/>
    <col min="4872" max="4872" width="13.42578125" customWidth="1"/>
    <col min="4873" max="4873" width="15.28515625" bestFit="1" customWidth="1"/>
    <col min="4874" max="4874" width="14.140625" bestFit="1" customWidth="1"/>
    <col min="4875" max="4875" width="15.28515625" customWidth="1"/>
    <col min="4876" max="4876" width="15.85546875" customWidth="1"/>
    <col min="4877" max="4877" width="17" bestFit="1" customWidth="1"/>
    <col min="4878" max="4878" width="12.7109375" customWidth="1"/>
    <col min="4879" max="4879" width="13.7109375" customWidth="1"/>
    <col min="4880" max="4880" width="13.85546875" bestFit="1" customWidth="1"/>
    <col min="4881" max="4881" width="15.5703125" bestFit="1" customWidth="1"/>
    <col min="4882" max="4882" width="16.140625" customWidth="1"/>
    <col min="4883" max="4883" width="16.7109375" bestFit="1" customWidth="1"/>
    <col min="4884" max="4885" width="15.5703125" bestFit="1" customWidth="1"/>
    <col min="4886" max="4886" width="16.42578125" bestFit="1" customWidth="1"/>
    <col min="4887" max="4887" width="14.28515625" customWidth="1"/>
    <col min="4888" max="4888" width="12.85546875" bestFit="1" customWidth="1"/>
    <col min="4889" max="4889" width="11.28515625" bestFit="1" customWidth="1"/>
    <col min="4890" max="4890" width="12.5703125" bestFit="1" customWidth="1"/>
    <col min="4891" max="4891" width="14" bestFit="1" customWidth="1"/>
    <col min="4892" max="4892" width="6" bestFit="1" customWidth="1"/>
    <col min="4893" max="4893" width="15" customWidth="1"/>
    <col min="4894" max="4894" width="14.85546875" bestFit="1" customWidth="1"/>
    <col min="4895" max="4895" width="16.140625" bestFit="1" customWidth="1"/>
    <col min="5123" max="5123" width="24" bestFit="1" customWidth="1"/>
    <col min="5124" max="5124" width="45.7109375" bestFit="1" customWidth="1"/>
    <col min="5125" max="5125" width="19.7109375" bestFit="1" customWidth="1"/>
    <col min="5126" max="5126" width="11.42578125" bestFit="1" customWidth="1"/>
    <col min="5127" max="5127" width="19.85546875" bestFit="1" customWidth="1"/>
    <col min="5128" max="5128" width="13.42578125" customWidth="1"/>
    <col min="5129" max="5129" width="15.28515625" bestFit="1" customWidth="1"/>
    <col min="5130" max="5130" width="14.140625" bestFit="1" customWidth="1"/>
    <col min="5131" max="5131" width="15.28515625" customWidth="1"/>
    <col min="5132" max="5132" width="15.85546875" customWidth="1"/>
    <col min="5133" max="5133" width="17" bestFit="1" customWidth="1"/>
    <col min="5134" max="5134" width="12.7109375" customWidth="1"/>
    <col min="5135" max="5135" width="13.7109375" customWidth="1"/>
    <col min="5136" max="5136" width="13.85546875" bestFit="1" customWidth="1"/>
    <col min="5137" max="5137" width="15.5703125" bestFit="1" customWidth="1"/>
    <col min="5138" max="5138" width="16.140625" customWidth="1"/>
    <col min="5139" max="5139" width="16.7109375" bestFit="1" customWidth="1"/>
    <col min="5140" max="5141" width="15.5703125" bestFit="1" customWidth="1"/>
    <col min="5142" max="5142" width="16.42578125" bestFit="1" customWidth="1"/>
    <col min="5143" max="5143" width="14.28515625" customWidth="1"/>
    <col min="5144" max="5144" width="12.85546875" bestFit="1" customWidth="1"/>
    <col min="5145" max="5145" width="11.28515625" bestFit="1" customWidth="1"/>
    <col min="5146" max="5146" width="12.5703125" bestFit="1" customWidth="1"/>
    <col min="5147" max="5147" width="14" bestFit="1" customWidth="1"/>
    <col min="5148" max="5148" width="6" bestFit="1" customWidth="1"/>
    <col min="5149" max="5149" width="15" customWidth="1"/>
    <col min="5150" max="5150" width="14.85546875" bestFit="1" customWidth="1"/>
    <col min="5151" max="5151" width="16.140625" bestFit="1" customWidth="1"/>
    <col min="5379" max="5379" width="24" bestFit="1" customWidth="1"/>
    <col min="5380" max="5380" width="45.7109375" bestFit="1" customWidth="1"/>
    <col min="5381" max="5381" width="19.7109375" bestFit="1" customWidth="1"/>
    <col min="5382" max="5382" width="11.42578125" bestFit="1" customWidth="1"/>
    <col min="5383" max="5383" width="19.85546875" bestFit="1" customWidth="1"/>
    <col min="5384" max="5384" width="13.42578125" customWidth="1"/>
    <col min="5385" max="5385" width="15.28515625" bestFit="1" customWidth="1"/>
    <col min="5386" max="5386" width="14.140625" bestFit="1" customWidth="1"/>
    <col min="5387" max="5387" width="15.28515625" customWidth="1"/>
    <col min="5388" max="5388" width="15.85546875" customWidth="1"/>
    <col min="5389" max="5389" width="17" bestFit="1" customWidth="1"/>
    <col min="5390" max="5390" width="12.7109375" customWidth="1"/>
    <col min="5391" max="5391" width="13.7109375" customWidth="1"/>
    <col min="5392" max="5392" width="13.85546875" bestFit="1" customWidth="1"/>
    <col min="5393" max="5393" width="15.5703125" bestFit="1" customWidth="1"/>
    <col min="5394" max="5394" width="16.140625" customWidth="1"/>
    <col min="5395" max="5395" width="16.7109375" bestFit="1" customWidth="1"/>
    <col min="5396" max="5397" width="15.5703125" bestFit="1" customWidth="1"/>
    <col min="5398" max="5398" width="16.42578125" bestFit="1" customWidth="1"/>
    <col min="5399" max="5399" width="14.28515625" customWidth="1"/>
    <col min="5400" max="5400" width="12.85546875" bestFit="1" customWidth="1"/>
    <col min="5401" max="5401" width="11.28515625" bestFit="1" customWidth="1"/>
    <col min="5402" max="5402" width="12.5703125" bestFit="1" customWidth="1"/>
    <col min="5403" max="5403" width="14" bestFit="1" customWidth="1"/>
    <col min="5404" max="5404" width="6" bestFit="1" customWidth="1"/>
    <col min="5405" max="5405" width="15" customWidth="1"/>
    <col min="5406" max="5406" width="14.85546875" bestFit="1" customWidth="1"/>
    <col min="5407" max="5407" width="16.140625" bestFit="1" customWidth="1"/>
    <col min="5635" max="5635" width="24" bestFit="1" customWidth="1"/>
    <col min="5636" max="5636" width="45.7109375" bestFit="1" customWidth="1"/>
    <col min="5637" max="5637" width="19.7109375" bestFit="1" customWidth="1"/>
    <col min="5638" max="5638" width="11.42578125" bestFit="1" customWidth="1"/>
    <col min="5639" max="5639" width="19.85546875" bestFit="1" customWidth="1"/>
    <col min="5640" max="5640" width="13.42578125" customWidth="1"/>
    <col min="5641" max="5641" width="15.28515625" bestFit="1" customWidth="1"/>
    <col min="5642" max="5642" width="14.140625" bestFit="1" customWidth="1"/>
    <col min="5643" max="5643" width="15.28515625" customWidth="1"/>
    <col min="5644" max="5644" width="15.85546875" customWidth="1"/>
    <col min="5645" max="5645" width="17" bestFit="1" customWidth="1"/>
    <col min="5646" max="5646" width="12.7109375" customWidth="1"/>
    <col min="5647" max="5647" width="13.7109375" customWidth="1"/>
    <col min="5648" max="5648" width="13.85546875" bestFit="1" customWidth="1"/>
    <col min="5649" max="5649" width="15.5703125" bestFit="1" customWidth="1"/>
    <col min="5650" max="5650" width="16.140625" customWidth="1"/>
    <col min="5651" max="5651" width="16.7109375" bestFit="1" customWidth="1"/>
    <col min="5652" max="5653" width="15.5703125" bestFit="1" customWidth="1"/>
    <col min="5654" max="5654" width="16.42578125" bestFit="1" customWidth="1"/>
    <col min="5655" max="5655" width="14.28515625" customWidth="1"/>
    <col min="5656" max="5656" width="12.85546875" bestFit="1" customWidth="1"/>
    <col min="5657" max="5657" width="11.28515625" bestFit="1" customWidth="1"/>
    <col min="5658" max="5658" width="12.5703125" bestFit="1" customWidth="1"/>
    <col min="5659" max="5659" width="14" bestFit="1" customWidth="1"/>
    <col min="5660" max="5660" width="6" bestFit="1" customWidth="1"/>
    <col min="5661" max="5661" width="15" customWidth="1"/>
    <col min="5662" max="5662" width="14.85546875" bestFit="1" customWidth="1"/>
    <col min="5663" max="5663" width="16.140625" bestFit="1" customWidth="1"/>
    <col min="5891" max="5891" width="24" bestFit="1" customWidth="1"/>
    <col min="5892" max="5892" width="45.7109375" bestFit="1" customWidth="1"/>
    <col min="5893" max="5893" width="19.7109375" bestFit="1" customWidth="1"/>
    <col min="5894" max="5894" width="11.42578125" bestFit="1" customWidth="1"/>
    <col min="5895" max="5895" width="19.85546875" bestFit="1" customWidth="1"/>
    <col min="5896" max="5896" width="13.42578125" customWidth="1"/>
    <col min="5897" max="5897" width="15.28515625" bestFit="1" customWidth="1"/>
    <col min="5898" max="5898" width="14.140625" bestFit="1" customWidth="1"/>
    <col min="5899" max="5899" width="15.28515625" customWidth="1"/>
    <col min="5900" max="5900" width="15.85546875" customWidth="1"/>
    <col min="5901" max="5901" width="17" bestFit="1" customWidth="1"/>
    <col min="5902" max="5902" width="12.7109375" customWidth="1"/>
    <col min="5903" max="5903" width="13.7109375" customWidth="1"/>
    <col min="5904" max="5904" width="13.85546875" bestFit="1" customWidth="1"/>
    <col min="5905" max="5905" width="15.5703125" bestFit="1" customWidth="1"/>
    <col min="5906" max="5906" width="16.140625" customWidth="1"/>
    <col min="5907" max="5907" width="16.7109375" bestFit="1" customWidth="1"/>
    <col min="5908" max="5909" width="15.5703125" bestFit="1" customWidth="1"/>
    <col min="5910" max="5910" width="16.42578125" bestFit="1" customWidth="1"/>
    <col min="5911" max="5911" width="14.28515625" customWidth="1"/>
    <col min="5912" max="5912" width="12.85546875" bestFit="1" customWidth="1"/>
    <col min="5913" max="5913" width="11.28515625" bestFit="1" customWidth="1"/>
    <col min="5914" max="5914" width="12.5703125" bestFit="1" customWidth="1"/>
    <col min="5915" max="5915" width="14" bestFit="1" customWidth="1"/>
    <col min="5916" max="5916" width="6" bestFit="1" customWidth="1"/>
    <col min="5917" max="5917" width="15" customWidth="1"/>
    <col min="5918" max="5918" width="14.85546875" bestFit="1" customWidth="1"/>
    <col min="5919" max="5919" width="16.140625" bestFit="1" customWidth="1"/>
    <col min="6147" max="6147" width="24" bestFit="1" customWidth="1"/>
    <col min="6148" max="6148" width="45.7109375" bestFit="1" customWidth="1"/>
    <col min="6149" max="6149" width="19.7109375" bestFit="1" customWidth="1"/>
    <col min="6150" max="6150" width="11.42578125" bestFit="1" customWidth="1"/>
    <col min="6151" max="6151" width="19.85546875" bestFit="1" customWidth="1"/>
    <col min="6152" max="6152" width="13.42578125" customWidth="1"/>
    <col min="6153" max="6153" width="15.28515625" bestFit="1" customWidth="1"/>
    <col min="6154" max="6154" width="14.140625" bestFit="1" customWidth="1"/>
    <col min="6155" max="6155" width="15.28515625" customWidth="1"/>
    <col min="6156" max="6156" width="15.85546875" customWidth="1"/>
    <col min="6157" max="6157" width="17" bestFit="1" customWidth="1"/>
    <col min="6158" max="6158" width="12.7109375" customWidth="1"/>
    <col min="6159" max="6159" width="13.7109375" customWidth="1"/>
    <col min="6160" max="6160" width="13.85546875" bestFit="1" customWidth="1"/>
    <col min="6161" max="6161" width="15.5703125" bestFit="1" customWidth="1"/>
    <col min="6162" max="6162" width="16.140625" customWidth="1"/>
    <col min="6163" max="6163" width="16.7109375" bestFit="1" customWidth="1"/>
    <col min="6164" max="6165" width="15.5703125" bestFit="1" customWidth="1"/>
    <col min="6166" max="6166" width="16.42578125" bestFit="1" customWidth="1"/>
    <col min="6167" max="6167" width="14.28515625" customWidth="1"/>
    <col min="6168" max="6168" width="12.85546875" bestFit="1" customWidth="1"/>
    <col min="6169" max="6169" width="11.28515625" bestFit="1" customWidth="1"/>
    <col min="6170" max="6170" width="12.5703125" bestFit="1" customWidth="1"/>
    <col min="6171" max="6171" width="14" bestFit="1" customWidth="1"/>
    <col min="6172" max="6172" width="6" bestFit="1" customWidth="1"/>
    <col min="6173" max="6173" width="15" customWidth="1"/>
    <col min="6174" max="6174" width="14.85546875" bestFit="1" customWidth="1"/>
    <col min="6175" max="6175" width="16.140625" bestFit="1" customWidth="1"/>
    <col min="6403" max="6403" width="24" bestFit="1" customWidth="1"/>
    <col min="6404" max="6404" width="45.7109375" bestFit="1" customWidth="1"/>
    <col min="6405" max="6405" width="19.7109375" bestFit="1" customWidth="1"/>
    <col min="6406" max="6406" width="11.42578125" bestFit="1" customWidth="1"/>
    <col min="6407" max="6407" width="19.85546875" bestFit="1" customWidth="1"/>
    <col min="6408" max="6408" width="13.42578125" customWidth="1"/>
    <col min="6409" max="6409" width="15.28515625" bestFit="1" customWidth="1"/>
    <col min="6410" max="6410" width="14.140625" bestFit="1" customWidth="1"/>
    <col min="6411" max="6411" width="15.28515625" customWidth="1"/>
    <col min="6412" max="6412" width="15.85546875" customWidth="1"/>
    <col min="6413" max="6413" width="17" bestFit="1" customWidth="1"/>
    <col min="6414" max="6414" width="12.7109375" customWidth="1"/>
    <col min="6415" max="6415" width="13.7109375" customWidth="1"/>
    <col min="6416" max="6416" width="13.85546875" bestFit="1" customWidth="1"/>
    <col min="6417" max="6417" width="15.5703125" bestFit="1" customWidth="1"/>
    <col min="6418" max="6418" width="16.140625" customWidth="1"/>
    <col min="6419" max="6419" width="16.7109375" bestFit="1" customWidth="1"/>
    <col min="6420" max="6421" width="15.5703125" bestFit="1" customWidth="1"/>
    <col min="6422" max="6422" width="16.42578125" bestFit="1" customWidth="1"/>
    <col min="6423" max="6423" width="14.28515625" customWidth="1"/>
    <col min="6424" max="6424" width="12.85546875" bestFit="1" customWidth="1"/>
    <col min="6425" max="6425" width="11.28515625" bestFit="1" customWidth="1"/>
    <col min="6426" max="6426" width="12.5703125" bestFit="1" customWidth="1"/>
    <col min="6427" max="6427" width="14" bestFit="1" customWidth="1"/>
    <col min="6428" max="6428" width="6" bestFit="1" customWidth="1"/>
    <col min="6429" max="6429" width="15" customWidth="1"/>
    <col min="6430" max="6430" width="14.85546875" bestFit="1" customWidth="1"/>
    <col min="6431" max="6431" width="16.140625" bestFit="1" customWidth="1"/>
    <col min="6659" max="6659" width="24" bestFit="1" customWidth="1"/>
    <col min="6660" max="6660" width="45.7109375" bestFit="1" customWidth="1"/>
    <col min="6661" max="6661" width="19.7109375" bestFit="1" customWidth="1"/>
    <col min="6662" max="6662" width="11.42578125" bestFit="1" customWidth="1"/>
    <col min="6663" max="6663" width="19.85546875" bestFit="1" customWidth="1"/>
    <col min="6664" max="6664" width="13.42578125" customWidth="1"/>
    <col min="6665" max="6665" width="15.28515625" bestFit="1" customWidth="1"/>
    <col min="6666" max="6666" width="14.140625" bestFit="1" customWidth="1"/>
    <col min="6667" max="6667" width="15.28515625" customWidth="1"/>
    <col min="6668" max="6668" width="15.85546875" customWidth="1"/>
    <col min="6669" max="6669" width="17" bestFit="1" customWidth="1"/>
    <col min="6670" max="6670" width="12.7109375" customWidth="1"/>
    <col min="6671" max="6671" width="13.7109375" customWidth="1"/>
    <col min="6672" max="6672" width="13.85546875" bestFit="1" customWidth="1"/>
    <col min="6673" max="6673" width="15.5703125" bestFit="1" customWidth="1"/>
    <col min="6674" max="6674" width="16.140625" customWidth="1"/>
    <col min="6675" max="6675" width="16.7109375" bestFit="1" customWidth="1"/>
    <col min="6676" max="6677" width="15.5703125" bestFit="1" customWidth="1"/>
    <col min="6678" max="6678" width="16.42578125" bestFit="1" customWidth="1"/>
    <col min="6679" max="6679" width="14.28515625" customWidth="1"/>
    <col min="6680" max="6680" width="12.85546875" bestFit="1" customWidth="1"/>
    <col min="6681" max="6681" width="11.28515625" bestFit="1" customWidth="1"/>
    <col min="6682" max="6682" width="12.5703125" bestFit="1" customWidth="1"/>
    <col min="6683" max="6683" width="14" bestFit="1" customWidth="1"/>
    <col min="6684" max="6684" width="6" bestFit="1" customWidth="1"/>
    <col min="6685" max="6685" width="15" customWidth="1"/>
    <col min="6686" max="6686" width="14.85546875" bestFit="1" customWidth="1"/>
    <col min="6687" max="6687" width="16.140625" bestFit="1" customWidth="1"/>
    <col min="6915" max="6915" width="24" bestFit="1" customWidth="1"/>
    <col min="6916" max="6916" width="45.7109375" bestFit="1" customWidth="1"/>
    <col min="6917" max="6917" width="19.7109375" bestFit="1" customWidth="1"/>
    <col min="6918" max="6918" width="11.42578125" bestFit="1" customWidth="1"/>
    <col min="6919" max="6919" width="19.85546875" bestFit="1" customWidth="1"/>
    <col min="6920" max="6920" width="13.42578125" customWidth="1"/>
    <col min="6921" max="6921" width="15.28515625" bestFit="1" customWidth="1"/>
    <col min="6922" max="6922" width="14.140625" bestFit="1" customWidth="1"/>
    <col min="6923" max="6923" width="15.28515625" customWidth="1"/>
    <col min="6924" max="6924" width="15.85546875" customWidth="1"/>
    <col min="6925" max="6925" width="17" bestFit="1" customWidth="1"/>
    <col min="6926" max="6926" width="12.7109375" customWidth="1"/>
    <col min="6927" max="6927" width="13.7109375" customWidth="1"/>
    <col min="6928" max="6928" width="13.85546875" bestFit="1" customWidth="1"/>
    <col min="6929" max="6929" width="15.5703125" bestFit="1" customWidth="1"/>
    <col min="6930" max="6930" width="16.140625" customWidth="1"/>
    <col min="6931" max="6931" width="16.7109375" bestFit="1" customWidth="1"/>
    <col min="6932" max="6933" width="15.5703125" bestFit="1" customWidth="1"/>
    <col min="6934" max="6934" width="16.42578125" bestFit="1" customWidth="1"/>
    <col min="6935" max="6935" width="14.28515625" customWidth="1"/>
    <col min="6936" max="6936" width="12.85546875" bestFit="1" customWidth="1"/>
    <col min="6937" max="6937" width="11.28515625" bestFit="1" customWidth="1"/>
    <col min="6938" max="6938" width="12.5703125" bestFit="1" customWidth="1"/>
    <col min="6939" max="6939" width="14" bestFit="1" customWidth="1"/>
    <col min="6940" max="6940" width="6" bestFit="1" customWidth="1"/>
    <col min="6941" max="6941" width="15" customWidth="1"/>
    <col min="6942" max="6942" width="14.85546875" bestFit="1" customWidth="1"/>
    <col min="6943" max="6943" width="16.140625" bestFit="1" customWidth="1"/>
    <col min="7171" max="7171" width="24" bestFit="1" customWidth="1"/>
    <col min="7172" max="7172" width="45.7109375" bestFit="1" customWidth="1"/>
    <col min="7173" max="7173" width="19.7109375" bestFit="1" customWidth="1"/>
    <col min="7174" max="7174" width="11.42578125" bestFit="1" customWidth="1"/>
    <col min="7175" max="7175" width="19.85546875" bestFit="1" customWidth="1"/>
    <col min="7176" max="7176" width="13.42578125" customWidth="1"/>
    <col min="7177" max="7177" width="15.28515625" bestFit="1" customWidth="1"/>
    <col min="7178" max="7178" width="14.140625" bestFit="1" customWidth="1"/>
    <col min="7179" max="7179" width="15.28515625" customWidth="1"/>
    <col min="7180" max="7180" width="15.85546875" customWidth="1"/>
    <col min="7181" max="7181" width="17" bestFit="1" customWidth="1"/>
    <col min="7182" max="7182" width="12.7109375" customWidth="1"/>
    <col min="7183" max="7183" width="13.7109375" customWidth="1"/>
    <col min="7184" max="7184" width="13.85546875" bestFit="1" customWidth="1"/>
    <col min="7185" max="7185" width="15.5703125" bestFit="1" customWidth="1"/>
    <col min="7186" max="7186" width="16.140625" customWidth="1"/>
    <col min="7187" max="7187" width="16.7109375" bestFit="1" customWidth="1"/>
    <col min="7188" max="7189" width="15.5703125" bestFit="1" customWidth="1"/>
    <col min="7190" max="7190" width="16.42578125" bestFit="1" customWidth="1"/>
    <col min="7191" max="7191" width="14.28515625" customWidth="1"/>
    <col min="7192" max="7192" width="12.85546875" bestFit="1" customWidth="1"/>
    <col min="7193" max="7193" width="11.28515625" bestFit="1" customWidth="1"/>
    <col min="7194" max="7194" width="12.5703125" bestFit="1" customWidth="1"/>
    <col min="7195" max="7195" width="14" bestFit="1" customWidth="1"/>
    <col min="7196" max="7196" width="6" bestFit="1" customWidth="1"/>
    <col min="7197" max="7197" width="15" customWidth="1"/>
    <col min="7198" max="7198" width="14.85546875" bestFit="1" customWidth="1"/>
    <col min="7199" max="7199" width="16.140625" bestFit="1" customWidth="1"/>
    <col min="7427" max="7427" width="24" bestFit="1" customWidth="1"/>
    <col min="7428" max="7428" width="45.7109375" bestFit="1" customWidth="1"/>
    <col min="7429" max="7429" width="19.7109375" bestFit="1" customWidth="1"/>
    <col min="7430" max="7430" width="11.42578125" bestFit="1" customWidth="1"/>
    <col min="7431" max="7431" width="19.85546875" bestFit="1" customWidth="1"/>
    <col min="7432" max="7432" width="13.42578125" customWidth="1"/>
    <col min="7433" max="7433" width="15.28515625" bestFit="1" customWidth="1"/>
    <col min="7434" max="7434" width="14.140625" bestFit="1" customWidth="1"/>
    <col min="7435" max="7435" width="15.28515625" customWidth="1"/>
    <col min="7436" max="7436" width="15.85546875" customWidth="1"/>
    <col min="7437" max="7437" width="17" bestFit="1" customWidth="1"/>
    <col min="7438" max="7438" width="12.7109375" customWidth="1"/>
    <col min="7439" max="7439" width="13.7109375" customWidth="1"/>
    <col min="7440" max="7440" width="13.85546875" bestFit="1" customWidth="1"/>
    <col min="7441" max="7441" width="15.5703125" bestFit="1" customWidth="1"/>
    <col min="7442" max="7442" width="16.140625" customWidth="1"/>
    <col min="7443" max="7443" width="16.7109375" bestFit="1" customWidth="1"/>
    <col min="7444" max="7445" width="15.5703125" bestFit="1" customWidth="1"/>
    <col min="7446" max="7446" width="16.42578125" bestFit="1" customWidth="1"/>
    <col min="7447" max="7447" width="14.28515625" customWidth="1"/>
    <col min="7448" max="7448" width="12.85546875" bestFit="1" customWidth="1"/>
    <col min="7449" max="7449" width="11.28515625" bestFit="1" customWidth="1"/>
    <col min="7450" max="7450" width="12.5703125" bestFit="1" customWidth="1"/>
    <col min="7451" max="7451" width="14" bestFit="1" customWidth="1"/>
    <col min="7452" max="7452" width="6" bestFit="1" customWidth="1"/>
    <col min="7453" max="7453" width="15" customWidth="1"/>
    <col min="7454" max="7454" width="14.85546875" bestFit="1" customWidth="1"/>
    <col min="7455" max="7455" width="16.140625" bestFit="1" customWidth="1"/>
    <col min="7683" max="7683" width="24" bestFit="1" customWidth="1"/>
    <col min="7684" max="7684" width="45.7109375" bestFit="1" customWidth="1"/>
    <col min="7685" max="7685" width="19.7109375" bestFit="1" customWidth="1"/>
    <col min="7686" max="7686" width="11.42578125" bestFit="1" customWidth="1"/>
    <col min="7687" max="7687" width="19.85546875" bestFit="1" customWidth="1"/>
    <col min="7688" max="7688" width="13.42578125" customWidth="1"/>
    <col min="7689" max="7689" width="15.28515625" bestFit="1" customWidth="1"/>
    <col min="7690" max="7690" width="14.140625" bestFit="1" customWidth="1"/>
    <col min="7691" max="7691" width="15.28515625" customWidth="1"/>
    <col min="7692" max="7692" width="15.85546875" customWidth="1"/>
    <col min="7693" max="7693" width="17" bestFit="1" customWidth="1"/>
    <col min="7694" max="7694" width="12.7109375" customWidth="1"/>
    <col min="7695" max="7695" width="13.7109375" customWidth="1"/>
    <col min="7696" max="7696" width="13.85546875" bestFit="1" customWidth="1"/>
    <col min="7697" max="7697" width="15.5703125" bestFit="1" customWidth="1"/>
    <col min="7698" max="7698" width="16.140625" customWidth="1"/>
    <col min="7699" max="7699" width="16.7109375" bestFit="1" customWidth="1"/>
    <col min="7700" max="7701" width="15.5703125" bestFit="1" customWidth="1"/>
    <col min="7702" max="7702" width="16.42578125" bestFit="1" customWidth="1"/>
    <col min="7703" max="7703" width="14.28515625" customWidth="1"/>
    <col min="7704" max="7704" width="12.85546875" bestFit="1" customWidth="1"/>
    <col min="7705" max="7705" width="11.28515625" bestFit="1" customWidth="1"/>
    <col min="7706" max="7706" width="12.5703125" bestFit="1" customWidth="1"/>
    <col min="7707" max="7707" width="14" bestFit="1" customWidth="1"/>
    <col min="7708" max="7708" width="6" bestFit="1" customWidth="1"/>
    <col min="7709" max="7709" width="15" customWidth="1"/>
    <col min="7710" max="7710" width="14.85546875" bestFit="1" customWidth="1"/>
    <col min="7711" max="7711" width="16.140625" bestFit="1" customWidth="1"/>
    <col min="7939" max="7939" width="24" bestFit="1" customWidth="1"/>
    <col min="7940" max="7940" width="45.7109375" bestFit="1" customWidth="1"/>
    <col min="7941" max="7941" width="19.7109375" bestFit="1" customWidth="1"/>
    <col min="7942" max="7942" width="11.42578125" bestFit="1" customWidth="1"/>
    <col min="7943" max="7943" width="19.85546875" bestFit="1" customWidth="1"/>
    <col min="7944" max="7944" width="13.42578125" customWidth="1"/>
    <col min="7945" max="7945" width="15.28515625" bestFit="1" customWidth="1"/>
    <col min="7946" max="7946" width="14.140625" bestFit="1" customWidth="1"/>
    <col min="7947" max="7947" width="15.28515625" customWidth="1"/>
    <col min="7948" max="7948" width="15.85546875" customWidth="1"/>
    <col min="7949" max="7949" width="17" bestFit="1" customWidth="1"/>
    <col min="7950" max="7950" width="12.7109375" customWidth="1"/>
    <col min="7951" max="7951" width="13.7109375" customWidth="1"/>
    <col min="7952" max="7952" width="13.85546875" bestFit="1" customWidth="1"/>
    <col min="7953" max="7953" width="15.5703125" bestFit="1" customWidth="1"/>
    <col min="7954" max="7954" width="16.140625" customWidth="1"/>
    <col min="7955" max="7955" width="16.7109375" bestFit="1" customWidth="1"/>
    <col min="7956" max="7957" width="15.5703125" bestFit="1" customWidth="1"/>
    <col min="7958" max="7958" width="16.42578125" bestFit="1" customWidth="1"/>
    <col min="7959" max="7959" width="14.28515625" customWidth="1"/>
    <col min="7960" max="7960" width="12.85546875" bestFit="1" customWidth="1"/>
    <col min="7961" max="7961" width="11.28515625" bestFit="1" customWidth="1"/>
    <col min="7962" max="7962" width="12.5703125" bestFit="1" customWidth="1"/>
    <col min="7963" max="7963" width="14" bestFit="1" customWidth="1"/>
    <col min="7964" max="7964" width="6" bestFit="1" customWidth="1"/>
    <col min="7965" max="7965" width="15" customWidth="1"/>
    <col min="7966" max="7966" width="14.85546875" bestFit="1" customWidth="1"/>
    <col min="7967" max="7967" width="16.140625" bestFit="1" customWidth="1"/>
    <col min="8195" max="8195" width="24" bestFit="1" customWidth="1"/>
    <col min="8196" max="8196" width="45.7109375" bestFit="1" customWidth="1"/>
    <col min="8197" max="8197" width="19.7109375" bestFit="1" customWidth="1"/>
    <col min="8198" max="8198" width="11.42578125" bestFit="1" customWidth="1"/>
    <col min="8199" max="8199" width="19.85546875" bestFit="1" customWidth="1"/>
    <col min="8200" max="8200" width="13.42578125" customWidth="1"/>
    <col min="8201" max="8201" width="15.28515625" bestFit="1" customWidth="1"/>
    <col min="8202" max="8202" width="14.140625" bestFit="1" customWidth="1"/>
    <col min="8203" max="8203" width="15.28515625" customWidth="1"/>
    <col min="8204" max="8204" width="15.85546875" customWidth="1"/>
    <col min="8205" max="8205" width="17" bestFit="1" customWidth="1"/>
    <col min="8206" max="8206" width="12.7109375" customWidth="1"/>
    <col min="8207" max="8207" width="13.7109375" customWidth="1"/>
    <col min="8208" max="8208" width="13.85546875" bestFit="1" customWidth="1"/>
    <col min="8209" max="8209" width="15.5703125" bestFit="1" customWidth="1"/>
    <col min="8210" max="8210" width="16.140625" customWidth="1"/>
    <col min="8211" max="8211" width="16.7109375" bestFit="1" customWidth="1"/>
    <col min="8212" max="8213" width="15.5703125" bestFit="1" customWidth="1"/>
    <col min="8214" max="8214" width="16.42578125" bestFit="1" customWidth="1"/>
    <col min="8215" max="8215" width="14.28515625" customWidth="1"/>
    <col min="8216" max="8216" width="12.85546875" bestFit="1" customWidth="1"/>
    <col min="8217" max="8217" width="11.28515625" bestFit="1" customWidth="1"/>
    <col min="8218" max="8218" width="12.5703125" bestFit="1" customWidth="1"/>
    <col min="8219" max="8219" width="14" bestFit="1" customWidth="1"/>
    <col min="8220" max="8220" width="6" bestFit="1" customWidth="1"/>
    <col min="8221" max="8221" width="15" customWidth="1"/>
    <col min="8222" max="8222" width="14.85546875" bestFit="1" customWidth="1"/>
    <col min="8223" max="8223" width="16.140625" bestFit="1" customWidth="1"/>
    <col min="8451" max="8451" width="24" bestFit="1" customWidth="1"/>
    <col min="8452" max="8452" width="45.7109375" bestFit="1" customWidth="1"/>
    <col min="8453" max="8453" width="19.7109375" bestFit="1" customWidth="1"/>
    <col min="8454" max="8454" width="11.42578125" bestFit="1" customWidth="1"/>
    <col min="8455" max="8455" width="19.85546875" bestFit="1" customWidth="1"/>
    <col min="8456" max="8456" width="13.42578125" customWidth="1"/>
    <col min="8457" max="8457" width="15.28515625" bestFit="1" customWidth="1"/>
    <col min="8458" max="8458" width="14.140625" bestFit="1" customWidth="1"/>
    <col min="8459" max="8459" width="15.28515625" customWidth="1"/>
    <col min="8460" max="8460" width="15.85546875" customWidth="1"/>
    <col min="8461" max="8461" width="17" bestFit="1" customWidth="1"/>
    <col min="8462" max="8462" width="12.7109375" customWidth="1"/>
    <col min="8463" max="8463" width="13.7109375" customWidth="1"/>
    <col min="8464" max="8464" width="13.85546875" bestFit="1" customWidth="1"/>
    <col min="8465" max="8465" width="15.5703125" bestFit="1" customWidth="1"/>
    <col min="8466" max="8466" width="16.140625" customWidth="1"/>
    <col min="8467" max="8467" width="16.7109375" bestFit="1" customWidth="1"/>
    <col min="8468" max="8469" width="15.5703125" bestFit="1" customWidth="1"/>
    <col min="8470" max="8470" width="16.42578125" bestFit="1" customWidth="1"/>
    <col min="8471" max="8471" width="14.28515625" customWidth="1"/>
    <col min="8472" max="8472" width="12.85546875" bestFit="1" customWidth="1"/>
    <col min="8473" max="8473" width="11.28515625" bestFit="1" customWidth="1"/>
    <col min="8474" max="8474" width="12.5703125" bestFit="1" customWidth="1"/>
    <col min="8475" max="8475" width="14" bestFit="1" customWidth="1"/>
    <col min="8476" max="8476" width="6" bestFit="1" customWidth="1"/>
    <col min="8477" max="8477" width="15" customWidth="1"/>
    <col min="8478" max="8478" width="14.85546875" bestFit="1" customWidth="1"/>
    <col min="8479" max="8479" width="16.140625" bestFit="1" customWidth="1"/>
    <col min="8707" max="8707" width="24" bestFit="1" customWidth="1"/>
    <col min="8708" max="8708" width="45.7109375" bestFit="1" customWidth="1"/>
    <col min="8709" max="8709" width="19.7109375" bestFit="1" customWidth="1"/>
    <col min="8710" max="8710" width="11.42578125" bestFit="1" customWidth="1"/>
    <col min="8711" max="8711" width="19.85546875" bestFit="1" customWidth="1"/>
    <col min="8712" max="8712" width="13.42578125" customWidth="1"/>
    <col min="8713" max="8713" width="15.28515625" bestFit="1" customWidth="1"/>
    <col min="8714" max="8714" width="14.140625" bestFit="1" customWidth="1"/>
    <col min="8715" max="8715" width="15.28515625" customWidth="1"/>
    <col min="8716" max="8716" width="15.85546875" customWidth="1"/>
    <col min="8717" max="8717" width="17" bestFit="1" customWidth="1"/>
    <col min="8718" max="8718" width="12.7109375" customWidth="1"/>
    <col min="8719" max="8719" width="13.7109375" customWidth="1"/>
    <col min="8720" max="8720" width="13.85546875" bestFit="1" customWidth="1"/>
    <col min="8721" max="8721" width="15.5703125" bestFit="1" customWidth="1"/>
    <col min="8722" max="8722" width="16.140625" customWidth="1"/>
    <col min="8723" max="8723" width="16.7109375" bestFit="1" customWidth="1"/>
    <col min="8724" max="8725" width="15.5703125" bestFit="1" customWidth="1"/>
    <col min="8726" max="8726" width="16.42578125" bestFit="1" customWidth="1"/>
    <col min="8727" max="8727" width="14.28515625" customWidth="1"/>
    <col min="8728" max="8728" width="12.85546875" bestFit="1" customWidth="1"/>
    <col min="8729" max="8729" width="11.28515625" bestFit="1" customWidth="1"/>
    <col min="8730" max="8730" width="12.5703125" bestFit="1" customWidth="1"/>
    <col min="8731" max="8731" width="14" bestFit="1" customWidth="1"/>
    <col min="8732" max="8732" width="6" bestFit="1" customWidth="1"/>
    <col min="8733" max="8733" width="15" customWidth="1"/>
    <col min="8734" max="8734" width="14.85546875" bestFit="1" customWidth="1"/>
    <col min="8735" max="8735" width="16.140625" bestFit="1" customWidth="1"/>
    <col min="8963" max="8963" width="24" bestFit="1" customWidth="1"/>
    <col min="8964" max="8964" width="45.7109375" bestFit="1" customWidth="1"/>
    <col min="8965" max="8965" width="19.7109375" bestFit="1" customWidth="1"/>
    <col min="8966" max="8966" width="11.42578125" bestFit="1" customWidth="1"/>
    <col min="8967" max="8967" width="19.85546875" bestFit="1" customWidth="1"/>
    <col min="8968" max="8968" width="13.42578125" customWidth="1"/>
    <col min="8969" max="8969" width="15.28515625" bestFit="1" customWidth="1"/>
    <col min="8970" max="8970" width="14.140625" bestFit="1" customWidth="1"/>
    <col min="8971" max="8971" width="15.28515625" customWidth="1"/>
    <col min="8972" max="8972" width="15.85546875" customWidth="1"/>
    <col min="8973" max="8973" width="17" bestFit="1" customWidth="1"/>
    <col min="8974" max="8974" width="12.7109375" customWidth="1"/>
    <col min="8975" max="8975" width="13.7109375" customWidth="1"/>
    <col min="8976" max="8976" width="13.85546875" bestFit="1" customWidth="1"/>
    <col min="8977" max="8977" width="15.5703125" bestFit="1" customWidth="1"/>
    <col min="8978" max="8978" width="16.140625" customWidth="1"/>
    <col min="8979" max="8979" width="16.7109375" bestFit="1" customWidth="1"/>
    <col min="8980" max="8981" width="15.5703125" bestFit="1" customWidth="1"/>
    <col min="8982" max="8982" width="16.42578125" bestFit="1" customWidth="1"/>
    <col min="8983" max="8983" width="14.28515625" customWidth="1"/>
    <col min="8984" max="8984" width="12.85546875" bestFit="1" customWidth="1"/>
    <col min="8985" max="8985" width="11.28515625" bestFit="1" customWidth="1"/>
    <col min="8986" max="8986" width="12.5703125" bestFit="1" customWidth="1"/>
    <col min="8987" max="8987" width="14" bestFit="1" customWidth="1"/>
    <col min="8988" max="8988" width="6" bestFit="1" customWidth="1"/>
    <col min="8989" max="8989" width="15" customWidth="1"/>
    <col min="8990" max="8990" width="14.85546875" bestFit="1" customWidth="1"/>
    <col min="8991" max="8991" width="16.140625" bestFit="1" customWidth="1"/>
    <col min="9219" max="9219" width="24" bestFit="1" customWidth="1"/>
    <col min="9220" max="9220" width="45.7109375" bestFit="1" customWidth="1"/>
    <col min="9221" max="9221" width="19.7109375" bestFit="1" customWidth="1"/>
    <col min="9222" max="9222" width="11.42578125" bestFit="1" customWidth="1"/>
    <col min="9223" max="9223" width="19.85546875" bestFit="1" customWidth="1"/>
    <col min="9224" max="9224" width="13.42578125" customWidth="1"/>
    <col min="9225" max="9225" width="15.28515625" bestFit="1" customWidth="1"/>
    <col min="9226" max="9226" width="14.140625" bestFit="1" customWidth="1"/>
    <col min="9227" max="9227" width="15.28515625" customWidth="1"/>
    <col min="9228" max="9228" width="15.85546875" customWidth="1"/>
    <col min="9229" max="9229" width="17" bestFit="1" customWidth="1"/>
    <col min="9230" max="9230" width="12.7109375" customWidth="1"/>
    <col min="9231" max="9231" width="13.7109375" customWidth="1"/>
    <col min="9232" max="9232" width="13.85546875" bestFit="1" customWidth="1"/>
    <col min="9233" max="9233" width="15.5703125" bestFit="1" customWidth="1"/>
    <col min="9234" max="9234" width="16.140625" customWidth="1"/>
    <col min="9235" max="9235" width="16.7109375" bestFit="1" customWidth="1"/>
    <col min="9236" max="9237" width="15.5703125" bestFit="1" customWidth="1"/>
    <col min="9238" max="9238" width="16.42578125" bestFit="1" customWidth="1"/>
    <col min="9239" max="9239" width="14.28515625" customWidth="1"/>
    <col min="9240" max="9240" width="12.85546875" bestFit="1" customWidth="1"/>
    <col min="9241" max="9241" width="11.28515625" bestFit="1" customWidth="1"/>
    <col min="9242" max="9242" width="12.5703125" bestFit="1" customWidth="1"/>
    <col min="9243" max="9243" width="14" bestFit="1" customWidth="1"/>
    <col min="9244" max="9244" width="6" bestFit="1" customWidth="1"/>
    <col min="9245" max="9245" width="15" customWidth="1"/>
    <col min="9246" max="9246" width="14.85546875" bestFit="1" customWidth="1"/>
    <col min="9247" max="9247" width="16.140625" bestFit="1" customWidth="1"/>
    <col min="9475" max="9475" width="24" bestFit="1" customWidth="1"/>
    <col min="9476" max="9476" width="45.7109375" bestFit="1" customWidth="1"/>
    <col min="9477" max="9477" width="19.7109375" bestFit="1" customWidth="1"/>
    <col min="9478" max="9478" width="11.42578125" bestFit="1" customWidth="1"/>
    <col min="9479" max="9479" width="19.85546875" bestFit="1" customWidth="1"/>
    <col min="9480" max="9480" width="13.42578125" customWidth="1"/>
    <col min="9481" max="9481" width="15.28515625" bestFit="1" customWidth="1"/>
    <col min="9482" max="9482" width="14.140625" bestFit="1" customWidth="1"/>
    <col min="9483" max="9483" width="15.28515625" customWidth="1"/>
    <col min="9484" max="9484" width="15.85546875" customWidth="1"/>
    <col min="9485" max="9485" width="17" bestFit="1" customWidth="1"/>
    <col min="9486" max="9486" width="12.7109375" customWidth="1"/>
    <col min="9487" max="9487" width="13.7109375" customWidth="1"/>
    <col min="9488" max="9488" width="13.85546875" bestFit="1" customWidth="1"/>
    <col min="9489" max="9489" width="15.5703125" bestFit="1" customWidth="1"/>
    <col min="9490" max="9490" width="16.140625" customWidth="1"/>
    <col min="9491" max="9491" width="16.7109375" bestFit="1" customWidth="1"/>
    <col min="9492" max="9493" width="15.5703125" bestFit="1" customWidth="1"/>
    <col min="9494" max="9494" width="16.42578125" bestFit="1" customWidth="1"/>
    <col min="9495" max="9495" width="14.28515625" customWidth="1"/>
    <col min="9496" max="9496" width="12.85546875" bestFit="1" customWidth="1"/>
    <col min="9497" max="9497" width="11.28515625" bestFit="1" customWidth="1"/>
    <col min="9498" max="9498" width="12.5703125" bestFit="1" customWidth="1"/>
    <col min="9499" max="9499" width="14" bestFit="1" customWidth="1"/>
    <col min="9500" max="9500" width="6" bestFit="1" customWidth="1"/>
    <col min="9501" max="9501" width="15" customWidth="1"/>
    <col min="9502" max="9502" width="14.85546875" bestFit="1" customWidth="1"/>
    <col min="9503" max="9503" width="16.140625" bestFit="1" customWidth="1"/>
    <col min="9731" max="9731" width="24" bestFit="1" customWidth="1"/>
    <col min="9732" max="9732" width="45.7109375" bestFit="1" customWidth="1"/>
    <col min="9733" max="9733" width="19.7109375" bestFit="1" customWidth="1"/>
    <col min="9734" max="9734" width="11.42578125" bestFit="1" customWidth="1"/>
    <col min="9735" max="9735" width="19.85546875" bestFit="1" customWidth="1"/>
    <col min="9736" max="9736" width="13.42578125" customWidth="1"/>
    <col min="9737" max="9737" width="15.28515625" bestFit="1" customWidth="1"/>
    <col min="9738" max="9738" width="14.140625" bestFit="1" customWidth="1"/>
    <col min="9739" max="9739" width="15.28515625" customWidth="1"/>
    <col min="9740" max="9740" width="15.85546875" customWidth="1"/>
    <col min="9741" max="9741" width="17" bestFit="1" customWidth="1"/>
    <col min="9742" max="9742" width="12.7109375" customWidth="1"/>
    <col min="9743" max="9743" width="13.7109375" customWidth="1"/>
    <col min="9744" max="9744" width="13.85546875" bestFit="1" customWidth="1"/>
    <col min="9745" max="9745" width="15.5703125" bestFit="1" customWidth="1"/>
    <col min="9746" max="9746" width="16.140625" customWidth="1"/>
    <col min="9747" max="9747" width="16.7109375" bestFit="1" customWidth="1"/>
    <col min="9748" max="9749" width="15.5703125" bestFit="1" customWidth="1"/>
    <col min="9750" max="9750" width="16.42578125" bestFit="1" customWidth="1"/>
    <col min="9751" max="9751" width="14.28515625" customWidth="1"/>
    <col min="9752" max="9752" width="12.85546875" bestFit="1" customWidth="1"/>
    <col min="9753" max="9753" width="11.28515625" bestFit="1" customWidth="1"/>
    <col min="9754" max="9754" width="12.5703125" bestFit="1" customWidth="1"/>
    <col min="9755" max="9755" width="14" bestFit="1" customWidth="1"/>
    <col min="9756" max="9756" width="6" bestFit="1" customWidth="1"/>
    <col min="9757" max="9757" width="15" customWidth="1"/>
    <col min="9758" max="9758" width="14.85546875" bestFit="1" customWidth="1"/>
    <col min="9759" max="9759" width="16.140625" bestFit="1" customWidth="1"/>
    <col min="9987" max="9987" width="24" bestFit="1" customWidth="1"/>
    <col min="9988" max="9988" width="45.7109375" bestFit="1" customWidth="1"/>
    <col min="9989" max="9989" width="19.7109375" bestFit="1" customWidth="1"/>
    <col min="9990" max="9990" width="11.42578125" bestFit="1" customWidth="1"/>
    <col min="9991" max="9991" width="19.85546875" bestFit="1" customWidth="1"/>
    <col min="9992" max="9992" width="13.42578125" customWidth="1"/>
    <col min="9993" max="9993" width="15.28515625" bestFit="1" customWidth="1"/>
    <col min="9994" max="9994" width="14.140625" bestFit="1" customWidth="1"/>
    <col min="9995" max="9995" width="15.28515625" customWidth="1"/>
    <col min="9996" max="9996" width="15.85546875" customWidth="1"/>
    <col min="9997" max="9997" width="17" bestFit="1" customWidth="1"/>
    <col min="9998" max="9998" width="12.7109375" customWidth="1"/>
    <col min="9999" max="9999" width="13.7109375" customWidth="1"/>
    <col min="10000" max="10000" width="13.85546875" bestFit="1" customWidth="1"/>
    <col min="10001" max="10001" width="15.5703125" bestFit="1" customWidth="1"/>
    <col min="10002" max="10002" width="16.140625" customWidth="1"/>
    <col min="10003" max="10003" width="16.7109375" bestFit="1" customWidth="1"/>
    <col min="10004" max="10005" width="15.5703125" bestFit="1" customWidth="1"/>
    <col min="10006" max="10006" width="16.42578125" bestFit="1" customWidth="1"/>
    <col min="10007" max="10007" width="14.28515625" customWidth="1"/>
    <col min="10008" max="10008" width="12.85546875" bestFit="1" customWidth="1"/>
    <col min="10009" max="10009" width="11.28515625" bestFit="1" customWidth="1"/>
    <col min="10010" max="10010" width="12.5703125" bestFit="1" customWidth="1"/>
    <col min="10011" max="10011" width="14" bestFit="1" customWidth="1"/>
    <col min="10012" max="10012" width="6" bestFit="1" customWidth="1"/>
    <col min="10013" max="10013" width="15" customWidth="1"/>
    <col min="10014" max="10014" width="14.85546875" bestFit="1" customWidth="1"/>
    <col min="10015" max="10015" width="16.140625" bestFit="1" customWidth="1"/>
    <col min="10243" max="10243" width="24" bestFit="1" customWidth="1"/>
    <col min="10244" max="10244" width="45.7109375" bestFit="1" customWidth="1"/>
    <col min="10245" max="10245" width="19.7109375" bestFit="1" customWidth="1"/>
    <col min="10246" max="10246" width="11.42578125" bestFit="1" customWidth="1"/>
    <col min="10247" max="10247" width="19.85546875" bestFit="1" customWidth="1"/>
    <col min="10248" max="10248" width="13.42578125" customWidth="1"/>
    <col min="10249" max="10249" width="15.28515625" bestFit="1" customWidth="1"/>
    <col min="10250" max="10250" width="14.140625" bestFit="1" customWidth="1"/>
    <col min="10251" max="10251" width="15.28515625" customWidth="1"/>
    <col min="10252" max="10252" width="15.85546875" customWidth="1"/>
    <col min="10253" max="10253" width="17" bestFit="1" customWidth="1"/>
    <col min="10254" max="10254" width="12.7109375" customWidth="1"/>
    <col min="10255" max="10255" width="13.7109375" customWidth="1"/>
    <col min="10256" max="10256" width="13.85546875" bestFit="1" customWidth="1"/>
    <col min="10257" max="10257" width="15.5703125" bestFit="1" customWidth="1"/>
    <col min="10258" max="10258" width="16.140625" customWidth="1"/>
    <col min="10259" max="10259" width="16.7109375" bestFit="1" customWidth="1"/>
    <col min="10260" max="10261" width="15.5703125" bestFit="1" customWidth="1"/>
    <col min="10262" max="10262" width="16.42578125" bestFit="1" customWidth="1"/>
    <col min="10263" max="10263" width="14.28515625" customWidth="1"/>
    <col min="10264" max="10264" width="12.85546875" bestFit="1" customWidth="1"/>
    <col min="10265" max="10265" width="11.28515625" bestFit="1" customWidth="1"/>
    <col min="10266" max="10266" width="12.5703125" bestFit="1" customWidth="1"/>
    <col min="10267" max="10267" width="14" bestFit="1" customWidth="1"/>
    <col min="10268" max="10268" width="6" bestFit="1" customWidth="1"/>
    <col min="10269" max="10269" width="15" customWidth="1"/>
    <col min="10270" max="10270" width="14.85546875" bestFit="1" customWidth="1"/>
    <col min="10271" max="10271" width="16.140625" bestFit="1" customWidth="1"/>
    <col min="10499" max="10499" width="24" bestFit="1" customWidth="1"/>
    <col min="10500" max="10500" width="45.7109375" bestFit="1" customWidth="1"/>
    <col min="10501" max="10501" width="19.7109375" bestFit="1" customWidth="1"/>
    <col min="10502" max="10502" width="11.42578125" bestFit="1" customWidth="1"/>
    <col min="10503" max="10503" width="19.85546875" bestFit="1" customWidth="1"/>
    <col min="10504" max="10504" width="13.42578125" customWidth="1"/>
    <col min="10505" max="10505" width="15.28515625" bestFit="1" customWidth="1"/>
    <col min="10506" max="10506" width="14.140625" bestFit="1" customWidth="1"/>
    <col min="10507" max="10507" width="15.28515625" customWidth="1"/>
    <col min="10508" max="10508" width="15.85546875" customWidth="1"/>
    <col min="10509" max="10509" width="17" bestFit="1" customWidth="1"/>
    <col min="10510" max="10510" width="12.7109375" customWidth="1"/>
    <col min="10511" max="10511" width="13.7109375" customWidth="1"/>
    <col min="10512" max="10512" width="13.85546875" bestFit="1" customWidth="1"/>
    <col min="10513" max="10513" width="15.5703125" bestFit="1" customWidth="1"/>
    <col min="10514" max="10514" width="16.140625" customWidth="1"/>
    <col min="10515" max="10515" width="16.7109375" bestFit="1" customWidth="1"/>
    <col min="10516" max="10517" width="15.5703125" bestFit="1" customWidth="1"/>
    <col min="10518" max="10518" width="16.42578125" bestFit="1" customWidth="1"/>
    <col min="10519" max="10519" width="14.28515625" customWidth="1"/>
    <col min="10520" max="10520" width="12.85546875" bestFit="1" customWidth="1"/>
    <col min="10521" max="10521" width="11.28515625" bestFit="1" customWidth="1"/>
    <col min="10522" max="10522" width="12.5703125" bestFit="1" customWidth="1"/>
    <col min="10523" max="10523" width="14" bestFit="1" customWidth="1"/>
    <col min="10524" max="10524" width="6" bestFit="1" customWidth="1"/>
    <col min="10525" max="10525" width="15" customWidth="1"/>
    <col min="10526" max="10526" width="14.85546875" bestFit="1" customWidth="1"/>
    <col min="10527" max="10527" width="16.140625" bestFit="1" customWidth="1"/>
    <col min="10755" max="10755" width="24" bestFit="1" customWidth="1"/>
    <col min="10756" max="10756" width="45.7109375" bestFit="1" customWidth="1"/>
    <col min="10757" max="10757" width="19.7109375" bestFit="1" customWidth="1"/>
    <col min="10758" max="10758" width="11.42578125" bestFit="1" customWidth="1"/>
    <col min="10759" max="10759" width="19.85546875" bestFit="1" customWidth="1"/>
    <col min="10760" max="10760" width="13.42578125" customWidth="1"/>
    <col min="10761" max="10761" width="15.28515625" bestFit="1" customWidth="1"/>
    <col min="10762" max="10762" width="14.140625" bestFit="1" customWidth="1"/>
    <col min="10763" max="10763" width="15.28515625" customWidth="1"/>
    <col min="10764" max="10764" width="15.85546875" customWidth="1"/>
    <col min="10765" max="10765" width="17" bestFit="1" customWidth="1"/>
    <col min="10766" max="10766" width="12.7109375" customWidth="1"/>
    <col min="10767" max="10767" width="13.7109375" customWidth="1"/>
    <col min="10768" max="10768" width="13.85546875" bestFit="1" customWidth="1"/>
    <col min="10769" max="10769" width="15.5703125" bestFit="1" customWidth="1"/>
    <col min="10770" max="10770" width="16.140625" customWidth="1"/>
    <col min="10771" max="10771" width="16.7109375" bestFit="1" customWidth="1"/>
    <col min="10772" max="10773" width="15.5703125" bestFit="1" customWidth="1"/>
    <col min="10774" max="10774" width="16.42578125" bestFit="1" customWidth="1"/>
    <col min="10775" max="10775" width="14.28515625" customWidth="1"/>
    <col min="10776" max="10776" width="12.85546875" bestFit="1" customWidth="1"/>
    <col min="10777" max="10777" width="11.28515625" bestFit="1" customWidth="1"/>
    <col min="10778" max="10778" width="12.5703125" bestFit="1" customWidth="1"/>
    <col min="10779" max="10779" width="14" bestFit="1" customWidth="1"/>
    <col min="10780" max="10780" width="6" bestFit="1" customWidth="1"/>
    <col min="10781" max="10781" width="15" customWidth="1"/>
    <col min="10782" max="10782" width="14.85546875" bestFit="1" customWidth="1"/>
    <col min="10783" max="10783" width="16.140625" bestFit="1" customWidth="1"/>
    <col min="11011" max="11011" width="24" bestFit="1" customWidth="1"/>
    <col min="11012" max="11012" width="45.7109375" bestFit="1" customWidth="1"/>
    <col min="11013" max="11013" width="19.7109375" bestFit="1" customWidth="1"/>
    <col min="11014" max="11014" width="11.42578125" bestFit="1" customWidth="1"/>
    <col min="11015" max="11015" width="19.85546875" bestFit="1" customWidth="1"/>
    <col min="11016" max="11016" width="13.42578125" customWidth="1"/>
    <col min="11017" max="11017" width="15.28515625" bestFit="1" customWidth="1"/>
    <col min="11018" max="11018" width="14.140625" bestFit="1" customWidth="1"/>
    <col min="11019" max="11019" width="15.28515625" customWidth="1"/>
    <col min="11020" max="11020" width="15.85546875" customWidth="1"/>
    <col min="11021" max="11021" width="17" bestFit="1" customWidth="1"/>
    <col min="11022" max="11022" width="12.7109375" customWidth="1"/>
    <col min="11023" max="11023" width="13.7109375" customWidth="1"/>
    <col min="11024" max="11024" width="13.85546875" bestFit="1" customWidth="1"/>
    <col min="11025" max="11025" width="15.5703125" bestFit="1" customWidth="1"/>
    <col min="11026" max="11026" width="16.140625" customWidth="1"/>
    <col min="11027" max="11027" width="16.7109375" bestFit="1" customWidth="1"/>
    <col min="11028" max="11029" width="15.5703125" bestFit="1" customWidth="1"/>
    <col min="11030" max="11030" width="16.42578125" bestFit="1" customWidth="1"/>
    <col min="11031" max="11031" width="14.28515625" customWidth="1"/>
    <col min="11032" max="11032" width="12.85546875" bestFit="1" customWidth="1"/>
    <col min="11033" max="11033" width="11.28515625" bestFit="1" customWidth="1"/>
    <col min="11034" max="11034" width="12.5703125" bestFit="1" customWidth="1"/>
    <col min="11035" max="11035" width="14" bestFit="1" customWidth="1"/>
    <col min="11036" max="11036" width="6" bestFit="1" customWidth="1"/>
    <col min="11037" max="11037" width="15" customWidth="1"/>
    <col min="11038" max="11038" width="14.85546875" bestFit="1" customWidth="1"/>
    <col min="11039" max="11039" width="16.140625" bestFit="1" customWidth="1"/>
    <col min="11267" max="11267" width="24" bestFit="1" customWidth="1"/>
    <col min="11268" max="11268" width="45.7109375" bestFit="1" customWidth="1"/>
    <col min="11269" max="11269" width="19.7109375" bestFit="1" customWidth="1"/>
    <col min="11270" max="11270" width="11.42578125" bestFit="1" customWidth="1"/>
    <col min="11271" max="11271" width="19.85546875" bestFit="1" customWidth="1"/>
    <col min="11272" max="11272" width="13.42578125" customWidth="1"/>
    <col min="11273" max="11273" width="15.28515625" bestFit="1" customWidth="1"/>
    <col min="11274" max="11274" width="14.140625" bestFit="1" customWidth="1"/>
    <col min="11275" max="11275" width="15.28515625" customWidth="1"/>
    <col min="11276" max="11276" width="15.85546875" customWidth="1"/>
    <col min="11277" max="11277" width="17" bestFit="1" customWidth="1"/>
    <col min="11278" max="11278" width="12.7109375" customWidth="1"/>
    <col min="11279" max="11279" width="13.7109375" customWidth="1"/>
    <col min="11280" max="11280" width="13.85546875" bestFit="1" customWidth="1"/>
    <col min="11281" max="11281" width="15.5703125" bestFit="1" customWidth="1"/>
    <col min="11282" max="11282" width="16.140625" customWidth="1"/>
    <col min="11283" max="11283" width="16.7109375" bestFit="1" customWidth="1"/>
    <col min="11284" max="11285" width="15.5703125" bestFit="1" customWidth="1"/>
    <col min="11286" max="11286" width="16.42578125" bestFit="1" customWidth="1"/>
    <col min="11287" max="11287" width="14.28515625" customWidth="1"/>
    <col min="11288" max="11288" width="12.85546875" bestFit="1" customWidth="1"/>
    <col min="11289" max="11289" width="11.28515625" bestFit="1" customWidth="1"/>
    <col min="11290" max="11290" width="12.5703125" bestFit="1" customWidth="1"/>
    <col min="11291" max="11291" width="14" bestFit="1" customWidth="1"/>
    <col min="11292" max="11292" width="6" bestFit="1" customWidth="1"/>
    <col min="11293" max="11293" width="15" customWidth="1"/>
    <col min="11294" max="11294" width="14.85546875" bestFit="1" customWidth="1"/>
    <col min="11295" max="11295" width="16.140625" bestFit="1" customWidth="1"/>
    <col min="11523" max="11523" width="24" bestFit="1" customWidth="1"/>
    <col min="11524" max="11524" width="45.7109375" bestFit="1" customWidth="1"/>
    <col min="11525" max="11525" width="19.7109375" bestFit="1" customWidth="1"/>
    <col min="11526" max="11526" width="11.42578125" bestFit="1" customWidth="1"/>
    <col min="11527" max="11527" width="19.85546875" bestFit="1" customWidth="1"/>
    <col min="11528" max="11528" width="13.42578125" customWidth="1"/>
    <col min="11529" max="11529" width="15.28515625" bestFit="1" customWidth="1"/>
    <col min="11530" max="11530" width="14.140625" bestFit="1" customWidth="1"/>
    <col min="11531" max="11531" width="15.28515625" customWidth="1"/>
    <col min="11532" max="11532" width="15.85546875" customWidth="1"/>
    <col min="11533" max="11533" width="17" bestFit="1" customWidth="1"/>
    <col min="11534" max="11534" width="12.7109375" customWidth="1"/>
    <col min="11535" max="11535" width="13.7109375" customWidth="1"/>
    <col min="11536" max="11536" width="13.85546875" bestFit="1" customWidth="1"/>
    <col min="11537" max="11537" width="15.5703125" bestFit="1" customWidth="1"/>
    <col min="11538" max="11538" width="16.140625" customWidth="1"/>
    <col min="11539" max="11539" width="16.7109375" bestFit="1" customWidth="1"/>
    <col min="11540" max="11541" width="15.5703125" bestFit="1" customWidth="1"/>
    <col min="11542" max="11542" width="16.42578125" bestFit="1" customWidth="1"/>
    <col min="11543" max="11543" width="14.28515625" customWidth="1"/>
    <col min="11544" max="11544" width="12.85546875" bestFit="1" customWidth="1"/>
    <col min="11545" max="11545" width="11.28515625" bestFit="1" customWidth="1"/>
    <col min="11546" max="11546" width="12.5703125" bestFit="1" customWidth="1"/>
    <col min="11547" max="11547" width="14" bestFit="1" customWidth="1"/>
    <col min="11548" max="11548" width="6" bestFit="1" customWidth="1"/>
    <col min="11549" max="11549" width="15" customWidth="1"/>
    <col min="11550" max="11550" width="14.85546875" bestFit="1" customWidth="1"/>
    <col min="11551" max="11551" width="16.140625" bestFit="1" customWidth="1"/>
    <col min="11779" max="11779" width="24" bestFit="1" customWidth="1"/>
    <col min="11780" max="11780" width="45.7109375" bestFit="1" customWidth="1"/>
    <col min="11781" max="11781" width="19.7109375" bestFit="1" customWidth="1"/>
    <col min="11782" max="11782" width="11.42578125" bestFit="1" customWidth="1"/>
    <col min="11783" max="11783" width="19.85546875" bestFit="1" customWidth="1"/>
    <col min="11784" max="11784" width="13.42578125" customWidth="1"/>
    <col min="11785" max="11785" width="15.28515625" bestFit="1" customWidth="1"/>
    <col min="11786" max="11786" width="14.140625" bestFit="1" customWidth="1"/>
    <col min="11787" max="11787" width="15.28515625" customWidth="1"/>
    <col min="11788" max="11788" width="15.85546875" customWidth="1"/>
    <col min="11789" max="11789" width="17" bestFit="1" customWidth="1"/>
    <col min="11790" max="11790" width="12.7109375" customWidth="1"/>
    <col min="11791" max="11791" width="13.7109375" customWidth="1"/>
    <col min="11792" max="11792" width="13.85546875" bestFit="1" customWidth="1"/>
    <col min="11793" max="11793" width="15.5703125" bestFit="1" customWidth="1"/>
    <col min="11794" max="11794" width="16.140625" customWidth="1"/>
    <col min="11795" max="11795" width="16.7109375" bestFit="1" customWidth="1"/>
    <col min="11796" max="11797" width="15.5703125" bestFit="1" customWidth="1"/>
    <col min="11798" max="11798" width="16.42578125" bestFit="1" customWidth="1"/>
    <col min="11799" max="11799" width="14.28515625" customWidth="1"/>
    <col min="11800" max="11800" width="12.85546875" bestFit="1" customWidth="1"/>
    <col min="11801" max="11801" width="11.28515625" bestFit="1" customWidth="1"/>
    <col min="11802" max="11802" width="12.5703125" bestFit="1" customWidth="1"/>
    <col min="11803" max="11803" width="14" bestFit="1" customWidth="1"/>
    <col min="11804" max="11804" width="6" bestFit="1" customWidth="1"/>
    <col min="11805" max="11805" width="15" customWidth="1"/>
    <col min="11806" max="11806" width="14.85546875" bestFit="1" customWidth="1"/>
    <col min="11807" max="11807" width="16.140625" bestFit="1" customWidth="1"/>
    <col min="12035" max="12035" width="24" bestFit="1" customWidth="1"/>
    <col min="12036" max="12036" width="45.7109375" bestFit="1" customWidth="1"/>
    <col min="12037" max="12037" width="19.7109375" bestFit="1" customWidth="1"/>
    <col min="12038" max="12038" width="11.42578125" bestFit="1" customWidth="1"/>
    <col min="12039" max="12039" width="19.85546875" bestFit="1" customWidth="1"/>
    <col min="12040" max="12040" width="13.42578125" customWidth="1"/>
    <col min="12041" max="12041" width="15.28515625" bestFit="1" customWidth="1"/>
    <col min="12042" max="12042" width="14.140625" bestFit="1" customWidth="1"/>
    <col min="12043" max="12043" width="15.28515625" customWidth="1"/>
    <col min="12044" max="12044" width="15.85546875" customWidth="1"/>
    <col min="12045" max="12045" width="17" bestFit="1" customWidth="1"/>
    <col min="12046" max="12046" width="12.7109375" customWidth="1"/>
    <col min="12047" max="12047" width="13.7109375" customWidth="1"/>
    <col min="12048" max="12048" width="13.85546875" bestFit="1" customWidth="1"/>
    <col min="12049" max="12049" width="15.5703125" bestFit="1" customWidth="1"/>
    <col min="12050" max="12050" width="16.140625" customWidth="1"/>
    <col min="12051" max="12051" width="16.7109375" bestFit="1" customWidth="1"/>
    <col min="12052" max="12053" width="15.5703125" bestFit="1" customWidth="1"/>
    <col min="12054" max="12054" width="16.42578125" bestFit="1" customWidth="1"/>
    <col min="12055" max="12055" width="14.28515625" customWidth="1"/>
    <col min="12056" max="12056" width="12.85546875" bestFit="1" customWidth="1"/>
    <col min="12057" max="12057" width="11.28515625" bestFit="1" customWidth="1"/>
    <col min="12058" max="12058" width="12.5703125" bestFit="1" customWidth="1"/>
    <col min="12059" max="12059" width="14" bestFit="1" customWidth="1"/>
    <col min="12060" max="12060" width="6" bestFit="1" customWidth="1"/>
    <col min="12061" max="12061" width="15" customWidth="1"/>
    <col min="12062" max="12062" width="14.85546875" bestFit="1" customWidth="1"/>
    <col min="12063" max="12063" width="16.140625" bestFit="1" customWidth="1"/>
    <col min="12291" max="12291" width="24" bestFit="1" customWidth="1"/>
    <col min="12292" max="12292" width="45.7109375" bestFit="1" customWidth="1"/>
    <col min="12293" max="12293" width="19.7109375" bestFit="1" customWidth="1"/>
    <col min="12294" max="12294" width="11.42578125" bestFit="1" customWidth="1"/>
    <col min="12295" max="12295" width="19.85546875" bestFit="1" customWidth="1"/>
    <col min="12296" max="12296" width="13.42578125" customWidth="1"/>
    <col min="12297" max="12297" width="15.28515625" bestFit="1" customWidth="1"/>
    <col min="12298" max="12298" width="14.140625" bestFit="1" customWidth="1"/>
    <col min="12299" max="12299" width="15.28515625" customWidth="1"/>
    <col min="12300" max="12300" width="15.85546875" customWidth="1"/>
    <col min="12301" max="12301" width="17" bestFit="1" customWidth="1"/>
    <col min="12302" max="12302" width="12.7109375" customWidth="1"/>
    <col min="12303" max="12303" width="13.7109375" customWidth="1"/>
    <col min="12304" max="12304" width="13.85546875" bestFit="1" customWidth="1"/>
    <col min="12305" max="12305" width="15.5703125" bestFit="1" customWidth="1"/>
    <col min="12306" max="12306" width="16.140625" customWidth="1"/>
    <col min="12307" max="12307" width="16.7109375" bestFit="1" customWidth="1"/>
    <col min="12308" max="12309" width="15.5703125" bestFit="1" customWidth="1"/>
    <col min="12310" max="12310" width="16.42578125" bestFit="1" customWidth="1"/>
    <col min="12311" max="12311" width="14.28515625" customWidth="1"/>
    <col min="12312" max="12312" width="12.85546875" bestFit="1" customWidth="1"/>
    <col min="12313" max="12313" width="11.28515625" bestFit="1" customWidth="1"/>
    <col min="12314" max="12314" width="12.5703125" bestFit="1" customWidth="1"/>
    <col min="12315" max="12315" width="14" bestFit="1" customWidth="1"/>
    <col min="12316" max="12316" width="6" bestFit="1" customWidth="1"/>
    <col min="12317" max="12317" width="15" customWidth="1"/>
    <col min="12318" max="12318" width="14.85546875" bestFit="1" customWidth="1"/>
    <col min="12319" max="12319" width="16.140625" bestFit="1" customWidth="1"/>
    <col min="12547" max="12547" width="24" bestFit="1" customWidth="1"/>
    <col min="12548" max="12548" width="45.7109375" bestFit="1" customWidth="1"/>
    <col min="12549" max="12549" width="19.7109375" bestFit="1" customWidth="1"/>
    <col min="12550" max="12550" width="11.42578125" bestFit="1" customWidth="1"/>
    <col min="12551" max="12551" width="19.85546875" bestFit="1" customWidth="1"/>
    <col min="12552" max="12552" width="13.42578125" customWidth="1"/>
    <col min="12553" max="12553" width="15.28515625" bestFit="1" customWidth="1"/>
    <col min="12554" max="12554" width="14.140625" bestFit="1" customWidth="1"/>
    <col min="12555" max="12555" width="15.28515625" customWidth="1"/>
    <col min="12556" max="12556" width="15.85546875" customWidth="1"/>
    <col min="12557" max="12557" width="17" bestFit="1" customWidth="1"/>
    <col min="12558" max="12558" width="12.7109375" customWidth="1"/>
    <col min="12559" max="12559" width="13.7109375" customWidth="1"/>
    <col min="12560" max="12560" width="13.85546875" bestFit="1" customWidth="1"/>
    <col min="12561" max="12561" width="15.5703125" bestFit="1" customWidth="1"/>
    <col min="12562" max="12562" width="16.140625" customWidth="1"/>
    <col min="12563" max="12563" width="16.7109375" bestFit="1" customWidth="1"/>
    <col min="12564" max="12565" width="15.5703125" bestFit="1" customWidth="1"/>
    <col min="12566" max="12566" width="16.42578125" bestFit="1" customWidth="1"/>
    <col min="12567" max="12567" width="14.28515625" customWidth="1"/>
    <col min="12568" max="12568" width="12.85546875" bestFit="1" customWidth="1"/>
    <col min="12569" max="12569" width="11.28515625" bestFit="1" customWidth="1"/>
    <col min="12570" max="12570" width="12.5703125" bestFit="1" customWidth="1"/>
    <col min="12571" max="12571" width="14" bestFit="1" customWidth="1"/>
    <col min="12572" max="12572" width="6" bestFit="1" customWidth="1"/>
    <col min="12573" max="12573" width="15" customWidth="1"/>
    <col min="12574" max="12574" width="14.85546875" bestFit="1" customWidth="1"/>
    <col min="12575" max="12575" width="16.140625" bestFit="1" customWidth="1"/>
    <col min="12803" max="12803" width="24" bestFit="1" customWidth="1"/>
    <col min="12804" max="12804" width="45.7109375" bestFit="1" customWidth="1"/>
    <col min="12805" max="12805" width="19.7109375" bestFit="1" customWidth="1"/>
    <col min="12806" max="12806" width="11.42578125" bestFit="1" customWidth="1"/>
    <col min="12807" max="12807" width="19.85546875" bestFit="1" customWidth="1"/>
    <col min="12808" max="12808" width="13.42578125" customWidth="1"/>
    <col min="12809" max="12809" width="15.28515625" bestFit="1" customWidth="1"/>
    <col min="12810" max="12810" width="14.140625" bestFit="1" customWidth="1"/>
    <col min="12811" max="12811" width="15.28515625" customWidth="1"/>
    <col min="12812" max="12812" width="15.85546875" customWidth="1"/>
    <col min="12813" max="12813" width="17" bestFit="1" customWidth="1"/>
    <col min="12814" max="12814" width="12.7109375" customWidth="1"/>
    <col min="12815" max="12815" width="13.7109375" customWidth="1"/>
    <col min="12816" max="12816" width="13.85546875" bestFit="1" customWidth="1"/>
    <col min="12817" max="12817" width="15.5703125" bestFit="1" customWidth="1"/>
    <col min="12818" max="12818" width="16.140625" customWidth="1"/>
    <col min="12819" max="12819" width="16.7109375" bestFit="1" customWidth="1"/>
    <col min="12820" max="12821" width="15.5703125" bestFit="1" customWidth="1"/>
    <col min="12822" max="12822" width="16.42578125" bestFit="1" customWidth="1"/>
    <col min="12823" max="12823" width="14.28515625" customWidth="1"/>
    <col min="12824" max="12824" width="12.85546875" bestFit="1" customWidth="1"/>
    <col min="12825" max="12825" width="11.28515625" bestFit="1" customWidth="1"/>
    <col min="12826" max="12826" width="12.5703125" bestFit="1" customWidth="1"/>
    <col min="12827" max="12827" width="14" bestFit="1" customWidth="1"/>
    <col min="12828" max="12828" width="6" bestFit="1" customWidth="1"/>
    <col min="12829" max="12829" width="15" customWidth="1"/>
    <col min="12830" max="12830" width="14.85546875" bestFit="1" customWidth="1"/>
    <col min="12831" max="12831" width="16.140625" bestFit="1" customWidth="1"/>
    <col min="13059" max="13059" width="24" bestFit="1" customWidth="1"/>
    <col min="13060" max="13060" width="45.7109375" bestFit="1" customWidth="1"/>
    <col min="13061" max="13061" width="19.7109375" bestFit="1" customWidth="1"/>
    <col min="13062" max="13062" width="11.42578125" bestFit="1" customWidth="1"/>
    <col min="13063" max="13063" width="19.85546875" bestFit="1" customWidth="1"/>
    <col min="13064" max="13064" width="13.42578125" customWidth="1"/>
    <col min="13065" max="13065" width="15.28515625" bestFit="1" customWidth="1"/>
    <col min="13066" max="13066" width="14.140625" bestFit="1" customWidth="1"/>
    <col min="13067" max="13067" width="15.28515625" customWidth="1"/>
    <col min="13068" max="13068" width="15.85546875" customWidth="1"/>
    <col min="13069" max="13069" width="17" bestFit="1" customWidth="1"/>
    <col min="13070" max="13070" width="12.7109375" customWidth="1"/>
    <col min="13071" max="13071" width="13.7109375" customWidth="1"/>
    <col min="13072" max="13072" width="13.85546875" bestFit="1" customWidth="1"/>
    <col min="13073" max="13073" width="15.5703125" bestFit="1" customWidth="1"/>
    <col min="13074" max="13074" width="16.140625" customWidth="1"/>
    <col min="13075" max="13075" width="16.7109375" bestFit="1" customWidth="1"/>
    <col min="13076" max="13077" width="15.5703125" bestFit="1" customWidth="1"/>
    <col min="13078" max="13078" width="16.42578125" bestFit="1" customWidth="1"/>
    <col min="13079" max="13079" width="14.28515625" customWidth="1"/>
    <col min="13080" max="13080" width="12.85546875" bestFit="1" customWidth="1"/>
    <col min="13081" max="13081" width="11.28515625" bestFit="1" customWidth="1"/>
    <col min="13082" max="13082" width="12.5703125" bestFit="1" customWidth="1"/>
    <col min="13083" max="13083" width="14" bestFit="1" customWidth="1"/>
    <col min="13084" max="13084" width="6" bestFit="1" customWidth="1"/>
    <col min="13085" max="13085" width="15" customWidth="1"/>
    <col min="13086" max="13086" width="14.85546875" bestFit="1" customWidth="1"/>
    <col min="13087" max="13087" width="16.140625" bestFit="1" customWidth="1"/>
    <col min="13315" max="13315" width="24" bestFit="1" customWidth="1"/>
    <col min="13316" max="13316" width="45.7109375" bestFit="1" customWidth="1"/>
    <col min="13317" max="13317" width="19.7109375" bestFit="1" customWidth="1"/>
    <col min="13318" max="13318" width="11.42578125" bestFit="1" customWidth="1"/>
    <col min="13319" max="13319" width="19.85546875" bestFit="1" customWidth="1"/>
    <col min="13320" max="13320" width="13.42578125" customWidth="1"/>
    <col min="13321" max="13321" width="15.28515625" bestFit="1" customWidth="1"/>
    <col min="13322" max="13322" width="14.140625" bestFit="1" customWidth="1"/>
    <col min="13323" max="13323" width="15.28515625" customWidth="1"/>
    <col min="13324" max="13324" width="15.85546875" customWidth="1"/>
    <col min="13325" max="13325" width="17" bestFit="1" customWidth="1"/>
    <col min="13326" max="13326" width="12.7109375" customWidth="1"/>
    <col min="13327" max="13327" width="13.7109375" customWidth="1"/>
    <col min="13328" max="13328" width="13.85546875" bestFit="1" customWidth="1"/>
    <col min="13329" max="13329" width="15.5703125" bestFit="1" customWidth="1"/>
    <col min="13330" max="13330" width="16.140625" customWidth="1"/>
    <col min="13331" max="13331" width="16.7109375" bestFit="1" customWidth="1"/>
    <col min="13332" max="13333" width="15.5703125" bestFit="1" customWidth="1"/>
    <col min="13334" max="13334" width="16.42578125" bestFit="1" customWidth="1"/>
    <col min="13335" max="13335" width="14.28515625" customWidth="1"/>
    <col min="13336" max="13336" width="12.85546875" bestFit="1" customWidth="1"/>
    <col min="13337" max="13337" width="11.28515625" bestFit="1" customWidth="1"/>
    <col min="13338" max="13338" width="12.5703125" bestFit="1" customWidth="1"/>
    <col min="13339" max="13339" width="14" bestFit="1" customWidth="1"/>
    <col min="13340" max="13340" width="6" bestFit="1" customWidth="1"/>
    <col min="13341" max="13341" width="15" customWidth="1"/>
    <col min="13342" max="13342" width="14.85546875" bestFit="1" customWidth="1"/>
    <col min="13343" max="13343" width="16.140625" bestFit="1" customWidth="1"/>
    <col min="13571" max="13571" width="24" bestFit="1" customWidth="1"/>
    <col min="13572" max="13572" width="45.7109375" bestFit="1" customWidth="1"/>
    <col min="13573" max="13573" width="19.7109375" bestFit="1" customWidth="1"/>
    <col min="13574" max="13574" width="11.42578125" bestFit="1" customWidth="1"/>
    <col min="13575" max="13575" width="19.85546875" bestFit="1" customWidth="1"/>
    <col min="13576" max="13576" width="13.42578125" customWidth="1"/>
    <col min="13577" max="13577" width="15.28515625" bestFit="1" customWidth="1"/>
    <col min="13578" max="13578" width="14.140625" bestFit="1" customWidth="1"/>
    <col min="13579" max="13579" width="15.28515625" customWidth="1"/>
    <col min="13580" max="13580" width="15.85546875" customWidth="1"/>
    <col min="13581" max="13581" width="17" bestFit="1" customWidth="1"/>
    <col min="13582" max="13582" width="12.7109375" customWidth="1"/>
    <col min="13583" max="13583" width="13.7109375" customWidth="1"/>
    <col min="13584" max="13584" width="13.85546875" bestFit="1" customWidth="1"/>
    <col min="13585" max="13585" width="15.5703125" bestFit="1" customWidth="1"/>
    <col min="13586" max="13586" width="16.140625" customWidth="1"/>
    <col min="13587" max="13587" width="16.7109375" bestFit="1" customWidth="1"/>
    <col min="13588" max="13589" width="15.5703125" bestFit="1" customWidth="1"/>
    <col min="13590" max="13590" width="16.42578125" bestFit="1" customWidth="1"/>
    <col min="13591" max="13591" width="14.28515625" customWidth="1"/>
    <col min="13592" max="13592" width="12.85546875" bestFit="1" customWidth="1"/>
    <col min="13593" max="13593" width="11.28515625" bestFit="1" customWidth="1"/>
    <col min="13594" max="13594" width="12.5703125" bestFit="1" customWidth="1"/>
    <col min="13595" max="13595" width="14" bestFit="1" customWidth="1"/>
    <col min="13596" max="13596" width="6" bestFit="1" customWidth="1"/>
    <col min="13597" max="13597" width="15" customWidth="1"/>
    <col min="13598" max="13598" width="14.85546875" bestFit="1" customWidth="1"/>
    <col min="13599" max="13599" width="16.140625" bestFit="1" customWidth="1"/>
    <col min="13827" max="13827" width="24" bestFit="1" customWidth="1"/>
    <col min="13828" max="13828" width="45.7109375" bestFit="1" customWidth="1"/>
    <col min="13829" max="13829" width="19.7109375" bestFit="1" customWidth="1"/>
    <col min="13830" max="13830" width="11.42578125" bestFit="1" customWidth="1"/>
    <col min="13831" max="13831" width="19.85546875" bestFit="1" customWidth="1"/>
    <col min="13832" max="13832" width="13.42578125" customWidth="1"/>
    <col min="13833" max="13833" width="15.28515625" bestFit="1" customWidth="1"/>
    <col min="13834" max="13834" width="14.140625" bestFit="1" customWidth="1"/>
    <col min="13835" max="13835" width="15.28515625" customWidth="1"/>
    <col min="13836" max="13836" width="15.85546875" customWidth="1"/>
    <col min="13837" max="13837" width="17" bestFit="1" customWidth="1"/>
    <col min="13838" max="13838" width="12.7109375" customWidth="1"/>
    <col min="13839" max="13839" width="13.7109375" customWidth="1"/>
    <col min="13840" max="13840" width="13.85546875" bestFit="1" customWidth="1"/>
    <col min="13841" max="13841" width="15.5703125" bestFit="1" customWidth="1"/>
    <col min="13842" max="13842" width="16.140625" customWidth="1"/>
    <col min="13843" max="13843" width="16.7109375" bestFit="1" customWidth="1"/>
    <col min="13844" max="13845" width="15.5703125" bestFit="1" customWidth="1"/>
    <col min="13846" max="13846" width="16.42578125" bestFit="1" customWidth="1"/>
    <col min="13847" max="13847" width="14.28515625" customWidth="1"/>
    <col min="13848" max="13848" width="12.85546875" bestFit="1" customWidth="1"/>
    <col min="13849" max="13849" width="11.28515625" bestFit="1" customWidth="1"/>
    <col min="13850" max="13850" width="12.5703125" bestFit="1" customWidth="1"/>
    <col min="13851" max="13851" width="14" bestFit="1" customWidth="1"/>
    <col min="13852" max="13852" width="6" bestFit="1" customWidth="1"/>
    <col min="13853" max="13853" width="15" customWidth="1"/>
    <col min="13854" max="13854" width="14.85546875" bestFit="1" customWidth="1"/>
    <col min="13855" max="13855" width="16.140625" bestFit="1" customWidth="1"/>
    <col min="14083" max="14083" width="24" bestFit="1" customWidth="1"/>
    <col min="14084" max="14084" width="45.7109375" bestFit="1" customWidth="1"/>
    <col min="14085" max="14085" width="19.7109375" bestFit="1" customWidth="1"/>
    <col min="14086" max="14086" width="11.42578125" bestFit="1" customWidth="1"/>
    <col min="14087" max="14087" width="19.85546875" bestFit="1" customWidth="1"/>
    <col min="14088" max="14088" width="13.42578125" customWidth="1"/>
    <col min="14089" max="14089" width="15.28515625" bestFit="1" customWidth="1"/>
    <col min="14090" max="14090" width="14.140625" bestFit="1" customWidth="1"/>
    <col min="14091" max="14091" width="15.28515625" customWidth="1"/>
    <col min="14092" max="14092" width="15.85546875" customWidth="1"/>
    <col min="14093" max="14093" width="17" bestFit="1" customWidth="1"/>
    <col min="14094" max="14094" width="12.7109375" customWidth="1"/>
    <col min="14095" max="14095" width="13.7109375" customWidth="1"/>
    <col min="14096" max="14096" width="13.85546875" bestFit="1" customWidth="1"/>
    <col min="14097" max="14097" width="15.5703125" bestFit="1" customWidth="1"/>
    <col min="14098" max="14098" width="16.140625" customWidth="1"/>
    <col min="14099" max="14099" width="16.7109375" bestFit="1" customWidth="1"/>
    <col min="14100" max="14101" width="15.5703125" bestFit="1" customWidth="1"/>
    <col min="14102" max="14102" width="16.42578125" bestFit="1" customWidth="1"/>
    <col min="14103" max="14103" width="14.28515625" customWidth="1"/>
    <col min="14104" max="14104" width="12.85546875" bestFit="1" customWidth="1"/>
    <col min="14105" max="14105" width="11.28515625" bestFit="1" customWidth="1"/>
    <col min="14106" max="14106" width="12.5703125" bestFit="1" customWidth="1"/>
    <col min="14107" max="14107" width="14" bestFit="1" customWidth="1"/>
    <col min="14108" max="14108" width="6" bestFit="1" customWidth="1"/>
    <col min="14109" max="14109" width="15" customWidth="1"/>
    <col min="14110" max="14110" width="14.85546875" bestFit="1" customWidth="1"/>
    <col min="14111" max="14111" width="16.140625" bestFit="1" customWidth="1"/>
    <col min="14339" max="14339" width="24" bestFit="1" customWidth="1"/>
    <col min="14340" max="14340" width="45.7109375" bestFit="1" customWidth="1"/>
    <col min="14341" max="14341" width="19.7109375" bestFit="1" customWidth="1"/>
    <col min="14342" max="14342" width="11.42578125" bestFit="1" customWidth="1"/>
    <col min="14343" max="14343" width="19.85546875" bestFit="1" customWidth="1"/>
    <col min="14344" max="14344" width="13.42578125" customWidth="1"/>
    <col min="14345" max="14345" width="15.28515625" bestFit="1" customWidth="1"/>
    <col min="14346" max="14346" width="14.140625" bestFit="1" customWidth="1"/>
    <col min="14347" max="14347" width="15.28515625" customWidth="1"/>
    <col min="14348" max="14348" width="15.85546875" customWidth="1"/>
    <col min="14349" max="14349" width="17" bestFit="1" customWidth="1"/>
    <col min="14350" max="14350" width="12.7109375" customWidth="1"/>
    <col min="14351" max="14351" width="13.7109375" customWidth="1"/>
    <col min="14352" max="14352" width="13.85546875" bestFit="1" customWidth="1"/>
    <col min="14353" max="14353" width="15.5703125" bestFit="1" customWidth="1"/>
    <col min="14354" max="14354" width="16.140625" customWidth="1"/>
    <col min="14355" max="14355" width="16.7109375" bestFit="1" customWidth="1"/>
    <col min="14356" max="14357" width="15.5703125" bestFit="1" customWidth="1"/>
    <col min="14358" max="14358" width="16.42578125" bestFit="1" customWidth="1"/>
    <col min="14359" max="14359" width="14.28515625" customWidth="1"/>
    <col min="14360" max="14360" width="12.85546875" bestFit="1" customWidth="1"/>
    <col min="14361" max="14361" width="11.28515625" bestFit="1" customWidth="1"/>
    <col min="14362" max="14362" width="12.5703125" bestFit="1" customWidth="1"/>
    <col min="14363" max="14363" width="14" bestFit="1" customWidth="1"/>
    <col min="14364" max="14364" width="6" bestFit="1" customWidth="1"/>
    <col min="14365" max="14365" width="15" customWidth="1"/>
    <col min="14366" max="14366" width="14.85546875" bestFit="1" customWidth="1"/>
    <col min="14367" max="14367" width="16.140625" bestFit="1" customWidth="1"/>
    <col min="14595" max="14595" width="24" bestFit="1" customWidth="1"/>
    <col min="14596" max="14596" width="45.7109375" bestFit="1" customWidth="1"/>
    <col min="14597" max="14597" width="19.7109375" bestFit="1" customWidth="1"/>
    <col min="14598" max="14598" width="11.42578125" bestFit="1" customWidth="1"/>
    <col min="14599" max="14599" width="19.85546875" bestFit="1" customWidth="1"/>
    <col min="14600" max="14600" width="13.42578125" customWidth="1"/>
    <col min="14601" max="14601" width="15.28515625" bestFit="1" customWidth="1"/>
    <col min="14602" max="14602" width="14.140625" bestFit="1" customWidth="1"/>
    <col min="14603" max="14603" width="15.28515625" customWidth="1"/>
    <col min="14604" max="14604" width="15.85546875" customWidth="1"/>
    <col min="14605" max="14605" width="17" bestFit="1" customWidth="1"/>
    <col min="14606" max="14606" width="12.7109375" customWidth="1"/>
    <col min="14607" max="14607" width="13.7109375" customWidth="1"/>
    <col min="14608" max="14608" width="13.85546875" bestFit="1" customWidth="1"/>
    <col min="14609" max="14609" width="15.5703125" bestFit="1" customWidth="1"/>
    <col min="14610" max="14610" width="16.140625" customWidth="1"/>
    <col min="14611" max="14611" width="16.7109375" bestFit="1" customWidth="1"/>
    <col min="14612" max="14613" width="15.5703125" bestFit="1" customWidth="1"/>
    <col min="14614" max="14614" width="16.42578125" bestFit="1" customWidth="1"/>
    <col min="14615" max="14615" width="14.28515625" customWidth="1"/>
    <col min="14616" max="14616" width="12.85546875" bestFit="1" customWidth="1"/>
    <col min="14617" max="14617" width="11.28515625" bestFit="1" customWidth="1"/>
    <col min="14618" max="14618" width="12.5703125" bestFit="1" customWidth="1"/>
    <col min="14619" max="14619" width="14" bestFit="1" customWidth="1"/>
    <col min="14620" max="14620" width="6" bestFit="1" customWidth="1"/>
    <col min="14621" max="14621" width="15" customWidth="1"/>
    <col min="14622" max="14622" width="14.85546875" bestFit="1" customWidth="1"/>
    <col min="14623" max="14623" width="16.140625" bestFit="1" customWidth="1"/>
    <col min="14851" max="14851" width="24" bestFit="1" customWidth="1"/>
    <col min="14852" max="14852" width="45.7109375" bestFit="1" customWidth="1"/>
    <col min="14853" max="14853" width="19.7109375" bestFit="1" customWidth="1"/>
    <col min="14854" max="14854" width="11.42578125" bestFit="1" customWidth="1"/>
    <col min="14855" max="14855" width="19.85546875" bestFit="1" customWidth="1"/>
    <col min="14856" max="14856" width="13.42578125" customWidth="1"/>
    <col min="14857" max="14857" width="15.28515625" bestFit="1" customWidth="1"/>
    <col min="14858" max="14858" width="14.140625" bestFit="1" customWidth="1"/>
    <col min="14859" max="14859" width="15.28515625" customWidth="1"/>
    <col min="14860" max="14860" width="15.85546875" customWidth="1"/>
    <col min="14861" max="14861" width="17" bestFit="1" customWidth="1"/>
    <col min="14862" max="14862" width="12.7109375" customWidth="1"/>
    <col min="14863" max="14863" width="13.7109375" customWidth="1"/>
    <col min="14864" max="14864" width="13.85546875" bestFit="1" customWidth="1"/>
    <col min="14865" max="14865" width="15.5703125" bestFit="1" customWidth="1"/>
    <col min="14866" max="14866" width="16.140625" customWidth="1"/>
    <col min="14867" max="14867" width="16.7109375" bestFit="1" customWidth="1"/>
    <col min="14868" max="14869" width="15.5703125" bestFit="1" customWidth="1"/>
    <col min="14870" max="14870" width="16.42578125" bestFit="1" customWidth="1"/>
    <col min="14871" max="14871" width="14.28515625" customWidth="1"/>
    <col min="14872" max="14872" width="12.85546875" bestFit="1" customWidth="1"/>
    <col min="14873" max="14873" width="11.28515625" bestFit="1" customWidth="1"/>
    <col min="14874" max="14874" width="12.5703125" bestFit="1" customWidth="1"/>
    <col min="14875" max="14875" width="14" bestFit="1" customWidth="1"/>
    <col min="14876" max="14876" width="6" bestFit="1" customWidth="1"/>
    <col min="14877" max="14877" width="15" customWidth="1"/>
    <col min="14878" max="14878" width="14.85546875" bestFit="1" customWidth="1"/>
    <col min="14879" max="14879" width="16.140625" bestFit="1" customWidth="1"/>
    <col min="15107" max="15107" width="24" bestFit="1" customWidth="1"/>
    <col min="15108" max="15108" width="45.7109375" bestFit="1" customWidth="1"/>
    <col min="15109" max="15109" width="19.7109375" bestFit="1" customWidth="1"/>
    <col min="15110" max="15110" width="11.42578125" bestFit="1" customWidth="1"/>
    <col min="15111" max="15111" width="19.85546875" bestFit="1" customWidth="1"/>
    <col min="15112" max="15112" width="13.42578125" customWidth="1"/>
    <col min="15113" max="15113" width="15.28515625" bestFit="1" customWidth="1"/>
    <col min="15114" max="15114" width="14.140625" bestFit="1" customWidth="1"/>
    <col min="15115" max="15115" width="15.28515625" customWidth="1"/>
    <col min="15116" max="15116" width="15.85546875" customWidth="1"/>
    <col min="15117" max="15117" width="17" bestFit="1" customWidth="1"/>
    <col min="15118" max="15118" width="12.7109375" customWidth="1"/>
    <col min="15119" max="15119" width="13.7109375" customWidth="1"/>
    <col min="15120" max="15120" width="13.85546875" bestFit="1" customWidth="1"/>
    <col min="15121" max="15121" width="15.5703125" bestFit="1" customWidth="1"/>
    <col min="15122" max="15122" width="16.140625" customWidth="1"/>
    <col min="15123" max="15123" width="16.7109375" bestFit="1" customWidth="1"/>
    <col min="15124" max="15125" width="15.5703125" bestFit="1" customWidth="1"/>
    <col min="15126" max="15126" width="16.42578125" bestFit="1" customWidth="1"/>
    <col min="15127" max="15127" width="14.28515625" customWidth="1"/>
    <col min="15128" max="15128" width="12.85546875" bestFit="1" customWidth="1"/>
    <col min="15129" max="15129" width="11.28515625" bestFit="1" customWidth="1"/>
    <col min="15130" max="15130" width="12.5703125" bestFit="1" customWidth="1"/>
    <col min="15131" max="15131" width="14" bestFit="1" customWidth="1"/>
    <col min="15132" max="15132" width="6" bestFit="1" customWidth="1"/>
    <col min="15133" max="15133" width="15" customWidth="1"/>
    <col min="15134" max="15134" width="14.85546875" bestFit="1" customWidth="1"/>
    <col min="15135" max="15135" width="16.140625" bestFit="1" customWidth="1"/>
    <col min="15363" max="15363" width="24" bestFit="1" customWidth="1"/>
    <col min="15364" max="15364" width="45.7109375" bestFit="1" customWidth="1"/>
    <col min="15365" max="15365" width="19.7109375" bestFit="1" customWidth="1"/>
    <col min="15366" max="15366" width="11.42578125" bestFit="1" customWidth="1"/>
    <col min="15367" max="15367" width="19.85546875" bestFit="1" customWidth="1"/>
    <col min="15368" max="15368" width="13.42578125" customWidth="1"/>
    <col min="15369" max="15369" width="15.28515625" bestFit="1" customWidth="1"/>
    <col min="15370" max="15370" width="14.140625" bestFit="1" customWidth="1"/>
    <col min="15371" max="15371" width="15.28515625" customWidth="1"/>
    <col min="15372" max="15372" width="15.85546875" customWidth="1"/>
    <col min="15373" max="15373" width="17" bestFit="1" customWidth="1"/>
    <col min="15374" max="15374" width="12.7109375" customWidth="1"/>
    <col min="15375" max="15375" width="13.7109375" customWidth="1"/>
    <col min="15376" max="15376" width="13.85546875" bestFit="1" customWidth="1"/>
    <col min="15377" max="15377" width="15.5703125" bestFit="1" customWidth="1"/>
    <col min="15378" max="15378" width="16.140625" customWidth="1"/>
    <col min="15379" max="15379" width="16.7109375" bestFit="1" customWidth="1"/>
    <col min="15380" max="15381" width="15.5703125" bestFit="1" customWidth="1"/>
    <col min="15382" max="15382" width="16.42578125" bestFit="1" customWidth="1"/>
    <col min="15383" max="15383" width="14.28515625" customWidth="1"/>
    <col min="15384" max="15384" width="12.85546875" bestFit="1" customWidth="1"/>
    <col min="15385" max="15385" width="11.28515625" bestFit="1" customWidth="1"/>
    <col min="15386" max="15386" width="12.5703125" bestFit="1" customWidth="1"/>
    <col min="15387" max="15387" width="14" bestFit="1" customWidth="1"/>
    <col min="15388" max="15388" width="6" bestFit="1" customWidth="1"/>
    <col min="15389" max="15389" width="15" customWidth="1"/>
    <col min="15390" max="15390" width="14.85546875" bestFit="1" customWidth="1"/>
    <col min="15391" max="15391" width="16.140625" bestFit="1" customWidth="1"/>
    <col min="15619" max="15619" width="24" bestFit="1" customWidth="1"/>
    <col min="15620" max="15620" width="45.7109375" bestFit="1" customWidth="1"/>
    <col min="15621" max="15621" width="19.7109375" bestFit="1" customWidth="1"/>
    <col min="15622" max="15622" width="11.42578125" bestFit="1" customWidth="1"/>
    <col min="15623" max="15623" width="19.85546875" bestFit="1" customWidth="1"/>
    <col min="15624" max="15624" width="13.42578125" customWidth="1"/>
    <col min="15625" max="15625" width="15.28515625" bestFit="1" customWidth="1"/>
    <col min="15626" max="15626" width="14.140625" bestFit="1" customWidth="1"/>
    <col min="15627" max="15627" width="15.28515625" customWidth="1"/>
    <col min="15628" max="15628" width="15.85546875" customWidth="1"/>
    <col min="15629" max="15629" width="17" bestFit="1" customWidth="1"/>
    <col min="15630" max="15630" width="12.7109375" customWidth="1"/>
    <col min="15631" max="15631" width="13.7109375" customWidth="1"/>
    <col min="15632" max="15632" width="13.85546875" bestFit="1" customWidth="1"/>
    <col min="15633" max="15633" width="15.5703125" bestFit="1" customWidth="1"/>
    <col min="15634" max="15634" width="16.140625" customWidth="1"/>
    <col min="15635" max="15635" width="16.7109375" bestFit="1" customWidth="1"/>
    <col min="15636" max="15637" width="15.5703125" bestFit="1" customWidth="1"/>
    <col min="15638" max="15638" width="16.42578125" bestFit="1" customWidth="1"/>
    <col min="15639" max="15639" width="14.28515625" customWidth="1"/>
    <col min="15640" max="15640" width="12.85546875" bestFit="1" customWidth="1"/>
    <col min="15641" max="15641" width="11.28515625" bestFit="1" customWidth="1"/>
    <col min="15642" max="15642" width="12.5703125" bestFit="1" customWidth="1"/>
    <col min="15643" max="15643" width="14" bestFit="1" customWidth="1"/>
    <col min="15644" max="15644" width="6" bestFit="1" customWidth="1"/>
    <col min="15645" max="15645" width="15" customWidth="1"/>
    <col min="15646" max="15646" width="14.85546875" bestFit="1" customWidth="1"/>
    <col min="15647" max="15647" width="16.140625" bestFit="1" customWidth="1"/>
    <col min="15875" max="15875" width="24" bestFit="1" customWidth="1"/>
    <col min="15876" max="15876" width="45.7109375" bestFit="1" customWidth="1"/>
    <col min="15877" max="15877" width="19.7109375" bestFit="1" customWidth="1"/>
    <col min="15878" max="15878" width="11.42578125" bestFit="1" customWidth="1"/>
    <col min="15879" max="15879" width="19.85546875" bestFit="1" customWidth="1"/>
    <col min="15880" max="15880" width="13.42578125" customWidth="1"/>
    <col min="15881" max="15881" width="15.28515625" bestFit="1" customWidth="1"/>
    <col min="15882" max="15882" width="14.140625" bestFit="1" customWidth="1"/>
    <col min="15883" max="15883" width="15.28515625" customWidth="1"/>
    <col min="15884" max="15884" width="15.85546875" customWidth="1"/>
    <col min="15885" max="15885" width="17" bestFit="1" customWidth="1"/>
    <col min="15886" max="15886" width="12.7109375" customWidth="1"/>
    <col min="15887" max="15887" width="13.7109375" customWidth="1"/>
    <col min="15888" max="15888" width="13.85546875" bestFit="1" customWidth="1"/>
    <col min="15889" max="15889" width="15.5703125" bestFit="1" customWidth="1"/>
    <col min="15890" max="15890" width="16.140625" customWidth="1"/>
    <col min="15891" max="15891" width="16.7109375" bestFit="1" customWidth="1"/>
    <col min="15892" max="15893" width="15.5703125" bestFit="1" customWidth="1"/>
    <col min="15894" max="15894" width="16.42578125" bestFit="1" customWidth="1"/>
    <col min="15895" max="15895" width="14.28515625" customWidth="1"/>
    <col min="15896" max="15896" width="12.85546875" bestFit="1" customWidth="1"/>
    <col min="15897" max="15897" width="11.28515625" bestFit="1" customWidth="1"/>
    <col min="15898" max="15898" width="12.5703125" bestFit="1" customWidth="1"/>
    <col min="15899" max="15899" width="14" bestFit="1" customWidth="1"/>
    <col min="15900" max="15900" width="6" bestFit="1" customWidth="1"/>
    <col min="15901" max="15901" width="15" customWidth="1"/>
    <col min="15902" max="15902" width="14.85546875" bestFit="1" customWidth="1"/>
    <col min="15903" max="15903" width="16.140625" bestFit="1" customWidth="1"/>
    <col min="16131" max="16131" width="24" bestFit="1" customWidth="1"/>
    <col min="16132" max="16132" width="45.7109375" bestFit="1" customWidth="1"/>
    <col min="16133" max="16133" width="19.7109375" bestFit="1" customWidth="1"/>
    <col min="16134" max="16134" width="11.42578125" bestFit="1" customWidth="1"/>
    <col min="16135" max="16135" width="19.85546875" bestFit="1" customWidth="1"/>
    <col min="16136" max="16136" width="13.42578125" customWidth="1"/>
    <col min="16137" max="16137" width="15.28515625" bestFit="1" customWidth="1"/>
    <col min="16138" max="16138" width="14.140625" bestFit="1" customWidth="1"/>
    <col min="16139" max="16139" width="15.28515625" customWidth="1"/>
    <col min="16140" max="16140" width="15.85546875" customWidth="1"/>
    <col min="16141" max="16141" width="17" bestFit="1" customWidth="1"/>
    <col min="16142" max="16142" width="12.7109375" customWidth="1"/>
    <col min="16143" max="16143" width="13.7109375" customWidth="1"/>
    <col min="16144" max="16144" width="13.85546875" bestFit="1" customWidth="1"/>
    <col min="16145" max="16145" width="15.5703125" bestFit="1" customWidth="1"/>
    <col min="16146" max="16146" width="16.140625" customWidth="1"/>
    <col min="16147" max="16147" width="16.7109375" bestFit="1" customWidth="1"/>
    <col min="16148" max="16149" width="15.5703125" bestFit="1" customWidth="1"/>
    <col min="16150" max="16150" width="16.42578125" bestFit="1" customWidth="1"/>
    <col min="16151" max="16151" width="14.28515625" customWidth="1"/>
    <col min="16152" max="16152" width="12.85546875" bestFit="1" customWidth="1"/>
    <col min="16153" max="16153" width="11.28515625" bestFit="1" customWidth="1"/>
    <col min="16154" max="16154" width="12.5703125" bestFit="1" customWidth="1"/>
    <col min="16155" max="16155" width="14" bestFit="1" customWidth="1"/>
    <col min="16156" max="16156" width="6" bestFit="1" customWidth="1"/>
    <col min="16157" max="16157" width="15" customWidth="1"/>
    <col min="16158" max="16158" width="14.85546875" bestFit="1" customWidth="1"/>
    <col min="16159" max="16159" width="16.140625" bestFit="1" customWidth="1"/>
  </cols>
  <sheetData>
    <row r="1" spans="1:36" ht="53.25" customHeight="1" thickBot="1">
      <c r="C1" s="1853" t="s">
        <v>611</v>
      </c>
      <c r="D1" s="1812" t="s">
        <v>283</v>
      </c>
      <c r="E1" s="1853" t="s">
        <v>6</v>
      </c>
      <c r="F1" s="1853">
        <v>18230629</v>
      </c>
      <c r="G1" s="1853" t="s">
        <v>5</v>
      </c>
      <c r="J1" s="1812"/>
      <c r="K1" s="1812"/>
      <c r="L1" s="1812"/>
      <c r="M1" s="1853" t="s">
        <v>611</v>
      </c>
      <c r="N1" s="1812" t="s">
        <v>283</v>
      </c>
      <c r="O1" s="1853" t="s">
        <v>6</v>
      </c>
      <c r="P1" s="1853">
        <v>18230629</v>
      </c>
      <c r="Q1" s="1853" t="s">
        <v>5</v>
      </c>
      <c r="V1" s="1853" t="s">
        <v>77</v>
      </c>
      <c r="W1" s="1812" t="s">
        <v>283</v>
      </c>
      <c r="X1" s="1853" t="s">
        <v>6</v>
      </c>
      <c r="Y1" s="1853">
        <v>18230629</v>
      </c>
      <c r="Z1" s="1853" t="s">
        <v>5</v>
      </c>
    </row>
    <row r="2" spans="1:36" ht="16.5" thickBot="1">
      <c r="C2" s="45"/>
      <c r="D2" s="46"/>
      <c r="H2" s="1576" t="s">
        <v>674</v>
      </c>
      <c r="R2" s="3596"/>
      <c r="S2" s="3596"/>
      <c r="T2" s="3597" t="s">
        <v>36</v>
      </c>
      <c r="U2" s="3598"/>
      <c r="V2" s="3599"/>
      <c r="W2" s="3594" t="s">
        <v>37</v>
      </c>
    </row>
    <row r="3" spans="1:36" ht="27.75" thickBot="1">
      <c r="A3" s="1852" t="s">
        <v>611</v>
      </c>
      <c r="B3" s="1852"/>
      <c r="C3" s="2715" t="s">
        <v>621</v>
      </c>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36" ht="16.5" thickBot="1">
      <c r="A4" s="1808" t="s">
        <v>283</v>
      </c>
      <c r="B4" s="1808"/>
      <c r="C4" s="46"/>
      <c r="G4" s="1704" t="s">
        <v>668</v>
      </c>
      <c r="H4" s="2003">
        <v>9200</v>
      </c>
      <c r="I4" s="2002">
        <v>0</v>
      </c>
      <c r="J4" s="2002">
        <v>6504</v>
      </c>
      <c r="K4" s="2002">
        <v>0</v>
      </c>
      <c r="L4" s="2002">
        <v>0</v>
      </c>
      <c r="M4" s="2002">
        <v>125000</v>
      </c>
      <c r="N4" s="2002">
        <v>0</v>
      </c>
      <c r="O4" s="2002">
        <v>0</v>
      </c>
      <c r="P4" s="2002">
        <v>0</v>
      </c>
      <c r="Q4" s="2002">
        <v>0</v>
      </c>
      <c r="R4" s="2000">
        <v>140704</v>
      </c>
      <c r="S4" s="1998">
        <v>5000000</v>
      </c>
      <c r="T4" s="65">
        <f>P4/R4</f>
        <v>0</v>
      </c>
      <c r="U4" s="65">
        <f>(K4+(I4*1.63))/R4</f>
        <v>0</v>
      </c>
      <c r="V4" s="65">
        <f>M4/R4</f>
        <v>0.88838981123493288</v>
      </c>
      <c r="W4" s="52">
        <f>R4/S4</f>
        <v>2.8140800000000001E-2</v>
      </c>
    </row>
    <row r="5" spans="1:36" ht="16.5" thickBot="1">
      <c r="A5" s="1852" t="s">
        <v>6</v>
      </c>
      <c r="B5" s="1852"/>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36" ht="16.5" thickBot="1">
      <c r="A6" s="1852">
        <v>18230629</v>
      </c>
      <c r="B6" s="1852"/>
      <c r="C6" s="1592"/>
      <c r="D6" s="1866"/>
      <c r="E6" s="1867"/>
      <c r="F6" s="1866"/>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9">
        <f>U15</f>
        <v>0</v>
      </c>
      <c r="T6" s="66" t="e">
        <f>P6/R6</f>
        <v>#DIV/0!</v>
      </c>
      <c r="U6" s="66" t="e">
        <f>(K6+(I6*1.63))/R6</f>
        <v>#DIV/0!</v>
      </c>
      <c r="V6" s="66" t="e">
        <f>M6/R6</f>
        <v>#DIV/0!</v>
      </c>
      <c r="W6" s="56" t="e">
        <f>R6/S6</f>
        <v>#DIV/0!</v>
      </c>
    </row>
    <row r="7" spans="1:36" ht="16.5" thickBot="1">
      <c r="A7" s="1852" t="s">
        <v>5</v>
      </c>
      <c r="B7" s="1808"/>
      <c r="C7" s="1592"/>
      <c r="D7" s="1866"/>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f>S5+S6</f>
        <v>0</v>
      </c>
      <c r="T7" s="66" t="e">
        <f>P7/R7</f>
        <v>#DIV/0!</v>
      </c>
      <c r="U7" s="66" t="e">
        <f>(K7+(I7*1.63))/R7</f>
        <v>#DIV/0!</v>
      </c>
      <c r="V7" s="66" t="e">
        <f>M7/R7</f>
        <v>#DIV/0!</v>
      </c>
      <c r="W7" s="56" t="e">
        <f>R7/S7</f>
        <v>#DIV/0!</v>
      </c>
    </row>
    <row r="8" spans="1:36" ht="15.75">
      <c r="B8" s="1852"/>
      <c r="C8" s="1592"/>
      <c r="D8" s="1866"/>
      <c r="E8" s="1867"/>
      <c r="F8" s="1866"/>
    </row>
    <row r="9" spans="1:36" ht="20.25" customHeight="1">
      <c r="A9" s="1808"/>
      <c r="B9" s="1808"/>
      <c r="C9" s="1592"/>
      <c r="D9" s="1866"/>
      <c r="E9" s="1867"/>
      <c r="F9" s="1866"/>
    </row>
    <row r="10" spans="1:36">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c r="Z10" s="3629"/>
      <c r="AA10" s="3629"/>
      <c r="AB10" s="3629"/>
      <c r="AC10" s="3629"/>
      <c r="AD10" s="3629"/>
      <c r="AE10" s="3629"/>
      <c r="AF10" s="3629"/>
      <c r="AG10" s="2324"/>
      <c r="AH10" s="2324"/>
      <c r="AI10" s="2324"/>
      <c r="AJ10" s="2324"/>
    </row>
    <row r="11" spans="1:36">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c r="Z11" s="2325"/>
      <c r="AA11" s="2325"/>
      <c r="AB11" s="2325"/>
      <c r="AC11" s="2325"/>
      <c r="AD11" s="2325"/>
      <c r="AE11" s="2325"/>
      <c r="AF11" s="2325"/>
      <c r="AG11" s="2325"/>
      <c r="AH11" s="2325"/>
      <c r="AI11" s="2325"/>
      <c r="AJ11" s="2325"/>
    </row>
    <row r="12" spans="1:36">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c r="Z12" s="3627"/>
      <c r="AA12" s="3627"/>
      <c r="AB12" s="3627"/>
      <c r="AC12" s="3627"/>
      <c r="AD12" s="3627"/>
      <c r="AE12" s="3627"/>
      <c r="AF12" s="3627"/>
      <c r="AG12" s="2325"/>
      <c r="AH12" s="2325"/>
      <c r="AI12" s="3627"/>
      <c r="AJ12" s="3627"/>
    </row>
    <row r="13" spans="1:36">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c r="Z13" s="2326"/>
      <c r="AA13" s="2326"/>
      <c r="AB13" s="2326"/>
      <c r="AC13" s="2326"/>
      <c r="AD13" s="2326"/>
      <c r="AE13" s="2326"/>
      <c r="AF13" s="2326"/>
      <c r="AG13" s="2325"/>
      <c r="AH13" s="2325"/>
      <c r="AI13" s="3628"/>
      <c r="AJ13" s="3628"/>
    </row>
    <row r="14" spans="1:36" ht="15.7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c r="Z14" s="2327"/>
      <c r="AA14" s="2326"/>
      <c r="AB14" s="2326"/>
      <c r="AC14" s="2326"/>
      <c r="AD14" s="2326"/>
      <c r="AE14" s="2326"/>
      <c r="AF14" s="2326"/>
      <c r="AG14" s="2325"/>
      <c r="AH14" s="2325"/>
      <c r="AI14" s="2326"/>
      <c r="AJ14" s="2326"/>
    </row>
    <row r="15" spans="1:36">
      <c r="B15" s="1886" t="s">
        <v>312</v>
      </c>
      <c r="C15" s="1910" t="s">
        <v>46</v>
      </c>
      <c r="D15" s="1911">
        <f>SUM(D16:D19)</f>
        <v>0</v>
      </c>
      <c r="E15" s="1926">
        <f>SUM(E16:E19)</f>
        <v>0</v>
      </c>
      <c r="F15" s="1924">
        <f>D15+E15</f>
        <v>0</v>
      </c>
      <c r="H15" s="1938" t="s">
        <v>327</v>
      </c>
      <c r="I15" s="1939"/>
      <c r="J15" s="1939"/>
      <c r="K15" s="1940"/>
      <c r="L15" s="1941">
        <v>0</v>
      </c>
      <c r="M15" s="1941">
        <v>0</v>
      </c>
      <c r="N15" s="1942" t="s">
        <v>241</v>
      </c>
      <c r="O15" s="1940" t="s">
        <v>328</v>
      </c>
      <c r="P15" s="1940"/>
      <c r="Q15" s="1940"/>
      <c r="R15" s="1940"/>
      <c r="S15" s="1940"/>
      <c r="T15" s="1943">
        <v>0</v>
      </c>
      <c r="U15" s="1943">
        <v>0</v>
      </c>
      <c r="V15" s="1943">
        <v>0</v>
      </c>
      <c r="W15" s="1941">
        <v>0</v>
      </c>
      <c r="X15" s="1941">
        <v>0</v>
      </c>
      <c r="Y15" s="1941">
        <v>0</v>
      </c>
      <c r="Z15" s="2329"/>
      <c r="AA15" s="2330"/>
      <c r="AB15" s="2330"/>
      <c r="AC15" s="2328"/>
      <c r="AD15" s="2328"/>
      <c r="AE15" s="2328"/>
      <c r="AF15" s="2328"/>
      <c r="AG15" s="2325"/>
      <c r="AH15" s="2325"/>
      <c r="AI15" s="2331"/>
      <c r="AJ15" s="2331"/>
    </row>
    <row r="16" spans="1:36">
      <c r="B16" s="1885"/>
      <c r="C16" s="2197"/>
      <c r="D16" s="1907"/>
      <c r="E16" s="1906"/>
      <c r="F16" s="1879">
        <f>SUM(D16:E16)</f>
        <v>0</v>
      </c>
      <c r="H16" s="1922"/>
      <c r="I16" s="1928"/>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c r="Z16" s="2335"/>
      <c r="AA16" s="2336"/>
      <c r="AB16" s="2336"/>
      <c r="AC16" s="2334"/>
      <c r="AD16" s="2334"/>
      <c r="AE16" s="2334"/>
      <c r="AF16" s="2334"/>
      <c r="AG16" s="2325"/>
      <c r="AH16" s="2325"/>
      <c r="AI16" s="2333"/>
      <c r="AJ16" s="2333"/>
    </row>
    <row r="17" spans="2:36">
      <c r="B17" s="1885"/>
      <c r="C17" s="1876"/>
      <c r="D17" s="1905"/>
      <c r="E17" s="1904"/>
      <c r="F17" s="1891">
        <f t="shared" ref="F17:F30" si="1">SUM(D17:E17)</f>
        <v>0</v>
      </c>
      <c r="H17" s="1922"/>
      <c r="I17" s="1928"/>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c r="Z17" s="2335"/>
      <c r="AA17" s="2336"/>
      <c r="AB17" s="2336"/>
      <c r="AC17" s="2334"/>
      <c r="AD17" s="2334"/>
      <c r="AE17" s="2334"/>
      <c r="AF17" s="2334"/>
      <c r="AG17" s="2325"/>
      <c r="AH17" s="2325"/>
      <c r="AI17" s="2333"/>
      <c r="AJ17" s="2333"/>
    </row>
    <row r="18" spans="2:36">
      <c r="B18" s="1885"/>
      <c r="C18" s="1876"/>
      <c r="D18" s="1905"/>
      <c r="E18" s="1904"/>
      <c r="F18" s="1891">
        <f t="shared" si="1"/>
        <v>0</v>
      </c>
      <c r="H18" s="1922"/>
      <c r="I18" s="1928"/>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c r="Z18" s="2335"/>
      <c r="AA18" s="2336"/>
      <c r="AB18" s="2336"/>
      <c r="AC18" s="2334"/>
      <c r="AD18" s="2334"/>
      <c r="AE18" s="2334"/>
      <c r="AF18" s="2334"/>
      <c r="AG18" s="2325"/>
      <c r="AH18" s="2325"/>
      <c r="AI18" s="2333"/>
      <c r="AJ18" s="2333"/>
    </row>
    <row r="19" spans="2:36">
      <c r="B19" s="1885"/>
      <c r="C19" s="1876"/>
      <c r="D19" s="1903"/>
      <c r="E19" s="1902"/>
      <c r="F19" s="1891">
        <f t="shared" si="1"/>
        <v>0</v>
      </c>
      <c r="H19" s="1922"/>
      <c r="I19" s="1928"/>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c r="Z19" s="2335"/>
      <c r="AA19" s="2336"/>
      <c r="AB19" s="2336"/>
      <c r="AC19" s="2334"/>
      <c r="AD19" s="2334"/>
      <c r="AE19" s="2334"/>
      <c r="AF19" s="2334"/>
      <c r="AG19" s="2325"/>
      <c r="AH19" s="2325"/>
      <c r="AI19" s="2333"/>
      <c r="AJ19" s="2333"/>
    </row>
    <row r="20" spans="2:36">
      <c r="B20" s="1908">
        <f>SUM(B16:B19)</f>
        <v>0</v>
      </c>
      <c r="C20" s="1952"/>
      <c r="D20" s="1954"/>
      <c r="E20" s="1955"/>
      <c r="F20" s="1957"/>
      <c r="H20" s="1922"/>
      <c r="I20" s="1928"/>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c r="Z20" s="2335"/>
      <c r="AA20" s="2336"/>
      <c r="AB20" s="2336"/>
      <c r="AC20" s="2334"/>
      <c r="AD20" s="2334"/>
      <c r="AE20" s="2334"/>
      <c r="AF20" s="2334"/>
      <c r="AG20" s="2325"/>
      <c r="AH20" s="2325"/>
      <c r="AI20" s="2333"/>
      <c r="AJ20" s="2333"/>
    </row>
    <row r="21" spans="2:36">
      <c r="C21" s="1910" t="s">
        <v>47</v>
      </c>
      <c r="D21" s="1911">
        <f>SUM(D22:D25)</f>
        <v>0</v>
      </c>
      <c r="E21" s="1926">
        <f>SUM(E22:E25)</f>
        <v>0</v>
      </c>
      <c r="F21" s="1924">
        <f>D21+E21</f>
        <v>0</v>
      </c>
      <c r="H21" s="1922"/>
      <c r="I21" s="1928"/>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c r="Z21" s="2335"/>
      <c r="AA21" s="2336"/>
      <c r="AB21" s="2336"/>
      <c r="AC21" s="2334"/>
      <c r="AD21" s="2334"/>
      <c r="AE21" s="2334"/>
      <c r="AF21" s="2334"/>
      <c r="AG21" s="2325"/>
      <c r="AH21" s="2325"/>
      <c r="AI21" s="2333"/>
      <c r="AJ21" s="2333"/>
    </row>
    <row r="22" spans="2:36">
      <c r="C22" s="1876"/>
      <c r="D22" s="1907"/>
      <c r="E22" s="1906"/>
      <c r="F22" s="1879">
        <f t="shared" si="1"/>
        <v>0</v>
      </c>
      <c r="H22" s="1922"/>
      <c r="I22" s="1928"/>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c r="Z22" s="2335"/>
      <c r="AA22" s="2336"/>
      <c r="AB22" s="2336"/>
      <c r="AC22" s="2334"/>
      <c r="AD22" s="2334"/>
      <c r="AE22" s="2334"/>
      <c r="AF22" s="2334"/>
      <c r="AG22" s="2325"/>
      <c r="AH22" s="2325"/>
      <c r="AI22" s="2333"/>
      <c r="AJ22" s="2333"/>
    </row>
    <row r="23" spans="2:36">
      <c r="C23" s="1876"/>
      <c r="D23" s="1900"/>
      <c r="E23" s="1899"/>
      <c r="F23" s="1891">
        <f t="shared" si="1"/>
        <v>0</v>
      </c>
      <c r="H23" s="1922"/>
      <c r="I23" s="1928"/>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c r="Z23" s="2335"/>
      <c r="AA23" s="2336"/>
      <c r="AB23" s="2336"/>
      <c r="AC23" s="2334"/>
      <c r="AD23" s="2334"/>
      <c r="AE23" s="2334"/>
      <c r="AF23" s="2334"/>
      <c r="AG23" s="2325"/>
      <c r="AH23" s="2325"/>
      <c r="AI23" s="2333"/>
      <c r="AJ23" s="2333"/>
    </row>
    <row r="24" spans="2:36">
      <c r="C24" s="1876"/>
      <c r="D24" s="1898"/>
      <c r="E24" s="1897"/>
      <c r="F24" s="1891">
        <f t="shared" si="1"/>
        <v>0</v>
      </c>
      <c r="H24" s="1922"/>
      <c r="I24" s="1928"/>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c r="Z24" s="2335"/>
      <c r="AA24" s="2336"/>
      <c r="AB24" s="2336"/>
      <c r="AC24" s="2334"/>
      <c r="AD24" s="2334"/>
      <c r="AE24" s="2334"/>
      <c r="AF24" s="2334"/>
      <c r="AG24" s="2325"/>
      <c r="AH24" s="2325"/>
      <c r="AI24" s="2333"/>
      <c r="AJ24" s="2333"/>
    </row>
    <row r="25" spans="2:36">
      <c r="C25" s="1876"/>
      <c r="D25" s="1896"/>
      <c r="E25" s="1899"/>
      <c r="F25" s="1891">
        <f t="shared" si="1"/>
        <v>0</v>
      </c>
      <c r="H25" s="1922"/>
      <c r="I25" s="1928"/>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c r="Z25" s="2335"/>
      <c r="AA25" s="2336"/>
      <c r="AB25" s="2336"/>
      <c r="AC25" s="2334"/>
      <c r="AD25" s="2334"/>
      <c r="AE25" s="2334"/>
      <c r="AF25" s="2334"/>
      <c r="AG25" s="2325"/>
      <c r="AH25" s="2325"/>
      <c r="AI25" s="2333"/>
      <c r="AJ25" s="2333"/>
    </row>
    <row r="26" spans="2:36">
      <c r="C26" s="1877"/>
      <c r="D26" s="1892"/>
      <c r="E26" s="1884"/>
      <c r="F26" s="1892"/>
      <c r="H26" s="1922"/>
      <c r="I26" s="1928"/>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c r="Z26" s="2335"/>
      <c r="AA26" s="2336"/>
      <c r="AB26" s="2336"/>
      <c r="AC26" s="2334"/>
      <c r="AD26" s="2334"/>
      <c r="AE26" s="2334"/>
      <c r="AF26" s="2334"/>
      <c r="AG26" s="2325"/>
      <c r="AH26" s="2325"/>
      <c r="AI26" s="2333"/>
      <c r="AJ26" s="2333"/>
    </row>
    <row r="27" spans="2:36">
      <c r="C27" s="1910" t="s">
        <v>48</v>
      </c>
      <c r="D27" s="1911">
        <f>SUM(D29:D32)</f>
        <v>0</v>
      </c>
      <c r="E27" s="1926">
        <f>SUM(E29:E32)</f>
        <v>0</v>
      </c>
      <c r="F27" s="1924">
        <f>D27+E27</f>
        <v>0</v>
      </c>
      <c r="H27" s="1922"/>
      <c r="I27" s="1928"/>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c r="Z27" s="2335"/>
      <c r="AA27" s="2336"/>
      <c r="AB27" s="2336"/>
      <c r="AC27" s="2334"/>
      <c r="AD27" s="2334"/>
      <c r="AE27" s="2334"/>
      <c r="AF27" s="2334"/>
      <c r="AG27" s="2325"/>
      <c r="AH27" s="2325"/>
      <c r="AI27" s="2333"/>
      <c r="AJ27" s="2333"/>
    </row>
    <row r="28" spans="2:36">
      <c r="C28" s="1909" t="s">
        <v>315</v>
      </c>
      <c r="D28" s="1912">
        <v>0.66700000000000004</v>
      </c>
      <c r="E28" s="1913">
        <v>0.68</v>
      </c>
      <c r="F28" s="1949"/>
      <c r="H28" s="1922"/>
      <c r="I28" s="1928"/>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c r="Z28" s="2335"/>
      <c r="AA28" s="2336"/>
      <c r="AB28" s="2336"/>
      <c r="AC28" s="2334"/>
      <c r="AD28" s="2334"/>
      <c r="AE28" s="2334"/>
      <c r="AF28" s="2334"/>
      <c r="AG28" s="2325"/>
      <c r="AH28" s="2325"/>
      <c r="AI28" s="2333"/>
      <c r="AJ28" s="2333"/>
    </row>
    <row r="29" spans="2:36">
      <c r="C29" s="1876" t="s">
        <v>778</v>
      </c>
      <c r="D29" s="1971">
        <f>D15*D28</f>
        <v>0</v>
      </c>
      <c r="E29" s="1972">
        <f>E15*E28</f>
        <v>0</v>
      </c>
      <c r="F29" s="1891">
        <f t="shared" si="1"/>
        <v>0</v>
      </c>
      <c r="H29" s="1922"/>
      <c r="I29" s="1928"/>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c r="Z29" s="2335"/>
      <c r="AA29" s="2336"/>
      <c r="AB29" s="2336"/>
      <c r="AC29" s="2334"/>
      <c r="AD29" s="2334"/>
      <c r="AE29" s="2334"/>
      <c r="AF29" s="2334"/>
      <c r="AG29" s="2325"/>
      <c r="AH29" s="2325"/>
      <c r="AI29" s="2333"/>
      <c r="AJ29" s="2333"/>
    </row>
    <row r="30" spans="2:36">
      <c r="C30" s="1876" t="s">
        <v>779</v>
      </c>
      <c r="D30" s="1973">
        <f>D21*D28</f>
        <v>0</v>
      </c>
      <c r="E30" s="1972">
        <f>E21*E28</f>
        <v>0</v>
      </c>
      <c r="F30" s="1891">
        <f t="shared" si="1"/>
        <v>0</v>
      </c>
      <c r="H30" s="1922"/>
      <c r="I30" s="1928"/>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c r="Z30" s="2335"/>
      <c r="AA30" s="2336"/>
      <c r="AB30" s="2336"/>
      <c r="AC30" s="2334"/>
      <c r="AD30" s="2334"/>
      <c r="AE30" s="2334"/>
      <c r="AF30" s="2334"/>
      <c r="AG30" s="2325"/>
      <c r="AH30" s="2325"/>
      <c r="AI30" s="2333"/>
      <c r="AJ30" s="2333"/>
    </row>
    <row r="31" spans="2:36">
      <c r="C31" s="1901"/>
      <c r="D31" s="1898"/>
      <c r="E31" s="1897"/>
      <c r="F31" s="1889"/>
      <c r="H31" s="1922"/>
      <c r="I31" s="1928"/>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c r="Z31" s="2335"/>
      <c r="AA31" s="2336"/>
      <c r="AB31" s="2336"/>
      <c r="AC31" s="2334"/>
      <c r="AD31" s="2334"/>
      <c r="AE31" s="2334"/>
      <c r="AF31" s="2334"/>
      <c r="AG31" s="2325"/>
      <c r="AH31" s="2325"/>
      <c r="AI31" s="2333"/>
      <c r="AJ31" s="2333"/>
    </row>
    <row r="32" spans="2:36">
      <c r="C32" s="1901"/>
      <c r="D32" s="1896"/>
      <c r="E32" s="1899"/>
      <c r="F32" s="1890"/>
      <c r="H32" s="1922"/>
      <c r="I32" s="1928"/>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c r="Z32" s="2335"/>
      <c r="AA32" s="2336"/>
      <c r="AB32" s="2336"/>
      <c r="AC32" s="2334"/>
      <c r="AD32" s="2334"/>
      <c r="AE32" s="2334"/>
      <c r="AF32" s="2334"/>
      <c r="AG32" s="2325"/>
      <c r="AH32" s="2325"/>
      <c r="AI32" s="2333"/>
      <c r="AJ32" s="2333"/>
    </row>
    <row r="33" spans="1:36">
      <c r="C33" s="1952"/>
      <c r="D33" s="1958"/>
      <c r="E33" s="1955"/>
      <c r="F33" s="1958"/>
      <c r="H33" s="1922"/>
      <c r="I33" s="1928"/>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c r="Z33" s="2335"/>
      <c r="AA33" s="2336"/>
      <c r="AB33" s="2336"/>
      <c r="AC33" s="2334"/>
      <c r="AD33" s="2334"/>
      <c r="AE33" s="2334"/>
      <c r="AF33" s="2334"/>
      <c r="AG33" s="2325"/>
      <c r="AH33" s="2325"/>
      <c r="AI33" s="2333"/>
      <c r="AJ33" s="2333"/>
    </row>
    <row r="34" spans="1:36">
      <c r="A34" s="1852" t="s">
        <v>611</v>
      </c>
      <c r="C34" s="1910" t="s">
        <v>49</v>
      </c>
      <c r="D34" s="1911">
        <f>SUM(D35:D38)</f>
        <v>0</v>
      </c>
      <c r="E34" s="1926">
        <f>SUM(E35:E38)</f>
        <v>0</v>
      </c>
      <c r="F34" s="1924">
        <f>D34+E34</f>
        <v>0</v>
      </c>
      <c r="H34" s="1922"/>
      <c r="I34" s="1928"/>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c r="Z34" s="2335"/>
      <c r="AA34" s="2336"/>
      <c r="AB34" s="2336"/>
      <c r="AC34" s="2334"/>
      <c r="AD34" s="2334"/>
      <c r="AE34" s="2334"/>
      <c r="AF34" s="2334"/>
      <c r="AG34" s="2325"/>
      <c r="AH34" s="2325"/>
      <c r="AI34" s="2333"/>
      <c r="AJ34" s="2333"/>
    </row>
    <row r="35" spans="1:36">
      <c r="A35" s="1808" t="s">
        <v>283</v>
      </c>
      <c r="C35" s="1876"/>
      <c r="D35" s="1971"/>
      <c r="E35" s="1988"/>
      <c r="F35" s="1891">
        <f t="shared" ref="F35:F44" si="2">SUM(D35:E35)</f>
        <v>0</v>
      </c>
      <c r="H35" s="1922"/>
      <c r="I35" s="1928"/>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c r="Z35" s="2335"/>
      <c r="AA35" s="2336"/>
      <c r="AB35" s="2336"/>
      <c r="AC35" s="2334"/>
      <c r="AD35" s="2334"/>
      <c r="AE35" s="2334"/>
      <c r="AF35" s="2334"/>
      <c r="AG35" s="2325"/>
      <c r="AH35" s="2325"/>
      <c r="AI35" s="2333"/>
      <c r="AJ35" s="2333"/>
    </row>
    <row r="36" spans="1:36">
      <c r="A36" s="1852" t="s">
        <v>6</v>
      </c>
      <c r="C36" s="1876"/>
      <c r="D36" s="1971"/>
      <c r="E36" s="1988"/>
      <c r="F36" s="1891">
        <f t="shared" si="2"/>
        <v>0</v>
      </c>
      <c r="H36" s="1922"/>
      <c r="I36" s="1928"/>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c r="Z36" s="2335"/>
      <c r="AA36" s="2336"/>
      <c r="AB36" s="2336"/>
      <c r="AC36" s="2334"/>
      <c r="AD36" s="2334"/>
      <c r="AE36" s="2334"/>
      <c r="AF36" s="2334"/>
      <c r="AG36" s="2325"/>
      <c r="AH36" s="2325"/>
      <c r="AI36" s="2333"/>
      <c r="AJ36" s="2333"/>
    </row>
    <row r="37" spans="1:36">
      <c r="A37" s="1852">
        <v>18230629</v>
      </c>
      <c r="C37" s="1876"/>
      <c r="D37" s="1971"/>
      <c r="E37" s="1988"/>
      <c r="F37" s="1891">
        <f t="shared" si="2"/>
        <v>0</v>
      </c>
      <c r="H37" s="1922"/>
      <c r="I37" s="1928"/>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c r="Z37" s="2335"/>
      <c r="AA37" s="2336"/>
      <c r="AB37" s="2336"/>
      <c r="AC37" s="2334"/>
      <c r="AD37" s="2334"/>
      <c r="AE37" s="2334"/>
      <c r="AF37" s="2334"/>
      <c r="AG37" s="2325"/>
      <c r="AH37" s="2325"/>
      <c r="AI37" s="2333"/>
      <c r="AJ37" s="2333"/>
    </row>
    <row r="38" spans="1:36">
      <c r="A38" s="1852" t="s">
        <v>5</v>
      </c>
      <c r="C38" s="1876"/>
      <c r="D38" s="1971"/>
      <c r="E38" s="1988"/>
      <c r="F38" s="1891">
        <f t="shared" si="2"/>
        <v>0</v>
      </c>
      <c r="H38" s="1922"/>
      <c r="I38" s="1928"/>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c r="Z38" s="2335"/>
      <c r="AA38" s="2336"/>
      <c r="AB38" s="2336"/>
      <c r="AC38" s="2334"/>
      <c r="AD38" s="2334"/>
      <c r="AE38" s="2334"/>
      <c r="AF38" s="2334"/>
      <c r="AG38" s="2325"/>
      <c r="AH38" s="2325"/>
      <c r="AI38" s="2333"/>
      <c r="AJ38" s="2333"/>
    </row>
    <row r="39" spans="1:36">
      <c r="C39" s="1952"/>
      <c r="D39" s="1958"/>
      <c r="E39" s="1955"/>
      <c r="F39" s="1958"/>
      <c r="H39" s="1922"/>
      <c r="I39" s="1928"/>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c r="Z39" s="2335"/>
      <c r="AA39" s="2336"/>
      <c r="AB39" s="2336"/>
      <c r="AC39" s="2334"/>
      <c r="AD39" s="2334"/>
      <c r="AE39" s="2334"/>
      <c r="AF39" s="2334"/>
      <c r="AG39" s="2325"/>
      <c r="AH39" s="2325"/>
      <c r="AI39" s="2333"/>
      <c r="AJ39" s="2333"/>
    </row>
    <row r="40" spans="1:36">
      <c r="C40" s="2106" t="s">
        <v>506</v>
      </c>
      <c r="D40" s="1911">
        <f>SUM(D41:D44)</f>
        <v>0</v>
      </c>
      <c r="E40" s="1926">
        <f>SUM(E41:E44)</f>
        <v>0</v>
      </c>
      <c r="F40" s="1924">
        <f>D40+E40</f>
        <v>0</v>
      </c>
      <c r="H40" s="1922"/>
      <c r="I40" s="1928"/>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c r="Z40" s="2335"/>
      <c r="AA40" s="2336"/>
      <c r="AB40" s="2336"/>
      <c r="AC40" s="2334"/>
      <c r="AD40" s="2334"/>
      <c r="AE40" s="2334"/>
      <c r="AF40" s="2334"/>
      <c r="AG40" s="2325"/>
      <c r="AH40" s="2325"/>
      <c r="AI40" s="2333"/>
      <c r="AJ40" s="2333"/>
    </row>
    <row r="41" spans="1:36">
      <c r="C41" s="1876"/>
      <c r="D41" s="1971"/>
      <c r="E41" s="1988"/>
      <c r="F41" s="1891">
        <f t="shared" si="2"/>
        <v>0</v>
      </c>
      <c r="H41" s="1922"/>
      <c r="I41" s="1928"/>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c r="Z41" s="2335"/>
      <c r="AA41" s="2336"/>
      <c r="AB41" s="2336"/>
      <c r="AC41" s="2334"/>
      <c r="AD41" s="2334"/>
      <c r="AE41" s="2334"/>
      <c r="AF41" s="2334"/>
      <c r="AG41" s="2325"/>
      <c r="AH41" s="2325"/>
      <c r="AI41" s="2333"/>
      <c r="AJ41" s="2333"/>
    </row>
    <row r="42" spans="1:36">
      <c r="C42" s="1876"/>
      <c r="D42" s="1971"/>
      <c r="E42" s="1988"/>
      <c r="F42" s="1891">
        <f t="shared" si="2"/>
        <v>0</v>
      </c>
      <c r="H42" s="1922"/>
      <c r="I42" s="1928"/>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c r="Z42" s="2335"/>
      <c r="AA42" s="2336"/>
      <c r="AB42" s="2336"/>
      <c r="AC42" s="2334"/>
      <c r="AD42" s="2334"/>
      <c r="AE42" s="2334"/>
      <c r="AF42" s="2334"/>
      <c r="AG42" s="2325"/>
      <c r="AH42" s="2325"/>
      <c r="AI42" s="2333"/>
      <c r="AJ42" s="2333"/>
    </row>
    <row r="43" spans="1:36">
      <c r="C43" s="1876"/>
      <c r="D43" s="1971"/>
      <c r="E43" s="1988"/>
      <c r="F43" s="1891">
        <f t="shared" si="2"/>
        <v>0</v>
      </c>
      <c r="H43" s="1922"/>
      <c r="I43" s="1928"/>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c r="Z43" s="2335"/>
      <c r="AA43" s="2336"/>
      <c r="AB43" s="2336"/>
      <c r="AC43" s="2334"/>
      <c r="AD43" s="2334"/>
      <c r="AE43" s="2334"/>
      <c r="AF43" s="2334"/>
      <c r="AG43" s="2325"/>
      <c r="AH43" s="2325"/>
      <c r="AI43" s="2333"/>
      <c r="AJ43" s="2333"/>
    </row>
    <row r="44" spans="1:36">
      <c r="C44" s="1876"/>
      <c r="D44" s="1971"/>
      <c r="E44" s="1988"/>
      <c r="F44" s="1891">
        <f t="shared" si="2"/>
        <v>0</v>
      </c>
      <c r="H44" s="1922"/>
      <c r="I44" s="1928"/>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c r="Z44" s="2335"/>
      <c r="AA44" s="2336"/>
      <c r="AB44" s="2336"/>
      <c r="AC44" s="2334"/>
      <c r="AD44" s="2334"/>
      <c r="AE44" s="2334"/>
      <c r="AF44" s="2334"/>
      <c r="AG44" s="2325"/>
      <c r="AH44" s="2325"/>
      <c r="AI44" s="2333"/>
      <c r="AJ44" s="2333"/>
    </row>
    <row r="45" spans="1:36">
      <c r="C45" s="1952"/>
      <c r="D45" s="1958"/>
      <c r="E45" s="1955"/>
      <c r="F45" s="1958"/>
      <c r="H45" s="1922"/>
      <c r="I45" s="1928"/>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c r="Z45" s="2335"/>
      <c r="AA45" s="2336"/>
      <c r="AB45" s="2336"/>
      <c r="AC45" s="2334"/>
      <c r="AD45" s="2334"/>
      <c r="AE45" s="2334"/>
      <c r="AF45" s="2334"/>
      <c r="AG45" s="2325"/>
      <c r="AH45" s="2325"/>
      <c r="AI45" s="2333"/>
      <c r="AJ45" s="2333"/>
    </row>
    <row r="46" spans="1:36">
      <c r="C46" s="1910" t="s">
        <v>50</v>
      </c>
      <c r="D46" s="1911">
        <f>SUM(D47:D50)</f>
        <v>0</v>
      </c>
      <c r="E46" s="1926">
        <f>SUM(E47:E50)</f>
        <v>0</v>
      </c>
      <c r="F46" s="1924">
        <f>D46+E46</f>
        <v>0</v>
      </c>
      <c r="H46" s="1922"/>
      <c r="I46" s="1928"/>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c r="Z46" s="2335"/>
      <c r="AA46" s="2336"/>
      <c r="AB46" s="2336"/>
      <c r="AC46" s="2334"/>
      <c r="AD46" s="2334"/>
      <c r="AE46" s="2334"/>
      <c r="AF46" s="2334"/>
      <c r="AG46" s="2325"/>
      <c r="AH46" s="2325"/>
      <c r="AI46" s="2333"/>
      <c r="AJ46" s="2333"/>
    </row>
    <row r="47" spans="1:36">
      <c r="C47" s="2197"/>
      <c r="D47" s="1971"/>
      <c r="E47" s="1988"/>
      <c r="F47" s="1891">
        <f t="shared" ref="F47:F62" si="3">SUM(D47:E47)</f>
        <v>0</v>
      </c>
      <c r="H47" s="1922"/>
      <c r="I47" s="1928"/>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c r="Z47" s="2335"/>
      <c r="AA47" s="2336"/>
      <c r="AB47" s="2336"/>
      <c r="AC47" s="2334"/>
      <c r="AD47" s="2334"/>
      <c r="AE47" s="2334"/>
      <c r="AF47" s="2334"/>
      <c r="AG47" s="2325"/>
      <c r="AH47" s="2325"/>
      <c r="AI47" s="2333"/>
      <c r="AJ47" s="2333"/>
    </row>
    <row r="48" spans="1:36">
      <c r="C48" s="1876"/>
      <c r="D48" s="1971"/>
      <c r="E48" s="1988"/>
      <c r="F48" s="1891">
        <f t="shared" si="3"/>
        <v>0</v>
      </c>
      <c r="H48" s="1922"/>
      <c r="I48" s="1928"/>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c r="Z48" s="2335"/>
      <c r="AA48" s="2336"/>
      <c r="AB48" s="2336"/>
      <c r="AC48" s="2334"/>
      <c r="AD48" s="2334"/>
      <c r="AE48" s="2334"/>
      <c r="AF48" s="2334"/>
      <c r="AG48" s="2325"/>
      <c r="AH48" s="2325"/>
      <c r="AI48" s="2333"/>
      <c r="AJ48" s="2333"/>
    </row>
    <row r="49" spans="1:36">
      <c r="C49" s="1876"/>
      <c r="D49" s="1971"/>
      <c r="E49" s="1988"/>
      <c r="F49" s="1891">
        <f t="shared" si="3"/>
        <v>0</v>
      </c>
      <c r="H49" s="1922"/>
      <c r="I49" s="1928"/>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c r="Z49" s="2335"/>
      <c r="AA49" s="2336"/>
      <c r="AB49" s="2336"/>
      <c r="AC49" s="2334"/>
      <c r="AD49" s="2334"/>
      <c r="AE49" s="2334"/>
      <c r="AF49" s="2334"/>
      <c r="AG49" s="2325"/>
      <c r="AH49" s="2325"/>
      <c r="AI49" s="2333"/>
      <c r="AJ49" s="2333"/>
    </row>
    <row r="50" spans="1:36">
      <c r="C50" s="1876"/>
      <c r="D50" s="1971"/>
      <c r="E50" s="1988"/>
      <c r="F50" s="1891">
        <f t="shared" si="3"/>
        <v>0</v>
      </c>
      <c r="H50" s="1922"/>
      <c r="I50" s="1928"/>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c r="Z50" s="2335"/>
      <c r="AA50" s="2336"/>
      <c r="AB50" s="2336"/>
      <c r="AC50" s="2334"/>
      <c r="AD50" s="2334"/>
      <c r="AE50" s="2334"/>
      <c r="AF50" s="2334"/>
      <c r="AG50" s="2325"/>
      <c r="AH50" s="2325"/>
      <c r="AI50" s="2333"/>
      <c r="AJ50" s="2333"/>
    </row>
    <row r="51" spans="1:36">
      <c r="C51" s="1952"/>
      <c r="D51" s="1958"/>
      <c r="E51" s="1955"/>
      <c r="F51" s="1958"/>
      <c r="H51" s="1922"/>
      <c r="I51" s="1928"/>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c r="Z51" s="2335"/>
      <c r="AA51" s="2336"/>
      <c r="AB51" s="2336"/>
      <c r="AC51" s="2334"/>
      <c r="AD51" s="2334"/>
      <c r="AE51" s="2334"/>
      <c r="AF51" s="2334"/>
      <c r="AG51" s="2325"/>
      <c r="AH51" s="2325"/>
      <c r="AI51" s="2333"/>
      <c r="AJ51" s="2333"/>
    </row>
    <row r="52" spans="1:36">
      <c r="C52" s="1910" t="s">
        <v>51</v>
      </c>
      <c r="D52" s="1911">
        <f>SUM(D53:D56)</f>
        <v>0</v>
      </c>
      <c r="E52" s="1926">
        <f>SUM(E53:E56)</f>
        <v>0</v>
      </c>
      <c r="F52" s="1924">
        <f>D52+E52</f>
        <v>0</v>
      </c>
      <c r="H52" s="1922"/>
      <c r="I52" s="1928"/>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c r="Z52" s="2335"/>
      <c r="AA52" s="2336"/>
      <c r="AB52" s="2336"/>
      <c r="AC52" s="2334"/>
      <c r="AD52" s="2334"/>
      <c r="AE52" s="2334"/>
      <c r="AF52" s="2334"/>
      <c r="AG52" s="2325"/>
      <c r="AH52" s="2325"/>
      <c r="AI52" s="2333"/>
      <c r="AJ52" s="2333"/>
    </row>
    <row r="53" spans="1:36">
      <c r="C53" s="1876"/>
      <c r="D53" s="1971"/>
      <c r="E53" s="1972"/>
      <c r="F53" s="1891">
        <f t="shared" si="3"/>
        <v>0</v>
      </c>
      <c r="H53" s="1922"/>
      <c r="I53" s="1928"/>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c r="Z53" s="2335"/>
      <c r="AA53" s="2336"/>
      <c r="AB53" s="2336"/>
      <c r="AC53" s="2334"/>
      <c r="AD53" s="2334"/>
      <c r="AE53" s="2334"/>
      <c r="AF53" s="2334"/>
      <c r="AG53" s="2325"/>
      <c r="AH53" s="2325"/>
      <c r="AI53" s="2333"/>
      <c r="AJ53" s="2333"/>
    </row>
    <row r="54" spans="1:36">
      <c r="C54" s="1876"/>
      <c r="D54" s="1971"/>
      <c r="E54" s="1972"/>
      <c r="F54" s="1891">
        <f t="shared" si="3"/>
        <v>0</v>
      </c>
      <c r="H54" s="1922"/>
      <c r="I54" s="1928"/>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c r="Z54" s="2335"/>
      <c r="AA54" s="2336"/>
      <c r="AB54" s="2336"/>
      <c r="AC54" s="2334"/>
      <c r="AD54" s="2334"/>
      <c r="AE54" s="2334"/>
      <c r="AF54" s="2334"/>
      <c r="AG54" s="2325"/>
      <c r="AH54" s="2325"/>
      <c r="AI54" s="2333"/>
      <c r="AJ54" s="2333"/>
    </row>
    <row r="55" spans="1:36">
      <c r="C55" s="1876"/>
      <c r="D55" s="1971"/>
      <c r="E55" s="1972"/>
      <c r="F55" s="1891">
        <f t="shared" si="3"/>
        <v>0</v>
      </c>
      <c r="H55" s="1922"/>
      <c r="I55" s="1928"/>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c r="Z55" s="2335"/>
      <c r="AA55" s="2336"/>
      <c r="AB55" s="2336"/>
      <c r="AC55" s="2334"/>
      <c r="AD55" s="2334"/>
      <c r="AE55" s="2334"/>
      <c r="AF55" s="2334"/>
      <c r="AG55" s="2325"/>
      <c r="AH55" s="2325"/>
      <c r="AI55" s="2333"/>
      <c r="AJ55" s="2333"/>
    </row>
    <row r="56" spans="1:36">
      <c r="C56" s="1876"/>
      <c r="D56" s="1971"/>
      <c r="E56" s="1972"/>
      <c r="F56" s="1891">
        <f t="shared" si="3"/>
        <v>0</v>
      </c>
      <c r="H56" s="1922"/>
      <c r="I56" s="1928"/>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c r="Z56" s="2335"/>
      <c r="AA56" s="2336"/>
      <c r="AB56" s="2336"/>
      <c r="AC56" s="2334"/>
      <c r="AD56" s="2334"/>
      <c r="AE56" s="2334"/>
      <c r="AF56" s="2334"/>
      <c r="AG56" s="2325"/>
      <c r="AH56" s="2325"/>
      <c r="AI56" s="2333"/>
      <c r="AJ56" s="2333"/>
    </row>
    <row r="57" spans="1:36">
      <c r="C57" s="1952"/>
      <c r="D57" s="1958"/>
      <c r="E57" s="1955"/>
      <c r="F57" s="1958"/>
      <c r="H57" s="1922"/>
      <c r="I57" s="1928"/>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c r="Z57" s="2335"/>
      <c r="AA57" s="2336"/>
      <c r="AB57" s="2336"/>
      <c r="AC57" s="2334"/>
      <c r="AD57" s="2334"/>
      <c r="AE57" s="2334"/>
      <c r="AF57" s="2334"/>
      <c r="AG57" s="2325"/>
      <c r="AH57" s="2325"/>
      <c r="AI57" s="2333"/>
      <c r="AJ57" s="2333"/>
    </row>
    <row r="58" spans="1:36">
      <c r="C58" s="1910" t="s">
        <v>52</v>
      </c>
      <c r="D58" s="1911">
        <f>SUM(D59:D62)</f>
        <v>0</v>
      </c>
      <c r="E58" s="1926">
        <f>SUM(E59:E62)</f>
        <v>0</v>
      </c>
      <c r="F58" s="1924">
        <f>D58+E58</f>
        <v>0</v>
      </c>
      <c r="H58" s="1922"/>
      <c r="I58" s="1928"/>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c r="Z58" s="2335"/>
      <c r="AA58" s="2336"/>
      <c r="AB58" s="2336"/>
      <c r="AC58" s="2334"/>
      <c r="AD58" s="2334"/>
      <c r="AE58" s="2334"/>
      <c r="AF58" s="2334"/>
      <c r="AG58" s="2325"/>
      <c r="AH58" s="2325"/>
      <c r="AI58" s="2333"/>
      <c r="AJ58" s="2333"/>
    </row>
    <row r="59" spans="1:36">
      <c r="C59" s="1876"/>
      <c r="D59" s="1971"/>
      <c r="E59" s="1988"/>
      <c r="F59" s="1891">
        <f t="shared" si="3"/>
        <v>0</v>
      </c>
      <c r="H59" s="1922"/>
      <c r="I59" s="1928"/>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c r="Z59" s="2335"/>
      <c r="AA59" s="2336"/>
      <c r="AB59" s="2336"/>
      <c r="AC59" s="2334"/>
      <c r="AD59" s="2334"/>
      <c r="AE59" s="2334"/>
      <c r="AF59" s="2334"/>
      <c r="AG59" s="2325"/>
      <c r="AH59" s="2325"/>
      <c r="AI59" s="2333"/>
      <c r="AJ59" s="2333"/>
    </row>
    <row r="60" spans="1:36">
      <c r="C60" s="1876"/>
      <c r="D60" s="1971"/>
      <c r="E60" s="1988"/>
      <c r="F60" s="1891">
        <f t="shared" si="3"/>
        <v>0</v>
      </c>
      <c r="H60" s="1922"/>
      <c r="I60" s="1928"/>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c r="Z60" s="2335"/>
      <c r="AA60" s="2336"/>
      <c r="AB60" s="2336"/>
      <c r="AC60" s="2334"/>
      <c r="AD60" s="2334"/>
      <c r="AE60" s="2334"/>
      <c r="AF60" s="2334"/>
      <c r="AG60" s="2325"/>
      <c r="AH60" s="2325"/>
      <c r="AI60" s="2333"/>
      <c r="AJ60" s="2333"/>
    </row>
    <row r="61" spans="1:36">
      <c r="C61" s="1876"/>
      <c r="D61" s="1971"/>
      <c r="E61" s="1988"/>
      <c r="F61" s="1890">
        <f t="shared" si="3"/>
        <v>0</v>
      </c>
      <c r="H61" s="1922"/>
      <c r="I61" s="1928"/>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c r="Z61" s="2335"/>
      <c r="AA61" s="2336"/>
      <c r="AB61" s="2336"/>
      <c r="AC61" s="2334"/>
      <c r="AD61" s="2334"/>
      <c r="AE61" s="2334"/>
      <c r="AF61" s="2334"/>
      <c r="AG61" s="2325"/>
      <c r="AH61" s="2325"/>
      <c r="AI61" s="2333"/>
      <c r="AJ61" s="2333"/>
    </row>
    <row r="62" spans="1:36">
      <c r="C62" s="1876"/>
      <c r="D62" s="1971"/>
      <c r="E62" s="1988"/>
      <c r="F62" s="18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c r="Z62" s="2335"/>
      <c r="AA62" s="2336"/>
      <c r="AB62" s="2336"/>
      <c r="AC62" s="2334"/>
      <c r="AD62" s="2334"/>
      <c r="AE62" s="2334"/>
      <c r="AF62" s="2334"/>
      <c r="AG62" s="2325"/>
      <c r="AH62" s="2325"/>
      <c r="AI62" s="2333"/>
      <c r="AJ62" s="2333"/>
    </row>
    <row r="63" spans="1:36">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c r="Z63" s="2335"/>
      <c r="AA63" s="2336"/>
      <c r="AB63" s="2336"/>
      <c r="AC63" s="2334"/>
      <c r="AD63" s="2334"/>
      <c r="AE63" s="2334"/>
      <c r="AF63" s="2334"/>
      <c r="AG63" s="2325"/>
      <c r="AH63" s="2325"/>
      <c r="AI63" s="2333"/>
      <c r="AJ63" s="2333"/>
    </row>
    <row r="64" spans="1:36">
      <c r="A64" s="1852" t="s">
        <v>77</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c r="Z64" s="2335"/>
      <c r="AA64" s="2336"/>
      <c r="AB64" s="2336"/>
      <c r="AC64" s="2334"/>
      <c r="AD64" s="2334"/>
      <c r="AE64" s="2334"/>
      <c r="AF64" s="2334"/>
      <c r="AG64" s="2325"/>
      <c r="AH64" s="2325"/>
      <c r="AI64" s="2333"/>
      <c r="AJ64" s="2333"/>
    </row>
    <row r="65" spans="1:36">
      <c r="A65" s="1808"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c r="Z65" s="2335"/>
      <c r="AA65" s="2336"/>
      <c r="AB65" s="2336"/>
      <c r="AC65" s="2334"/>
      <c r="AD65" s="2334"/>
      <c r="AE65" s="2334"/>
      <c r="AF65" s="2334"/>
      <c r="AG65" s="2325"/>
      <c r="AH65" s="2325"/>
      <c r="AI65" s="2333"/>
      <c r="AJ65" s="2333"/>
    </row>
    <row r="66" spans="1:36">
      <c r="A66" s="1852" t="s">
        <v>6</v>
      </c>
      <c r="C66" s="1968"/>
      <c r="D66" s="1963"/>
      <c r="E66" s="1964"/>
      <c r="F66" s="1965"/>
    </row>
    <row r="67" spans="1:36">
      <c r="A67" s="1852">
        <v>18230629</v>
      </c>
      <c r="C67" s="1959" t="s">
        <v>54</v>
      </c>
      <c r="D67" s="1971">
        <v>0</v>
      </c>
      <c r="E67" s="1971">
        <v>0</v>
      </c>
      <c r="F67" s="1956">
        <v>0</v>
      </c>
    </row>
    <row r="68" spans="1:36">
      <c r="A68" s="1852" t="s">
        <v>5</v>
      </c>
    </row>
  </sheetData>
  <customSheetViews>
    <customSheetView guid="{074EB09C-6289-46D7-9513-012B68BCA7BF}" showGridLines="0">
      <pane xSplit="1" ySplit="1" topLeftCell="B2" activePane="bottomRight" state="frozen"/>
      <selection pane="bottomRight" activeCell="E31" sqref="E31"/>
      <pageMargins left="0.2" right="0.23" top="0.37" bottom="0.31" header="0.3" footer="0.3"/>
      <pageSetup paperSize="3" scale="53" orientation="landscape" r:id="rId1"/>
    </customSheetView>
    <customSheetView guid="{D9EFFE19-D14B-4C6F-BDF4-FF696F73968D}" showGridLines="0">
      <pane xSplit="1" ySplit="1" topLeftCell="D2" activePane="bottomRight" state="frozen"/>
      <selection pane="bottomRight" activeCell="E31" sqref="E31"/>
      <pageMargins left="0.2" right="0.23" top="0.37" bottom="0.31" header="0.3" footer="0.3"/>
      <pageSetup paperSize="3" scale="53" orientation="landscape" r:id="rId2"/>
    </customSheetView>
  </customSheetViews>
  <mergeCells count="12">
    <mergeCell ref="R2:S2"/>
    <mergeCell ref="T2:V2"/>
    <mergeCell ref="W2:W3"/>
    <mergeCell ref="H10:P10"/>
    <mergeCell ref="AI12:AJ12"/>
    <mergeCell ref="AI13:AJ13"/>
    <mergeCell ref="Z10:AF10"/>
    <mergeCell ref="H12:P12"/>
    <mergeCell ref="Q12:S12"/>
    <mergeCell ref="T12:V12"/>
    <mergeCell ref="W12:Y12"/>
    <mergeCell ref="Z12:AF12"/>
  </mergeCells>
  <pageMargins left="0.2" right="0.23" top="0.37" bottom="0.31" header="0.3" footer="0.3"/>
  <pageSetup paperSize="3" scale="53" orientation="landscape" r:id="rId3"/>
  <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Y68"/>
  <sheetViews>
    <sheetView showGridLines="0" workbookViewId="0">
      <pane xSplit="1" ySplit="1" topLeftCell="B2" activePane="bottomRight" state="frozen"/>
      <selection pane="topRight" activeCell="B1" sqref="B1"/>
      <selection pane="bottomLeft" activeCell="A2" sqref="A2"/>
      <selection pane="bottomRight" activeCell="B5" sqref="B5"/>
    </sheetView>
  </sheetViews>
  <sheetFormatPr defaultRowHeight="12.75"/>
  <cols>
    <col min="1" max="1" width="17.140625" style="2177" customWidth="1"/>
    <col min="2" max="2" width="15" style="2177" customWidth="1"/>
    <col min="3" max="3" width="32.28515625" style="2177" customWidth="1"/>
    <col min="4" max="4" width="21.7109375" style="2177" bestFit="1" customWidth="1"/>
    <col min="5" max="5" width="14.85546875" style="2193" customWidth="1"/>
    <col min="6" max="6" width="14.85546875" style="2177" customWidth="1"/>
    <col min="7" max="7" width="16.28515625" style="2177" customWidth="1"/>
    <col min="8" max="8" width="36.7109375" style="2177" customWidth="1"/>
    <col min="9" max="9" width="15.28515625" style="2177" bestFit="1" customWidth="1"/>
    <col min="10" max="10" width="14.140625" style="2177" bestFit="1" customWidth="1"/>
    <col min="11" max="11" width="15.28515625" style="2177" customWidth="1"/>
    <col min="12" max="12" width="15.85546875" style="2177" customWidth="1"/>
    <col min="13" max="13" width="17" style="2177" bestFit="1" customWidth="1"/>
    <col min="14" max="14" width="12.7109375" style="2177" customWidth="1"/>
    <col min="15" max="15" width="13.7109375" style="2177" customWidth="1"/>
    <col min="16" max="16" width="13.85546875" style="2177" bestFit="1" customWidth="1"/>
    <col min="17" max="17" width="15.5703125" style="2177" bestFit="1" customWidth="1"/>
    <col min="18" max="18" width="16.140625" style="2177" customWidth="1"/>
    <col min="19" max="19" width="16.7109375" style="2177" bestFit="1" customWidth="1"/>
    <col min="20" max="20" width="15.5703125" style="2177" bestFit="1" customWidth="1"/>
    <col min="21" max="21" width="20.5703125" style="2177" bestFit="1" customWidth="1"/>
    <col min="22" max="22" width="16.42578125" style="2177" bestFit="1" customWidth="1"/>
    <col min="23" max="23" width="14.28515625" style="2177" customWidth="1"/>
    <col min="24" max="24" width="12.85546875" style="2177" bestFit="1" customWidth="1"/>
    <col min="25" max="25" width="14.7109375" style="2177" customWidth="1"/>
    <col min="26" max="247" width="9.140625" style="2177"/>
    <col min="248" max="248" width="24" style="2177" bestFit="1" customWidth="1"/>
    <col min="249" max="249" width="43.85546875" style="2177" customWidth="1"/>
    <col min="250" max="250" width="19.7109375" style="2177" bestFit="1" customWidth="1"/>
    <col min="251" max="251" width="11.42578125" style="2177" bestFit="1" customWidth="1"/>
    <col min="252" max="252" width="14.85546875" style="2177" bestFit="1" customWidth="1"/>
    <col min="253" max="253" width="13.42578125" style="2177" customWidth="1"/>
    <col min="254" max="254" width="15.28515625" style="2177" bestFit="1" customWidth="1"/>
    <col min="255" max="255" width="14.140625" style="2177" bestFit="1" customWidth="1"/>
    <col min="256" max="256" width="15.28515625" style="2177" customWidth="1"/>
    <col min="257" max="257" width="15.85546875" style="2177" customWidth="1"/>
    <col min="258" max="258" width="17" style="2177" bestFit="1" customWidth="1"/>
    <col min="259" max="259" width="12.7109375" style="2177" customWidth="1"/>
    <col min="260" max="260" width="13.7109375" style="2177" customWidth="1"/>
    <col min="261" max="261" width="13.85546875" style="2177" bestFit="1" customWidth="1"/>
    <col min="262" max="262" width="15.5703125" style="2177" bestFit="1" customWidth="1"/>
    <col min="263" max="263" width="16.140625" style="2177" customWidth="1"/>
    <col min="264" max="264" width="16.7109375" style="2177" bestFit="1" customWidth="1"/>
    <col min="265" max="265" width="15.5703125" style="2177" bestFit="1" customWidth="1"/>
    <col min="266" max="266" width="20.5703125" style="2177" bestFit="1" customWidth="1"/>
    <col min="267" max="267" width="16.42578125" style="2177" bestFit="1" customWidth="1"/>
    <col min="268" max="268" width="14.28515625" style="2177" customWidth="1"/>
    <col min="269" max="269" width="12.85546875" style="2177" bestFit="1" customWidth="1"/>
    <col min="270" max="270" width="11.28515625" style="2177" bestFit="1" customWidth="1"/>
    <col min="271" max="271" width="12.5703125" style="2177" bestFit="1" customWidth="1"/>
    <col min="272" max="272" width="14" style="2177" bestFit="1" customWidth="1"/>
    <col min="273" max="273" width="6" style="2177" bestFit="1" customWidth="1"/>
    <col min="274" max="274" width="15" style="2177" customWidth="1"/>
    <col min="275" max="275" width="14.85546875" style="2177" bestFit="1" customWidth="1"/>
    <col min="276" max="276" width="16.140625" style="2177" bestFit="1" customWidth="1"/>
    <col min="277" max="503" width="9.140625" style="2177"/>
    <col min="504" max="504" width="24" style="2177" bestFit="1" customWidth="1"/>
    <col min="505" max="505" width="43.85546875" style="2177" customWidth="1"/>
    <col min="506" max="506" width="19.7109375" style="2177" bestFit="1" customWidth="1"/>
    <col min="507" max="507" width="11.42578125" style="2177" bestFit="1" customWidth="1"/>
    <col min="508" max="508" width="14.85546875" style="2177" bestFit="1" customWidth="1"/>
    <col min="509" max="509" width="13.42578125" style="2177" customWidth="1"/>
    <col min="510" max="510" width="15.28515625" style="2177" bestFit="1" customWidth="1"/>
    <col min="511" max="511" width="14.140625" style="2177" bestFit="1" customWidth="1"/>
    <col min="512" max="512" width="15.28515625" style="2177" customWidth="1"/>
    <col min="513" max="513" width="15.85546875" style="2177" customWidth="1"/>
    <col min="514" max="514" width="17" style="2177" bestFit="1" customWidth="1"/>
    <col min="515" max="515" width="12.7109375" style="2177" customWidth="1"/>
    <col min="516" max="516" width="13.7109375" style="2177" customWidth="1"/>
    <col min="517" max="517" width="13.85546875" style="2177" bestFit="1" customWidth="1"/>
    <col min="518" max="518" width="15.5703125" style="2177" bestFit="1" customWidth="1"/>
    <col min="519" max="519" width="16.140625" style="2177" customWidth="1"/>
    <col min="520" max="520" width="16.7109375" style="2177" bestFit="1" customWidth="1"/>
    <col min="521" max="521" width="15.5703125" style="2177" bestFit="1" customWidth="1"/>
    <col min="522" max="522" width="20.5703125" style="2177" bestFit="1" customWidth="1"/>
    <col min="523" max="523" width="16.42578125" style="2177" bestFit="1" customWidth="1"/>
    <col min="524" max="524" width="14.28515625" style="2177" customWidth="1"/>
    <col min="525" max="525" width="12.85546875" style="2177" bestFit="1" customWidth="1"/>
    <col min="526" max="526" width="11.28515625" style="2177" bestFit="1" customWidth="1"/>
    <col min="527" max="527" width="12.5703125" style="2177" bestFit="1" customWidth="1"/>
    <col min="528" max="528" width="14" style="2177" bestFit="1" customWidth="1"/>
    <col min="529" max="529" width="6" style="2177" bestFit="1" customWidth="1"/>
    <col min="530" max="530" width="15" style="2177" customWidth="1"/>
    <col min="531" max="531" width="14.85546875" style="2177" bestFit="1" customWidth="1"/>
    <col min="532" max="532" width="16.140625" style="2177" bestFit="1" customWidth="1"/>
    <col min="533" max="759" width="9.140625" style="2177"/>
    <col min="760" max="760" width="24" style="2177" bestFit="1" customWidth="1"/>
    <col min="761" max="761" width="43.85546875" style="2177" customWidth="1"/>
    <col min="762" max="762" width="19.7109375" style="2177" bestFit="1" customWidth="1"/>
    <col min="763" max="763" width="11.42578125" style="2177" bestFit="1" customWidth="1"/>
    <col min="764" max="764" width="14.85546875" style="2177" bestFit="1" customWidth="1"/>
    <col min="765" max="765" width="13.42578125" style="2177" customWidth="1"/>
    <col min="766" max="766" width="15.28515625" style="2177" bestFit="1" customWidth="1"/>
    <col min="767" max="767" width="14.140625" style="2177" bestFit="1" customWidth="1"/>
    <col min="768" max="768" width="15.28515625" style="2177" customWidth="1"/>
    <col min="769" max="769" width="15.85546875" style="2177" customWidth="1"/>
    <col min="770" max="770" width="17" style="2177" bestFit="1" customWidth="1"/>
    <col min="771" max="771" width="12.7109375" style="2177" customWidth="1"/>
    <col min="772" max="772" width="13.7109375" style="2177" customWidth="1"/>
    <col min="773" max="773" width="13.85546875" style="2177" bestFit="1" customWidth="1"/>
    <col min="774" max="774" width="15.5703125" style="2177" bestFit="1" customWidth="1"/>
    <col min="775" max="775" width="16.140625" style="2177" customWidth="1"/>
    <col min="776" max="776" width="16.7109375" style="2177" bestFit="1" customWidth="1"/>
    <col min="777" max="777" width="15.5703125" style="2177" bestFit="1" customWidth="1"/>
    <col min="778" max="778" width="20.5703125" style="2177" bestFit="1" customWidth="1"/>
    <col min="779" max="779" width="16.42578125" style="2177" bestFit="1" customWidth="1"/>
    <col min="780" max="780" width="14.28515625" style="2177" customWidth="1"/>
    <col min="781" max="781" width="12.85546875" style="2177" bestFit="1" customWidth="1"/>
    <col min="782" max="782" width="11.28515625" style="2177" bestFit="1" customWidth="1"/>
    <col min="783" max="783" width="12.5703125" style="2177" bestFit="1" customWidth="1"/>
    <col min="784" max="784" width="14" style="2177" bestFit="1" customWidth="1"/>
    <col min="785" max="785" width="6" style="2177" bestFit="1" customWidth="1"/>
    <col min="786" max="786" width="15" style="2177" customWidth="1"/>
    <col min="787" max="787" width="14.85546875" style="2177" bestFit="1" customWidth="1"/>
    <col min="788" max="788" width="16.140625" style="2177" bestFit="1" customWidth="1"/>
    <col min="789" max="1015" width="9.140625" style="2177"/>
    <col min="1016" max="1016" width="24" style="2177" bestFit="1" customWidth="1"/>
    <col min="1017" max="1017" width="43.85546875" style="2177" customWidth="1"/>
    <col min="1018" max="1018" width="19.7109375" style="2177" bestFit="1" customWidth="1"/>
    <col min="1019" max="1019" width="11.42578125" style="2177" bestFit="1" customWidth="1"/>
    <col min="1020" max="1020" width="14.85546875" style="2177" bestFit="1" customWidth="1"/>
    <col min="1021" max="1021" width="13.42578125" style="2177" customWidth="1"/>
    <col min="1022" max="1022" width="15.28515625" style="2177" bestFit="1" customWidth="1"/>
    <col min="1023" max="1023" width="14.140625" style="2177" bestFit="1" customWidth="1"/>
    <col min="1024" max="1024" width="15.28515625" style="2177" customWidth="1"/>
    <col min="1025" max="1025" width="15.85546875" style="2177" customWidth="1"/>
    <col min="1026" max="1026" width="17" style="2177" bestFit="1" customWidth="1"/>
    <col min="1027" max="1027" width="12.7109375" style="2177" customWidth="1"/>
    <col min="1028" max="1028" width="13.7109375" style="2177" customWidth="1"/>
    <col min="1029" max="1029" width="13.85546875" style="2177" bestFit="1" customWidth="1"/>
    <col min="1030" max="1030" width="15.5703125" style="2177" bestFit="1" customWidth="1"/>
    <col min="1031" max="1031" width="16.140625" style="2177" customWidth="1"/>
    <col min="1032" max="1032" width="16.7109375" style="2177" bestFit="1" customWidth="1"/>
    <col min="1033" max="1033" width="15.5703125" style="2177" bestFit="1" customWidth="1"/>
    <col min="1034" max="1034" width="20.5703125" style="2177" bestFit="1" customWidth="1"/>
    <col min="1035" max="1035" width="16.42578125" style="2177" bestFit="1" customWidth="1"/>
    <col min="1036" max="1036" width="14.28515625" style="2177" customWidth="1"/>
    <col min="1037" max="1037" width="12.85546875" style="2177" bestFit="1" customWidth="1"/>
    <col min="1038" max="1038" width="11.28515625" style="2177" bestFit="1" customWidth="1"/>
    <col min="1039" max="1039" width="12.5703125" style="2177" bestFit="1" customWidth="1"/>
    <col min="1040" max="1040" width="14" style="2177" bestFit="1" customWidth="1"/>
    <col min="1041" max="1041" width="6" style="2177" bestFit="1" customWidth="1"/>
    <col min="1042" max="1042" width="15" style="2177" customWidth="1"/>
    <col min="1043" max="1043" width="14.85546875" style="2177" bestFit="1" customWidth="1"/>
    <col min="1044" max="1044" width="16.140625" style="2177" bestFit="1" customWidth="1"/>
    <col min="1045" max="1271" width="9.140625" style="2177"/>
    <col min="1272" max="1272" width="24" style="2177" bestFit="1" customWidth="1"/>
    <col min="1273" max="1273" width="43.85546875" style="2177" customWidth="1"/>
    <col min="1274" max="1274" width="19.7109375" style="2177" bestFit="1" customWidth="1"/>
    <col min="1275" max="1275" width="11.42578125" style="2177" bestFit="1" customWidth="1"/>
    <col min="1276" max="1276" width="14.85546875" style="2177" bestFit="1" customWidth="1"/>
    <col min="1277" max="1277" width="13.42578125" style="2177" customWidth="1"/>
    <col min="1278" max="1278" width="15.28515625" style="2177" bestFit="1" customWidth="1"/>
    <col min="1279" max="1279" width="14.140625" style="2177" bestFit="1" customWidth="1"/>
    <col min="1280" max="1280" width="15.28515625" style="2177" customWidth="1"/>
    <col min="1281" max="1281" width="15.85546875" style="2177" customWidth="1"/>
    <col min="1282" max="1282" width="17" style="2177" bestFit="1" customWidth="1"/>
    <col min="1283" max="1283" width="12.7109375" style="2177" customWidth="1"/>
    <col min="1284" max="1284" width="13.7109375" style="2177" customWidth="1"/>
    <col min="1285" max="1285" width="13.85546875" style="2177" bestFit="1" customWidth="1"/>
    <col min="1286" max="1286" width="15.5703125" style="2177" bestFit="1" customWidth="1"/>
    <col min="1287" max="1287" width="16.140625" style="2177" customWidth="1"/>
    <col min="1288" max="1288" width="16.7109375" style="2177" bestFit="1" customWidth="1"/>
    <col min="1289" max="1289" width="15.5703125" style="2177" bestFit="1" customWidth="1"/>
    <col min="1290" max="1290" width="20.5703125" style="2177" bestFit="1" customWidth="1"/>
    <col min="1291" max="1291" width="16.42578125" style="2177" bestFit="1" customWidth="1"/>
    <col min="1292" max="1292" width="14.28515625" style="2177" customWidth="1"/>
    <col min="1293" max="1293" width="12.85546875" style="2177" bestFit="1" customWidth="1"/>
    <col min="1294" max="1294" width="11.28515625" style="2177" bestFit="1" customWidth="1"/>
    <col min="1295" max="1295" width="12.5703125" style="2177" bestFit="1" customWidth="1"/>
    <col min="1296" max="1296" width="14" style="2177" bestFit="1" customWidth="1"/>
    <col min="1297" max="1297" width="6" style="2177" bestFit="1" customWidth="1"/>
    <col min="1298" max="1298" width="15" style="2177" customWidth="1"/>
    <col min="1299" max="1299" width="14.85546875" style="2177" bestFit="1" customWidth="1"/>
    <col min="1300" max="1300" width="16.140625" style="2177" bestFit="1" customWidth="1"/>
    <col min="1301" max="1527" width="9.140625" style="2177"/>
    <col min="1528" max="1528" width="24" style="2177" bestFit="1" customWidth="1"/>
    <col min="1529" max="1529" width="43.85546875" style="2177" customWidth="1"/>
    <col min="1530" max="1530" width="19.7109375" style="2177" bestFit="1" customWidth="1"/>
    <col min="1531" max="1531" width="11.42578125" style="2177" bestFit="1" customWidth="1"/>
    <col min="1532" max="1532" width="14.85546875" style="2177" bestFit="1" customWidth="1"/>
    <col min="1533" max="1533" width="13.42578125" style="2177" customWidth="1"/>
    <col min="1534" max="1534" width="15.28515625" style="2177" bestFit="1" customWidth="1"/>
    <col min="1535" max="1535" width="14.140625" style="2177" bestFit="1" customWidth="1"/>
    <col min="1536" max="1536" width="15.28515625" style="2177" customWidth="1"/>
    <col min="1537" max="1537" width="15.85546875" style="2177" customWidth="1"/>
    <col min="1538" max="1538" width="17" style="2177" bestFit="1" customWidth="1"/>
    <col min="1539" max="1539" width="12.7109375" style="2177" customWidth="1"/>
    <col min="1540" max="1540" width="13.7109375" style="2177" customWidth="1"/>
    <col min="1541" max="1541" width="13.85546875" style="2177" bestFit="1" customWidth="1"/>
    <col min="1542" max="1542" width="15.5703125" style="2177" bestFit="1" customWidth="1"/>
    <col min="1543" max="1543" width="16.140625" style="2177" customWidth="1"/>
    <col min="1544" max="1544" width="16.7109375" style="2177" bestFit="1" customWidth="1"/>
    <col min="1545" max="1545" width="15.5703125" style="2177" bestFit="1" customWidth="1"/>
    <col min="1546" max="1546" width="20.5703125" style="2177" bestFit="1" customWidth="1"/>
    <col min="1547" max="1547" width="16.42578125" style="2177" bestFit="1" customWidth="1"/>
    <col min="1548" max="1548" width="14.28515625" style="2177" customWidth="1"/>
    <col min="1549" max="1549" width="12.85546875" style="2177" bestFit="1" customWidth="1"/>
    <col min="1550" max="1550" width="11.28515625" style="2177" bestFit="1" customWidth="1"/>
    <col min="1551" max="1551" width="12.5703125" style="2177" bestFit="1" customWidth="1"/>
    <col min="1552" max="1552" width="14" style="2177" bestFit="1" customWidth="1"/>
    <col min="1553" max="1553" width="6" style="2177" bestFit="1" customWidth="1"/>
    <col min="1554" max="1554" width="15" style="2177" customWidth="1"/>
    <col min="1555" max="1555" width="14.85546875" style="2177" bestFit="1" customWidth="1"/>
    <col min="1556" max="1556" width="16.140625" style="2177" bestFit="1" customWidth="1"/>
    <col min="1557" max="1783" width="9.140625" style="2177"/>
    <col min="1784" max="1784" width="24" style="2177" bestFit="1" customWidth="1"/>
    <col min="1785" max="1785" width="43.85546875" style="2177" customWidth="1"/>
    <col min="1786" max="1786" width="19.7109375" style="2177" bestFit="1" customWidth="1"/>
    <col min="1787" max="1787" width="11.42578125" style="2177" bestFit="1" customWidth="1"/>
    <col min="1788" max="1788" width="14.85546875" style="2177" bestFit="1" customWidth="1"/>
    <col min="1789" max="1789" width="13.42578125" style="2177" customWidth="1"/>
    <col min="1790" max="1790" width="15.28515625" style="2177" bestFit="1" customWidth="1"/>
    <col min="1791" max="1791" width="14.140625" style="2177" bestFit="1" customWidth="1"/>
    <col min="1792" max="1792" width="15.28515625" style="2177" customWidth="1"/>
    <col min="1793" max="1793" width="15.85546875" style="2177" customWidth="1"/>
    <col min="1794" max="1794" width="17" style="2177" bestFit="1" customWidth="1"/>
    <col min="1795" max="1795" width="12.7109375" style="2177" customWidth="1"/>
    <col min="1796" max="1796" width="13.7109375" style="2177" customWidth="1"/>
    <col min="1797" max="1797" width="13.85546875" style="2177" bestFit="1" customWidth="1"/>
    <col min="1798" max="1798" width="15.5703125" style="2177" bestFit="1" customWidth="1"/>
    <col min="1799" max="1799" width="16.140625" style="2177" customWidth="1"/>
    <col min="1800" max="1800" width="16.7109375" style="2177" bestFit="1" customWidth="1"/>
    <col min="1801" max="1801" width="15.5703125" style="2177" bestFit="1" customWidth="1"/>
    <col min="1802" max="1802" width="20.5703125" style="2177" bestFit="1" customWidth="1"/>
    <col min="1803" max="1803" width="16.42578125" style="2177" bestFit="1" customWidth="1"/>
    <col min="1804" max="1804" width="14.28515625" style="2177" customWidth="1"/>
    <col min="1805" max="1805" width="12.85546875" style="2177" bestFit="1" customWidth="1"/>
    <col min="1806" max="1806" width="11.28515625" style="2177" bestFit="1" customWidth="1"/>
    <col min="1807" max="1807" width="12.5703125" style="2177" bestFit="1" customWidth="1"/>
    <col min="1808" max="1808" width="14" style="2177" bestFit="1" customWidth="1"/>
    <col min="1809" max="1809" width="6" style="2177" bestFit="1" customWidth="1"/>
    <col min="1810" max="1810" width="15" style="2177" customWidth="1"/>
    <col min="1811" max="1811" width="14.85546875" style="2177" bestFit="1" customWidth="1"/>
    <col min="1812" max="1812" width="16.140625" style="2177" bestFit="1" customWidth="1"/>
    <col min="1813" max="2039" width="9.140625" style="2177"/>
    <col min="2040" max="2040" width="24" style="2177" bestFit="1" customWidth="1"/>
    <col min="2041" max="2041" width="43.85546875" style="2177" customWidth="1"/>
    <col min="2042" max="2042" width="19.7109375" style="2177" bestFit="1" customWidth="1"/>
    <col min="2043" max="2043" width="11.42578125" style="2177" bestFit="1" customWidth="1"/>
    <col min="2044" max="2044" width="14.85546875" style="2177" bestFit="1" customWidth="1"/>
    <col min="2045" max="2045" width="13.42578125" style="2177" customWidth="1"/>
    <col min="2046" max="2046" width="15.28515625" style="2177" bestFit="1" customWidth="1"/>
    <col min="2047" max="2047" width="14.140625" style="2177" bestFit="1" customWidth="1"/>
    <col min="2048" max="2048" width="15.28515625" style="2177" customWidth="1"/>
    <col min="2049" max="2049" width="15.85546875" style="2177" customWidth="1"/>
    <col min="2050" max="2050" width="17" style="2177" bestFit="1" customWidth="1"/>
    <col min="2051" max="2051" width="12.7109375" style="2177" customWidth="1"/>
    <col min="2052" max="2052" width="13.7109375" style="2177" customWidth="1"/>
    <col min="2053" max="2053" width="13.85546875" style="2177" bestFit="1" customWidth="1"/>
    <col min="2054" max="2054" width="15.5703125" style="2177" bestFit="1" customWidth="1"/>
    <col min="2055" max="2055" width="16.140625" style="2177" customWidth="1"/>
    <col min="2056" max="2056" width="16.7109375" style="2177" bestFit="1" customWidth="1"/>
    <col min="2057" max="2057" width="15.5703125" style="2177" bestFit="1" customWidth="1"/>
    <col min="2058" max="2058" width="20.5703125" style="2177" bestFit="1" customWidth="1"/>
    <col min="2059" max="2059" width="16.42578125" style="2177" bestFit="1" customWidth="1"/>
    <col min="2060" max="2060" width="14.28515625" style="2177" customWidth="1"/>
    <col min="2061" max="2061" width="12.85546875" style="2177" bestFit="1" customWidth="1"/>
    <col min="2062" max="2062" width="11.28515625" style="2177" bestFit="1" customWidth="1"/>
    <col min="2063" max="2063" width="12.5703125" style="2177" bestFit="1" customWidth="1"/>
    <col min="2064" max="2064" width="14" style="2177" bestFit="1" customWidth="1"/>
    <col min="2065" max="2065" width="6" style="2177" bestFit="1" customWidth="1"/>
    <col min="2066" max="2066" width="15" style="2177" customWidth="1"/>
    <col min="2067" max="2067" width="14.85546875" style="2177" bestFit="1" customWidth="1"/>
    <col min="2068" max="2068" width="16.140625" style="2177" bestFit="1" customWidth="1"/>
    <col min="2069" max="2295" width="9.140625" style="2177"/>
    <col min="2296" max="2296" width="24" style="2177" bestFit="1" customWidth="1"/>
    <col min="2297" max="2297" width="43.85546875" style="2177" customWidth="1"/>
    <col min="2298" max="2298" width="19.7109375" style="2177" bestFit="1" customWidth="1"/>
    <col min="2299" max="2299" width="11.42578125" style="2177" bestFit="1" customWidth="1"/>
    <col min="2300" max="2300" width="14.85546875" style="2177" bestFit="1" customWidth="1"/>
    <col min="2301" max="2301" width="13.42578125" style="2177" customWidth="1"/>
    <col min="2302" max="2302" width="15.28515625" style="2177" bestFit="1" customWidth="1"/>
    <col min="2303" max="2303" width="14.140625" style="2177" bestFit="1" customWidth="1"/>
    <col min="2304" max="2304" width="15.28515625" style="2177" customWidth="1"/>
    <col min="2305" max="2305" width="15.85546875" style="2177" customWidth="1"/>
    <col min="2306" max="2306" width="17" style="2177" bestFit="1" customWidth="1"/>
    <col min="2307" max="2307" width="12.7109375" style="2177" customWidth="1"/>
    <col min="2308" max="2308" width="13.7109375" style="2177" customWidth="1"/>
    <col min="2309" max="2309" width="13.85546875" style="2177" bestFit="1" customWidth="1"/>
    <col min="2310" max="2310" width="15.5703125" style="2177" bestFit="1" customWidth="1"/>
    <col min="2311" max="2311" width="16.140625" style="2177" customWidth="1"/>
    <col min="2312" max="2312" width="16.7109375" style="2177" bestFit="1" customWidth="1"/>
    <col min="2313" max="2313" width="15.5703125" style="2177" bestFit="1" customWidth="1"/>
    <col min="2314" max="2314" width="20.5703125" style="2177" bestFit="1" customWidth="1"/>
    <col min="2315" max="2315" width="16.42578125" style="2177" bestFit="1" customWidth="1"/>
    <col min="2316" max="2316" width="14.28515625" style="2177" customWidth="1"/>
    <col min="2317" max="2317" width="12.85546875" style="2177" bestFit="1" customWidth="1"/>
    <col min="2318" max="2318" width="11.28515625" style="2177" bestFit="1" customWidth="1"/>
    <col min="2319" max="2319" width="12.5703125" style="2177" bestFit="1" customWidth="1"/>
    <col min="2320" max="2320" width="14" style="2177" bestFit="1" customWidth="1"/>
    <col min="2321" max="2321" width="6" style="2177" bestFit="1" customWidth="1"/>
    <col min="2322" max="2322" width="15" style="2177" customWidth="1"/>
    <col min="2323" max="2323" width="14.85546875" style="2177" bestFit="1" customWidth="1"/>
    <col min="2324" max="2324" width="16.140625" style="2177" bestFit="1" customWidth="1"/>
    <col min="2325" max="2551" width="9.140625" style="2177"/>
    <col min="2552" max="2552" width="24" style="2177" bestFit="1" customWidth="1"/>
    <col min="2553" max="2553" width="43.85546875" style="2177" customWidth="1"/>
    <col min="2554" max="2554" width="19.7109375" style="2177" bestFit="1" customWidth="1"/>
    <col min="2555" max="2555" width="11.42578125" style="2177" bestFit="1" customWidth="1"/>
    <col min="2556" max="2556" width="14.85546875" style="2177" bestFit="1" customWidth="1"/>
    <col min="2557" max="2557" width="13.42578125" style="2177" customWidth="1"/>
    <col min="2558" max="2558" width="15.28515625" style="2177" bestFit="1" customWidth="1"/>
    <col min="2559" max="2559" width="14.140625" style="2177" bestFit="1" customWidth="1"/>
    <col min="2560" max="2560" width="15.28515625" style="2177" customWidth="1"/>
    <col min="2561" max="2561" width="15.85546875" style="2177" customWidth="1"/>
    <col min="2562" max="2562" width="17" style="2177" bestFit="1" customWidth="1"/>
    <col min="2563" max="2563" width="12.7109375" style="2177" customWidth="1"/>
    <col min="2564" max="2564" width="13.7109375" style="2177" customWidth="1"/>
    <col min="2565" max="2565" width="13.85546875" style="2177" bestFit="1" customWidth="1"/>
    <col min="2566" max="2566" width="15.5703125" style="2177" bestFit="1" customWidth="1"/>
    <col min="2567" max="2567" width="16.140625" style="2177" customWidth="1"/>
    <col min="2568" max="2568" width="16.7109375" style="2177" bestFit="1" customWidth="1"/>
    <col min="2569" max="2569" width="15.5703125" style="2177" bestFit="1" customWidth="1"/>
    <col min="2570" max="2570" width="20.5703125" style="2177" bestFit="1" customWidth="1"/>
    <col min="2571" max="2571" width="16.42578125" style="2177" bestFit="1" customWidth="1"/>
    <col min="2572" max="2572" width="14.28515625" style="2177" customWidth="1"/>
    <col min="2573" max="2573" width="12.85546875" style="2177" bestFit="1" customWidth="1"/>
    <col min="2574" max="2574" width="11.28515625" style="2177" bestFit="1" customWidth="1"/>
    <col min="2575" max="2575" width="12.5703125" style="2177" bestFit="1" customWidth="1"/>
    <col min="2576" max="2576" width="14" style="2177" bestFit="1" customWidth="1"/>
    <col min="2577" max="2577" width="6" style="2177" bestFit="1" customWidth="1"/>
    <col min="2578" max="2578" width="15" style="2177" customWidth="1"/>
    <col min="2579" max="2579" width="14.85546875" style="2177" bestFit="1" customWidth="1"/>
    <col min="2580" max="2580" width="16.140625" style="2177" bestFit="1" customWidth="1"/>
    <col min="2581" max="2807" width="9.140625" style="2177"/>
    <col min="2808" max="2808" width="24" style="2177" bestFit="1" customWidth="1"/>
    <col min="2809" max="2809" width="43.85546875" style="2177" customWidth="1"/>
    <col min="2810" max="2810" width="19.7109375" style="2177" bestFit="1" customWidth="1"/>
    <col min="2811" max="2811" width="11.42578125" style="2177" bestFit="1" customWidth="1"/>
    <col min="2812" max="2812" width="14.85546875" style="2177" bestFit="1" customWidth="1"/>
    <col min="2813" max="2813" width="13.42578125" style="2177" customWidth="1"/>
    <col min="2814" max="2814" width="15.28515625" style="2177" bestFit="1" customWidth="1"/>
    <col min="2815" max="2815" width="14.140625" style="2177" bestFit="1" customWidth="1"/>
    <col min="2816" max="2816" width="15.28515625" style="2177" customWidth="1"/>
    <col min="2817" max="2817" width="15.85546875" style="2177" customWidth="1"/>
    <col min="2818" max="2818" width="17" style="2177" bestFit="1" customWidth="1"/>
    <col min="2819" max="2819" width="12.7109375" style="2177" customWidth="1"/>
    <col min="2820" max="2820" width="13.7109375" style="2177" customWidth="1"/>
    <col min="2821" max="2821" width="13.85546875" style="2177" bestFit="1" customWidth="1"/>
    <col min="2822" max="2822" width="15.5703125" style="2177" bestFit="1" customWidth="1"/>
    <col min="2823" max="2823" width="16.140625" style="2177" customWidth="1"/>
    <col min="2824" max="2824" width="16.7109375" style="2177" bestFit="1" customWidth="1"/>
    <col min="2825" max="2825" width="15.5703125" style="2177" bestFit="1" customWidth="1"/>
    <col min="2826" max="2826" width="20.5703125" style="2177" bestFit="1" customWidth="1"/>
    <col min="2827" max="2827" width="16.42578125" style="2177" bestFit="1" customWidth="1"/>
    <col min="2828" max="2828" width="14.28515625" style="2177" customWidth="1"/>
    <col min="2829" max="2829" width="12.85546875" style="2177" bestFit="1" customWidth="1"/>
    <col min="2830" max="2830" width="11.28515625" style="2177" bestFit="1" customWidth="1"/>
    <col min="2831" max="2831" width="12.5703125" style="2177" bestFit="1" customWidth="1"/>
    <col min="2832" max="2832" width="14" style="2177" bestFit="1" customWidth="1"/>
    <col min="2833" max="2833" width="6" style="2177" bestFit="1" customWidth="1"/>
    <col min="2834" max="2834" width="15" style="2177" customWidth="1"/>
    <col min="2835" max="2835" width="14.85546875" style="2177" bestFit="1" customWidth="1"/>
    <col min="2836" max="2836" width="16.140625" style="2177" bestFit="1" customWidth="1"/>
    <col min="2837" max="3063" width="9.140625" style="2177"/>
    <col min="3064" max="3064" width="24" style="2177" bestFit="1" customWidth="1"/>
    <col min="3065" max="3065" width="43.85546875" style="2177" customWidth="1"/>
    <col min="3066" max="3066" width="19.7109375" style="2177" bestFit="1" customWidth="1"/>
    <col min="3067" max="3067" width="11.42578125" style="2177" bestFit="1" customWidth="1"/>
    <col min="3068" max="3068" width="14.85546875" style="2177" bestFit="1" customWidth="1"/>
    <col min="3069" max="3069" width="13.42578125" style="2177" customWidth="1"/>
    <col min="3070" max="3070" width="15.28515625" style="2177" bestFit="1" customWidth="1"/>
    <col min="3071" max="3071" width="14.140625" style="2177" bestFit="1" customWidth="1"/>
    <col min="3072" max="3072" width="15.28515625" style="2177" customWidth="1"/>
    <col min="3073" max="3073" width="15.85546875" style="2177" customWidth="1"/>
    <col min="3074" max="3074" width="17" style="2177" bestFit="1" customWidth="1"/>
    <col min="3075" max="3075" width="12.7109375" style="2177" customWidth="1"/>
    <col min="3076" max="3076" width="13.7109375" style="2177" customWidth="1"/>
    <col min="3077" max="3077" width="13.85546875" style="2177" bestFit="1" customWidth="1"/>
    <col min="3078" max="3078" width="15.5703125" style="2177" bestFit="1" customWidth="1"/>
    <col min="3079" max="3079" width="16.140625" style="2177" customWidth="1"/>
    <col min="3080" max="3080" width="16.7109375" style="2177" bestFit="1" customWidth="1"/>
    <col min="3081" max="3081" width="15.5703125" style="2177" bestFit="1" customWidth="1"/>
    <col min="3082" max="3082" width="20.5703125" style="2177" bestFit="1" customWidth="1"/>
    <col min="3083" max="3083" width="16.42578125" style="2177" bestFit="1" customWidth="1"/>
    <col min="3084" max="3084" width="14.28515625" style="2177" customWidth="1"/>
    <col min="3085" max="3085" width="12.85546875" style="2177" bestFit="1" customWidth="1"/>
    <col min="3086" max="3086" width="11.28515625" style="2177" bestFit="1" customWidth="1"/>
    <col min="3087" max="3087" width="12.5703125" style="2177" bestFit="1" customWidth="1"/>
    <col min="3088" max="3088" width="14" style="2177" bestFit="1" customWidth="1"/>
    <col min="3089" max="3089" width="6" style="2177" bestFit="1" customWidth="1"/>
    <col min="3090" max="3090" width="15" style="2177" customWidth="1"/>
    <col min="3091" max="3091" width="14.85546875" style="2177" bestFit="1" customWidth="1"/>
    <col min="3092" max="3092" width="16.140625" style="2177" bestFit="1" customWidth="1"/>
    <col min="3093" max="3319" width="9.140625" style="2177"/>
    <col min="3320" max="3320" width="24" style="2177" bestFit="1" customWidth="1"/>
    <col min="3321" max="3321" width="43.85546875" style="2177" customWidth="1"/>
    <col min="3322" max="3322" width="19.7109375" style="2177" bestFit="1" customWidth="1"/>
    <col min="3323" max="3323" width="11.42578125" style="2177" bestFit="1" customWidth="1"/>
    <col min="3324" max="3324" width="14.85546875" style="2177" bestFit="1" customWidth="1"/>
    <col min="3325" max="3325" width="13.42578125" style="2177" customWidth="1"/>
    <col min="3326" max="3326" width="15.28515625" style="2177" bestFit="1" customWidth="1"/>
    <col min="3327" max="3327" width="14.140625" style="2177" bestFit="1" customWidth="1"/>
    <col min="3328" max="3328" width="15.28515625" style="2177" customWidth="1"/>
    <col min="3329" max="3329" width="15.85546875" style="2177" customWidth="1"/>
    <col min="3330" max="3330" width="17" style="2177" bestFit="1" customWidth="1"/>
    <col min="3331" max="3331" width="12.7109375" style="2177" customWidth="1"/>
    <col min="3332" max="3332" width="13.7109375" style="2177" customWidth="1"/>
    <col min="3333" max="3333" width="13.85546875" style="2177" bestFit="1" customWidth="1"/>
    <col min="3334" max="3334" width="15.5703125" style="2177" bestFit="1" customWidth="1"/>
    <col min="3335" max="3335" width="16.140625" style="2177" customWidth="1"/>
    <col min="3336" max="3336" width="16.7109375" style="2177" bestFit="1" customWidth="1"/>
    <col min="3337" max="3337" width="15.5703125" style="2177" bestFit="1" customWidth="1"/>
    <col min="3338" max="3338" width="20.5703125" style="2177" bestFit="1" customWidth="1"/>
    <col min="3339" max="3339" width="16.42578125" style="2177" bestFit="1" customWidth="1"/>
    <col min="3340" max="3340" width="14.28515625" style="2177" customWidth="1"/>
    <col min="3341" max="3341" width="12.85546875" style="2177" bestFit="1" customWidth="1"/>
    <col min="3342" max="3342" width="11.28515625" style="2177" bestFit="1" customWidth="1"/>
    <col min="3343" max="3343" width="12.5703125" style="2177" bestFit="1" customWidth="1"/>
    <col min="3344" max="3344" width="14" style="2177" bestFit="1" customWidth="1"/>
    <col min="3345" max="3345" width="6" style="2177" bestFit="1" customWidth="1"/>
    <col min="3346" max="3346" width="15" style="2177" customWidth="1"/>
    <col min="3347" max="3347" width="14.85546875" style="2177" bestFit="1" customWidth="1"/>
    <col min="3348" max="3348" width="16.140625" style="2177" bestFit="1" customWidth="1"/>
    <col min="3349" max="3575" width="9.140625" style="2177"/>
    <col min="3576" max="3576" width="24" style="2177" bestFit="1" customWidth="1"/>
    <col min="3577" max="3577" width="43.85546875" style="2177" customWidth="1"/>
    <col min="3578" max="3578" width="19.7109375" style="2177" bestFit="1" customWidth="1"/>
    <col min="3579" max="3579" width="11.42578125" style="2177" bestFit="1" customWidth="1"/>
    <col min="3580" max="3580" width="14.85546875" style="2177" bestFit="1" customWidth="1"/>
    <col min="3581" max="3581" width="13.42578125" style="2177" customWidth="1"/>
    <col min="3582" max="3582" width="15.28515625" style="2177" bestFit="1" customWidth="1"/>
    <col min="3583" max="3583" width="14.140625" style="2177" bestFit="1" customWidth="1"/>
    <col min="3584" max="3584" width="15.28515625" style="2177" customWidth="1"/>
    <col min="3585" max="3585" width="15.85546875" style="2177" customWidth="1"/>
    <col min="3586" max="3586" width="17" style="2177" bestFit="1" customWidth="1"/>
    <col min="3587" max="3587" width="12.7109375" style="2177" customWidth="1"/>
    <col min="3588" max="3588" width="13.7109375" style="2177" customWidth="1"/>
    <col min="3589" max="3589" width="13.85546875" style="2177" bestFit="1" customWidth="1"/>
    <col min="3590" max="3590" width="15.5703125" style="2177" bestFit="1" customWidth="1"/>
    <col min="3591" max="3591" width="16.140625" style="2177" customWidth="1"/>
    <col min="3592" max="3592" width="16.7109375" style="2177" bestFit="1" customWidth="1"/>
    <col min="3593" max="3593" width="15.5703125" style="2177" bestFit="1" customWidth="1"/>
    <col min="3594" max="3594" width="20.5703125" style="2177" bestFit="1" customWidth="1"/>
    <col min="3595" max="3595" width="16.42578125" style="2177" bestFit="1" customWidth="1"/>
    <col min="3596" max="3596" width="14.28515625" style="2177" customWidth="1"/>
    <col min="3597" max="3597" width="12.85546875" style="2177" bestFit="1" customWidth="1"/>
    <col min="3598" max="3598" width="11.28515625" style="2177" bestFit="1" customWidth="1"/>
    <col min="3599" max="3599" width="12.5703125" style="2177" bestFit="1" customWidth="1"/>
    <col min="3600" max="3600" width="14" style="2177" bestFit="1" customWidth="1"/>
    <col min="3601" max="3601" width="6" style="2177" bestFit="1" customWidth="1"/>
    <col min="3602" max="3602" width="15" style="2177" customWidth="1"/>
    <col min="3603" max="3603" width="14.85546875" style="2177" bestFit="1" customWidth="1"/>
    <col min="3604" max="3604" width="16.140625" style="2177" bestFit="1" customWidth="1"/>
    <col min="3605" max="3831" width="9.140625" style="2177"/>
    <col min="3832" max="3832" width="24" style="2177" bestFit="1" customWidth="1"/>
    <col min="3833" max="3833" width="43.85546875" style="2177" customWidth="1"/>
    <col min="3834" max="3834" width="19.7109375" style="2177" bestFit="1" customWidth="1"/>
    <col min="3835" max="3835" width="11.42578125" style="2177" bestFit="1" customWidth="1"/>
    <col min="3836" max="3836" width="14.85546875" style="2177" bestFit="1" customWidth="1"/>
    <col min="3837" max="3837" width="13.42578125" style="2177" customWidth="1"/>
    <col min="3838" max="3838" width="15.28515625" style="2177" bestFit="1" customWidth="1"/>
    <col min="3839" max="3839" width="14.140625" style="2177" bestFit="1" customWidth="1"/>
    <col min="3840" max="3840" width="15.28515625" style="2177" customWidth="1"/>
    <col min="3841" max="3841" width="15.85546875" style="2177" customWidth="1"/>
    <col min="3842" max="3842" width="17" style="2177" bestFit="1" customWidth="1"/>
    <col min="3843" max="3843" width="12.7109375" style="2177" customWidth="1"/>
    <col min="3844" max="3844" width="13.7109375" style="2177" customWidth="1"/>
    <col min="3845" max="3845" width="13.85546875" style="2177" bestFit="1" customWidth="1"/>
    <col min="3846" max="3846" width="15.5703125" style="2177" bestFit="1" customWidth="1"/>
    <col min="3847" max="3847" width="16.140625" style="2177" customWidth="1"/>
    <col min="3848" max="3848" width="16.7109375" style="2177" bestFit="1" customWidth="1"/>
    <col min="3849" max="3849" width="15.5703125" style="2177" bestFit="1" customWidth="1"/>
    <col min="3850" max="3850" width="20.5703125" style="2177" bestFit="1" customWidth="1"/>
    <col min="3851" max="3851" width="16.42578125" style="2177" bestFit="1" customWidth="1"/>
    <col min="3852" max="3852" width="14.28515625" style="2177" customWidth="1"/>
    <col min="3853" max="3853" width="12.85546875" style="2177" bestFit="1" customWidth="1"/>
    <col min="3854" max="3854" width="11.28515625" style="2177" bestFit="1" customWidth="1"/>
    <col min="3855" max="3855" width="12.5703125" style="2177" bestFit="1" customWidth="1"/>
    <col min="3856" max="3856" width="14" style="2177" bestFit="1" customWidth="1"/>
    <col min="3857" max="3857" width="6" style="2177" bestFit="1" customWidth="1"/>
    <col min="3858" max="3858" width="15" style="2177" customWidth="1"/>
    <col min="3859" max="3859" width="14.85546875" style="2177" bestFit="1" customWidth="1"/>
    <col min="3860" max="3860" width="16.140625" style="2177" bestFit="1" customWidth="1"/>
    <col min="3861" max="4087" width="9.140625" style="2177"/>
    <col min="4088" max="4088" width="24" style="2177" bestFit="1" customWidth="1"/>
    <col min="4089" max="4089" width="43.85546875" style="2177" customWidth="1"/>
    <col min="4090" max="4090" width="19.7109375" style="2177" bestFit="1" customWidth="1"/>
    <col min="4091" max="4091" width="11.42578125" style="2177" bestFit="1" customWidth="1"/>
    <col min="4092" max="4092" width="14.85546875" style="2177" bestFit="1" customWidth="1"/>
    <col min="4093" max="4093" width="13.42578125" style="2177" customWidth="1"/>
    <col min="4094" max="4094" width="15.28515625" style="2177" bestFit="1" customWidth="1"/>
    <col min="4095" max="4095" width="14.140625" style="2177" bestFit="1" customWidth="1"/>
    <col min="4096" max="4096" width="15.28515625" style="2177" customWidth="1"/>
    <col min="4097" max="4097" width="15.85546875" style="2177" customWidth="1"/>
    <col min="4098" max="4098" width="17" style="2177" bestFit="1" customWidth="1"/>
    <col min="4099" max="4099" width="12.7109375" style="2177" customWidth="1"/>
    <col min="4100" max="4100" width="13.7109375" style="2177" customWidth="1"/>
    <col min="4101" max="4101" width="13.85546875" style="2177" bestFit="1" customWidth="1"/>
    <col min="4102" max="4102" width="15.5703125" style="2177" bestFit="1" customWidth="1"/>
    <col min="4103" max="4103" width="16.140625" style="2177" customWidth="1"/>
    <col min="4104" max="4104" width="16.7109375" style="2177" bestFit="1" customWidth="1"/>
    <col min="4105" max="4105" width="15.5703125" style="2177" bestFit="1" customWidth="1"/>
    <col min="4106" max="4106" width="20.5703125" style="2177" bestFit="1" customWidth="1"/>
    <col min="4107" max="4107" width="16.42578125" style="2177" bestFit="1" customWidth="1"/>
    <col min="4108" max="4108" width="14.28515625" style="2177" customWidth="1"/>
    <col min="4109" max="4109" width="12.85546875" style="2177" bestFit="1" customWidth="1"/>
    <col min="4110" max="4110" width="11.28515625" style="2177" bestFit="1" customWidth="1"/>
    <col min="4111" max="4111" width="12.5703125" style="2177" bestFit="1" customWidth="1"/>
    <col min="4112" max="4112" width="14" style="2177" bestFit="1" customWidth="1"/>
    <col min="4113" max="4113" width="6" style="2177" bestFit="1" customWidth="1"/>
    <col min="4114" max="4114" width="15" style="2177" customWidth="1"/>
    <col min="4115" max="4115" width="14.85546875" style="2177" bestFit="1" customWidth="1"/>
    <col min="4116" max="4116" width="16.140625" style="2177" bestFit="1" customWidth="1"/>
    <col min="4117" max="4343" width="9.140625" style="2177"/>
    <col min="4344" max="4344" width="24" style="2177" bestFit="1" customWidth="1"/>
    <col min="4345" max="4345" width="43.85546875" style="2177" customWidth="1"/>
    <col min="4346" max="4346" width="19.7109375" style="2177" bestFit="1" customWidth="1"/>
    <col min="4347" max="4347" width="11.42578125" style="2177" bestFit="1" customWidth="1"/>
    <col min="4348" max="4348" width="14.85546875" style="2177" bestFit="1" customWidth="1"/>
    <col min="4349" max="4349" width="13.42578125" style="2177" customWidth="1"/>
    <col min="4350" max="4350" width="15.28515625" style="2177" bestFit="1" customWidth="1"/>
    <col min="4351" max="4351" width="14.140625" style="2177" bestFit="1" customWidth="1"/>
    <col min="4352" max="4352" width="15.28515625" style="2177" customWidth="1"/>
    <col min="4353" max="4353" width="15.85546875" style="2177" customWidth="1"/>
    <col min="4354" max="4354" width="17" style="2177" bestFit="1" customWidth="1"/>
    <col min="4355" max="4355" width="12.7109375" style="2177" customWidth="1"/>
    <col min="4356" max="4356" width="13.7109375" style="2177" customWidth="1"/>
    <col min="4357" max="4357" width="13.85546875" style="2177" bestFit="1" customWidth="1"/>
    <col min="4358" max="4358" width="15.5703125" style="2177" bestFit="1" customWidth="1"/>
    <col min="4359" max="4359" width="16.140625" style="2177" customWidth="1"/>
    <col min="4360" max="4360" width="16.7109375" style="2177" bestFit="1" customWidth="1"/>
    <col min="4361" max="4361" width="15.5703125" style="2177" bestFit="1" customWidth="1"/>
    <col min="4362" max="4362" width="20.5703125" style="2177" bestFit="1" customWidth="1"/>
    <col min="4363" max="4363" width="16.42578125" style="2177" bestFit="1" customWidth="1"/>
    <col min="4364" max="4364" width="14.28515625" style="2177" customWidth="1"/>
    <col min="4365" max="4365" width="12.85546875" style="2177" bestFit="1" customWidth="1"/>
    <col min="4366" max="4366" width="11.28515625" style="2177" bestFit="1" customWidth="1"/>
    <col min="4367" max="4367" width="12.5703125" style="2177" bestFit="1" customWidth="1"/>
    <col min="4368" max="4368" width="14" style="2177" bestFit="1" customWidth="1"/>
    <col min="4369" max="4369" width="6" style="2177" bestFit="1" customWidth="1"/>
    <col min="4370" max="4370" width="15" style="2177" customWidth="1"/>
    <col min="4371" max="4371" width="14.85546875" style="2177" bestFit="1" customWidth="1"/>
    <col min="4372" max="4372" width="16.140625" style="2177" bestFit="1" customWidth="1"/>
    <col min="4373" max="4599" width="9.140625" style="2177"/>
    <col min="4600" max="4600" width="24" style="2177" bestFit="1" customWidth="1"/>
    <col min="4601" max="4601" width="43.85546875" style="2177" customWidth="1"/>
    <col min="4602" max="4602" width="19.7109375" style="2177" bestFit="1" customWidth="1"/>
    <col min="4603" max="4603" width="11.42578125" style="2177" bestFit="1" customWidth="1"/>
    <col min="4604" max="4604" width="14.85546875" style="2177" bestFit="1" customWidth="1"/>
    <col min="4605" max="4605" width="13.42578125" style="2177" customWidth="1"/>
    <col min="4606" max="4606" width="15.28515625" style="2177" bestFit="1" customWidth="1"/>
    <col min="4607" max="4607" width="14.140625" style="2177" bestFit="1" customWidth="1"/>
    <col min="4608" max="4608" width="15.28515625" style="2177" customWidth="1"/>
    <col min="4609" max="4609" width="15.85546875" style="2177" customWidth="1"/>
    <col min="4610" max="4610" width="17" style="2177" bestFit="1" customWidth="1"/>
    <col min="4611" max="4611" width="12.7109375" style="2177" customWidth="1"/>
    <col min="4612" max="4612" width="13.7109375" style="2177" customWidth="1"/>
    <col min="4613" max="4613" width="13.85546875" style="2177" bestFit="1" customWidth="1"/>
    <col min="4614" max="4614" width="15.5703125" style="2177" bestFit="1" customWidth="1"/>
    <col min="4615" max="4615" width="16.140625" style="2177" customWidth="1"/>
    <col min="4616" max="4616" width="16.7109375" style="2177" bestFit="1" customWidth="1"/>
    <col min="4617" max="4617" width="15.5703125" style="2177" bestFit="1" customWidth="1"/>
    <col min="4618" max="4618" width="20.5703125" style="2177" bestFit="1" customWidth="1"/>
    <col min="4619" max="4619" width="16.42578125" style="2177" bestFit="1" customWidth="1"/>
    <col min="4620" max="4620" width="14.28515625" style="2177" customWidth="1"/>
    <col min="4621" max="4621" width="12.85546875" style="2177" bestFit="1" customWidth="1"/>
    <col min="4622" max="4622" width="11.28515625" style="2177" bestFit="1" customWidth="1"/>
    <col min="4623" max="4623" width="12.5703125" style="2177" bestFit="1" customWidth="1"/>
    <col min="4624" max="4624" width="14" style="2177" bestFit="1" customWidth="1"/>
    <col min="4625" max="4625" width="6" style="2177" bestFit="1" customWidth="1"/>
    <col min="4626" max="4626" width="15" style="2177" customWidth="1"/>
    <col min="4627" max="4627" width="14.85546875" style="2177" bestFit="1" customWidth="1"/>
    <col min="4628" max="4628" width="16.140625" style="2177" bestFit="1" customWidth="1"/>
    <col min="4629" max="4855" width="9.140625" style="2177"/>
    <col min="4856" max="4856" width="24" style="2177" bestFit="1" customWidth="1"/>
    <col min="4857" max="4857" width="43.85546875" style="2177" customWidth="1"/>
    <col min="4858" max="4858" width="19.7109375" style="2177" bestFit="1" customWidth="1"/>
    <col min="4859" max="4859" width="11.42578125" style="2177" bestFit="1" customWidth="1"/>
    <col min="4860" max="4860" width="14.85546875" style="2177" bestFit="1" customWidth="1"/>
    <col min="4861" max="4861" width="13.42578125" style="2177" customWidth="1"/>
    <col min="4862" max="4862" width="15.28515625" style="2177" bestFit="1" customWidth="1"/>
    <col min="4863" max="4863" width="14.140625" style="2177" bestFit="1" customWidth="1"/>
    <col min="4864" max="4864" width="15.28515625" style="2177" customWidth="1"/>
    <col min="4865" max="4865" width="15.85546875" style="2177" customWidth="1"/>
    <col min="4866" max="4866" width="17" style="2177" bestFit="1" customWidth="1"/>
    <col min="4867" max="4867" width="12.7109375" style="2177" customWidth="1"/>
    <col min="4868" max="4868" width="13.7109375" style="2177" customWidth="1"/>
    <col min="4869" max="4869" width="13.85546875" style="2177" bestFit="1" customWidth="1"/>
    <col min="4870" max="4870" width="15.5703125" style="2177" bestFit="1" customWidth="1"/>
    <col min="4871" max="4871" width="16.140625" style="2177" customWidth="1"/>
    <col min="4872" max="4872" width="16.7109375" style="2177" bestFit="1" customWidth="1"/>
    <col min="4873" max="4873" width="15.5703125" style="2177" bestFit="1" customWidth="1"/>
    <col min="4874" max="4874" width="20.5703125" style="2177" bestFit="1" customWidth="1"/>
    <col min="4875" max="4875" width="16.42578125" style="2177" bestFit="1" customWidth="1"/>
    <col min="4876" max="4876" width="14.28515625" style="2177" customWidth="1"/>
    <col min="4877" max="4877" width="12.85546875" style="2177" bestFit="1" customWidth="1"/>
    <col min="4878" max="4878" width="11.28515625" style="2177" bestFit="1" customWidth="1"/>
    <col min="4879" max="4879" width="12.5703125" style="2177" bestFit="1" customWidth="1"/>
    <col min="4880" max="4880" width="14" style="2177" bestFit="1" customWidth="1"/>
    <col min="4881" max="4881" width="6" style="2177" bestFit="1" customWidth="1"/>
    <col min="4882" max="4882" width="15" style="2177" customWidth="1"/>
    <col min="4883" max="4883" width="14.85546875" style="2177" bestFit="1" customWidth="1"/>
    <col min="4884" max="4884" width="16.140625" style="2177" bestFit="1" customWidth="1"/>
    <col min="4885" max="5111" width="9.140625" style="2177"/>
    <col min="5112" max="5112" width="24" style="2177" bestFit="1" customWidth="1"/>
    <col min="5113" max="5113" width="43.85546875" style="2177" customWidth="1"/>
    <col min="5114" max="5114" width="19.7109375" style="2177" bestFit="1" customWidth="1"/>
    <col min="5115" max="5115" width="11.42578125" style="2177" bestFit="1" customWidth="1"/>
    <col min="5116" max="5116" width="14.85546875" style="2177" bestFit="1" customWidth="1"/>
    <col min="5117" max="5117" width="13.42578125" style="2177" customWidth="1"/>
    <col min="5118" max="5118" width="15.28515625" style="2177" bestFit="1" customWidth="1"/>
    <col min="5119" max="5119" width="14.140625" style="2177" bestFit="1" customWidth="1"/>
    <col min="5120" max="5120" width="15.28515625" style="2177" customWidth="1"/>
    <col min="5121" max="5121" width="15.85546875" style="2177" customWidth="1"/>
    <col min="5122" max="5122" width="17" style="2177" bestFit="1" customWidth="1"/>
    <col min="5123" max="5123" width="12.7109375" style="2177" customWidth="1"/>
    <col min="5124" max="5124" width="13.7109375" style="2177" customWidth="1"/>
    <col min="5125" max="5125" width="13.85546875" style="2177" bestFit="1" customWidth="1"/>
    <col min="5126" max="5126" width="15.5703125" style="2177" bestFit="1" customWidth="1"/>
    <col min="5127" max="5127" width="16.140625" style="2177" customWidth="1"/>
    <col min="5128" max="5128" width="16.7109375" style="2177" bestFit="1" customWidth="1"/>
    <col min="5129" max="5129" width="15.5703125" style="2177" bestFit="1" customWidth="1"/>
    <col min="5130" max="5130" width="20.5703125" style="2177" bestFit="1" customWidth="1"/>
    <col min="5131" max="5131" width="16.42578125" style="2177" bestFit="1" customWidth="1"/>
    <col min="5132" max="5132" width="14.28515625" style="2177" customWidth="1"/>
    <col min="5133" max="5133" width="12.85546875" style="2177" bestFit="1" customWidth="1"/>
    <col min="5134" max="5134" width="11.28515625" style="2177" bestFit="1" customWidth="1"/>
    <col min="5135" max="5135" width="12.5703125" style="2177" bestFit="1" customWidth="1"/>
    <col min="5136" max="5136" width="14" style="2177" bestFit="1" customWidth="1"/>
    <col min="5137" max="5137" width="6" style="2177" bestFit="1" customWidth="1"/>
    <col min="5138" max="5138" width="15" style="2177" customWidth="1"/>
    <col min="5139" max="5139" width="14.85546875" style="2177" bestFit="1" customWidth="1"/>
    <col min="5140" max="5140" width="16.140625" style="2177" bestFit="1" customWidth="1"/>
    <col min="5141" max="5367" width="9.140625" style="2177"/>
    <col min="5368" max="5368" width="24" style="2177" bestFit="1" customWidth="1"/>
    <col min="5369" max="5369" width="43.85546875" style="2177" customWidth="1"/>
    <col min="5370" max="5370" width="19.7109375" style="2177" bestFit="1" customWidth="1"/>
    <col min="5371" max="5371" width="11.42578125" style="2177" bestFit="1" customWidth="1"/>
    <col min="5372" max="5372" width="14.85546875" style="2177" bestFit="1" customWidth="1"/>
    <col min="5373" max="5373" width="13.42578125" style="2177" customWidth="1"/>
    <col min="5374" max="5374" width="15.28515625" style="2177" bestFit="1" customWidth="1"/>
    <col min="5375" max="5375" width="14.140625" style="2177" bestFit="1" customWidth="1"/>
    <col min="5376" max="5376" width="15.28515625" style="2177" customWidth="1"/>
    <col min="5377" max="5377" width="15.85546875" style="2177" customWidth="1"/>
    <col min="5378" max="5378" width="17" style="2177" bestFit="1" customWidth="1"/>
    <col min="5379" max="5379" width="12.7109375" style="2177" customWidth="1"/>
    <col min="5380" max="5380" width="13.7109375" style="2177" customWidth="1"/>
    <col min="5381" max="5381" width="13.85546875" style="2177" bestFit="1" customWidth="1"/>
    <col min="5382" max="5382" width="15.5703125" style="2177" bestFit="1" customWidth="1"/>
    <col min="5383" max="5383" width="16.140625" style="2177" customWidth="1"/>
    <col min="5384" max="5384" width="16.7109375" style="2177" bestFit="1" customWidth="1"/>
    <col min="5385" max="5385" width="15.5703125" style="2177" bestFit="1" customWidth="1"/>
    <col min="5386" max="5386" width="20.5703125" style="2177" bestFit="1" customWidth="1"/>
    <col min="5387" max="5387" width="16.42578125" style="2177" bestFit="1" customWidth="1"/>
    <col min="5388" max="5388" width="14.28515625" style="2177" customWidth="1"/>
    <col min="5389" max="5389" width="12.85546875" style="2177" bestFit="1" customWidth="1"/>
    <col min="5390" max="5390" width="11.28515625" style="2177" bestFit="1" customWidth="1"/>
    <col min="5391" max="5391" width="12.5703125" style="2177" bestFit="1" customWidth="1"/>
    <col min="5392" max="5392" width="14" style="2177" bestFit="1" customWidth="1"/>
    <col min="5393" max="5393" width="6" style="2177" bestFit="1" customWidth="1"/>
    <col min="5394" max="5394" width="15" style="2177" customWidth="1"/>
    <col min="5395" max="5395" width="14.85546875" style="2177" bestFit="1" customWidth="1"/>
    <col min="5396" max="5396" width="16.140625" style="2177" bestFit="1" customWidth="1"/>
    <col min="5397" max="5623" width="9.140625" style="2177"/>
    <col min="5624" max="5624" width="24" style="2177" bestFit="1" customWidth="1"/>
    <col min="5625" max="5625" width="43.85546875" style="2177" customWidth="1"/>
    <col min="5626" max="5626" width="19.7109375" style="2177" bestFit="1" customWidth="1"/>
    <col min="5627" max="5627" width="11.42578125" style="2177" bestFit="1" customWidth="1"/>
    <col min="5628" max="5628" width="14.85546875" style="2177" bestFit="1" customWidth="1"/>
    <col min="5629" max="5629" width="13.42578125" style="2177" customWidth="1"/>
    <col min="5630" max="5630" width="15.28515625" style="2177" bestFit="1" customWidth="1"/>
    <col min="5631" max="5631" width="14.140625" style="2177" bestFit="1" customWidth="1"/>
    <col min="5632" max="5632" width="15.28515625" style="2177" customWidth="1"/>
    <col min="5633" max="5633" width="15.85546875" style="2177" customWidth="1"/>
    <col min="5634" max="5634" width="17" style="2177" bestFit="1" customWidth="1"/>
    <col min="5635" max="5635" width="12.7109375" style="2177" customWidth="1"/>
    <col min="5636" max="5636" width="13.7109375" style="2177" customWidth="1"/>
    <col min="5637" max="5637" width="13.85546875" style="2177" bestFit="1" customWidth="1"/>
    <col min="5638" max="5638" width="15.5703125" style="2177" bestFit="1" customWidth="1"/>
    <col min="5639" max="5639" width="16.140625" style="2177" customWidth="1"/>
    <col min="5640" max="5640" width="16.7109375" style="2177" bestFit="1" customWidth="1"/>
    <col min="5641" max="5641" width="15.5703125" style="2177" bestFit="1" customWidth="1"/>
    <col min="5642" max="5642" width="20.5703125" style="2177" bestFit="1" customWidth="1"/>
    <col min="5643" max="5643" width="16.42578125" style="2177" bestFit="1" customWidth="1"/>
    <col min="5644" max="5644" width="14.28515625" style="2177" customWidth="1"/>
    <col min="5645" max="5645" width="12.85546875" style="2177" bestFit="1" customWidth="1"/>
    <col min="5646" max="5646" width="11.28515625" style="2177" bestFit="1" customWidth="1"/>
    <col min="5647" max="5647" width="12.5703125" style="2177" bestFit="1" customWidth="1"/>
    <col min="5648" max="5648" width="14" style="2177" bestFit="1" customWidth="1"/>
    <col min="5649" max="5649" width="6" style="2177" bestFit="1" customWidth="1"/>
    <col min="5650" max="5650" width="15" style="2177" customWidth="1"/>
    <col min="5651" max="5651" width="14.85546875" style="2177" bestFit="1" customWidth="1"/>
    <col min="5652" max="5652" width="16.140625" style="2177" bestFit="1" customWidth="1"/>
    <col min="5653" max="5879" width="9.140625" style="2177"/>
    <col min="5880" max="5880" width="24" style="2177" bestFit="1" customWidth="1"/>
    <col min="5881" max="5881" width="43.85546875" style="2177" customWidth="1"/>
    <col min="5882" max="5882" width="19.7109375" style="2177" bestFit="1" customWidth="1"/>
    <col min="5883" max="5883" width="11.42578125" style="2177" bestFit="1" customWidth="1"/>
    <col min="5884" max="5884" width="14.85546875" style="2177" bestFit="1" customWidth="1"/>
    <col min="5885" max="5885" width="13.42578125" style="2177" customWidth="1"/>
    <col min="5886" max="5886" width="15.28515625" style="2177" bestFit="1" customWidth="1"/>
    <col min="5887" max="5887" width="14.140625" style="2177" bestFit="1" customWidth="1"/>
    <col min="5888" max="5888" width="15.28515625" style="2177" customWidth="1"/>
    <col min="5889" max="5889" width="15.85546875" style="2177" customWidth="1"/>
    <col min="5890" max="5890" width="17" style="2177" bestFit="1" customWidth="1"/>
    <col min="5891" max="5891" width="12.7109375" style="2177" customWidth="1"/>
    <col min="5892" max="5892" width="13.7109375" style="2177" customWidth="1"/>
    <col min="5893" max="5893" width="13.85546875" style="2177" bestFit="1" customWidth="1"/>
    <col min="5894" max="5894" width="15.5703125" style="2177" bestFit="1" customWidth="1"/>
    <col min="5895" max="5895" width="16.140625" style="2177" customWidth="1"/>
    <col min="5896" max="5896" width="16.7109375" style="2177" bestFit="1" customWidth="1"/>
    <col min="5897" max="5897" width="15.5703125" style="2177" bestFit="1" customWidth="1"/>
    <col min="5898" max="5898" width="20.5703125" style="2177" bestFit="1" customWidth="1"/>
    <col min="5899" max="5899" width="16.42578125" style="2177" bestFit="1" customWidth="1"/>
    <col min="5900" max="5900" width="14.28515625" style="2177" customWidth="1"/>
    <col min="5901" max="5901" width="12.85546875" style="2177" bestFit="1" customWidth="1"/>
    <col min="5902" max="5902" width="11.28515625" style="2177" bestFit="1" customWidth="1"/>
    <col min="5903" max="5903" width="12.5703125" style="2177" bestFit="1" customWidth="1"/>
    <col min="5904" max="5904" width="14" style="2177" bestFit="1" customWidth="1"/>
    <col min="5905" max="5905" width="6" style="2177" bestFit="1" customWidth="1"/>
    <col min="5906" max="5906" width="15" style="2177" customWidth="1"/>
    <col min="5907" max="5907" width="14.85546875" style="2177" bestFit="1" customWidth="1"/>
    <col min="5908" max="5908" width="16.140625" style="2177" bestFit="1" customWidth="1"/>
    <col min="5909" max="6135" width="9.140625" style="2177"/>
    <col min="6136" max="6136" width="24" style="2177" bestFit="1" customWidth="1"/>
    <col min="6137" max="6137" width="43.85546875" style="2177" customWidth="1"/>
    <col min="6138" max="6138" width="19.7109375" style="2177" bestFit="1" customWidth="1"/>
    <col min="6139" max="6139" width="11.42578125" style="2177" bestFit="1" customWidth="1"/>
    <col min="6140" max="6140" width="14.85546875" style="2177" bestFit="1" customWidth="1"/>
    <col min="6141" max="6141" width="13.42578125" style="2177" customWidth="1"/>
    <col min="6142" max="6142" width="15.28515625" style="2177" bestFit="1" customWidth="1"/>
    <col min="6143" max="6143" width="14.140625" style="2177" bestFit="1" customWidth="1"/>
    <col min="6144" max="6144" width="15.28515625" style="2177" customWidth="1"/>
    <col min="6145" max="6145" width="15.85546875" style="2177" customWidth="1"/>
    <col min="6146" max="6146" width="17" style="2177" bestFit="1" customWidth="1"/>
    <col min="6147" max="6147" width="12.7109375" style="2177" customWidth="1"/>
    <col min="6148" max="6148" width="13.7109375" style="2177" customWidth="1"/>
    <col min="6149" max="6149" width="13.85546875" style="2177" bestFit="1" customWidth="1"/>
    <col min="6150" max="6150" width="15.5703125" style="2177" bestFit="1" customWidth="1"/>
    <col min="6151" max="6151" width="16.140625" style="2177" customWidth="1"/>
    <col min="6152" max="6152" width="16.7109375" style="2177" bestFit="1" customWidth="1"/>
    <col min="6153" max="6153" width="15.5703125" style="2177" bestFit="1" customWidth="1"/>
    <col min="6154" max="6154" width="20.5703125" style="2177" bestFit="1" customWidth="1"/>
    <col min="6155" max="6155" width="16.42578125" style="2177" bestFit="1" customWidth="1"/>
    <col min="6156" max="6156" width="14.28515625" style="2177" customWidth="1"/>
    <col min="6157" max="6157" width="12.85546875" style="2177" bestFit="1" customWidth="1"/>
    <col min="6158" max="6158" width="11.28515625" style="2177" bestFit="1" customWidth="1"/>
    <col min="6159" max="6159" width="12.5703125" style="2177" bestFit="1" customWidth="1"/>
    <col min="6160" max="6160" width="14" style="2177" bestFit="1" customWidth="1"/>
    <col min="6161" max="6161" width="6" style="2177" bestFit="1" customWidth="1"/>
    <col min="6162" max="6162" width="15" style="2177" customWidth="1"/>
    <col min="6163" max="6163" width="14.85546875" style="2177" bestFit="1" customWidth="1"/>
    <col min="6164" max="6164" width="16.140625" style="2177" bestFit="1" customWidth="1"/>
    <col min="6165" max="6391" width="9.140625" style="2177"/>
    <col min="6392" max="6392" width="24" style="2177" bestFit="1" customWidth="1"/>
    <col min="6393" max="6393" width="43.85546875" style="2177" customWidth="1"/>
    <col min="6394" max="6394" width="19.7109375" style="2177" bestFit="1" customWidth="1"/>
    <col min="6395" max="6395" width="11.42578125" style="2177" bestFit="1" customWidth="1"/>
    <col min="6396" max="6396" width="14.85546875" style="2177" bestFit="1" customWidth="1"/>
    <col min="6397" max="6397" width="13.42578125" style="2177" customWidth="1"/>
    <col min="6398" max="6398" width="15.28515625" style="2177" bestFit="1" customWidth="1"/>
    <col min="6399" max="6399" width="14.140625" style="2177" bestFit="1" customWidth="1"/>
    <col min="6400" max="6400" width="15.28515625" style="2177" customWidth="1"/>
    <col min="6401" max="6401" width="15.85546875" style="2177" customWidth="1"/>
    <col min="6402" max="6402" width="17" style="2177" bestFit="1" customWidth="1"/>
    <col min="6403" max="6403" width="12.7109375" style="2177" customWidth="1"/>
    <col min="6404" max="6404" width="13.7109375" style="2177" customWidth="1"/>
    <col min="6405" max="6405" width="13.85546875" style="2177" bestFit="1" customWidth="1"/>
    <col min="6406" max="6406" width="15.5703125" style="2177" bestFit="1" customWidth="1"/>
    <col min="6407" max="6407" width="16.140625" style="2177" customWidth="1"/>
    <col min="6408" max="6408" width="16.7109375" style="2177" bestFit="1" customWidth="1"/>
    <col min="6409" max="6409" width="15.5703125" style="2177" bestFit="1" customWidth="1"/>
    <col min="6410" max="6410" width="20.5703125" style="2177" bestFit="1" customWidth="1"/>
    <col min="6411" max="6411" width="16.42578125" style="2177" bestFit="1" customWidth="1"/>
    <col min="6412" max="6412" width="14.28515625" style="2177" customWidth="1"/>
    <col min="6413" max="6413" width="12.85546875" style="2177" bestFit="1" customWidth="1"/>
    <col min="6414" max="6414" width="11.28515625" style="2177" bestFit="1" customWidth="1"/>
    <col min="6415" max="6415" width="12.5703125" style="2177" bestFit="1" customWidth="1"/>
    <col min="6416" max="6416" width="14" style="2177" bestFit="1" customWidth="1"/>
    <col min="6417" max="6417" width="6" style="2177" bestFit="1" customWidth="1"/>
    <col min="6418" max="6418" width="15" style="2177" customWidth="1"/>
    <col min="6419" max="6419" width="14.85546875" style="2177" bestFit="1" customWidth="1"/>
    <col min="6420" max="6420" width="16.140625" style="2177" bestFit="1" customWidth="1"/>
    <col min="6421" max="6647" width="9.140625" style="2177"/>
    <col min="6648" max="6648" width="24" style="2177" bestFit="1" customWidth="1"/>
    <col min="6649" max="6649" width="43.85546875" style="2177" customWidth="1"/>
    <col min="6650" max="6650" width="19.7109375" style="2177" bestFit="1" customWidth="1"/>
    <col min="6651" max="6651" width="11.42578125" style="2177" bestFit="1" customWidth="1"/>
    <col min="6652" max="6652" width="14.85546875" style="2177" bestFit="1" customWidth="1"/>
    <col min="6653" max="6653" width="13.42578125" style="2177" customWidth="1"/>
    <col min="6654" max="6654" width="15.28515625" style="2177" bestFit="1" customWidth="1"/>
    <col min="6655" max="6655" width="14.140625" style="2177" bestFit="1" customWidth="1"/>
    <col min="6656" max="6656" width="15.28515625" style="2177" customWidth="1"/>
    <col min="6657" max="6657" width="15.85546875" style="2177" customWidth="1"/>
    <col min="6658" max="6658" width="17" style="2177" bestFit="1" customWidth="1"/>
    <col min="6659" max="6659" width="12.7109375" style="2177" customWidth="1"/>
    <col min="6660" max="6660" width="13.7109375" style="2177" customWidth="1"/>
    <col min="6661" max="6661" width="13.85546875" style="2177" bestFit="1" customWidth="1"/>
    <col min="6662" max="6662" width="15.5703125" style="2177" bestFit="1" customWidth="1"/>
    <col min="6663" max="6663" width="16.140625" style="2177" customWidth="1"/>
    <col min="6664" max="6664" width="16.7109375" style="2177" bestFit="1" customWidth="1"/>
    <col min="6665" max="6665" width="15.5703125" style="2177" bestFit="1" customWidth="1"/>
    <col min="6666" max="6666" width="20.5703125" style="2177" bestFit="1" customWidth="1"/>
    <col min="6667" max="6667" width="16.42578125" style="2177" bestFit="1" customWidth="1"/>
    <col min="6668" max="6668" width="14.28515625" style="2177" customWidth="1"/>
    <col min="6669" max="6669" width="12.85546875" style="2177" bestFit="1" customWidth="1"/>
    <col min="6670" max="6670" width="11.28515625" style="2177" bestFit="1" customWidth="1"/>
    <col min="6671" max="6671" width="12.5703125" style="2177" bestFit="1" customWidth="1"/>
    <col min="6672" max="6672" width="14" style="2177" bestFit="1" customWidth="1"/>
    <col min="6673" max="6673" width="6" style="2177" bestFit="1" customWidth="1"/>
    <col min="6674" max="6674" width="15" style="2177" customWidth="1"/>
    <col min="6675" max="6675" width="14.85546875" style="2177" bestFit="1" customWidth="1"/>
    <col min="6676" max="6676" width="16.140625" style="2177" bestFit="1" customWidth="1"/>
    <col min="6677" max="6903" width="9.140625" style="2177"/>
    <col min="6904" max="6904" width="24" style="2177" bestFit="1" customWidth="1"/>
    <col min="6905" max="6905" width="43.85546875" style="2177" customWidth="1"/>
    <col min="6906" max="6906" width="19.7109375" style="2177" bestFit="1" customWidth="1"/>
    <col min="6907" max="6907" width="11.42578125" style="2177" bestFit="1" customWidth="1"/>
    <col min="6908" max="6908" width="14.85546875" style="2177" bestFit="1" customWidth="1"/>
    <col min="6909" max="6909" width="13.42578125" style="2177" customWidth="1"/>
    <col min="6910" max="6910" width="15.28515625" style="2177" bestFit="1" customWidth="1"/>
    <col min="6911" max="6911" width="14.140625" style="2177" bestFit="1" customWidth="1"/>
    <col min="6912" max="6912" width="15.28515625" style="2177" customWidth="1"/>
    <col min="6913" max="6913" width="15.85546875" style="2177" customWidth="1"/>
    <col min="6914" max="6914" width="17" style="2177" bestFit="1" customWidth="1"/>
    <col min="6915" max="6915" width="12.7109375" style="2177" customWidth="1"/>
    <col min="6916" max="6916" width="13.7109375" style="2177" customWidth="1"/>
    <col min="6917" max="6917" width="13.85546875" style="2177" bestFit="1" customWidth="1"/>
    <col min="6918" max="6918" width="15.5703125" style="2177" bestFit="1" customWidth="1"/>
    <col min="6919" max="6919" width="16.140625" style="2177" customWidth="1"/>
    <col min="6920" max="6920" width="16.7109375" style="2177" bestFit="1" customWidth="1"/>
    <col min="6921" max="6921" width="15.5703125" style="2177" bestFit="1" customWidth="1"/>
    <col min="6922" max="6922" width="20.5703125" style="2177" bestFit="1" customWidth="1"/>
    <col min="6923" max="6923" width="16.42578125" style="2177" bestFit="1" customWidth="1"/>
    <col min="6924" max="6924" width="14.28515625" style="2177" customWidth="1"/>
    <col min="6925" max="6925" width="12.85546875" style="2177" bestFit="1" customWidth="1"/>
    <col min="6926" max="6926" width="11.28515625" style="2177" bestFit="1" customWidth="1"/>
    <col min="6927" max="6927" width="12.5703125" style="2177" bestFit="1" customWidth="1"/>
    <col min="6928" max="6928" width="14" style="2177" bestFit="1" customWidth="1"/>
    <col min="6929" max="6929" width="6" style="2177" bestFit="1" customWidth="1"/>
    <col min="6930" max="6930" width="15" style="2177" customWidth="1"/>
    <col min="6931" max="6931" width="14.85546875" style="2177" bestFit="1" customWidth="1"/>
    <col min="6932" max="6932" width="16.140625" style="2177" bestFit="1" customWidth="1"/>
    <col min="6933" max="7159" width="9.140625" style="2177"/>
    <col min="7160" max="7160" width="24" style="2177" bestFit="1" customWidth="1"/>
    <col min="7161" max="7161" width="43.85546875" style="2177" customWidth="1"/>
    <col min="7162" max="7162" width="19.7109375" style="2177" bestFit="1" customWidth="1"/>
    <col min="7163" max="7163" width="11.42578125" style="2177" bestFit="1" customWidth="1"/>
    <col min="7164" max="7164" width="14.85546875" style="2177" bestFit="1" customWidth="1"/>
    <col min="7165" max="7165" width="13.42578125" style="2177" customWidth="1"/>
    <col min="7166" max="7166" width="15.28515625" style="2177" bestFit="1" customWidth="1"/>
    <col min="7167" max="7167" width="14.140625" style="2177" bestFit="1" customWidth="1"/>
    <col min="7168" max="7168" width="15.28515625" style="2177" customWidth="1"/>
    <col min="7169" max="7169" width="15.85546875" style="2177" customWidth="1"/>
    <col min="7170" max="7170" width="17" style="2177" bestFit="1" customWidth="1"/>
    <col min="7171" max="7171" width="12.7109375" style="2177" customWidth="1"/>
    <col min="7172" max="7172" width="13.7109375" style="2177" customWidth="1"/>
    <col min="7173" max="7173" width="13.85546875" style="2177" bestFit="1" customWidth="1"/>
    <col min="7174" max="7174" width="15.5703125" style="2177" bestFit="1" customWidth="1"/>
    <col min="7175" max="7175" width="16.140625" style="2177" customWidth="1"/>
    <col min="7176" max="7176" width="16.7109375" style="2177" bestFit="1" customWidth="1"/>
    <col min="7177" max="7177" width="15.5703125" style="2177" bestFit="1" customWidth="1"/>
    <col min="7178" max="7178" width="20.5703125" style="2177" bestFit="1" customWidth="1"/>
    <col min="7179" max="7179" width="16.42578125" style="2177" bestFit="1" customWidth="1"/>
    <col min="7180" max="7180" width="14.28515625" style="2177" customWidth="1"/>
    <col min="7181" max="7181" width="12.85546875" style="2177" bestFit="1" customWidth="1"/>
    <col min="7182" max="7182" width="11.28515625" style="2177" bestFit="1" customWidth="1"/>
    <col min="7183" max="7183" width="12.5703125" style="2177" bestFit="1" customWidth="1"/>
    <col min="7184" max="7184" width="14" style="2177" bestFit="1" customWidth="1"/>
    <col min="7185" max="7185" width="6" style="2177" bestFit="1" customWidth="1"/>
    <col min="7186" max="7186" width="15" style="2177" customWidth="1"/>
    <col min="7187" max="7187" width="14.85546875" style="2177" bestFit="1" customWidth="1"/>
    <col min="7188" max="7188" width="16.140625" style="2177" bestFit="1" customWidth="1"/>
    <col min="7189" max="7415" width="9.140625" style="2177"/>
    <col min="7416" max="7416" width="24" style="2177" bestFit="1" customWidth="1"/>
    <col min="7417" max="7417" width="43.85546875" style="2177" customWidth="1"/>
    <col min="7418" max="7418" width="19.7109375" style="2177" bestFit="1" customWidth="1"/>
    <col min="7419" max="7419" width="11.42578125" style="2177" bestFit="1" customWidth="1"/>
    <col min="7420" max="7420" width="14.85546875" style="2177" bestFit="1" customWidth="1"/>
    <col min="7421" max="7421" width="13.42578125" style="2177" customWidth="1"/>
    <col min="7422" max="7422" width="15.28515625" style="2177" bestFit="1" customWidth="1"/>
    <col min="7423" max="7423" width="14.140625" style="2177" bestFit="1" customWidth="1"/>
    <col min="7424" max="7424" width="15.28515625" style="2177" customWidth="1"/>
    <col min="7425" max="7425" width="15.85546875" style="2177" customWidth="1"/>
    <col min="7426" max="7426" width="17" style="2177" bestFit="1" customWidth="1"/>
    <col min="7427" max="7427" width="12.7109375" style="2177" customWidth="1"/>
    <col min="7428" max="7428" width="13.7109375" style="2177" customWidth="1"/>
    <col min="7429" max="7429" width="13.85546875" style="2177" bestFit="1" customWidth="1"/>
    <col min="7430" max="7430" width="15.5703125" style="2177" bestFit="1" customWidth="1"/>
    <col min="7431" max="7431" width="16.140625" style="2177" customWidth="1"/>
    <col min="7432" max="7432" width="16.7109375" style="2177" bestFit="1" customWidth="1"/>
    <col min="7433" max="7433" width="15.5703125" style="2177" bestFit="1" customWidth="1"/>
    <col min="7434" max="7434" width="20.5703125" style="2177" bestFit="1" customWidth="1"/>
    <col min="7435" max="7435" width="16.42578125" style="2177" bestFit="1" customWidth="1"/>
    <col min="7436" max="7436" width="14.28515625" style="2177" customWidth="1"/>
    <col min="7437" max="7437" width="12.85546875" style="2177" bestFit="1" customWidth="1"/>
    <col min="7438" max="7438" width="11.28515625" style="2177" bestFit="1" customWidth="1"/>
    <col min="7439" max="7439" width="12.5703125" style="2177" bestFit="1" customWidth="1"/>
    <col min="7440" max="7440" width="14" style="2177" bestFit="1" customWidth="1"/>
    <col min="7441" max="7441" width="6" style="2177" bestFit="1" customWidth="1"/>
    <col min="7442" max="7442" width="15" style="2177" customWidth="1"/>
    <col min="7443" max="7443" width="14.85546875" style="2177" bestFit="1" customWidth="1"/>
    <col min="7444" max="7444" width="16.140625" style="2177" bestFit="1" customWidth="1"/>
    <col min="7445" max="7671" width="9.140625" style="2177"/>
    <col min="7672" max="7672" width="24" style="2177" bestFit="1" customWidth="1"/>
    <col min="7673" max="7673" width="43.85546875" style="2177" customWidth="1"/>
    <col min="7674" max="7674" width="19.7109375" style="2177" bestFit="1" customWidth="1"/>
    <col min="7675" max="7675" width="11.42578125" style="2177" bestFit="1" customWidth="1"/>
    <col min="7676" max="7676" width="14.85546875" style="2177" bestFit="1" customWidth="1"/>
    <col min="7677" max="7677" width="13.42578125" style="2177" customWidth="1"/>
    <col min="7678" max="7678" width="15.28515625" style="2177" bestFit="1" customWidth="1"/>
    <col min="7679" max="7679" width="14.140625" style="2177" bestFit="1" customWidth="1"/>
    <col min="7680" max="7680" width="15.28515625" style="2177" customWidth="1"/>
    <col min="7681" max="7681" width="15.85546875" style="2177" customWidth="1"/>
    <col min="7682" max="7682" width="17" style="2177" bestFit="1" customWidth="1"/>
    <col min="7683" max="7683" width="12.7109375" style="2177" customWidth="1"/>
    <col min="7684" max="7684" width="13.7109375" style="2177" customWidth="1"/>
    <col min="7685" max="7685" width="13.85546875" style="2177" bestFit="1" customWidth="1"/>
    <col min="7686" max="7686" width="15.5703125" style="2177" bestFit="1" customWidth="1"/>
    <col min="7687" max="7687" width="16.140625" style="2177" customWidth="1"/>
    <col min="7688" max="7688" width="16.7109375" style="2177" bestFit="1" customWidth="1"/>
    <col min="7689" max="7689" width="15.5703125" style="2177" bestFit="1" customWidth="1"/>
    <col min="7690" max="7690" width="20.5703125" style="2177" bestFit="1" customWidth="1"/>
    <col min="7691" max="7691" width="16.42578125" style="2177" bestFit="1" customWidth="1"/>
    <col min="7692" max="7692" width="14.28515625" style="2177" customWidth="1"/>
    <col min="7693" max="7693" width="12.85546875" style="2177" bestFit="1" customWidth="1"/>
    <col min="7694" max="7694" width="11.28515625" style="2177" bestFit="1" customWidth="1"/>
    <col min="7695" max="7695" width="12.5703125" style="2177" bestFit="1" customWidth="1"/>
    <col min="7696" max="7696" width="14" style="2177" bestFit="1" customWidth="1"/>
    <col min="7697" max="7697" width="6" style="2177" bestFit="1" customWidth="1"/>
    <col min="7698" max="7698" width="15" style="2177" customWidth="1"/>
    <col min="7699" max="7699" width="14.85546875" style="2177" bestFit="1" customWidth="1"/>
    <col min="7700" max="7700" width="16.140625" style="2177" bestFit="1" customWidth="1"/>
    <col min="7701" max="7927" width="9.140625" style="2177"/>
    <col min="7928" max="7928" width="24" style="2177" bestFit="1" customWidth="1"/>
    <col min="7929" max="7929" width="43.85546875" style="2177" customWidth="1"/>
    <col min="7930" max="7930" width="19.7109375" style="2177" bestFit="1" customWidth="1"/>
    <col min="7931" max="7931" width="11.42578125" style="2177" bestFit="1" customWidth="1"/>
    <col min="7932" max="7932" width="14.85546875" style="2177" bestFit="1" customWidth="1"/>
    <col min="7933" max="7933" width="13.42578125" style="2177" customWidth="1"/>
    <col min="7934" max="7934" width="15.28515625" style="2177" bestFit="1" customWidth="1"/>
    <col min="7935" max="7935" width="14.140625" style="2177" bestFit="1" customWidth="1"/>
    <col min="7936" max="7936" width="15.28515625" style="2177" customWidth="1"/>
    <col min="7937" max="7937" width="15.85546875" style="2177" customWidth="1"/>
    <col min="7938" max="7938" width="17" style="2177" bestFit="1" customWidth="1"/>
    <col min="7939" max="7939" width="12.7109375" style="2177" customWidth="1"/>
    <col min="7940" max="7940" width="13.7109375" style="2177" customWidth="1"/>
    <col min="7941" max="7941" width="13.85546875" style="2177" bestFit="1" customWidth="1"/>
    <col min="7942" max="7942" width="15.5703125" style="2177" bestFit="1" customWidth="1"/>
    <col min="7943" max="7943" width="16.140625" style="2177" customWidth="1"/>
    <col min="7944" max="7944" width="16.7109375" style="2177" bestFit="1" customWidth="1"/>
    <col min="7945" max="7945" width="15.5703125" style="2177" bestFit="1" customWidth="1"/>
    <col min="7946" max="7946" width="20.5703125" style="2177" bestFit="1" customWidth="1"/>
    <col min="7947" max="7947" width="16.42578125" style="2177" bestFit="1" customWidth="1"/>
    <col min="7948" max="7948" width="14.28515625" style="2177" customWidth="1"/>
    <col min="7949" max="7949" width="12.85546875" style="2177" bestFit="1" customWidth="1"/>
    <col min="7950" max="7950" width="11.28515625" style="2177" bestFit="1" customWidth="1"/>
    <col min="7951" max="7951" width="12.5703125" style="2177" bestFit="1" customWidth="1"/>
    <col min="7952" max="7952" width="14" style="2177" bestFit="1" customWidth="1"/>
    <col min="7953" max="7953" width="6" style="2177" bestFit="1" customWidth="1"/>
    <col min="7954" max="7954" width="15" style="2177" customWidth="1"/>
    <col min="7955" max="7955" width="14.85546875" style="2177" bestFit="1" customWidth="1"/>
    <col min="7956" max="7956" width="16.140625" style="2177" bestFit="1" customWidth="1"/>
    <col min="7957" max="8183" width="9.140625" style="2177"/>
    <col min="8184" max="8184" width="24" style="2177" bestFit="1" customWidth="1"/>
    <col min="8185" max="8185" width="43.85546875" style="2177" customWidth="1"/>
    <col min="8186" max="8186" width="19.7109375" style="2177" bestFit="1" customWidth="1"/>
    <col min="8187" max="8187" width="11.42578125" style="2177" bestFit="1" customWidth="1"/>
    <col min="8188" max="8188" width="14.85546875" style="2177" bestFit="1" customWidth="1"/>
    <col min="8189" max="8189" width="13.42578125" style="2177" customWidth="1"/>
    <col min="8190" max="8190" width="15.28515625" style="2177" bestFit="1" customWidth="1"/>
    <col min="8191" max="8191" width="14.140625" style="2177" bestFit="1" customWidth="1"/>
    <col min="8192" max="8192" width="15.28515625" style="2177" customWidth="1"/>
    <col min="8193" max="8193" width="15.85546875" style="2177" customWidth="1"/>
    <col min="8194" max="8194" width="17" style="2177" bestFit="1" customWidth="1"/>
    <col min="8195" max="8195" width="12.7109375" style="2177" customWidth="1"/>
    <col min="8196" max="8196" width="13.7109375" style="2177" customWidth="1"/>
    <col min="8197" max="8197" width="13.85546875" style="2177" bestFit="1" customWidth="1"/>
    <col min="8198" max="8198" width="15.5703125" style="2177" bestFit="1" customWidth="1"/>
    <col min="8199" max="8199" width="16.140625" style="2177" customWidth="1"/>
    <col min="8200" max="8200" width="16.7109375" style="2177" bestFit="1" customWidth="1"/>
    <col min="8201" max="8201" width="15.5703125" style="2177" bestFit="1" customWidth="1"/>
    <col min="8202" max="8202" width="20.5703125" style="2177" bestFit="1" customWidth="1"/>
    <col min="8203" max="8203" width="16.42578125" style="2177" bestFit="1" customWidth="1"/>
    <col min="8204" max="8204" width="14.28515625" style="2177" customWidth="1"/>
    <col min="8205" max="8205" width="12.85546875" style="2177" bestFit="1" customWidth="1"/>
    <col min="8206" max="8206" width="11.28515625" style="2177" bestFit="1" customWidth="1"/>
    <col min="8207" max="8207" width="12.5703125" style="2177" bestFit="1" customWidth="1"/>
    <col min="8208" max="8208" width="14" style="2177" bestFit="1" customWidth="1"/>
    <col min="8209" max="8209" width="6" style="2177" bestFit="1" customWidth="1"/>
    <col min="8210" max="8210" width="15" style="2177" customWidth="1"/>
    <col min="8211" max="8211" width="14.85546875" style="2177" bestFit="1" customWidth="1"/>
    <col min="8212" max="8212" width="16.140625" style="2177" bestFit="1" customWidth="1"/>
    <col min="8213" max="8439" width="9.140625" style="2177"/>
    <col min="8440" max="8440" width="24" style="2177" bestFit="1" customWidth="1"/>
    <col min="8441" max="8441" width="43.85546875" style="2177" customWidth="1"/>
    <col min="8442" max="8442" width="19.7109375" style="2177" bestFit="1" customWidth="1"/>
    <col min="8443" max="8443" width="11.42578125" style="2177" bestFit="1" customWidth="1"/>
    <col min="8444" max="8444" width="14.85546875" style="2177" bestFit="1" customWidth="1"/>
    <col min="8445" max="8445" width="13.42578125" style="2177" customWidth="1"/>
    <col min="8446" max="8446" width="15.28515625" style="2177" bestFit="1" customWidth="1"/>
    <col min="8447" max="8447" width="14.140625" style="2177" bestFit="1" customWidth="1"/>
    <col min="8448" max="8448" width="15.28515625" style="2177" customWidth="1"/>
    <col min="8449" max="8449" width="15.85546875" style="2177" customWidth="1"/>
    <col min="8450" max="8450" width="17" style="2177" bestFit="1" customWidth="1"/>
    <col min="8451" max="8451" width="12.7109375" style="2177" customWidth="1"/>
    <col min="8452" max="8452" width="13.7109375" style="2177" customWidth="1"/>
    <col min="8453" max="8453" width="13.85546875" style="2177" bestFit="1" customWidth="1"/>
    <col min="8454" max="8454" width="15.5703125" style="2177" bestFit="1" customWidth="1"/>
    <col min="8455" max="8455" width="16.140625" style="2177" customWidth="1"/>
    <col min="8456" max="8456" width="16.7109375" style="2177" bestFit="1" customWidth="1"/>
    <col min="8457" max="8457" width="15.5703125" style="2177" bestFit="1" customWidth="1"/>
    <col min="8458" max="8458" width="20.5703125" style="2177" bestFit="1" customWidth="1"/>
    <col min="8459" max="8459" width="16.42578125" style="2177" bestFit="1" customWidth="1"/>
    <col min="8460" max="8460" width="14.28515625" style="2177" customWidth="1"/>
    <col min="8461" max="8461" width="12.85546875" style="2177" bestFit="1" customWidth="1"/>
    <col min="8462" max="8462" width="11.28515625" style="2177" bestFit="1" customWidth="1"/>
    <col min="8463" max="8463" width="12.5703125" style="2177" bestFit="1" customWidth="1"/>
    <col min="8464" max="8464" width="14" style="2177" bestFit="1" customWidth="1"/>
    <col min="8465" max="8465" width="6" style="2177" bestFit="1" customWidth="1"/>
    <col min="8466" max="8466" width="15" style="2177" customWidth="1"/>
    <col min="8467" max="8467" width="14.85546875" style="2177" bestFit="1" customWidth="1"/>
    <col min="8468" max="8468" width="16.140625" style="2177" bestFit="1" customWidth="1"/>
    <col min="8469" max="8695" width="9.140625" style="2177"/>
    <col min="8696" max="8696" width="24" style="2177" bestFit="1" customWidth="1"/>
    <col min="8697" max="8697" width="43.85546875" style="2177" customWidth="1"/>
    <col min="8698" max="8698" width="19.7109375" style="2177" bestFit="1" customWidth="1"/>
    <col min="8699" max="8699" width="11.42578125" style="2177" bestFit="1" customWidth="1"/>
    <col min="8700" max="8700" width="14.85546875" style="2177" bestFit="1" customWidth="1"/>
    <col min="8701" max="8701" width="13.42578125" style="2177" customWidth="1"/>
    <col min="8702" max="8702" width="15.28515625" style="2177" bestFit="1" customWidth="1"/>
    <col min="8703" max="8703" width="14.140625" style="2177" bestFit="1" customWidth="1"/>
    <col min="8704" max="8704" width="15.28515625" style="2177" customWidth="1"/>
    <col min="8705" max="8705" width="15.85546875" style="2177" customWidth="1"/>
    <col min="8706" max="8706" width="17" style="2177" bestFit="1" customWidth="1"/>
    <col min="8707" max="8707" width="12.7109375" style="2177" customWidth="1"/>
    <col min="8708" max="8708" width="13.7109375" style="2177" customWidth="1"/>
    <col min="8709" max="8709" width="13.85546875" style="2177" bestFit="1" customWidth="1"/>
    <col min="8710" max="8710" width="15.5703125" style="2177" bestFit="1" customWidth="1"/>
    <col min="8711" max="8711" width="16.140625" style="2177" customWidth="1"/>
    <col min="8712" max="8712" width="16.7109375" style="2177" bestFit="1" customWidth="1"/>
    <col min="8713" max="8713" width="15.5703125" style="2177" bestFit="1" customWidth="1"/>
    <col min="8714" max="8714" width="20.5703125" style="2177" bestFit="1" customWidth="1"/>
    <col min="8715" max="8715" width="16.42578125" style="2177" bestFit="1" customWidth="1"/>
    <col min="8716" max="8716" width="14.28515625" style="2177" customWidth="1"/>
    <col min="8717" max="8717" width="12.85546875" style="2177" bestFit="1" customWidth="1"/>
    <col min="8718" max="8718" width="11.28515625" style="2177" bestFit="1" customWidth="1"/>
    <col min="8719" max="8719" width="12.5703125" style="2177" bestFit="1" customWidth="1"/>
    <col min="8720" max="8720" width="14" style="2177" bestFit="1" customWidth="1"/>
    <col min="8721" max="8721" width="6" style="2177" bestFit="1" customWidth="1"/>
    <col min="8722" max="8722" width="15" style="2177" customWidth="1"/>
    <col min="8723" max="8723" width="14.85546875" style="2177" bestFit="1" customWidth="1"/>
    <col min="8724" max="8724" width="16.140625" style="2177" bestFit="1" customWidth="1"/>
    <col min="8725" max="8951" width="9.140625" style="2177"/>
    <col min="8952" max="8952" width="24" style="2177" bestFit="1" customWidth="1"/>
    <col min="8953" max="8953" width="43.85546875" style="2177" customWidth="1"/>
    <col min="8954" max="8954" width="19.7109375" style="2177" bestFit="1" customWidth="1"/>
    <col min="8955" max="8955" width="11.42578125" style="2177" bestFit="1" customWidth="1"/>
    <col min="8956" max="8956" width="14.85546875" style="2177" bestFit="1" customWidth="1"/>
    <col min="8957" max="8957" width="13.42578125" style="2177" customWidth="1"/>
    <col min="8958" max="8958" width="15.28515625" style="2177" bestFit="1" customWidth="1"/>
    <col min="8959" max="8959" width="14.140625" style="2177" bestFit="1" customWidth="1"/>
    <col min="8960" max="8960" width="15.28515625" style="2177" customWidth="1"/>
    <col min="8961" max="8961" width="15.85546875" style="2177" customWidth="1"/>
    <col min="8962" max="8962" width="17" style="2177" bestFit="1" customWidth="1"/>
    <col min="8963" max="8963" width="12.7109375" style="2177" customWidth="1"/>
    <col min="8964" max="8964" width="13.7109375" style="2177" customWidth="1"/>
    <col min="8965" max="8965" width="13.85546875" style="2177" bestFit="1" customWidth="1"/>
    <col min="8966" max="8966" width="15.5703125" style="2177" bestFit="1" customWidth="1"/>
    <col min="8967" max="8967" width="16.140625" style="2177" customWidth="1"/>
    <col min="8968" max="8968" width="16.7109375" style="2177" bestFit="1" customWidth="1"/>
    <col min="8969" max="8969" width="15.5703125" style="2177" bestFit="1" customWidth="1"/>
    <col min="8970" max="8970" width="20.5703125" style="2177" bestFit="1" customWidth="1"/>
    <col min="8971" max="8971" width="16.42578125" style="2177" bestFit="1" customWidth="1"/>
    <col min="8972" max="8972" width="14.28515625" style="2177" customWidth="1"/>
    <col min="8973" max="8973" width="12.85546875" style="2177" bestFit="1" customWidth="1"/>
    <col min="8974" max="8974" width="11.28515625" style="2177" bestFit="1" customWidth="1"/>
    <col min="8975" max="8975" width="12.5703125" style="2177" bestFit="1" customWidth="1"/>
    <col min="8976" max="8976" width="14" style="2177" bestFit="1" customWidth="1"/>
    <col min="8977" max="8977" width="6" style="2177" bestFit="1" customWidth="1"/>
    <col min="8978" max="8978" width="15" style="2177" customWidth="1"/>
    <col min="8979" max="8979" width="14.85546875" style="2177" bestFit="1" customWidth="1"/>
    <col min="8980" max="8980" width="16.140625" style="2177" bestFit="1" customWidth="1"/>
    <col min="8981" max="9207" width="9.140625" style="2177"/>
    <col min="9208" max="9208" width="24" style="2177" bestFit="1" customWidth="1"/>
    <col min="9209" max="9209" width="43.85546875" style="2177" customWidth="1"/>
    <col min="9210" max="9210" width="19.7109375" style="2177" bestFit="1" customWidth="1"/>
    <col min="9211" max="9211" width="11.42578125" style="2177" bestFit="1" customWidth="1"/>
    <col min="9212" max="9212" width="14.85546875" style="2177" bestFit="1" customWidth="1"/>
    <col min="9213" max="9213" width="13.42578125" style="2177" customWidth="1"/>
    <col min="9214" max="9214" width="15.28515625" style="2177" bestFit="1" customWidth="1"/>
    <col min="9215" max="9215" width="14.140625" style="2177" bestFit="1" customWidth="1"/>
    <col min="9216" max="9216" width="15.28515625" style="2177" customWidth="1"/>
    <col min="9217" max="9217" width="15.85546875" style="2177" customWidth="1"/>
    <col min="9218" max="9218" width="17" style="2177" bestFit="1" customWidth="1"/>
    <col min="9219" max="9219" width="12.7109375" style="2177" customWidth="1"/>
    <col min="9220" max="9220" width="13.7109375" style="2177" customWidth="1"/>
    <col min="9221" max="9221" width="13.85546875" style="2177" bestFit="1" customWidth="1"/>
    <col min="9222" max="9222" width="15.5703125" style="2177" bestFit="1" customWidth="1"/>
    <col min="9223" max="9223" width="16.140625" style="2177" customWidth="1"/>
    <col min="9224" max="9224" width="16.7109375" style="2177" bestFit="1" customWidth="1"/>
    <col min="9225" max="9225" width="15.5703125" style="2177" bestFit="1" customWidth="1"/>
    <col min="9226" max="9226" width="20.5703125" style="2177" bestFit="1" customWidth="1"/>
    <col min="9227" max="9227" width="16.42578125" style="2177" bestFit="1" customWidth="1"/>
    <col min="9228" max="9228" width="14.28515625" style="2177" customWidth="1"/>
    <col min="9229" max="9229" width="12.85546875" style="2177" bestFit="1" customWidth="1"/>
    <col min="9230" max="9230" width="11.28515625" style="2177" bestFit="1" customWidth="1"/>
    <col min="9231" max="9231" width="12.5703125" style="2177" bestFit="1" customWidth="1"/>
    <col min="9232" max="9232" width="14" style="2177" bestFit="1" customWidth="1"/>
    <col min="9233" max="9233" width="6" style="2177" bestFit="1" customWidth="1"/>
    <col min="9234" max="9234" width="15" style="2177" customWidth="1"/>
    <col min="9235" max="9235" width="14.85546875" style="2177" bestFit="1" customWidth="1"/>
    <col min="9236" max="9236" width="16.140625" style="2177" bestFit="1" customWidth="1"/>
    <col min="9237" max="9463" width="9.140625" style="2177"/>
    <col min="9464" max="9464" width="24" style="2177" bestFit="1" customWidth="1"/>
    <col min="9465" max="9465" width="43.85546875" style="2177" customWidth="1"/>
    <col min="9466" max="9466" width="19.7109375" style="2177" bestFit="1" customWidth="1"/>
    <col min="9467" max="9467" width="11.42578125" style="2177" bestFit="1" customWidth="1"/>
    <col min="9468" max="9468" width="14.85546875" style="2177" bestFit="1" customWidth="1"/>
    <col min="9469" max="9469" width="13.42578125" style="2177" customWidth="1"/>
    <col min="9470" max="9470" width="15.28515625" style="2177" bestFit="1" customWidth="1"/>
    <col min="9471" max="9471" width="14.140625" style="2177" bestFit="1" customWidth="1"/>
    <col min="9472" max="9472" width="15.28515625" style="2177" customWidth="1"/>
    <col min="9473" max="9473" width="15.85546875" style="2177" customWidth="1"/>
    <col min="9474" max="9474" width="17" style="2177" bestFit="1" customWidth="1"/>
    <col min="9475" max="9475" width="12.7109375" style="2177" customWidth="1"/>
    <col min="9476" max="9476" width="13.7109375" style="2177" customWidth="1"/>
    <col min="9477" max="9477" width="13.85546875" style="2177" bestFit="1" customWidth="1"/>
    <col min="9478" max="9478" width="15.5703125" style="2177" bestFit="1" customWidth="1"/>
    <col min="9479" max="9479" width="16.140625" style="2177" customWidth="1"/>
    <col min="9480" max="9480" width="16.7109375" style="2177" bestFit="1" customWidth="1"/>
    <col min="9481" max="9481" width="15.5703125" style="2177" bestFit="1" customWidth="1"/>
    <col min="9482" max="9482" width="20.5703125" style="2177" bestFit="1" customWidth="1"/>
    <col min="9483" max="9483" width="16.42578125" style="2177" bestFit="1" customWidth="1"/>
    <col min="9484" max="9484" width="14.28515625" style="2177" customWidth="1"/>
    <col min="9485" max="9485" width="12.85546875" style="2177" bestFit="1" customWidth="1"/>
    <col min="9486" max="9486" width="11.28515625" style="2177" bestFit="1" customWidth="1"/>
    <col min="9487" max="9487" width="12.5703125" style="2177" bestFit="1" customWidth="1"/>
    <col min="9488" max="9488" width="14" style="2177" bestFit="1" customWidth="1"/>
    <col min="9489" max="9489" width="6" style="2177" bestFit="1" customWidth="1"/>
    <col min="9490" max="9490" width="15" style="2177" customWidth="1"/>
    <col min="9491" max="9491" width="14.85546875" style="2177" bestFit="1" customWidth="1"/>
    <col min="9492" max="9492" width="16.140625" style="2177" bestFit="1" customWidth="1"/>
    <col min="9493" max="9719" width="9.140625" style="2177"/>
    <col min="9720" max="9720" width="24" style="2177" bestFit="1" customWidth="1"/>
    <col min="9721" max="9721" width="43.85546875" style="2177" customWidth="1"/>
    <col min="9722" max="9722" width="19.7109375" style="2177" bestFit="1" customWidth="1"/>
    <col min="9723" max="9723" width="11.42578125" style="2177" bestFit="1" customWidth="1"/>
    <col min="9724" max="9724" width="14.85546875" style="2177" bestFit="1" customWidth="1"/>
    <col min="9725" max="9725" width="13.42578125" style="2177" customWidth="1"/>
    <col min="9726" max="9726" width="15.28515625" style="2177" bestFit="1" customWidth="1"/>
    <col min="9727" max="9727" width="14.140625" style="2177" bestFit="1" customWidth="1"/>
    <col min="9728" max="9728" width="15.28515625" style="2177" customWidth="1"/>
    <col min="9729" max="9729" width="15.85546875" style="2177" customWidth="1"/>
    <col min="9730" max="9730" width="17" style="2177" bestFit="1" customWidth="1"/>
    <col min="9731" max="9731" width="12.7109375" style="2177" customWidth="1"/>
    <col min="9732" max="9732" width="13.7109375" style="2177" customWidth="1"/>
    <col min="9733" max="9733" width="13.85546875" style="2177" bestFit="1" customWidth="1"/>
    <col min="9734" max="9734" width="15.5703125" style="2177" bestFit="1" customWidth="1"/>
    <col min="9735" max="9735" width="16.140625" style="2177" customWidth="1"/>
    <col min="9736" max="9736" width="16.7109375" style="2177" bestFit="1" customWidth="1"/>
    <col min="9737" max="9737" width="15.5703125" style="2177" bestFit="1" customWidth="1"/>
    <col min="9738" max="9738" width="20.5703125" style="2177" bestFit="1" customWidth="1"/>
    <col min="9739" max="9739" width="16.42578125" style="2177" bestFit="1" customWidth="1"/>
    <col min="9740" max="9740" width="14.28515625" style="2177" customWidth="1"/>
    <col min="9741" max="9741" width="12.85546875" style="2177" bestFit="1" customWidth="1"/>
    <col min="9742" max="9742" width="11.28515625" style="2177" bestFit="1" customWidth="1"/>
    <col min="9743" max="9743" width="12.5703125" style="2177" bestFit="1" customWidth="1"/>
    <col min="9744" max="9744" width="14" style="2177" bestFit="1" customWidth="1"/>
    <col min="9745" max="9745" width="6" style="2177" bestFit="1" customWidth="1"/>
    <col min="9746" max="9746" width="15" style="2177" customWidth="1"/>
    <col min="9747" max="9747" width="14.85546875" style="2177" bestFit="1" customWidth="1"/>
    <col min="9748" max="9748" width="16.140625" style="2177" bestFit="1" customWidth="1"/>
    <col min="9749" max="9975" width="9.140625" style="2177"/>
    <col min="9976" max="9976" width="24" style="2177" bestFit="1" customWidth="1"/>
    <col min="9977" max="9977" width="43.85546875" style="2177" customWidth="1"/>
    <col min="9978" max="9978" width="19.7109375" style="2177" bestFit="1" customWidth="1"/>
    <col min="9979" max="9979" width="11.42578125" style="2177" bestFit="1" customWidth="1"/>
    <col min="9980" max="9980" width="14.85546875" style="2177" bestFit="1" customWidth="1"/>
    <col min="9981" max="9981" width="13.42578125" style="2177" customWidth="1"/>
    <col min="9982" max="9982" width="15.28515625" style="2177" bestFit="1" customWidth="1"/>
    <col min="9983" max="9983" width="14.140625" style="2177" bestFit="1" customWidth="1"/>
    <col min="9984" max="9984" width="15.28515625" style="2177" customWidth="1"/>
    <col min="9985" max="9985" width="15.85546875" style="2177" customWidth="1"/>
    <col min="9986" max="9986" width="17" style="2177" bestFit="1" customWidth="1"/>
    <col min="9987" max="9987" width="12.7109375" style="2177" customWidth="1"/>
    <col min="9988" max="9988" width="13.7109375" style="2177" customWidth="1"/>
    <col min="9989" max="9989" width="13.85546875" style="2177" bestFit="1" customWidth="1"/>
    <col min="9990" max="9990" width="15.5703125" style="2177" bestFit="1" customWidth="1"/>
    <col min="9991" max="9991" width="16.140625" style="2177" customWidth="1"/>
    <col min="9992" max="9992" width="16.7109375" style="2177" bestFit="1" customWidth="1"/>
    <col min="9993" max="9993" width="15.5703125" style="2177" bestFit="1" customWidth="1"/>
    <col min="9994" max="9994" width="20.5703125" style="2177" bestFit="1" customWidth="1"/>
    <col min="9995" max="9995" width="16.42578125" style="2177" bestFit="1" customWidth="1"/>
    <col min="9996" max="9996" width="14.28515625" style="2177" customWidth="1"/>
    <col min="9997" max="9997" width="12.85546875" style="2177" bestFit="1" customWidth="1"/>
    <col min="9998" max="9998" width="11.28515625" style="2177" bestFit="1" customWidth="1"/>
    <col min="9999" max="9999" width="12.5703125" style="2177" bestFit="1" customWidth="1"/>
    <col min="10000" max="10000" width="14" style="2177" bestFit="1" customWidth="1"/>
    <col min="10001" max="10001" width="6" style="2177" bestFit="1" customWidth="1"/>
    <col min="10002" max="10002" width="15" style="2177" customWidth="1"/>
    <col min="10003" max="10003" width="14.85546875" style="2177" bestFit="1" customWidth="1"/>
    <col min="10004" max="10004" width="16.140625" style="2177" bestFit="1" customWidth="1"/>
    <col min="10005" max="10231" width="9.140625" style="2177"/>
    <col min="10232" max="10232" width="24" style="2177" bestFit="1" customWidth="1"/>
    <col min="10233" max="10233" width="43.85546875" style="2177" customWidth="1"/>
    <col min="10234" max="10234" width="19.7109375" style="2177" bestFit="1" customWidth="1"/>
    <col min="10235" max="10235" width="11.42578125" style="2177" bestFit="1" customWidth="1"/>
    <col min="10236" max="10236" width="14.85546875" style="2177" bestFit="1" customWidth="1"/>
    <col min="10237" max="10237" width="13.42578125" style="2177" customWidth="1"/>
    <col min="10238" max="10238" width="15.28515625" style="2177" bestFit="1" customWidth="1"/>
    <col min="10239" max="10239" width="14.140625" style="2177" bestFit="1" customWidth="1"/>
    <col min="10240" max="10240" width="15.28515625" style="2177" customWidth="1"/>
    <col min="10241" max="10241" width="15.85546875" style="2177" customWidth="1"/>
    <col min="10242" max="10242" width="17" style="2177" bestFit="1" customWidth="1"/>
    <col min="10243" max="10243" width="12.7109375" style="2177" customWidth="1"/>
    <col min="10244" max="10244" width="13.7109375" style="2177" customWidth="1"/>
    <col min="10245" max="10245" width="13.85546875" style="2177" bestFit="1" customWidth="1"/>
    <col min="10246" max="10246" width="15.5703125" style="2177" bestFit="1" customWidth="1"/>
    <col min="10247" max="10247" width="16.140625" style="2177" customWidth="1"/>
    <col min="10248" max="10248" width="16.7109375" style="2177" bestFit="1" customWidth="1"/>
    <col min="10249" max="10249" width="15.5703125" style="2177" bestFit="1" customWidth="1"/>
    <col min="10250" max="10250" width="20.5703125" style="2177" bestFit="1" customWidth="1"/>
    <col min="10251" max="10251" width="16.42578125" style="2177" bestFit="1" customWidth="1"/>
    <col min="10252" max="10252" width="14.28515625" style="2177" customWidth="1"/>
    <col min="10253" max="10253" width="12.85546875" style="2177" bestFit="1" customWidth="1"/>
    <col min="10254" max="10254" width="11.28515625" style="2177" bestFit="1" customWidth="1"/>
    <col min="10255" max="10255" width="12.5703125" style="2177" bestFit="1" customWidth="1"/>
    <col min="10256" max="10256" width="14" style="2177" bestFit="1" customWidth="1"/>
    <col min="10257" max="10257" width="6" style="2177" bestFit="1" customWidth="1"/>
    <col min="10258" max="10258" width="15" style="2177" customWidth="1"/>
    <col min="10259" max="10259" width="14.85546875" style="2177" bestFit="1" customWidth="1"/>
    <col min="10260" max="10260" width="16.140625" style="2177" bestFit="1" customWidth="1"/>
    <col min="10261" max="10487" width="9.140625" style="2177"/>
    <col min="10488" max="10488" width="24" style="2177" bestFit="1" customWidth="1"/>
    <col min="10489" max="10489" width="43.85546875" style="2177" customWidth="1"/>
    <col min="10490" max="10490" width="19.7109375" style="2177" bestFit="1" customWidth="1"/>
    <col min="10491" max="10491" width="11.42578125" style="2177" bestFit="1" customWidth="1"/>
    <col min="10492" max="10492" width="14.85546875" style="2177" bestFit="1" customWidth="1"/>
    <col min="10493" max="10493" width="13.42578125" style="2177" customWidth="1"/>
    <col min="10494" max="10494" width="15.28515625" style="2177" bestFit="1" customWidth="1"/>
    <col min="10495" max="10495" width="14.140625" style="2177" bestFit="1" customWidth="1"/>
    <col min="10496" max="10496" width="15.28515625" style="2177" customWidth="1"/>
    <col min="10497" max="10497" width="15.85546875" style="2177" customWidth="1"/>
    <col min="10498" max="10498" width="17" style="2177" bestFit="1" customWidth="1"/>
    <col min="10499" max="10499" width="12.7109375" style="2177" customWidth="1"/>
    <col min="10500" max="10500" width="13.7109375" style="2177" customWidth="1"/>
    <col min="10501" max="10501" width="13.85546875" style="2177" bestFit="1" customWidth="1"/>
    <col min="10502" max="10502" width="15.5703125" style="2177" bestFit="1" customWidth="1"/>
    <col min="10503" max="10503" width="16.140625" style="2177" customWidth="1"/>
    <col min="10504" max="10504" width="16.7109375" style="2177" bestFit="1" customWidth="1"/>
    <col min="10505" max="10505" width="15.5703125" style="2177" bestFit="1" customWidth="1"/>
    <col min="10506" max="10506" width="20.5703125" style="2177" bestFit="1" customWidth="1"/>
    <col min="10507" max="10507" width="16.42578125" style="2177" bestFit="1" customWidth="1"/>
    <col min="10508" max="10508" width="14.28515625" style="2177" customWidth="1"/>
    <col min="10509" max="10509" width="12.85546875" style="2177" bestFit="1" customWidth="1"/>
    <col min="10510" max="10510" width="11.28515625" style="2177" bestFit="1" customWidth="1"/>
    <col min="10511" max="10511" width="12.5703125" style="2177" bestFit="1" customWidth="1"/>
    <col min="10512" max="10512" width="14" style="2177" bestFit="1" customWidth="1"/>
    <col min="10513" max="10513" width="6" style="2177" bestFit="1" customWidth="1"/>
    <col min="10514" max="10514" width="15" style="2177" customWidth="1"/>
    <col min="10515" max="10515" width="14.85546875" style="2177" bestFit="1" customWidth="1"/>
    <col min="10516" max="10516" width="16.140625" style="2177" bestFit="1" customWidth="1"/>
    <col min="10517" max="10743" width="9.140625" style="2177"/>
    <col min="10744" max="10744" width="24" style="2177" bestFit="1" customWidth="1"/>
    <col min="10745" max="10745" width="43.85546875" style="2177" customWidth="1"/>
    <col min="10746" max="10746" width="19.7109375" style="2177" bestFit="1" customWidth="1"/>
    <col min="10747" max="10747" width="11.42578125" style="2177" bestFit="1" customWidth="1"/>
    <col min="10748" max="10748" width="14.85546875" style="2177" bestFit="1" customWidth="1"/>
    <col min="10749" max="10749" width="13.42578125" style="2177" customWidth="1"/>
    <col min="10750" max="10750" width="15.28515625" style="2177" bestFit="1" customWidth="1"/>
    <col min="10751" max="10751" width="14.140625" style="2177" bestFit="1" customWidth="1"/>
    <col min="10752" max="10752" width="15.28515625" style="2177" customWidth="1"/>
    <col min="10753" max="10753" width="15.85546875" style="2177" customWidth="1"/>
    <col min="10754" max="10754" width="17" style="2177" bestFit="1" customWidth="1"/>
    <col min="10755" max="10755" width="12.7109375" style="2177" customWidth="1"/>
    <col min="10756" max="10756" width="13.7109375" style="2177" customWidth="1"/>
    <col min="10757" max="10757" width="13.85546875" style="2177" bestFit="1" customWidth="1"/>
    <col min="10758" max="10758" width="15.5703125" style="2177" bestFit="1" customWidth="1"/>
    <col min="10759" max="10759" width="16.140625" style="2177" customWidth="1"/>
    <col min="10760" max="10760" width="16.7109375" style="2177" bestFit="1" customWidth="1"/>
    <col min="10761" max="10761" width="15.5703125" style="2177" bestFit="1" customWidth="1"/>
    <col min="10762" max="10762" width="20.5703125" style="2177" bestFit="1" customWidth="1"/>
    <col min="10763" max="10763" width="16.42578125" style="2177" bestFit="1" customWidth="1"/>
    <col min="10764" max="10764" width="14.28515625" style="2177" customWidth="1"/>
    <col min="10765" max="10765" width="12.85546875" style="2177" bestFit="1" customWidth="1"/>
    <col min="10766" max="10766" width="11.28515625" style="2177" bestFit="1" customWidth="1"/>
    <col min="10767" max="10767" width="12.5703125" style="2177" bestFit="1" customWidth="1"/>
    <col min="10768" max="10768" width="14" style="2177" bestFit="1" customWidth="1"/>
    <col min="10769" max="10769" width="6" style="2177" bestFit="1" customWidth="1"/>
    <col min="10770" max="10770" width="15" style="2177" customWidth="1"/>
    <col min="10771" max="10771" width="14.85546875" style="2177" bestFit="1" customWidth="1"/>
    <col min="10772" max="10772" width="16.140625" style="2177" bestFit="1" customWidth="1"/>
    <col min="10773" max="10999" width="9.140625" style="2177"/>
    <col min="11000" max="11000" width="24" style="2177" bestFit="1" customWidth="1"/>
    <col min="11001" max="11001" width="43.85546875" style="2177" customWidth="1"/>
    <col min="11002" max="11002" width="19.7109375" style="2177" bestFit="1" customWidth="1"/>
    <col min="11003" max="11003" width="11.42578125" style="2177" bestFit="1" customWidth="1"/>
    <col min="11004" max="11004" width="14.85546875" style="2177" bestFit="1" customWidth="1"/>
    <col min="11005" max="11005" width="13.42578125" style="2177" customWidth="1"/>
    <col min="11006" max="11006" width="15.28515625" style="2177" bestFit="1" customWidth="1"/>
    <col min="11007" max="11007" width="14.140625" style="2177" bestFit="1" customWidth="1"/>
    <col min="11008" max="11008" width="15.28515625" style="2177" customWidth="1"/>
    <col min="11009" max="11009" width="15.85546875" style="2177" customWidth="1"/>
    <col min="11010" max="11010" width="17" style="2177" bestFit="1" customWidth="1"/>
    <col min="11011" max="11011" width="12.7109375" style="2177" customWidth="1"/>
    <col min="11012" max="11012" width="13.7109375" style="2177" customWidth="1"/>
    <col min="11013" max="11013" width="13.85546875" style="2177" bestFit="1" customWidth="1"/>
    <col min="11014" max="11014" width="15.5703125" style="2177" bestFit="1" customWidth="1"/>
    <col min="11015" max="11015" width="16.140625" style="2177" customWidth="1"/>
    <col min="11016" max="11016" width="16.7109375" style="2177" bestFit="1" customWidth="1"/>
    <col min="11017" max="11017" width="15.5703125" style="2177" bestFit="1" customWidth="1"/>
    <col min="11018" max="11018" width="20.5703125" style="2177" bestFit="1" customWidth="1"/>
    <col min="11019" max="11019" width="16.42578125" style="2177" bestFit="1" customWidth="1"/>
    <col min="11020" max="11020" width="14.28515625" style="2177" customWidth="1"/>
    <col min="11021" max="11021" width="12.85546875" style="2177" bestFit="1" customWidth="1"/>
    <col min="11022" max="11022" width="11.28515625" style="2177" bestFit="1" customWidth="1"/>
    <col min="11023" max="11023" width="12.5703125" style="2177" bestFit="1" customWidth="1"/>
    <col min="11024" max="11024" width="14" style="2177" bestFit="1" customWidth="1"/>
    <col min="11025" max="11025" width="6" style="2177" bestFit="1" customWidth="1"/>
    <col min="11026" max="11026" width="15" style="2177" customWidth="1"/>
    <col min="11027" max="11027" width="14.85546875" style="2177" bestFit="1" customWidth="1"/>
    <col min="11028" max="11028" width="16.140625" style="2177" bestFit="1" customWidth="1"/>
    <col min="11029" max="11255" width="9.140625" style="2177"/>
    <col min="11256" max="11256" width="24" style="2177" bestFit="1" customWidth="1"/>
    <col min="11257" max="11257" width="43.85546875" style="2177" customWidth="1"/>
    <col min="11258" max="11258" width="19.7109375" style="2177" bestFit="1" customWidth="1"/>
    <col min="11259" max="11259" width="11.42578125" style="2177" bestFit="1" customWidth="1"/>
    <col min="11260" max="11260" width="14.85546875" style="2177" bestFit="1" customWidth="1"/>
    <col min="11261" max="11261" width="13.42578125" style="2177" customWidth="1"/>
    <col min="11262" max="11262" width="15.28515625" style="2177" bestFit="1" customWidth="1"/>
    <col min="11263" max="11263" width="14.140625" style="2177" bestFit="1" customWidth="1"/>
    <col min="11264" max="11264" width="15.28515625" style="2177" customWidth="1"/>
    <col min="11265" max="11265" width="15.85546875" style="2177" customWidth="1"/>
    <col min="11266" max="11266" width="17" style="2177" bestFit="1" customWidth="1"/>
    <col min="11267" max="11267" width="12.7109375" style="2177" customWidth="1"/>
    <col min="11268" max="11268" width="13.7109375" style="2177" customWidth="1"/>
    <col min="11269" max="11269" width="13.85546875" style="2177" bestFit="1" customWidth="1"/>
    <col min="11270" max="11270" width="15.5703125" style="2177" bestFit="1" customWidth="1"/>
    <col min="11271" max="11271" width="16.140625" style="2177" customWidth="1"/>
    <col min="11272" max="11272" width="16.7109375" style="2177" bestFit="1" customWidth="1"/>
    <col min="11273" max="11273" width="15.5703125" style="2177" bestFit="1" customWidth="1"/>
    <col min="11274" max="11274" width="20.5703125" style="2177" bestFit="1" customWidth="1"/>
    <col min="11275" max="11275" width="16.42578125" style="2177" bestFit="1" customWidth="1"/>
    <col min="11276" max="11276" width="14.28515625" style="2177" customWidth="1"/>
    <col min="11277" max="11277" width="12.85546875" style="2177" bestFit="1" customWidth="1"/>
    <col min="11278" max="11278" width="11.28515625" style="2177" bestFit="1" customWidth="1"/>
    <col min="11279" max="11279" width="12.5703125" style="2177" bestFit="1" customWidth="1"/>
    <col min="11280" max="11280" width="14" style="2177" bestFit="1" customWidth="1"/>
    <col min="11281" max="11281" width="6" style="2177" bestFit="1" customWidth="1"/>
    <col min="11282" max="11282" width="15" style="2177" customWidth="1"/>
    <col min="11283" max="11283" width="14.85546875" style="2177" bestFit="1" customWidth="1"/>
    <col min="11284" max="11284" width="16.140625" style="2177" bestFit="1" customWidth="1"/>
    <col min="11285" max="11511" width="9.140625" style="2177"/>
    <col min="11512" max="11512" width="24" style="2177" bestFit="1" customWidth="1"/>
    <col min="11513" max="11513" width="43.85546875" style="2177" customWidth="1"/>
    <col min="11514" max="11514" width="19.7109375" style="2177" bestFit="1" customWidth="1"/>
    <col min="11515" max="11515" width="11.42578125" style="2177" bestFit="1" customWidth="1"/>
    <col min="11516" max="11516" width="14.85546875" style="2177" bestFit="1" customWidth="1"/>
    <col min="11517" max="11517" width="13.42578125" style="2177" customWidth="1"/>
    <col min="11518" max="11518" width="15.28515625" style="2177" bestFit="1" customWidth="1"/>
    <col min="11519" max="11519" width="14.140625" style="2177" bestFit="1" customWidth="1"/>
    <col min="11520" max="11520" width="15.28515625" style="2177" customWidth="1"/>
    <col min="11521" max="11521" width="15.85546875" style="2177" customWidth="1"/>
    <col min="11522" max="11522" width="17" style="2177" bestFit="1" customWidth="1"/>
    <col min="11523" max="11523" width="12.7109375" style="2177" customWidth="1"/>
    <col min="11524" max="11524" width="13.7109375" style="2177" customWidth="1"/>
    <col min="11525" max="11525" width="13.85546875" style="2177" bestFit="1" customWidth="1"/>
    <col min="11526" max="11526" width="15.5703125" style="2177" bestFit="1" customWidth="1"/>
    <col min="11527" max="11527" width="16.140625" style="2177" customWidth="1"/>
    <col min="11528" max="11528" width="16.7109375" style="2177" bestFit="1" customWidth="1"/>
    <col min="11529" max="11529" width="15.5703125" style="2177" bestFit="1" customWidth="1"/>
    <col min="11530" max="11530" width="20.5703125" style="2177" bestFit="1" customWidth="1"/>
    <col min="11531" max="11531" width="16.42578125" style="2177" bestFit="1" customWidth="1"/>
    <col min="11532" max="11532" width="14.28515625" style="2177" customWidth="1"/>
    <col min="11533" max="11533" width="12.85546875" style="2177" bestFit="1" customWidth="1"/>
    <col min="11534" max="11534" width="11.28515625" style="2177" bestFit="1" customWidth="1"/>
    <col min="11535" max="11535" width="12.5703125" style="2177" bestFit="1" customWidth="1"/>
    <col min="11536" max="11536" width="14" style="2177" bestFit="1" customWidth="1"/>
    <col min="11537" max="11537" width="6" style="2177" bestFit="1" customWidth="1"/>
    <col min="11538" max="11538" width="15" style="2177" customWidth="1"/>
    <col min="11539" max="11539" width="14.85546875" style="2177" bestFit="1" customWidth="1"/>
    <col min="11540" max="11540" width="16.140625" style="2177" bestFit="1" customWidth="1"/>
    <col min="11541" max="11767" width="9.140625" style="2177"/>
    <col min="11768" max="11768" width="24" style="2177" bestFit="1" customWidth="1"/>
    <col min="11769" max="11769" width="43.85546875" style="2177" customWidth="1"/>
    <col min="11770" max="11770" width="19.7109375" style="2177" bestFit="1" customWidth="1"/>
    <col min="11771" max="11771" width="11.42578125" style="2177" bestFit="1" customWidth="1"/>
    <col min="11772" max="11772" width="14.85546875" style="2177" bestFit="1" customWidth="1"/>
    <col min="11773" max="11773" width="13.42578125" style="2177" customWidth="1"/>
    <col min="11774" max="11774" width="15.28515625" style="2177" bestFit="1" customWidth="1"/>
    <col min="11775" max="11775" width="14.140625" style="2177" bestFit="1" customWidth="1"/>
    <col min="11776" max="11776" width="15.28515625" style="2177" customWidth="1"/>
    <col min="11777" max="11777" width="15.85546875" style="2177" customWidth="1"/>
    <col min="11778" max="11778" width="17" style="2177" bestFit="1" customWidth="1"/>
    <col min="11779" max="11779" width="12.7109375" style="2177" customWidth="1"/>
    <col min="11780" max="11780" width="13.7109375" style="2177" customWidth="1"/>
    <col min="11781" max="11781" width="13.85546875" style="2177" bestFit="1" customWidth="1"/>
    <col min="11782" max="11782" width="15.5703125" style="2177" bestFit="1" customWidth="1"/>
    <col min="11783" max="11783" width="16.140625" style="2177" customWidth="1"/>
    <col min="11784" max="11784" width="16.7109375" style="2177" bestFit="1" customWidth="1"/>
    <col min="11785" max="11785" width="15.5703125" style="2177" bestFit="1" customWidth="1"/>
    <col min="11786" max="11786" width="20.5703125" style="2177" bestFit="1" customWidth="1"/>
    <col min="11787" max="11787" width="16.42578125" style="2177" bestFit="1" customWidth="1"/>
    <col min="11788" max="11788" width="14.28515625" style="2177" customWidth="1"/>
    <col min="11789" max="11789" width="12.85546875" style="2177" bestFit="1" customWidth="1"/>
    <col min="11790" max="11790" width="11.28515625" style="2177" bestFit="1" customWidth="1"/>
    <col min="11791" max="11791" width="12.5703125" style="2177" bestFit="1" customWidth="1"/>
    <col min="11792" max="11792" width="14" style="2177" bestFit="1" customWidth="1"/>
    <col min="11793" max="11793" width="6" style="2177" bestFit="1" customWidth="1"/>
    <col min="11794" max="11794" width="15" style="2177" customWidth="1"/>
    <col min="11795" max="11795" width="14.85546875" style="2177" bestFit="1" customWidth="1"/>
    <col min="11796" max="11796" width="16.140625" style="2177" bestFit="1" customWidth="1"/>
    <col min="11797" max="12023" width="9.140625" style="2177"/>
    <col min="12024" max="12024" width="24" style="2177" bestFit="1" customWidth="1"/>
    <col min="12025" max="12025" width="43.85546875" style="2177" customWidth="1"/>
    <col min="12026" max="12026" width="19.7109375" style="2177" bestFit="1" customWidth="1"/>
    <col min="12027" max="12027" width="11.42578125" style="2177" bestFit="1" customWidth="1"/>
    <col min="12028" max="12028" width="14.85546875" style="2177" bestFit="1" customWidth="1"/>
    <col min="12029" max="12029" width="13.42578125" style="2177" customWidth="1"/>
    <col min="12030" max="12030" width="15.28515625" style="2177" bestFit="1" customWidth="1"/>
    <col min="12031" max="12031" width="14.140625" style="2177" bestFit="1" customWidth="1"/>
    <col min="12032" max="12032" width="15.28515625" style="2177" customWidth="1"/>
    <col min="12033" max="12033" width="15.85546875" style="2177" customWidth="1"/>
    <col min="12034" max="12034" width="17" style="2177" bestFit="1" customWidth="1"/>
    <col min="12035" max="12035" width="12.7109375" style="2177" customWidth="1"/>
    <col min="12036" max="12036" width="13.7109375" style="2177" customWidth="1"/>
    <col min="12037" max="12037" width="13.85546875" style="2177" bestFit="1" customWidth="1"/>
    <col min="12038" max="12038" width="15.5703125" style="2177" bestFit="1" customWidth="1"/>
    <col min="12039" max="12039" width="16.140625" style="2177" customWidth="1"/>
    <col min="12040" max="12040" width="16.7109375" style="2177" bestFit="1" customWidth="1"/>
    <col min="12041" max="12041" width="15.5703125" style="2177" bestFit="1" customWidth="1"/>
    <col min="12042" max="12042" width="20.5703125" style="2177" bestFit="1" customWidth="1"/>
    <col min="12043" max="12043" width="16.42578125" style="2177" bestFit="1" customWidth="1"/>
    <col min="12044" max="12044" width="14.28515625" style="2177" customWidth="1"/>
    <col min="12045" max="12045" width="12.85546875" style="2177" bestFit="1" customWidth="1"/>
    <col min="12046" max="12046" width="11.28515625" style="2177" bestFit="1" customWidth="1"/>
    <col min="12047" max="12047" width="12.5703125" style="2177" bestFit="1" customWidth="1"/>
    <col min="12048" max="12048" width="14" style="2177" bestFit="1" customWidth="1"/>
    <col min="12049" max="12049" width="6" style="2177" bestFit="1" customWidth="1"/>
    <col min="12050" max="12050" width="15" style="2177" customWidth="1"/>
    <col min="12051" max="12051" width="14.85546875" style="2177" bestFit="1" customWidth="1"/>
    <col min="12052" max="12052" width="16.140625" style="2177" bestFit="1" customWidth="1"/>
    <col min="12053" max="12279" width="9.140625" style="2177"/>
    <col min="12280" max="12280" width="24" style="2177" bestFit="1" customWidth="1"/>
    <col min="12281" max="12281" width="43.85546875" style="2177" customWidth="1"/>
    <col min="12282" max="12282" width="19.7109375" style="2177" bestFit="1" customWidth="1"/>
    <col min="12283" max="12283" width="11.42578125" style="2177" bestFit="1" customWidth="1"/>
    <col min="12284" max="12284" width="14.85546875" style="2177" bestFit="1" customWidth="1"/>
    <col min="12285" max="12285" width="13.42578125" style="2177" customWidth="1"/>
    <col min="12286" max="12286" width="15.28515625" style="2177" bestFit="1" customWidth="1"/>
    <col min="12287" max="12287" width="14.140625" style="2177" bestFit="1" customWidth="1"/>
    <col min="12288" max="12288" width="15.28515625" style="2177" customWidth="1"/>
    <col min="12289" max="12289" width="15.85546875" style="2177" customWidth="1"/>
    <col min="12290" max="12290" width="17" style="2177" bestFit="1" customWidth="1"/>
    <col min="12291" max="12291" width="12.7109375" style="2177" customWidth="1"/>
    <col min="12292" max="12292" width="13.7109375" style="2177" customWidth="1"/>
    <col min="12293" max="12293" width="13.85546875" style="2177" bestFit="1" customWidth="1"/>
    <col min="12294" max="12294" width="15.5703125" style="2177" bestFit="1" customWidth="1"/>
    <col min="12295" max="12295" width="16.140625" style="2177" customWidth="1"/>
    <col min="12296" max="12296" width="16.7109375" style="2177" bestFit="1" customWidth="1"/>
    <col min="12297" max="12297" width="15.5703125" style="2177" bestFit="1" customWidth="1"/>
    <col min="12298" max="12298" width="20.5703125" style="2177" bestFit="1" customWidth="1"/>
    <col min="12299" max="12299" width="16.42578125" style="2177" bestFit="1" customWidth="1"/>
    <col min="12300" max="12300" width="14.28515625" style="2177" customWidth="1"/>
    <col min="12301" max="12301" width="12.85546875" style="2177" bestFit="1" customWidth="1"/>
    <col min="12302" max="12302" width="11.28515625" style="2177" bestFit="1" customWidth="1"/>
    <col min="12303" max="12303" width="12.5703125" style="2177" bestFit="1" customWidth="1"/>
    <col min="12304" max="12304" width="14" style="2177" bestFit="1" customWidth="1"/>
    <col min="12305" max="12305" width="6" style="2177" bestFit="1" customWidth="1"/>
    <col min="12306" max="12306" width="15" style="2177" customWidth="1"/>
    <col min="12307" max="12307" width="14.85546875" style="2177" bestFit="1" customWidth="1"/>
    <col min="12308" max="12308" width="16.140625" style="2177" bestFit="1" customWidth="1"/>
    <col min="12309" max="12535" width="9.140625" style="2177"/>
    <col min="12536" max="12536" width="24" style="2177" bestFit="1" customWidth="1"/>
    <col min="12537" max="12537" width="43.85546875" style="2177" customWidth="1"/>
    <col min="12538" max="12538" width="19.7109375" style="2177" bestFit="1" customWidth="1"/>
    <col min="12539" max="12539" width="11.42578125" style="2177" bestFit="1" customWidth="1"/>
    <col min="12540" max="12540" width="14.85546875" style="2177" bestFit="1" customWidth="1"/>
    <col min="12541" max="12541" width="13.42578125" style="2177" customWidth="1"/>
    <col min="12542" max="12542" width="15.28515625" style="2177" bestFit="1" customWidth="1"/>
    <col min="12543" max="12543" width="14.140625" style="2177" bestFit="1" customWidth="1"/>
    <col min="12544" max="12544" width="15.28515625" style="2177" customWidth="1"/>
    <col min="12545" max="12545" width="15.85546875" style="2177" customWidth="1"/>
    <col min="12546" max="12546" width="17" style="2177" bestFit="1" customWidth="1"/>
    <col min="12547" max="12547" width="12.7109375" style="2177" customWidth="1"/>
    <col min="12548" max="12548" width="13.7109375" style="2177" customWidth="1"/>
    <col min="12549" max="12549" width="13.85546875" style="2177" bestFit="1" customWidth="1"/>
    <col min="12550" max="12550" width="15.5703125" style="2177" bestFit="1" customWidth="1"/>
    <col min="12551" max="12551" width="16.140625" style="2177" customWidth="1"/>
    <col min="12552" max="12552" width="16.7109375" style="2177" bestFit="1" customWidth="1"/>
    <col min="12553" max="12553" width="15.5703125" style="2177" bestFit="1" customWidth="1"/>
    <col min="12554" max="12554" width="20.5703125" style="2177" bestFit="1" customWidth="1"/>
    <col min="12555" max="12555" width="16.42578125" style="2177" bestFit="1" customWidth="1"/>
    <col min="12556" max="12556" width="14.28515625" style="2177" customWidth="1"/>
    <col min="12557" max="12557" width="12.85546875" style="2177" bestFit="1" customWidth="1"/>
    <col min="12558" max="12558" width="11.28515625" style="2177" bestFit="1" customWidth="1"/>
    <col min="12559" max="12559" width="12.5703125" style="2177" bestFit="1" customWidth="1"/>
    <col min="12560" max="12560" width="14" style="2177" bestFit="1" customWidth="1"/>
    <col min="12561" max="12561" width="6" style="2177" bestFit="1" customWidth="1"/>
    <col min="12562" max="12562" width="15" style="2177" customWidth="1"/>
    <col min="12563" max="12563" width="14.85546875" style="2177" bestFit="1" customWidth="1"/>
    <col min="12564" max="12564" width="16.140625" style="2177" bestFit="1" customWidth="1"/>
    <col min="12565" max="12791" width="9.140625" style="2177"/>
    <col min="12792" max="12792" width="24" style="2177" bestFit="1" customWidth="1"/>
    <col min="12793" max="12793" width="43.85546875" style="2177" customWidth="1"/>
    <col min="12794" max="12794" width="19.7109375" style="2177" bestFit="1" customWidth="1"/>
    <col min="12795" max="12795" width="11.42578125" style="2177" bestFit="1" customWidth="1"/>
    <col min="12796" max="12796" width="14.85546875" style="2177" bestFit="1" customWidth="1"/>
    <col min="12797" max="12797" width="13.42578125" style="2177" customWidth="1"/>
    <col min="12798" max="12798" width="15.28515625" style="2177" bestFit="1" customWidth="1"/>
    <col min="12799" max="12799" width="14.140625" style="2177" bestFit="1" customWidth="1"/>
    <col min="12800" max="12800" width="15.28515625" style="2177" customWidth="1"/>
    <col min="12801" max="12801" width="15.85546875" style="2177" customWidth="1"/>
    <col min="12802" max="12802" width="17" style="2177" bestFit="1" customWidth="1"/>
    <col min="12803" max="12803" width="12.7109375" style="2177" customWidth="1"/>
    <col min="12804" max="12804" width="13.7109375" style="2177" customWidth="1"/>
    <col min="12805" max="12805" width="13.85546875" style="2177" bestFit="1" customWidth="1"/>
    <col min="12806" max="12806" width="15.5703125" style="2177" bestFit="1" customWidth="1"/>
    <col min="12807" max="12807" width="16.140625" style="2177" customWidth="1"/>
    <col min="12808" max="12808" width="16.7109375" style="2177" bestFit="1" customWidth="1"/>
    <col min="12809" max="12809" width="15.5703125" style="2177" bestFit="1" customWidth="1"/>
    <col min="12810" max="12810" width="20.5703125" style="2177" bestFit="1" customWidth="1"/>
    <col min="12811" max="12811" width="16.42578125" style="2177" bestFit="1" customWidth="1"/>
    <col min="12812" max="12812" width="14.28515625" style="2177" customWidth="1"/>
    <col min="12813" max="12813" width="12.85546875" style="2177" bestFit="1" customWidth="1"/>
    <col min="12814" max="12814" width="11.28515625" style="2177" bestFit="1" customWidth="1"/>
    <col min="12815" max="12815" width="12.5703125" style="2177" bestFit="1" customWidth="1"/>
    <col min="12816" max="12816" width="14" style="2177" bestFit="1" customWidth="1"/>
    <col min="12817" max="12817" width="6" style="2177" bestFit="1" customWidth="1"/>
    <col min="12818" max="12818" width="15" style="2177" customWidth="1"/>
    <col min="12819" max="12819" width="14.85546875" style="2177" bestFit="1" customWidth="1"/>
    <col min="12820" max="12820" width="16.140625" style="2177" bestFit="1" customWidth="1"/>
    <col min="12821" max="13047" width="9.140625" style="2177"/>
    <col min="13048" max="13048" width="24" style="2177" bestFit="1" customWidth="1"/>
    <col min="13049" max="13049" width="43.85546875" style="2177" customWidth="1"/>
    <col min="13050" max="13050" width="19.7109375" style="2177" bestFit="1" customWidth="1"/>
    <col min="13051" max="13051" width="11.42578125" style="2177" bestFit="1" customWidth="1"/>
    <col min="13052" max="13052" width="14.85546875" style="2177" bestFit="1" customWidth="1"/>
    <col min="13053" max="13053" width="13.42578125" style="2177" customWidth="1"/>
    <col min="13054" max="13054" width="15.28515625" style="2177" bestFit="1" customWidth="1"/>
    <col min="13055" max="13055" width="14.140625" style="2177" bestFit="1" customWidth="1"/>
    <col min="13056" max="13056" width="15.28515625" style="2177" customWidth="1"/>
    <col min="13057" max="13057" width="15.85546875" style="2177" customWidth="1"/>
    <col min="13058" max="13058" width="17" style="2177" bestFit="1" customWidth="1"/>
    <col min="13059" max="13059" width="12.7109375" style="2177" customWidth="1"/>
    <col min="13060" max="13060" width="13.7109375" style="2177" customWidth="1"/>
    <col min="13061" max="13061" width="13.85546875" style="2177" bestFit="1" customWidth="1"/>
    <col min="13062" max="13062" width="15.5703125" style="2177" bestFit="1" customWidth="1"/>
    <col min="13063" max="13063" width="16.140625" style="2177" customWidth="1"/>
    <col min="13064" max="13064" width="16.7109375" style="2177" bestFit="1" customWidth="1"/>
    <col min="13065" max="13065" width="15.5703125" style="2177" bestFit="1" customWidth="1"/>
    <col min="13066" max="13066" width="20.5703125" style="2177" bestFit="1" customWidth="1"/>
    <col min="13067" max="13067" width="16.42578125" style="2177" bestFit="1" customWidth="1"/>
    <col min="13068" max="13068" width="14.28515625" style="2177" customWidth="1"/>
    <col min="13069" max="13069" width="12.85546875" style="2177" bestFit="1" customWidth="1"/>
    <col min="13070" max="13070" width="11.28515625" style="2177" bestFit="1" customWidth="1"/>
    <col min="13071" max="13071" width="12.5703125" style="2177" bestFit="1" customWidth="1"/>
    <col min="13072" max="13072" width="14" style="2177" bestFit="1" customWidth="1"/>
    <col min="13073" max="13073" width="6" style="2177" bestFit="1" customWidth="1"/>
    <col min="13074" max="13074" width="15" style="2177" customWidth="1"/>
    <col min="13075" max="13075" width="14.85546875" style="2177" bestFit="1" customWidth="1"/>
    <col min="13076" max="13076" width="16.140625" style="2177" bestFit="1" customWidth="1"/>
    <col min="13077" max="13303" width="9.140625" style="2177"/>
    <col min="13304" max="13304" width="24" style="2177" bestFit="1" customWidth="1"/>
    <col min="13305" max="13305" width="43.85546875" style="2177" customWidth="1"/>
    <col min="13306" max="13306" width="19.7109375" style="2177" bestFit="1" customWidth="1"/>
    <col min="13307" max="13307" width="11.42578125" style="2177" bestFit="1" customWidth="1"/>
    <col min="13308" max="13308" width="14.85546875" style="2177" bestFit="1" customWidth="1"/>
    <col min="13309" max="13309" width="13.42578125" style="2177" customWidth="1"/>
    <col min="13310" max="13310" width="15.28515625" style="2177" bestFit="1" customWidth="1"/>
    <col min="13311" max="13311" width="14.140625" style="2177" bestFit="1" customWidth="1"/>
    <col min="13312" max="13312" width="15.28515625" style="2177" customWidth="1"/>
    <col min="13313" max="13313" width="15.85546875" style="2177" customWidth="1"/>
    <col min="13314" max="13314" width="17" style="2177" bestFit="1" customWidth="1"/>
    <col min="13315" max="13315" width="12.7109375" style="2177" customWidth="1"/>
    <col min="13316" max="13316" width="13.7109375" style="2177" customWidth="1"/>
    <col min="13317" max="13317" width="13.85546875" style="2177" bestFit="1" customWidth="1"/>
    <col min="13318" max="13318" width="15.5703125" style="2177" bestFit="1" customWidth="1"/>
    <col min="13319" max="13319" width="16.140625" style="2177" customWidth="1"/>
    <col min="13320" max="13320" width="16.7109375" style="2177" bestFit="1" customWidth="1"/>
    <col min="13321" max="13321" width="15.5703125" style="2177" bestFit="1" customWidth="1"/>
    <col min="13322" max="13322" width="20.5703125" style="2177" bestFit="1" customWidth="1"/>
    <col min="13323" max="13323" width="16.42578125" style="2177" bestFit="1" customWidth="1"/>
    <col min="13324" max="13324" width="14.28515625" style="2177" customWidth="1"/>
    <col min="13325" max="13325" width="12.85546875" style="2177" bestFit="1" customWidth="1"/>
    <col min="13326" max="13326" width="11.28515625" style="2177" bestFit="1" customWidth="1"/>
    <col min="13327" max="13327" width="12.5703125" style="2177" bestFit="1" customWidth="1"/>
    <col min="13328" max="13328" width="14" style="2177" bestFit="1" customWidth="1"/>
    <col min="13329" max="13329" width="6" style="2177" bestFit="1" customWidth="1"/>
    <col min="13330" max="13330" width="15" style="2177" customWidth="1"/>
    <col min="13331" max="13331" width="14.85546875" style="2177" bestFit="1" customWidth="1"/>
    <col min="13332" max="13332" width="16.140625" style="2177" bestFit="1" customWidth="1"/>
    <col min="13333" max="13559" width="9.140625" style="2177"/>
    <col min="13560" max="13560" width="24" style="2177" bestFit="1" customWidth="1"/>
    <col min="13561" max="13561" width="43.85546875" style="2177" customWidth="1"/>
    <col min="13562" max="13562" width="19.7109375" style="2177" bestFit="1" customWidth="1"/>
    <col min="13563" max="13563" width="11.42578125" style="2177" bestFit="1" customWidth="1"/>
    <col min="13564" max="13564" width="14.85546875" style="2177" bestFit="1" customWidth="1"/>
    <col min="13565" max="13565" width="13.42578125" style="2177" customWidth="1"/>
    <col min="13566" max="13566" width="15.28515625" style="2177" bestFit="1" customWidth="1"/>
    <col min="13567" max="13567" width="14.140625" style="2177" bestFit="1" customWidth="1"/>
    <col min="13568" max="13568" width="15.28515625" style="2177" customWidth="1"/>
    <col min="13569" max="13569" width="15.85546875" style="2177" customWidth="1"/>
    <col min="13570" max="13570" width="17" style="2177" bestFit="1" customWidth="1"/>
    <col min="13571" max="13571" width="12.7109375" style="2177" customWidth="1"/>
    <col min="13572" max="13572" width="13.7109375" style="2177" customWidth="1"/>
    <col min="13573" max="13573" width="13.85546875" style="2177" bestFit="1" customWidth="1"/>
    <col min="13574" max="13574" width="15.5703125" style="2177" bestFit="1" customWidth="1"/>
    <col min="13575" max="13575" width="16.140625" style="2177" customWidth="1"/>
    <col min="13576" max="13576" width="16.7109375" style="2177" bestFit="1" customWidth="1"/>
    <col min="13577" max="13577" width="15.5703125" style="2177" bestFit="1" customWidth="1"/>
    <col min="13578" max="13578" width="20.5703125" style="2177" bestFit="1" customWidth="1"/>
    <col min="13579" max="13579" width="16.42578125" style="2177" bestFit="1" customWidth="1"/>
    <col min="13580" max="13580" width="14.28515625" style="2177" customWidth="1"/>
    <col min="13581" max="13581" width="12.85546875" style="2177" bestFit="1" customWidth="1"/>
    <col min="13582" max="13582" width="11.28515625" style="2177" bestFit="1" customWidth="1"/>
    <col min="13583" max="13583" width="12.5703125" style="2177" bestFit="1" customWidth="1"/>
    <col min="13584" max="13584" width="14" style="2177" bestFit="1" customWidth="1"/>
    <col min="13585" max="13585" width="6" style="2177" bestFit="1" customWidth="1"/>
    <col min="13586" max="13586" width="15" style="2177" customWidth="1"/>
    <col min="13587" max="13587" width="14.85546875" style="2177" bestFit="1" customWidth="1"/>
    <col min="13588" max="13588" width="16.140625" style="2177" bestFit="1" customWidth="1"/>
    <col min="13589" max="13815" width="9.140625" style="2177"/>
    <col min="13816" max="13816" width="24" style="2177" bestFit="1" customWidth="1"/>
    <col min="13817" max="13817" width="43.85546875" style="2177" customWidth="1"/>
    <col min="13818" max="13818" width="19.7109375" style="2177" bestFit="1" customWidth="1"/>
    <col min="13819" max="13819" width="11.42578125" style="2177" bestFit="1" customWidth="1"/>
    <col min="13820" max="13820" width="14.85546875" style="2177" bestFit="1" customWidth="1"/>
    <col min="13821" max="13821" width="13.42578125" style="2177" customWidth="1"/>
    <col min="13822" max="13822" width="15.28515625" style="2177" bestFit="1" customWidth="1"/>
    <col min="13823" max="13823" width="14.140625" style="2177" bestFit="1" customWidth="1"/>
    <col min="13824" max="13824" width="15.28515625" style="2177" customWidth="1"/>
    <col min="13825" max="13825" width="15.85546875" style="2177" customWidth="1"/>
    <col min="13826" max="13826" width="17" style="2177" bestFit="1" customWidth="1"/>
    <col min="13827" max="13827" width="12.7109375" style="2177" customWidth="1"/>
    <col min="13828" max="13828" width="13.7109375" style="2177" customWidth="1"/>
    <col min="13829" max="13829" width="13.85546875" style="2177" bestFit="1" customWidth="1"/>
    <col min="13830" max="13830" width="15.5703125" style="2177" bestFit="1" customWidth="1"/>
    <col min="13831" max="13831" width="16.140625" style="2177" customWidth="1"/>
    <col min="13832" max="13832" width="16.7109375" style="2177" bestFit="1" customWidth="1"/>
    <col min="13833" max="13833" width="15.5703125" style="2177" bestFit="1" customWidth="1"/>
    <col min="13834" max="13834" width="20.5703125" style="2177" bestFit="1" customWidth="1"/>
    <col min="13835" max="13835" width="16.42578125" style="2177" bestFit="1" customWidth="1"/>
    <col min="13836" max="13836" width="14.28515625" style="2177" customWidth="1"/>
    <col min="13837" max="13837" width="12.85546875" style="2177" bestFit="1" customWidth="1"/>
    <col min="13838" max="13838" width="11.28515625" style="2177" bestFit="1" customWidth="1"/>
    <col min="13839" max="13839" width="12.5703125" style="2177" bestFit="1" customWidth="1"/>
    <col min="13840" max="13840" width="14" style="2177" bestFit="1" customWidth="1"/>
    <col min="13841" max="13841" width="6" style="2177" bestFit="1" customWidth="1"/>
    <col min="13842" max="13842" width="15" style="2177" customWidth="1"/>
    <col min="13843" max="13843" width="14.85546875" style="2177" bestFit="1" customWidth="1"/>
    <col min="13844" max="13844" width="16.140625" style="2177" bestFit="1" customWidth="1"/>
    <col min="13845" max="14071" width="9.140625" style="2177"/>
    <col min="14072" max="14072" width="24" style="2177" bestFit="1" customWidth="1"/>
    <col min="14073" max="14073" width="43.85546875" style="2177" customWidth="1"/>
    <col min="14074" max="14074" width="19.7109375" style="2177" bestFit="1" customWidth="1"/>
    <col min="14075" max="14075" width="11.42578125" style="2177" bestFit="1" customWidth="1"/>
    <col min="14076" max="14076" width="14.85546875" style="2177" bestFit="1" customWidth="1"/>
    <col min="14077" max="14077" width="13.42578125" style="2177" customWidth="1"/>
    <col min="14078" max="14078" width="15.28515625" style="2177" bestFit="1" customWidth="1"/>
    <col min="14079" max="14079" width="14.140625" style="2177" bestFit="1" customWidth="1"/>
    <col min="14080" max="14080" width="15.28515625" style="2177" customWidth="1"/>
    <col min="14081" max="14081" width="15.85546875" style="2177" customWidth="1"/>
    <col min="14082" max="14082" width="17" style="2177" bestFit="1" customWidth="1"/>
    <col min="14083" max="14083" width="12.7109375" style="2177" customWidth="1"/>
    <col min="14084" max="14084" width="13.7109375" style="2177" customWidth="1"/>
    <col min="14085" max="14085" width="13.85546875" style="2177" bestFit="1" customWidth="1"/>
    <col min="14086" max="14086" width="15.5703125" style="2177" bestFit="1" customWidth="1"/>
    <col min="14087" max="14087" width="16.140625" style="2177" customWidth="1"/>
    <col min="14088" max="14088" width="16.7109375" style="2177" bestFit="1" customWidth="1"/>
    <col min="14089" max="14089" width="15.5703125" style="2177" bestFit="1" customWidth="1"/>
    <col min="14090" max="14090" width="20.5703125" style="2177" bestFit="1" customWidth="1"/>
    <col min="14091" max="14091" width="16.42578125" style="2177" bestFit="1" customWidth="1"/>
    <col min="14092" max="14092" width="14.28515625" style="2177" customWidth="1"/>
    <col min="14093" max="14093" width="12.85546875" style="2177" bestFit="1" customWidth="1"/>
    <col min="14094" max="14094" width="11.28515625" style="2177" bestFit="1" customWidth="1"/>
    <col min="14095" max="14095" width="12.5703125" style="2177" bestFit="1" customWidth="1"/>
    <col min="14096" max="14096" width="14" style="2177" bestFit="1" customWidth="1"/>
    <col min="14097" max="14097" width="6" style="2177" bestFit="1" customWidth="1"/>
    <col min="14098" max="14098" width="15" style="2177" customWidth="1"/>
    <col min="14099" max="14099" width="14.85546875" style="2177" bestFit="1" customWidth="1"/>
    <col min="14100" max="14100" width="16.140625" style="2177" bestFit="1" customWidth="1"/>
    <col min="14101" max="14327" width="9.140625" style="2177"/>
    <col min="14328" max="14328" width="24" style="2177" bestFit="1" customWidth="1"/>
    <col min="14329" max="14329" width="43.85546875" style="2177" customWidth="1"/>
    <col min="14330" max="14330" width="19.7109375" style="2177" bestFit="1" customWidth="1"/>
    <col min="14331" max="14331" width="11.42578125" style="2177" bestFit="1" customWidth="1"/>
    <col min="14332" max="14332" width="14.85546875" style="2177" bestFit="1" customWidth="1"/>
    <col min="14333" max="14333" width="13.42578125" style="2177" customWidth="1"/>
    <col min="14334" max="14334" width="15.28515625" style="2177" bestFit="1" customWidth="1"/>
    <col min="14335" max="14335" width="14.140625" style="2177" bestFit="1" customWidth="1"/>
    <col min="14336" max="14336" width="15.28515625" style="2177" customWidth="1"/>
    <col min="14337" max="14337" width="15.85546875" style="2177" customWidth="1"/>
    <col min="14338" max="14338" width="17" style="2177" bestFit="1" customWidth="1"/>
    <col min="14339" max="14339" width="12.7109375" style="2177" customWidth="1"/>
    <col min="14340" max="14340" width="13.7109375" style="2177" customWidth="1"/>
    <col min="14341" max="14341" width="13.85546875" style="2177" bestFit="1" customWidth="1"/>
    <col min="14342" max="14342" width="15.5703125" style="2177" bestFit="1" customWidth="1"/>
    <col min="14343" max="14343" width="16.140625" style="2177" customWidth="1"/>
    <col min="14344" max="14344" width="16.7109375" style="2177" bestFit="1" customWidth="1"/>
    <col min="14345" max="14345" width="15.5703125" style="2177" bestFit="1" customWidth="1"/>
    <col min="14346" max="14346" width="20.5703125" style="2177" bestFit="1" customWidth="1"/>
    <col min="14347" max="14347" width="16.42578125" style="2177" bestFit="1" customWidth="1"/>
    <col min="14348" max="14348" width="14.28515625" style="2177" customWidth="1"/>
    <col min="14349" max="14349" width="12.85546875" style="2177" bestFit="1" customWidth="1"/>
    <col min="14350" max="14350" width="11.28515625" style="2177" bestFit="1" customWidth="1"/>
    <col min="14351" max="14351" width="12.5703125" style="2177" bestFit="1" customWidth="1"/>
    <col min="14352" max="14352" width="14" style="2177" bestFit="1" customWidth="1"/>
    <col min="14353" max="14353" width="6" style="2177" bestFit="1" customWidth="1"/>
    <col min="14354" max="14354" width="15" style="2177" customWidth="1"/>
    <col min="14355" max="14355" width="14.85546875" style="2177" bestFit="1" customWidth="1"/>
    <col min="14356" max="14356" width="16.140625" style="2177" bestFit="1" customWidth="1"/>
    <col min="14357" max="14583" width="9.140625" style="2177"/>
    <col min="14584" max="14584" width="24" style="2177" bestFit="1" customWidth="1"/>
    <col min="14585" max="14585" width="43.85546875" style="2177" customWidth="1"/>
    <col min="14586" max="14586" width="19.7109375" style="2177" bestFit="1" customWidth="1"/>
    <col min="14587" max="14587" width="11.42578125" style="2177" bestFit="1" customWidth="1"/>
    <col min="14588" max="14588" width="14.85546875" style="2177" bestFit="1" customWidth="1"/>
    <col min="14589" max="14589" width="13.42578125" style="2177" customWidth="1"/>
    <col min="14590" max="14590" width="15.28515625" style="2177" bestFit="1" customWidth="1"/>
    <col min="14591" max="14591" width="14.140625" style="2177" bestFit="1" customWidth="1"/>
    <col min="14592" max="14592" width="15.28515625" style="2177" customWidth="1"/>
    <col min="14593" max="14593" width="15.85546875" style="2177" customWidth="1"/>
    <col min="14594" max="14594" width="17" style="2177" bestFit="1" customWidth="1"/>
    <col min="14595" max="14595" width="12.7109375" style="2177" customWidth="1"/>
    <col min="14596" max="14596" width="13.7109375" style="2177" customWidth="1"/>
    <col min="14597" max="14597" width="13.85546875" style="2177" bestFit="1" customWidth="1"/>
    <col min="14598" max="14598" width="15.5703125" style="2177" bestFit="1" customWidth="1"/>
    <col min="14599" max="14599" width="16.140625" style="2177" customWidth="1"/>
    <col min="14600" max="14600" width="16.7109375" style="2177" bestFit="1" customWidth="1"/>
    <col min="14601" max="14601" width="15.5703125" style="2177" bestFit="1" customWidth="1"/>
    <col min="14602" max="14602" width="20.5703125" style="2177" bestFit="1" customWidth="1"/>
    <col min="14603" max="14603" width="16.42578125" style="2177" bestFit="1" customWidth="1"/>
    <col min="14604" max="14604" width="14.28515625" style="2177" customWidth="1"/>
    <col min="14605" max="14605" width="12.85546875" style="2177" bestFit="1" customWidth="1"/>
    <col min="14606" max="14606" width="11.28515625" style="2177" bestFit="1" customWidth="1"/>
    <col min="14607" max="14607" width="12.5703125" style="2177" bestFit="1" customWidth="1"/>
    <col min="14608" max="14608" width="14" style="2177" bestFit="1" customWidth="1"/>
    <col min="14609" max="14609" width="6" style="2177" bestFit="1" customWidth="1"/>
    <col min="14610" max="14610" width="15" style="2177" customWidth="1"/>
    <col min="14611" max="14611" width="14.85546875" style="2177" bestFit="1" customWidth="1"/>
    <col min="14612" max="14612" width="16.140625" style="2177" bestFit="1" customWidth="1"/>
    <col min="14613" max="14839" width="9.140625" style="2177"/>
    <col min="14840" max="14840" width="24" style="2177" bestFit="1" customWidth="1"/>
    <col min="14841" max="14841" width="43.85546875" style="2177" customWidth="1"/>
    <col min="14842" max="14842" width="19.7109375" style="2177" bestFit="1" customWidth="1"/>
    <col min="14843" max="14843" width="11.42578125" style="2177" bestFit="1" customWidth="1"/>
    <col min="14844" max="14844" width="14.85546875" style="2177" bestFit="1" customWidth="1"/>
    <col min="14845" max="14845" width="13.42578125" style="2177" customWidth="1"/>
    <col min="14846" max="14846" width="15.28515625" style="2177" bestFit="1" customWidth="1"/>
    <col min="14847" max="14847" width="14.140625" style="2177" bestFit="1" customWidth="1"/>
    <col min="14848" max="14848" width="15.28515625" style="2177" customWidth="1"/>
    <col min="14849" max="14849" width="15.85546875" style="2177" customWidth="1"/>
    <col min="14850" max="14850" width="17" style="2177" bestFit="1" customWidth="1"/>
    <col min="14851" max="14851" width="12.7109375" style="2177" customWidth="1"/>
    <col min="14852" max="14852" width="13.7109375" style="2177" customWidth="1"/>
    <col min="14853" max="14853" width="13.85546875" style="2177" bestFit="1" customWidth="1"/>
    <col min="14854" max="14854" width="15.5703125" style="2177" bestFit="1" customWidth="1"/>
    <col min="14855" max="14855" width="16.140625" style="2177" customWidth="1"/>
    <col min="14856" max="14856" width="16.7109375" style="2177" bestFit="1" customWidth="1"/>
    <col min="14857" max="14857" width="15.5703125" style="2177" bestFit="1" customWidth="1"/>
    <col min="14858" max="14858" width="20.5703125" style="2177" bestFit="1" customWidth="1"/>
    <col min="14859" max="14859" width="16.42578125" style="2177" bestFit="1" customWidth="1"/>
    <col min="14860" max="14860" width="14.28515625" style="2177" customWidth="1"/>
    <col min="14861" max="14861" width="12.85546875" style="2177" bestFit="1" customWidth="1"/>
    <col min="14862" max="14862" width="11.28515625" style="2177" bestFit="1" customWidth="1"/>
    <col min="14863" max="14863" width="12.5703125" style="2177" bestFit="1" customWidth="1"/>
    <col min="14864" max="14864" width="14" style="2177" bestFit="1" customWidth="1"/>
    <col min="14865" max="14865" width="6" style="2177" bestFit="1" customWidth="1"/>
    <col min="14866" max="14866" width="15" style="2177" customWidth="1"/>
    <col min="14867" max="14867" width="14.85546875" style="2177" bestFit="1" customWidth="1"/>
    <col min="14868" max="14868" width="16.140625" style="2177" bestFit="1" customWidth="1"/>
    <col min="14869" max="15095" width="9.140625" style="2177"/>
    <col min="15096" max="15096" width="24" style="2177" bestFit="1" customWidth="1"/>
    <col min="15097" max="15097" width="43.85546875" style="2177" customWidth="1"/>
    <col min="15098" max="15098" width="19.7109375" style="2177" bestFit="1" customWidth="1"/>
    <col min="15099" max="15099" width="11.42578125" style="2177" bestFit="1" customWidth="1"/>
    <col min="15100" max="15100" width="14.85546875" style="2177" bestFit="1" customWidth="1"/>
    <col min="15101" max="15101" width="13.42578125" style="2177" customWidth="1"/>
    <col min="15102" max="15102" width="15.28515625" style="2177" bestFit="1" customWidth="1"/>
    <col min="15103" max="15103" width="14.140625" style="2177" bestFit="1" customWidth="1"/>
    <col min="15104" max="15104" width="15.28515625" style="2177" customWidth="1"/>
    <col min="15105" max="15105" width="15.85546875" style="2177" customWidth="1"/>
    <col min="15106" max="15106" width="17" style="2177" bestFit="1" customWidth="1"/>
    <col min="15107" max="15107" width="12.7109375" style="2177" customWidth="1"/>
    <col min="15108" max="15108" width="13.7109375" style="2177" customWidth="1"/>
    <col min="15109" max="15109" width="13.85546875" style="2177" bestFit="1" customWidth="1"/>
    <col min="15110" max="15110" width="15.5703125" style="2177" bestFit="1" customWidth="1"/>
    <col min="15111" max="15111" width="16.140625" style="2177" customWidth="1"/>
    <col min="15112" max="15112" width="16.7109375" style="2177" bestFit="1" customWidth="1"/>
    <col min="15113" max="15113" width="15.5703125" style="2177" bestFit="1" customWidth="1"/>
    <col min="15114" max="15114" width="20.5703125" style="2177" bestFit="1" customWidth="1"/>
    <col min="15115" max="15115" width="16.42578125" style="2177" bestFit="1" customWidth="1"/>
    <col min="15116" max="15116" width="14.28515625" style="2177" customWidth="1"/>
    <col min="15117" max="15117" width="12.85546875" style="2177" bestFit="1" customWidth="1"/>
    <col min="15118" max="15118" width="11.28515625" style="2177" bestFit="1" customWidth="1"/>
    <col min="15119" max="15119" width="12.5703125" style="2177" bestFit="1" customWidth="1"/>
    <col min="15120" max="15120" width="14" style="2177" bestFit="1" customWidth="1"/>
    <col min="15121" max="15121" width="6" style="2177" bestFit="1" customWidth="1"/>
    <col min="15122" max="15122" width="15" style="2177" customWidth="1"/>
    <col min="15123" max="15123" width="14.85546875" style="2177" bestFit="1" customWidth="1"/>
    <col min="15124" max="15124" width="16.140625" style="2177" bestFit="1" customWidth="1"/>
    <col min="15125" max="15351" width="9.140625" style="2177"/>
    <col min="15352" max="15352" width="24" style="2177" bestFit="1" customWidth="1"/>
    <col min="15353" max="15353" width="43.85546875" style="2177" customWidth="1"/>
    <col min="15354" max="15354" width="19.7109375" style="2177" bestFit="1" customWidth="1"/>
    <col min="15355" max="15355" width="11.42578125" style="2177" bestFit="1" customWidth="1"/>
    <col min="15356" max="15356" width="14.85546875" style="2177" bestFit="1" customWidth="1"/>
    <col min="15357" max="15357" width="13.42578125" style="2177" customWidth="1"/>
    <col min="15358" max="15358" width="15.28515625" style="2177" bestFit="1" customWidth="1"/>
    <col min="15359" max="15359" width="14.140625" style="2177" bestFit="1" customWidth="1"/>
    <col min="15360" max="15360" width="15.28515625" style="2177" customWidth="1"/>
    <col min="15361" max="15361" width="15.85546875" style="2177" customWidth="1"/>
    <col min="15362" max="15362" width="17" style="2177" bestFit="1" customWidth="1"/>
    <col min="15363" max="15363" width="12.7109375" style="2177" customWidth="1"/>
    <col min="15364" max="15364" width="13.7109375" style="2177" customWidth="1"/>
    <col min="15365" max="15365" width="13.85546875" style="2177" bestFit="1" customWidth="1"/>
    <col min="15366" max="15366" width="15.5703125" style="2177" bestFit="1" customWidth="1"/>
    <col min="15367" max="15367" width="16.140625" style="2177" customWidth="1"/>
    <col min="15368" max="15368" width="16.7109375" style="2177" bestFit="1" customWidth="1"/>
    <col min="15369" max="15369" width="15.5703125" style="2177" bestFit="1" customWidth="1"/>
    <col min="15370" max="15370" width="20.5703125" style="2177" bestFit="1" customWidth="1"/>
    <col min="15371" max="15371" width="16.42578125" style="2177" bestFit="1" customWidth="1"/>
    <col min="15372" max="15372" width="14.28515625" style="2177" customWidth="1"/>
    <col min="15373" max="15373" width="12.85546875" style="2177" bestFit="1" customWidth="1"/>
    <col min="15374" max="15374" width="11.28515625" style="2177" bestFit="1" customWidth="1"/>
    <col min="15375" max="15375" width="12.5703125" style="2177" bestFit="1" customWidth="1"/>
    <col min="15376" max="15376" width="14" style="2177" bestFit="1" customWidth="1"/>
    <col min="15377" max="15377" width="6" style="2177" bestFit="1" customWidth="1"/>
    <col min="15378" max="15378" width="15" style="2177" customWidth="1"/>
    <col min="15379" max="15379" width="14.85546875" style="2177" bestFit="1" customWidth="1"/>
    <col min="15380" max="15380" width="16.140625" style="2177" bestFit="1" customWidth="1"/>
    <col min="15381" max="15607" width="9.140625" style="2177"/>
    <col min="15608" max="15608" width="24" style="2177" bestFit="1" customWidth="1"/>
    <col min="15609" max="15609" width="43.85546875" style="2177" customWidth="1"/>
    <col min="15610" max="15610" width="19.7109375" style="2177" bestFit="1" customWidth="1"/>
    <col min="15611" max="15611" width="11.42578125" style="2177" bestFit="1" customWidth="1"/>
    <col min="15612" max="15612" width="14.85546875" style="2177" bestFit="1" customWidth="1"/>
    <col min="15613" max="15613" width="13.42578125" style="2177" customWidth="1"/>
    <col min="15614" max="15614" width="15.28515625" style="2177" bestFit="1" customWidth="1"/>
    <col min="15615" max="15615" width="14.140625" style="2177" bestFit="1" customWidth="1"/>
    <col min="15616" max="15616" width="15.28515625" style="2177" customWidth="1"/>
    <col min="15617" max="15617" width="15.85546875" style="2177" customWidth="1"/>
    <col min="15618" max="15618" width="17" style="2177" bestFit="1" customWidth="1"/>
    <col min="15619" max="15619" width="12.7109375" style="2177" customWidth="1"/>
    <col min="15620" max="15620" width="13.7109375" style="2177" customWidth="1"/>
    <col min="15621" max="15621" width="13.85546875" style="2177" bestFit="1" customWidth="1"/>
    <col min="15622" max="15622" width="15.5703125" style="2177" bestFit="1" customWidth="1"/>
    <col min="15623" max="15623" width="16.140625" style="2177" customWidth="1"/>
    <col min="15624" max="15624" width="16.7109375" style="2177" bestFit="1" customWidth="1"/>
    <col min="15625" max="15625" width="15.5703125" style="2177" bestFit="1" customWidth="1"/>
    <col min="15626" max="15626" width="20.5703125" style="2177" bestFit="1" customWidth="1"/>
    <col min="15627" max="15627" width="16.42578125" style="2177" bestFit="1" customWidth="1"/>
    <col min="15628" max="15628" width="14.28515625" style="2177" customWidth="1"/>
    <col min="15629" max="15629" width="12.85546875" style="2177" bestFit="1" customWidth="1"/>
    <col min="15630" max="15630" width="11.28515625" style="2177" bestFit="1" customWidth="1"/>
    <col min="15631" max="15631" width="12.5703125" style="2177" bestFit="1" customWidth="1"/>
    <col min="15632" max="15632" width="14" style="2177" bestFit="1" customWidth="1"/>
    <col min="15633" max="15633" width="6" style="2177" bestFit="1" customWidth="1"/>
    <col min="15634" max="15634" width="15" style="2177" customWidth="1"/>
    <col min="15635" max="15635" width="14.85546875" style="2177" bestFit="1" customWidth="1"/>
    <col min="15636" max="15636" width="16.140625" style="2177" bestFit="1" customWidth="1"/>
    <col min="15637" max="15863" width="9.140625" style="2177"/>
    <col min="15864" max="15864" width="24" style="2177" bestFit="1" customWidth="1"/>
    <col min="15865" max="15865" width="43.85546875" style="2177" customWidth="1"/>
    <col min="15866" max="15866" width="19.7109375" style="2177" bestFit="1" customWidth="1"/>
    <col min="15867" max="15867" width="11.42578125" style="2177" bestFit="1" customWidth="1"/>
    <col min="15868" max="15868" width="14.85546875" style="2177" bestFit="1" customWidth="1"/>
    <col min="15869" max="15869" width="13.42578125" style="2177" customWidth="1"/>
    <col min="15870" max="15870" width="15.28515625" style="2177" bestFit="1" customWidth="1"/>
    <col min="15871" max="15871" width="14.140625" style="2177" bestFit="1" customWidth="1"/>
    <col min="15872" max="15872" width="15.28515625" style="2177" customWidth="1"/>
    <col min="15873" max="15873" width="15.85546875" style="2177" customWidth="1"/>
    <col min="15874" max="15874" width="17" style="2177" bestFit="1" customWidth="1"/>
    <col min="15875" max="15875" width="12.7109375" style="2177" customWidth="1"/>
    <col min="15876" max="15876" width="13.7109375" style="2177" customWidth="1"/>
    <col min="15877" max="15877" width="13.85546875" style="2177" bestFit="1" customWidth="1"/>
    <col min="15878" max="15878" width="15.5703125" style="2177" bestFit="1" customWidth="1"/>
    <col min="15879" max="15879" width="16.140625" style="2177" customWidth="1"/>
    <col min="15880" max="15880" width="16.7109375" style="2177" bestFit="1" customWidth="1"/>
    <col min="15881" max="15881" width="15.5703125" style="2177" bestFit="1" customWidth="1"/>
    <col min="15882" max="15882" width="20.5703125" style="2177" bestFit="1" customWidth="1"/>
    <col min="15883" max="15883" width="16.42578125" style="2177" bestFit="1" customWidth="1"/>
    <col min="15884" max="15884" width="14.28515625" style="2177" customWidth="1"/>
    <col min="15885" max="15885" width="12.85546875" style="2177" bestFit="1" customWidth="1"/>
    <col min="15886" max="15886" width="11.28515625" style="2177" bestFit="1" customWidth="1"/>
    <col min="15887" max="15887" width="12.5703125" style="2177" bestFit="1" customWidth="1"/>
    <col min="15888" max="15888" width="14" style="2177" bestFit="1" customWidth="1"/>
    <col min="15889" max="15889" width="6" style="2177" bestFit="1" customWidth="1"/>
    <col min="15890" max="15890" width="15" style="2177" customWidth="1"/>
    <col min="15891" max="15891" width="14.85546875" style="2177" bestFit="1" customWidth="1"/>
    <col min="15892" max="15892" width="16.140625" style="2177" bestFit="1" customWidth="1"/>
    <col min="15893" max="16119" width="9.140625" style="2177"/>
    <col min="16120" max="16120" width="24" style="2177" bestFit="1" customWidth="1"/>
    <col min="16121" max="16121" width="43.85546875" style="2177" customWidth="1"/>
    <col min="16122" max="16122" width="19.7109375" style="2177" bestFit="1" customWidth="1"/>
    <col min="16123" max="16123" width="11.42578125" style="2177" bestFit="1" customWidth="1"/>
    <col min="16124" max="16124" width="14.85546875" style="2177" bestFit="1" customWidth="1"/>
    <col min="16125" max="16125" width="13.42578125" style="2177" customWidth="1"/>
    <col min="16126" max="16126" width="15.28515625" style="2177" bestFit="1" customWidth="1"/>
    <col min="16127" max="16127" width="14.140625" style="2177" bestFit="1" customWidth="1"/>
    <col min="16128" max="16128" width="15.28515625" style="2177" customWidth="1"/>
    <col min="16129" max="16129" width="15.85546875" style="2177" customWidth="1"/>
    <col min="16130" max="16130" width="17" style="2177" bestFit="1" customWidth="1"/>
    <col min="16131" max="16131" width="12.7109375" style="2177" customWidth="1"/>
    <col min="16132" max="16132" width="13.7109375" style="2177" customWidth="1"/>
    <col min="16133" max="16133" width="13.85546875" style="2177" bestFit="1" customWidth="1"/>
    <col min="16134" max="16134" width="15.5703125" style="2177" bestFit="1" customWidth="1"/>
    <col min="16135" max="16135" width="16.140625" style="2177" customWidth="1"/>
    <col min="16136" max="16136" width="16.7109375" style="2177" bestFit="1" customWidth="1"/>
    <col min="16137" max="16137" width="15.5703125" style="2177" bestFit="1" customWidth="1"/>
    <col min="16138" max="16138" width="20.5703125" style="2177" bestFit="1" customWidth="1"/>
    <col min="16139" max="16139" width="16.42578125" style="2177" bestFit="1" customWidth="1"/>
    <col min="16140" max="16140" width="14.28515625" style="2177" customWidth="1"/>
    <col min="16141" max="16141" width="12.85546875" style="2177" bestFit="1" customWidth="1"/>
    <col min="16142" max="16142" width="11.28515625" style="2177" bestFit="1" customWidth="1"/>
    <col min="16143" max="16143" width="12.5703125" style="2177" bestFit="1" customWidth="1"/>
    <col min="16144" max="16144" width="14" style="2177" bestFit="1" customWidth="1"/>
    <col min="16145" max="16145" width="6" style="2177" bestFit="1" customWidth="1"/>
    <col min="16146" max="16146" width="15" style="2177" customWidth="1"/>
    <col min="16147" max="16147" width="14.85546875" style="2177" bestFit="1" customWidth="1"/>
    <col min="16148" max="16148" width="16.140625" style="2177" bestFit="1" customWidth="1"/>
    <col min="16149" max="16384" width="9.140625" style="2177"/>
  </cols>
  <sheetData>
    <row r="1" spans="1:25" ht="54.75" customHeight="1" thickBot="1">
      <c r="C1" s="1831" t="s">
        <v>609</v>
      </c>
      <c r="D1" s="1812" t="s">
        <v>283</v>
      </c>
      <c r="E1" s="1812" t="s">
        <v>6</v>
      </c>
      <c r="F1" s="1831">
        <v>18230622</v>
      </c>
      <c r="G1" s="1812" t="s">
        <v>31</v>
      </c>
      <c r="J1" s="1592"/>
      <c r="M1" s="1831" t="s">
        <v>609</v>
      </c>
      <c r="N1" s="1812" t="s">
        <v>283</v>
      </c>
      <c r="O1" s="1812" t="s">
        <v>6</v>
      </c>
      <c r="P1" s="1812">
        <v>18230622</v>
      </c>
      <c r="Q1" s="1812" t="s">
        <v>31</v>
      </c>
      <c r="V1" s="1812" t="s">
        <v>282</v>
      </c>
      <c r="W1" s="1812" t="s">
        <v>283</v>
      </c>
      <c r="X1" s="1812" t="s">
        <v>6</v>
      </c>
      <c r="Y1" s="1812">
        <v>18230639</v>
      </c>
    </row>
    <row r="2" spans="1:25" ht="16.5" thickBot="1">
      <c r="C2" s="1592"/>
      <c r="D2" s="1575"/>
      <c r="H2" s="1576" t="s">
        <v>674</v>
      </c>
      <c r="R2" s="3596"/>
      <c r="S2" s="3596"/>
      <c r="T2" s="3597" t="s">
        <v>36</v>
      </c>
      <c r="U2" s="3598"/>
      <c r="V2" s="3599"/>
      <c r="W2" s="3594" t="s">
        <v>37</v>
      </c>
    </row>
    <row r="3" spans="1:25" ht="27.75" thickBot="1">
      <c r="A3" s="1844" t="s">
        <v>609</v>
      </c>
      <c r="B3" s="2705"/>
      <c r="C3" s="2715" t="s">
        <v>615</v>
      </c>
      <c r="H3" s="1577" t="s">
        <v>8</v>
      </c>
      <c r="I3" s="1538" t="s">
        <v>9</v>
      </c>
      <c r="J3" s="1538" t="s">
        <v>10</v>
      </c>
      <c r="K3" s="1538" t="s">
        <v>11</v>
      </c>
      <c r="L3" s="2037" t="s">
        <v>504</v>
      </c>
      <c r="M3" s="1538" t="s">
        <v>12</v>
      </c>
      <c r="N3" s="1538" t="s">
        <v>13</v>
      </c>
      <c r="O3" s="1538" t="s">
        <v>14</v>
      </c>
      <c r="P3" s="1538" t="s">
        <v>38</v>
      </c>
      <c r="Q3" s="1538" t="s">
        <v>39</v>
      </c>
      <c r="R3" s="1578" t="s">
        <v>16</v>
      </c>
      <c r="S3" s="1995" t="s">
        <v>40</v>
      </c>
      <c r="T3" s="1579" t="s">
        <v>41</v>
      </c>
      <c r="U3" s="1579" t="s">
        <v>11</v>
      </c>
      <c r="V3" s="1543" t="s">
        <v>42</v>
      </c>
      <c r="W3" s="3595"/>
    </row>
    <row r="4" spans="1:25" ht="16.5" thickBot="1">
      <c r="A4" s="2705" t="s">
        <v>283</v>
      </c>
      <c r="B4" s="2705"/>
      <c r="C4" s="1575"/>
      <c r="G4" s="1804" t="s">
        <v>668</v>
      </c>
      <c r="H4" s="2003">
        <v>17213</v>
      </c>
      <c r="I4" s="2002">
        <v>3038</v>
      </c>
      <c r="J4" s="2002">
        <v>14317</v>
      </c>
      <c r="K4" s="2002">
        <v>10800</v>
      </c>
      <c r="L4" s="2002">
        <v>1000</v>
      </c>
      <c r="M4" s="2002">
        <v>110658</v>
      </c>
      <c r="N4" s="2002">
        <v>500</v>
      </c>
      <c r="O4" s="2002">
        <v>500</v>
      </c>
      <c r="P4" s="2002">
        <v>75875</v>
      </c>
      <c r="Q4" s="2002">
        <v>0</v>
      </c>
      <c r="R4" s="2000">
        <v>233902</v>
      </c>
      <c r="S4" s="2041">
        <v>0</v>
      </c>
      <c r="T4" s="1541">
        <f>P4/R4</f>
        <v>0.32438799155201753</v>
      </c>
      <c r="U4" s="1541">
        <f>(K4+(I4*1.63))/R4</f>
        <v>6.7344186881685489E-2</v>
      </c>
      <c r="V4" s="1541">
        <f>M4/R4</f>
        <v>0.47309556993954732</v>
      </c>
      <c r="W4" s="1539" t="e">
        <f>R4/S4</f>
        <v>#DIV/0!</v>
      </c>
    </row>
    <row r="5" spans="1:25" ht="16.5" thickBot="1">
      <c r="A5" s="2705" t="s">
        <v>6</v>
      </c>
      <c r="B5" s="2705"/>
      <c r="C5" s="1592"/>
      <c r="G5" s="1592">
        <v>2016</v>
      </c>
      <c r="H5" s="1582">
        <f>D15</f>
        <v>12045.54</v>
      </c>
      <c r="I5" s="1549">
        <f>D21</f>
        <v>1992</v>
      </c>
      <c r="J5" s="1549">
        <f>D27</f>
        <v>9363.0391800000016</v>
      </c>
      <c r="K5" s="1549">
        <f>D34</f>
        <v>0</v>
      </c>
      <c r="L5" s="1549">
        <f>D40</f>
        <v>2000</v>
      </c>
      <c r="M5" s="1549">
        <f>D46</f>
        <v>77000</v>
      </c>
      <c r="N5" s="1549">
        <f>D52</f>
        <v>500</v>
      </c>
      <c r="O5" s="1549">
        <f>D58</f>
        <v>649.41999999999996</v>
      </c>
      <c r="P5" s="1549">
        <f>D64</f>
        <v>77479</v>
      </c>
      <c r="Q5" s="1549">
        <f>D65</f>
        <v>0</v>
      </c>
      <c r="R5" s="2001">
        <f>SUM(H5:Q5)</f>
        <v>181028.99917999998</v>
      </c>
      <c r="S5" s="2042">
        <f>T15</f>
        <v>430529</v>
      </c>
      <c r="T5" s="1542">
        <f>P5/R5</f>
        <v>0.42799220208338784</v>
      </c>
      <c r="U5" s="1542">
        <f>(K5+(I5*1.63))/R5</f>
        <v>1.7936131861235646E-2</v>
      </c>
      <c r="V5" s="1542">
        <f>M5/R5</f>
        <v>0.42534621717395504</v>
      </c>
      <c r="W5" s="1540">
        <f>R5/S5</f>
        <v>0.42048038385335246</v>
      </c>
    </row>
    <row r="6" spans="1:25" ht="16.5" thickBot="1">
      <c r="A6" s="1844">
        <v>18230622</v>
      </c>
      <c r="B6" s="2705"/>
      <c r="D6" s="1592"/>
      <c r="G6" s="1592">
        <v>2017</v>
      </c>
      <c r="H6" s="57">
        <f>E15</f>
        <v>0</v>
      </c>
      <c r="I6" s="1990">
        <f>E21</f>
        <v>0</v>
      </c>
      <c r="J6" s="1989">
        <f>E27</f>
        <v>0</v>
      </c>
      <c r="K6" s="58">
        <f>E34</f>
        <v>0</v>
      </c>
      <c r="L6" s="58">
        <f>E40</f>
        <v>0</v>
      </c>
      <c r="M6" s="58">
        <f>E46</f>
        <v>0</v>
      </c>
      <c r="N6" s="58">
        <f>E52</f>
        <v>0</v>
      </c>
      <c r="O6" s="58">
        <f>E58</f>
        <v>0</v>
      </c>
      <c r="P6" s="58">
        <f>E64</f>
        <v>0</v>
      </c>
      <c r="Q6" s="58">
        <f>E65</f>
        <v>0</v>
      </c>
      <c r="R6" s="1997">
        <f>SUM(H6:Q6)</f>
        <v>0</v>
      </c>
      <c r="S6" s="2043">
        <f>U15</f>
        <v>0</v>
      </c>
      <c r="T6" s="1542" t="e">
        <f>P6/R6</f>
        <v>#DIV/0!</v>
      </c>
      <c r="U6" s="1542" t="e">
        <f>(K6+(I6*1.63))/R6</f>
        <v>#DIV/0!</v>
      </c>
      <c r="V6" s="1542" t="e">
        <f>M6/R6</f>
        <v>#DIV/0!</v>
      </c>
      <c r="W6" s="1540" t="e">
        <f>R6/S6</f>
        <v>#DIV/0!</v>
      </c>
    </row>
    <row r="7" spans="1:25" ht="16.5" thickBot="1">
      <c r="A7" s="2705" t="s">
        <v>31</v>
      </c>
      <c r="B7" s="2705"/>
      <c r="D7" s="1592"/>
      <c r="G7" s="1608" t="s">
        <v>23</v>
      </c>
      <c r="H7" s="1564">
        <f>SUM(H5:H6)</f>
        <v>12045.54</v>
      </c>
      <c r="I7" s="1991">
        <f t="shared" ref="I7:Q7" si="0">SUM(I5:I6)</f>
        <v>1992</v>
      </c>
      <c r="J7" s="1992">
        <f t="shared" si="0"/>
        <v>9363.0391800000016</v>
      </c>
      <c r="K7" s="1993">
        <f t="shared" si="0"/>
        <v>0</v>
      </c>
      <c r="L7" s="1991">
        <f t="shared" si="0"/>
        <v>2000</v>
      </c>
      <c r="M7" s="1992">
        <f t="shared" si="0"/>
        <v>77000</v>
      </c>
      <c r="N7" s="1991">
        <f t="shared" si="0"/>
        <v>500</v>
      </c>
      <c r="O7" s="1992">
        <f t="shared" si="0"/>
        <v>649.41999999999996</v>
      </c>
      <c r="P7" s="1993">
        <f t="shared" si="0"/>
        <v>77479</v>
      </c>
      <c r="Q7" s="1991">
        <f t="shared" si="0"/>
        <v>0</v>
      </c>
      <c r="R7" s="1993">
        <f>SUM(H7:Q7)</f>
        <v>181028.99917999998</v>
      </c>
      <c r="S7" s="1994">
        <f>SUM(S5:S6)</f>
        <v>430529</v>
      </c>
      <c r="T7" s="1542">
        <f>P7/R7</f>
        <v>0.42799220208338784</v>
      </c>
      <c r="U7" s="1542">
        <f>(K7+(I7*1.63))/R7</f>
        <v>1.7936131861235646E-2</v>
      </c>
      <c r="V7" s="1542">
        <f>M7/R7</f>
        <v>0.42534621717395504</v>
      </c>
      <c r="W7" s="1540">
        <f>R7/S7</f>
        <v>0.42048038385335246</v>
      </c>
    </row>
    <row r="8" spans="1:25" ht="15.75">
      <c r="B8" s="2705"/>
      <c r="D8" s="1592"/>
    </row>
    <row r="9" spans="1:25" ht="20.25" customHeight="1">
      <c r="A9" s="2705"/>
      <c r="B9" s="2705"/>
      <c r="D9" s="1592"/>
    </row>
    <row r="10" spans="1:25">
      <c r="A10" s="2705"/>
      <c r="B10" s="2705"/>
      <c r="C10" s="1915" t="s">
        <v>329</v>
      </c>
      <c r="D10" s="1915"/>
      <c r="E10" s="1915"/>
      <c r="F10" s="1915"/>
      <c r="H10" s="3601" t="s">
        <v>317</v>
      </c>
      <c r="I10" s="3601"/>
      <c r="J10" s="3601"/>
      <c r="K10" s="3601"/>
      <c r="L10" s="3601"/>
      <c r="M10" s="3601"/>
      <c r="N10" s="3601"/>
      <c r="O10" s="3601"/>
      <c r="P10" s="3601"/>
      <c r="Q10" s="1927"/>
      <c r="R10" s="1927"/>
      <c r="S10" s="1927"/>
      <c r="T10" s="1927"/>
      <c r="U10" s="1927"/>
      <c r="V10" s="1927"/>
      <c r="W10" s="2704" t="s">
        <v>317</v>
      </c>
      <c r="X10" s="1927"/>
      <c r="Y10" s="1927"/>
    </row>
    <row r="11" spans="1:25">
      <c r="A11" s="2705"/>
      <c r="B11" s="2705"/>
      <c r="H11" s="1917"/>
      <c r="I11" s="1918"/>
      <c r="J11" s="1918"/>
      <c r="K11" s="1917"/>
      <c r="L11" s="1917"/>
      <c r="M11" s="1917"/>
      <c r="N11" s="1917"/>
      <c r="O11" s="1917"/>
      <c r="P11" s="1917"/>
      <c r="Q11" s="1917"/>
      <c r="R11" s="1917"/>
      <c r="S11" s="1917"/>
      <c r="T11" s="1917"/>
      <c r="U11" s="1917"/>
      <c r="V11" s="1917"/>
      <c r="W11" s="1917"/>
      <c r="X11" s="1917"/>
      <c r="Y11" s="1917"/>
    </row>
    <row r="12" spans="1:25">
      <c r="A12" s="2705"/>
      <c r="B12" s="2705"/>
      <c r="C12" s="1887" t="s">
        <v>314</v>
      </c>
      <c r="D12" s="2157">
        <f>D15+D21+D27+D34+D40+D46+D52+D58+D64</f>
        <v>181028.99917999998</v>
      </c>
      <c r="E12" s="1948">
        <f>E15+E21+E27+E34+E40+E46+E52+E58+E64</f>
        <v>0</v>
      </c>
      <c r="F12" s="2157">
        <f>D12+E12</f>
        <v>181028.99917999998</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B13" s="2705"/>
      <c r="C13" s="1947"/>
      <c r="E13" s="1787"/>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B14" s="2705"/>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2106" t="s">
        <v>46</v>
      </c>
      <c r="D15" s="2158">
        <f>SUM(D16:D19)</f>
        <v>12045.54</v>
      </c>
      <c r="E15" s="1926">
        <f>SUM(E16:E19)</f>
        <v>0</v>
      </c>
      <c r="F15" s="2157">
        <f>D15+E15</f>
        <v>12045.54</v>
      </c>
      <c r="H15" s="1938" t="s">
        <v>327</v>
      </c>
      <c r="I15" s="1939"/>
      <c r="J15" s="1939"/>
      <c r="K15" s="1940"/>
      <c r="L15" s="1941">
        <f>SUMPRODUCT(L16:L165,S16:S165)</f>
        <v>77479</v>
      </c>
      <c r="M15" s="1941">
        <f>SUM(M16:M165)</f>
        <v>3</v>
      </c>
      <c r="N15" s="1942"/>
      <c r="O15" s="1940">
        <v>2</v>
      </c>
      <c r="P15" s="1940"/>
      <c r="Q15" s="1940"/>
      <c r="R15" s="1940"/>
      <c r="S15" s="1940"/>
      <c r="T15" s="1943">
        <f t="shared" ref="T15:Y15" si="1">SUM(T16:T65)</f>
        <v>430529</v>
      </c>
      <c r="U15" s="1943">
        <f t="shared" si="1"/>
        <v>0</v>
      </c>
      <c r="V15" s="1943">
        <f t="shared" si="1"/>
        <v>430529</v>
      </c>
      <c r="W15" s="1941">
        <f t="shared" si="1"/>
        <v>77479</v>
      </c>
      <c r="X15" s="1941">
        <f t="shared" si="1"/>
        <v>0</v>
      </c>
      <c r="Y15" s="1941">
        <f t="shared" si="1"/>
        <v>77479</v>
      </c>
    </row>
    <row r="16" spans="1:25">
      <c r="B16" s="2610">
        <v>0.13</v>
      </c>
      <c r="C16" s="2197" t="s">
        <v>792</v>
      </c>
      <c r="D16" s="2201">
        <v>12045.54</v>
      </c>
      <c r="E16" s="2200">
        <v>0</v>
      </c>
      <c r="F16" s="1879">
        <f>SUM(D16:E16)</f>
        <v>12045.54</v>
      </c>
      <c r="H16" s="1922" t="s">
        <v>1442</v>
      </c>
      <c r="I16" s="2927">
        <v>7</v>
      </c>
      <c r="J16" s="1932" t="s">
        <v>604</v>
      </c>
      <c r="K16" s="1922" t="s">
        <v>966</v>
      </c>
      <c r="L16" s="1929">
        <v>1</v>
      </c>
      <c r="M16" s="1929">
        <v>1</v>
      </c>
      <c r="N16" s="1923">
        <v>0.41176470588235292</v>
      </c>
      <c r="O16" s="1922">
        <v>2</v>
      </c>
      <c r="P16" s="1925" t="s">
        <v>910</v>
      </c>
      <c r="Q16" s="1928">
        <v>21277</v>
      </c>
      <c r="R16" s="1928">
        <v>0</v>
      </c>
      <c r="S16" s="1931">
        <f>SUM(Q16:R16)</f>
        <v>21277</v>
      </c>
      <c r="T16" s="1931">
        <f>Q16*I16</f>
        <v>148939</v>
      </c>
      <c r="U16" s="1931">
        <f>R16*I16</f>
        <v>0</v>
      </c>
      <c r="V16" s="1931">
        <f>SUM(T16:U16)</f>
        <v>148939</v>
      </c>
      <c r="W16" s="1921">
        <f>Q16*M16</f>
        <v>21277</v>
      </c>
      <c r="X16" s="1921">
        <f>R16*M16</f>
        <v>0</v>
      </c>
      <c r="Y16" s="1921">
        <f>SUM(W16:X16)</f>
        <v>21277</v>
      </c>
    </row>
    <row r="17" spans="2:25">
      <c r="B17" s="2610"/>
      <c r="C17" s="2197"/>
      <c r="D17" s="2199"/>
      <c r="E17" s="2198"/>
      <c r="F17" s="2191">
        <f t="shared" ref="F17:F30" si="2">SUM(D17:E17)</f>
        <v>0</v>
      </c>
      <c r="H17" s="1922" t="s">
        <v>1443</v>
      </c>
      <c r="I17" s="2927">
        <v>3</v>
      </c>
      <c r="J17" s="1932" t="s">
        <v>604</v>
      </c>
      <c r="K17" s="1922" t="s">
        <v>966</v>
      </c>
      <c r="L17" s="1929">
        <v>1</v>
      </c>
      <c r="M17" s="1929">
        <v>1</v>
      </c>
      <c r="N17" s="1923">
        <v>0.17647058823529413</v>
      </c>
      <c r="O17" s="1922">
        <v>2</v>
      </c>
      <c r="P17" s="1925" t="s">
        <v>910</v>
      </c>
      <c r="Q17" s="1928">
        <v>27956</v>
      </c>
      <c r="R17" s="1928">
        <v>0</v>
      </c>
      <c r="S17" s="1931">
        <f>SUM(Q17:R17)</f>
        <v>27956</v>
      </c>
      <c r="T17" s="1931">
        <f>Q17*I17</f>
        <v>83868</v>
      </c>
      <c r="U17" s="1931">
        <f>R17*I17</f>
        <v>0</v>
      </c>
      <c r="V17" s="1931">
        <f>SUM(T17:U17)</f>
        <v>83868</v>
      </c>
      <c r="W17" s="1921">
        <f>Q17*M17</f>
        <v>27956</v>
      </c>
      <c r="X17" s="1921">
        <f>R17*M17</f>
        <v>0</v>
      </c>
      <c r="Y17" s="1921">
        <f>SUM(W17:X17)</f>
        <v>27956</v>
      </c>
    </row>
    <row r="18" spans="2:25">
      <c r="B18" s="2610"/>
      <c r="C18" s="2197"/>
      <c r="D18" s="2199"/>
      <c r="E18" s="2198"/>
      <c r="F18" s="2191">
        <f t="shared" si="2"/>
        <v>0</v>
      </c>
      <c r="H18" s="1922" t="s">
        <v>1444</v>
      </c>
      <c r="I18" s="2927">
        <v>7</v>
      </c>
      <c r="J18" s="1932" t="s">
        <v>604</v>
      </c>
      <c r="K18" s="1922" t="s">
        <v>966</v>
      </c>
      <c r="L18" s="1929">
        <v>1</v>
      </c>
      <c r="M18" s="1929">
        <v>1</v>
      </c>
      <c r="N18" s="1923">
        <v>0.41176470588235292</v>
      </c>
      <c r="O18" s="1922">
        <v>2</v>
      </c>
      <c r="P18" s="1925" t="s">
        <v>910</v>
      </c>
      <c r="Q18" s="1928">
        <v>28246</v>
      </c>
      <c r="R18" s="1928">
        <v>0</v>
      </c>
      <c r="S18" s="1931">
        <f>SUM(Q18:R18)</f>
        <v>28246</v>
      </c>
      <c r="T18" s="1931">
        <f>Q18*I18</f>
        <v>197722</v>
      </c>
      <c r="U18" s="1931">
        <f>R18*I18</f>
        <v>0</v>
      </c>
      <c r="V18" s="1931">
        <f>SUM(T18:U18)</f>
        <v>197722</v>
      </c>
      <c r="W18" s="1921">
        <f>Q18*M18</f>
        <v>28246</v>
      </c>
      <c r="X18" s="1921">
        <f>R18*M18</f>
        <v>0</v>
      </c>
      <c r="Y18" s="1921">
        <f>SUM(W18:X18)</f>
        <v>28246</v>
      </c>
    </row>
    <row r="19" spans="2:25">
      <c r="B19" s="2610"/>
      <c r="C19" s="2197"/>
      <c r="D19" s="1903"/>
      <c r="E19" s="1902"/>
      <c r="F19" s="2191">
        <f t="shared" si="2"/>
        <v>0</v>
      </c>
      <c r="H19" s="1922"/>
      <c r="I19" s="2927"/>
      <c r="J19" s="1932" t="s">
        <v>604</v>
      </c>
      <c r="K19" s="1922"/>
      <c r="L19" s="1929"/>
      <c r="M19" s="1929"/>
      <c r="N19" s="1923"/>
      <c r="O19" s="1922"/>
      <c r="P19" s="1925"/>
      <c r="Q19" s="1928"/>
      <c r="R19" s="1928"/>
      <c r="S19" s="1931">
        <f>SUM(Q19:R19)</f>
        <v>0</v>
      </c>
      <c r="T19" s="1931">
        <f>Q19*I19</f>
        <v>0</v>
      </c>
      <c r="U19" s="1931">
        <f>R19*I19</f>
        <v>0</v>
      </c>
      <c r="V19" s="1931">
        <f>SUM(T19:U19)</f>
        <v>0</v>
      </c>
      <c r="W19" s="1921">
        <f>Q19*M19</f>
        <v>0</v>
      </c>
      <c r="X19" s="1921">
        <f>R19*M19</f>
        <v>0</v>
      </c>
      <c r="Y19" s="1921">
        <f>SUM(W19:X19)</f>
        <v>0</v>
      </c>
    </row>
    <row r="20" spans="2:25">
      <c r="B20" s="1908">
        <f>SUM(B16:B19)</f>
        <v>0.13</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2106" t="s">
        <v>47</v>
      </c>
      <c r="D21" s="2158">
        <f>SUM(D22:D25)</f>
        <v>1992</v>
      </c>
      <c r="E21" s="1926">
        <f>SUM(E22:E25)</f>
        <v>0</v>
      </c>
      <c r="F21" s="2157">
        <f>D21+E21</f>
        <v>1992</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2197" t="s">
        <v>968</v>
      </c>
      <c r="D22" s="2201">
        <v>996</v>
      </c>
      <c r="E22" s="2200">
        <v>0</v>
      </c>
      <c r="F22" s="1879">
        <f t="shared" si="2"/>
        <v>996</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2197" t="s">
        <v>9</v>
      </c>
      <c r="D23" s="2053">
        <v>996</v>
      </c>
      <c r="E23" s="2054">
        <v>0</v>
      </c>
      <c r="F23" s="2191">
        <f t="shared" si="2"/>
        <v>996</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2197"/>
      <c r="D24" s="1898"/>
      <c r="E24" s="1897"/>
      <c r="F24" s="2191">
        <f t="shared" si="2"/>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2197"/>
      <c r="D25" s="1896"/>
      <c r="E25" s="1899"/>
      <c r="F25" s="2191">
        <f t="shared" si="2"/>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2106" t="s">
        <v>48</v>
      </c>
      <c r="D27" s="2158">
        <f>SUM(D29:D32)</f>
        <v>9363.0391800000016</v>
      </c>
      <c r="E27" s="1926">
        <f>SUM(E29:E32)</f>
        <v>0</v>
      </c>
      <c r="F27" s="2157">
        <f>D27+E27</f>
        <v>9363.0391800000016</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0.68</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2197" t="s">
        <v>778</v>
      </c>
      <c r="D29" s="2202">
        <f>D15*D28</f>
        <v>8034.3751800000009</v>
      </c>
      <c r="E29" s="2163">
        <f>E15*E28</f>
        <v>0</v>
      </c>
      <c r="F29" s="2191">
        <f t="shared" si="2"/>
        <v>8034.3751800000009</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2197" t="s">
        <v>779</v>
      </c>
      <c r="D30" s="1973">
        <f>D21*D28</f>
        <v>1328.664</v>
      </c>
      <c r="E30" s="2163">
        <f>E21*E28</f>
        <v>0</v>
      </c>
      <c r="F30" s="2191">
        <f t="shared" si="2"/>
        <v>1328.664</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c r="A34" s="1844" t="s">
        <v>609</v>
      </c>
      <c r="C34" s="2106" t="s">
        <v>49</v>
      </c>
      <c r="D34" s="2158">
        <f>SUM(D35:D38)</f>
        <v>0</v>
      </c>
      <c r="E34" s="1926">
        <f>SUM(E35:E38)</f>
        <v>0</v>
      </c>
      <c r="F34" s="2157">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2705" t="s">
        <v>283</v>
      </c>
      <c r="C35" s="2197"/>
      <c r="D35" s="2202"/>
      <c r="E35" s="2203"/>
      <c r="F35" s="2191">
        <f t="shared" ref="F35:F44" si="3">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2705" t="s">
        <v>6</v>
      </c>
      <c r="C36" s="2197"/>
      <c r="D36" s="2202"/>
      <c r="E36" s="2203"/>
      <c r="F36" s="2191">
        <f t="shared" si="3"/>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2705">
        <v>18230622</v>
      </c>
      <c r="C37" s="2197"/>
      <c r="D37" s="2202"/>
      <c r="E37" s="2203"/>
      <c r="F37" s="2191">
        <f t="shared" si="3"/>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2705" t="s">
        <v>31</v>
      </c>
      <c r="C38" s="2197"/>
      <c r="D38" s="2202"/>
      <c r="E38" s="2203"/>
      <c r="F38" s="2191">
        <f t="shared" si="3"/>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2158">
        <f>SUM(D41:D44)</f>
        <v>2000</v>
      </c>
      <c r="E40" s="1926">
        <f>SUM(E41:E44)</f>
        <v>0</v>
      </c>
      <c r="F40" s="2157">
        <f>D40+E40</f>
        <v>2000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2197" t="s">
        <v>1490</v>
      </c>
      <c r="D41" s="2202">
        <v>1000</v>
      </c>
      <c r="E41" s="2203">
        <v>0</v>
      </c>
      <c r="F41" s="2191">
        <f t="shared" si="3"/>
        <v>1000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2197" t="s">
        <v>961</v>
      </c>
      <c r="D42" s="2202">
        <v>1000</v>
      </c>
      <c r="E42" s="2203">
        <v>0</v>
      </c>
      <c r="F42" s="2191">
        <f t="shared" si="3"/>
        <v>1000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2197"/>
      <c r="D43" s="2202"/>
      <c r="E43" s="2203"/>
      <c r="F43" s="2191">
        <f t="shared" si="3"/>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2197"/>
      <c r="D44" s="2202"/>
      <c r="E44" s="2203"/>
      <c r="F44" s="2191">
        <f t="shared" si="3"/>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2106" t="s">
        <v>50</v>
      </c>
      <c r="D46" s="2158">
        <f>SUM(D47:D50)</f>
        <v>77000</v>
      </c>
      <c r="E46" s="1926">
        <f>SUM(E47:E50)</f>
        <v>0</v>
      </c>
      <c r="F46" s="2157">
        <f>D46+E46</f>
        <v>77000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2197" t="s">
        <v>963</v>
      </c>
      <c r="D47" s="2202">
        <v>77000</v>
      </c>
      <c r="E47" s="2203">
        <v>0</v>
      </c>
      <c r="F47" s="2191">
        <f t="shared" ref="F47:F62" si="4">SUM(D47:E47)</f>
        <v>77000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2197"/>
      <c r="D48" s="2202"/>
      <c r="E48" s="2203"/>
      <c r="F48" s="2191">
        <f t="shared" si="4"/>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2197"/>
      <c r="D49" s="2202"/>
      <c r="E49" s="2203"/>
      <c r="F49" s="2191">
        <f t="shared" si="4"/>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2197"/>
      <c r="D50" s="2202"/>
      <c r="E50" s="2203"/>
      <c r="F50" s="2191">
        <f t="shared" si="4"/>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2106" t="s">
        <v>51</v>
      </c>
      <c r="D52" s="2158">
        <f>SUM(D53:D56)</f>
        <v>500</v>
      </c>
      <c r="E52" s="1926">
        <f>SUM(E53:E56)</f>
        <v>0</v>
      </c>
      <c r="F52" s="2157">
        <f>D52+E52</f>
        <v>500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2197"/>
      <c r="D53" s="2202">
        <v>500</v>
      </c>
      <c r="E53" s="2163">
        <v>0</v>
      </c>
      <c r="F53" s="2191">
        <f t="shared" si="4"/>
        <v>500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2197"/>
      <c r="D54" s="2202"/>
      <c r="E54" s="2163"/>
      <c r="F54" s="2191">
        <f t="shared" si="4"/>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2197"/>
      <c r="D55" s="2202"/>
      <c r="E55" s="2163"/>
      <c r="F55" s="2191">
        <f t="shared" si="4"/>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2197"/>
      <c r="D56" s="2202"/>
      <c r="E56" s="2163"/>
      <c r="F56" s="2191">
        <f t="shared" si="4"/>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2106" t="s">
        <v>52</v>
      </c>
      <c r="D58" s="2158">
        <f>SUM(D59:D62)</f>
        <v>649.41999999999996</v>
      </c>
      <c r="E58" s="1926">
        <f>SUM(E59:E62)</f>
        <v>0</v>
      </c>
      <c r="F58" s="2157">
        <f>D58+E58</f>
        <v>649.41999999999996</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2197"/>
      <c r="D59" s="2202">
        <v>649.41999999999996</v>
      </c>
      <c r="E59" s="2203">
        <v>0</v>
      </c>
      <c r="F59" s="2191">
        <f t="shared" si="4"/>
        <v>649.41999999999996</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2197"/>
      <c r="D60" s="2202"/>
      <c r="E60" s="2203"/>
      <c r="F60" s="2191">
        <f t="shared" si="4"/>
        <v>0</v>
      </c>
      <c r="H60" s="1922"/>
      <c r="I60" s="2927"/>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2197"/>
      <c r="D61" s="2202"/>
      <c r="E61" s="2203"/>
      <c r="F61" s="1890">
        <f t="shared" si="4"/>
        <v>0</v>
      </c>
      <c r="H61" s="1922"/>
      <c r="I61" s="2927"/>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2197"/>
      <c r="D62" s="2202"/>
      <c r="E62" s="2203"/>
      <c r="F62" s="2191">
        <f t="shared" si="4"/>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c r="A64" s="1844" t="s">
        <v>609</v>
      </c>
      <c r="C64" s="2106" t="s">
        <v>53</v>
      </c>
      <c r="D64" s="2158">
        <f>W15</f>
        <v>77479</v>
      </c>
      <c r="E64" s="1926">
        <f>X15</f>
        <v>0</v>
      </c>
      <c r="F64" s="2157">
        <f>D64+E64</f>
        <v>77479</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2705"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2705" t="s">
        <v>6</v>
      </c>
      <c r="C66" s="1968"/>
      <c r="D66" s="1963"/>
      <c r="E66" s="1964"/>
      <c r="F66" s="1965"/>
    </row>
    <row r="67" spans="1:25">
      <c r="A67" s="2705">
        <v>18230639</v>
      </c>
      <c r="C67" s="1959" t="s">
        <v>54</v>
      </c>
      <c r="D67" s="2202">
        <v>0</v>
      </c>
      <c r="E67" s="2202">
        <v>0</v>
      </c>
      <c r="F67" s="1956">
        <v>0</v>
      </c>
    </row>
    <row r="68" spans="1:25">
      <c r="A68" s="2705" t="s">
        <v>31</v>
      </c>
    </row>
  </sheetData>
  <customSheetViews>
    <customSheetView guid="{074EB09C-6289-46D7-9513-012B68BCA7BF}" showGridLines="0" fitToPage="1">
      <pane xSplit="1" ySplit="1" topLeftCell="B2" activePane="bottomRight" state="frozen"/>
      <selection pane="bottomRight" activeCell="R19" sqref="R19"/>
      <pageMargins left="0.17" right="0.25" top="0.34" bottom="0.37" header="0.3" footer="0.3"/>
      <pageSetup paperSize="17" scale="50" orientation="landscape" r:id="rId1"/>
    </customSheetView>
    <customSheetView guid="{D9EFFE19-D14B-4C6F-BDF4-FF696F73968D}" showGridLines="0" fitToPage="1">
      <pane xSplit="1" ySplit="1" topLeftCell="E3" activePane="bottomRight" state="frozen"/>
      <selection pane="bottomRight" activeCell="L15" sqref="L15:M15"/>
      <pageMargins left="0.17" right="0.25" top="0.34" bottom="0.37" header="0.3" footer="0.3"/>
      <pageSetup paperSize="17" scale="50" orientation="landscape" r:id="rId2"/>
    </customSheetView>
  </customSheetViews>
  <mergeCells count="8">
    <mergeCell ref="R2:S2"/>
    <mergeCell ref="T2:V2"/>
    <mergeCell ref="W2:W3"/>
    <mergeCell ref="H10:P10"/>
    <mergeCell ref="H12:P12"/>
    <mergeCell ref="Q12:S12"/>
    <mergeCell ref="T12:V12"/>
    <mergeCell ref="W12:Y12"/>
  </mergeCells>
  <pageMargins left="0.17" right="0.25" top="0.34" bottom="0.37" header="0.3" footer="0.3"/>
  <pageSetup paperSize="17" scale="50" orientation="landscape"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249977111117893"/>
    <pageSetUpPr fitToPage="1"/>
  </sheetPr>
  <dimension ref="A1:Y68"/>
  <sheetViews>
    <sheetView showGridLines="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7.5703125" style="1164" customWidth="1"/>
    <col min="2" max="2" width="15" style="1866" customWidth="1"/>
    <col min="3" max="3" width="24.140625" customWidth="1"/>
    <col min="4" max="4" width="21.7109375" bestFit="1" customWidth="1"/>
    <col min="5" max="5" width="14.85546875" style="9" customWidth="1"/>
    <col min="6" max="6" width="14.8554687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3.85546875" customWidth="1"/>
    <col min="250" max="250" width="19.7109375" bestFit="1" customWidth="1"/>
    <col min="251" max="251" width="11.42578125" bestFit="1" customWidth="1"/>
    <col min="252" max="252" width="14.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2.710937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5" width="15.5703125" bestFit="1" customWidth="1"/>
    <col min="266" max="266" width="20.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3.85546875" customWidth="1"/>
    <col min="506" max="506" width="19.7109375" bestFit="1" customWidth="1"/>
    <col min="507" max="507" width="11.42578125" bestFit="1" customWidth="1"/>
    <col min="508" max="508" width="14.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2.710937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1" width="15.5703125" bestFit="1" customWidth="1"/>
    <col min="522" max="522" width="20.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3.85546875" customWidth="1"/>
    <col min="762" max="762" width="19.7109375" bestFit="1" customWidth="1"/>
    <col min="763" max="763" width="11.42578125" bestFit="1" customWidth="1"/>
    <col min="764" max="764" width="14.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2.710937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7" width="15.5703125" bestFit="1" customWidth="1"/>
    <col min="778" max="778" width="20.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3.85546875" customWidth="1"/>
    <col min="1018" max="1018" width="19.7109375" bestFit="1" customWidth="1"/>
    <col min="1019" max="1019" width="11.42578125" bestFit="1" customWidth="1"/>
    <col min="1020" max="1020" width="14.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2.710937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3" width="15.5703125" bestFit="1" customWidth="1"/>
    <col min="1034" max="1034" width="20.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3.85546875" customWidth="1"/>
    <col min="1274" max="1274" width="19.7109375" bestFit="1" customWidth="1"/>
    <col min="1275" max="1275" width="11.42578125" bestFit="1" customWidth="1"/>
    <col min="1276" max="1276" width="14.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2.710937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89" width="15.5703125" bestFit="1" customWidth="1"/>
    <col min="1290" max="1290" width="20.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3.85546875" customWidth="1"/>
    <col min="1530" max="1530" width="19.7109375" bestFit="1" customWidth="1"/>
    <col min="1531" max="1531" width="11.42578125" bestFit="1" customWidth="1"/>
    <col min="1532" max="1532" width="14.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2.710937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5" width="15.5703125" bestFit="1" customWidth="1"/>
    <col min="1546" max="1546" width="20.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3.85546875" customWidth="1"/>
    <col min="1786" max="1786" width="19.7109375" bestFit="1" customWidth="1"/>
    <col min="1787" max="1787" width="11.42578125" bestFit="1" customWidth="1"/>
    <col min="1788" max="1788" width="14.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2.710937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1" width="15.5703125" bestFit="1" customWidth="1"/>
    <col min="1802" max="1802" width="20.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3.85546875" customWidth="1"/>
    <col min="2042" max="2042" width="19.7109375" bestFit="1" customWidth="1"/>
    <col min="2043" max="2043" width="11.42578125" bestFit="1" customWidth="1"/>
    <col min="2044" max="2044" width="14.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2.710937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7" width="15.5703125" bestFit="1" customWidth="1"/>
    <col min="2058" max="2058" width="20.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3.85546875" customWidth="1"/>
    <col min="2298" max="2298" width="19.7109375" bestFit="1" customWidth="1"/>
    <col min="2299" max="2299" width="11.42578125" bestFit="1" customWidth="1"/>
    <col min="2300" max="2300" width="14.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2.710937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3" width="15.5703125" bestFit="1" customWidth="1"/>
    <col min="2314" max="2314" width="20.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3.85546875" customWidth="1"/>
    <col min="2554" max="2554" width="19.7109375" bestFit="1" customWidth="1"/>
    <col min="2555" max="2555" width="11.42578125" bestFit="1" customWidth="1"/>
    <col min="2556" max="2556" width="14.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2.710937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69" width="15.5703125" bestFit="1" customWidth="1"/>
    <col min="2570" max="2570" width="20.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3.85546875" customWidth="1"/>
    <col min="2810" max="2810" width="19.7109375" bestFit="1" customWidth="1"/>
    <col min="2811" max="2811" width="11.42578125" bestFit="1" customWidth="1"/>
    <col min="2812" max="2812" width="14.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2.710937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5" width="15.5703125" bestFit="1" customWidth="1"/>
    <col min="2826" max="2826" width="20.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3.85546875" customWidth="1"/>
    <col min="3066" max="3066" width="19.7109375" bestFit="1" customWidth="1"/>
    <col min="3067" max="3067" width="11.42578125" bestFit="1" customWidth="1"/>
    <col min="3068" max="3068" width="14.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2.710937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1" width="15.5703125" bestFit="1" customWidth="1"/>
    <col min="3082" max="3082" width="20.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3.85546875" customWidth="1"/>
    <col min="3322" max="3322" width="19.7109375" bestFit="1" customWidth="1"/>
    <col min="3323" max="3323" width="11.42578125" bestFit="1" customWidth="1"/>
    <col min="3324" max="3324" width="14.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2.710937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7" width="15.5703125" bestFit="1" customWidth="1"/>
    <col min="3338" max="3338" width="20.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3.85546875" customWidth="1"/>
    <col min="3578" max="3578" width="19.7109375" bestFit="1" customWidth="1"/>
    <col min="3579" max="3579" width="11.42578125" bestFit="1" customWidth="1"/>
    <col min="3580" max="3580" width="14.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2.710937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3" width="15.5703125" bestFit="1" customWidth="1"/>
    <col min="3594" max="3594" width="20.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3.85546875" customWidth="1"/>
    <col min="3834" max="3834" width="19.7109375" bestFit="1" customWidth="1"/>
    <col min="3835" max="3835" width="11.42578125" bestFit="1" customWidth="1"/>
    <col min="3836" max="3836" width="14.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2.710937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49" width="15.5703125" bestFit="1" customWidth="1"/>
    <col min="3850" max="3850" width="20.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3.85546875" customWidth="1"/>
    <col min="4090" max="4090" width="19.7109375" bestFit="1" customWidth="1"/>
    <col min="4091" max="4091" width="11.42578125" bestFit="1" customWidth="1"/>
    <col min="4092" max="4092" width="14.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2.710937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5" width="15.5703125" bestFit="1" customWidth="1"/>
    <col min="4106" max="4106" width="20.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3.85546875" customWidth="1"/>
    <col min="4346" max="4346" width="19.7109375" bestFit="1" customWidth="1"/>
    <col min="4347" max="4347" width="11.42578125" bestFit="1" customWidth="1"/>
    <col min="4348" max="4348" width="14.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2.710937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1" width="15.5703125" bestFit="1" customWidth="1"/>
    <col min="4362" max="4362" width="20.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3.85546875" customWidth="1"/>
    <col min="4602" max="4602" width="19.7109375" bestFit="1" customWidth="1"/>
    <col min="4603" max="4603" width="11.42578125" bestFit="1" customWidth="1"/>
    <col min="4604" max="4604" width="14.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2.710937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7" width="15.5703125" bestFit="1" customWidth="1"/>
    <col min="4618" max="4618" width="20.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3.85546875" customWidth="1"/>
    <col min="4858" max="4858" width="19.7109375" bestFit="1" customWidth="1"/>
    <col min="4859" max="4859" width="11.42578125" bestFit="1" customWidth="1"/>
    <col min="4860" max="4860" width="14.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2.710937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3" width="15.5703125" bestFit="1" customWidth="1"/>
    <col min="4874" max="4874" width="20.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3.85546875" customWidth="1"/>
    <col min="5114" max="5114" width="19.7109375" bestFit="1" customWidth="1"/>
    <col min="5115" max="5115" width="11.42578125" bestFit="1" customWidth="1"/>
    <col min="5116" max="5116" width="14.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2.710937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29" width="15.5703125" bestFit="1" customWidth="1"/>
    <col min="5130" max="5130" width="20.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3.85546875" customWidth="1"/>
    <col min="5370" max="5370" width="19.7109375" bestFit="1" customWidth="1"/>
    <col min="5371" max="5371" width="11.42578125" bestFit="1" customWidth="1"/>
    <col min="5372" max="5372" width="14.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2.710937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5" width="15.5703125" bestFit="1" customWidth="1"/>
    <col min="5386" max="5386" width="20.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3.85546875" customWidth="1"/>
    <col min="5626" max="5626" width="19.7109375" bestFit="1" customWidth="1"/>
    <col min="5627" max="5627" width="11.42578125" bestFit="1" customWidth="1"/>
    <col min="5628" max="5628" width="14.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2.710937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1" width="15.5703125" bestFit="1" customWidth="1"/>
    <col min="5642" max="5642" width="20.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3.85546875" customWidth="1"/>
    <col min="5882" max="5882" width="19.7109375" bestFit="1" customWidth="1"/>
    <col min="5883" max="5883" width="11.42578125" bestFit="1" customWidth="1"/>
    <col min="5884" max="5884" width="14.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2.710937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7" width="15.5703125" bestFit="1" customWidth="1"/>
    <col min="5898" max="5898" width="20.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3.85546875" customWidth="1"/>
    <col min="6138" max="6138" width="19.7109375" bestFit="1" customWidth="1"/>
    <col min="6139" max="6139" width="11.42578125" bestFit="1" customWidth="1"/>
    <col min="6140" max="6140" width="14.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2.710937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3" width="15.5703125" bestFit="1" customWidth="1"/>
    <col min="6154" max="6154" width="20.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3.85546875" customWidth="1"/>
    <col min="6394" max="6394" width="19.7109375" bestFit="1" customWidth="1"/>
    <col min="6395" max="6395" width="11.42578125" bestFit="1" customWidth="1"/>
    <col min="6396" max="6396" width="14.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2.710937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09" width="15.5703125" bestFit="1" customWidth="1"/>
    <col min="6410" max="6410" width="20.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3.85546875" customWidth="1"/>
    <col min="6650" max="6650" width="19.7109375" bestFit="1" customWidth="1"/>
    <col min="6651" max="6651" width="11.42578125" bestFit="1" customWidth="1"/>
    <col min="6652" max="6652" width="14.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2.710937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5" width="15.5703125" bestFit="1" customWidth="1"/>
    <col min="6666" max="6666" width="20.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3.85546875" customWidth="1"/>
    <col min="6906" max="6906" width="19.7109375" bestFit="1" customWidth="1"/>
    <col min="6907" max="6907" width="11.42578125" bestFit="1" customWidth="1"/>
    <col min="6908" max="6908" width="14.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2.710937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1" width="15.5703125" bestFit="1" customWidth="1"/>
    <col min="6922" max="6922" width="20.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3.85546875" customWidth="1"/>
    <col min="7162" max="7162" width="19.7109375" bestFit="1" customWidth="1"/>
    <col min="7163" max="7163" width="11.42578125" bestFit="1" customWidth="1"/>
    <col min="7164" max="7164" width="14.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2.710937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7" width="15.5703125" bestFit="1" customWidth="1"/>
    <col min="7178" max="7178" width="20.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3.85546875" customWidth="1"/>
    <col min="7418" max="7418" width="19.7109375" bestFit="1" customWidth="1"/>
    <col min="7419" max="7419" width="11.42578125" bestFit="1" customWidth="1"/>
    <col min="7420" max="7420" width="14.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2.710937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3" width="15.5703125" bestFit="1" customWidth="1"/>
    <col min="7434" max="7434" width="20.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3.85546875" customWidth="1"/>
    <col min="7674" max="7674" width="19.7109375" bestFit="1" customWidth="1"/>
    <col min="7675" max="7675" width="11.42578125" bestFit="1" customWidth="1"/>
    <col min="7676" max="7676" width="14.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2.710937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89" width="15.5703125" bestFit="1" customWidth="1"/>
    <col min="7690" max="7690" width="20.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3.85546875" customWidth="1"/>
    <col min="7930" max="7930" width="19.7109375" bestFit="1" customWidth="1"/>
    <col min="7931" max="7931" width="11.42578125" bestFit="1" customWidth="1"/>
    <col min="7932" max="7932" width="14.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2.710937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5" width="15.5703125" bestFit="1" customWidth="1"/>
    <col min="7946" max="7946" width="20.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3.85546875" customWidth="1"/>
    <col min="8186" max="8186" width="19.7109375" bestFit="1" customWidth="1"/>
    <col min="8187" max="8187" width="11.42578125" bestFit="1" customWidth="1"/>
    <col min="8188" max="8188" width="14.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2.710937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1" width="15.5703125" bestFit="1" customWidth="1"/>
    <col min="8202" max="8202" width="20.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3.85546875" customWidth="1"/>
    <col min="8442" max="8442" width="19.7109375" bestFit="1" customWidth="1"/>
    <col min="8443" max="8443" width="11.42578125" bestFit="1" customWidth="1"/>
    <col min="8444" max="8444" width="14.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2.710937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7" width="15.5703125" bestFit="1" customWidth="1"/>
    <col min="8458" max="8458" width="20.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3.85546875" customWidth="1"/>
    <col min="8698" max="8698" width="19.7109375" bestFit="1" customWidth="1"/>
    <col min="8699" max="8699" width="11.42578125" bestFit="1" customWidth="1"/>
    <col min="8700" max="8700" width="14.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2.710937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3" width="15.5703125" bestFit="1" customWidth="1"/>
    <col min="8714" max="8714" width="20.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3.85546875" customWidth="1"/>
    <col min="8954" max="8954" width="19.7109375" bestFit="1" customWidth="1"/>
    <col min="8955" max="8955" width="11.42578125" bestFit="1" customWidth="1"/>
    <col min="8956" max="8956" width="14.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2.710937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69" width="15.5703125" bestFit="1" customWidth="1"/>
    <col min="8970" max="8970" width="20.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3.85546875" customWidth="1"/>
    <col min="9210" max="9210" width="19.7109375" bestFit="1" customWidth="1"/>
    <col min="9211" max="9211" width="11.42578125" bestFit="1" customWidth="1"/>
    <col min="9212" max="9212" width="14.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2.710937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5" width="15.5703125" bestFit="1" customWidth="1"/>
    <col min="9226" max="9226" width="20.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3.85546875" customWidth="1"/>
    <col min="9466" max="9466" width="19.7109375" bestFit="1" customWidth="1"/>
    <col min="9467" max="9467" width="11.42578125" bestFit="1" customWidth="1"/>
    <col min="9468" max="9468" width="14.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2.710937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1" width="15.5703125" bestFit="1" customWidth="1"/>
    <col min="9482" max="9482" width="20.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3.85546875" customWidth="1"/>
    <col min="9722" max="9722" width="19.7109375" bestFit="1" customWidth="1"/>
    <col min="9723" max="9723" width="11.42578125" bestFit="1" customWidth="1"/>
    <col min="9724" max="9724" width="14.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2.710937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7" width="15.5703125" bestFit="1" customWidth="1"/>
    <col min="9738" max="9738" width="20.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3.85546875" customWidth="1"/>
    <col min="9978" max="9978" width="19.7109375" bestFit="1" customWidth="1"/>
    <col min="9979" max="9979" width="11.42578125" bestFit="1" customWidth="1"/>
    <col min="9980" max="9980" width="14.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2.710937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3" width="15.5703125" bestFit="1" customWidth="1"/>
    <col min="9994" max="9994" width="20.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3.85546875" customWidth="1"/>
    <col min="10234" max="10234" width="19.7109375" bestFit="1" customWidth="1"/>
    <col min="10235" max="10235" width="11.42578125" bestFit="1" customWidth="1"/>
    <col min="10236" max="10236" width="14.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2.710937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49" width="15.5703125" bestFit="1" customWidth="1"/>
    <col min="10250" max="10250" width="20.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3.85546875" customWidth="1"/>
    <col min="10490" max="10490" width="19.7109375" bestFit="1" customWidth="1"/>
    <col min="10491" max="10491" width="11.42578125" bestFit="1" customWidth="1"/>
    <col min="10492" max="10492" width="14.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2.710937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5" width="15.5703125" bestFit="1" customWidth="1"/>
    <col min="10506" max="10506" width="20.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3.85546875" customWidth="1"/>
    <col min="10746" max="10746" width="19.7109375" bestFit="1" customWidth="1"/>
    <col min="10747" max="10747" width="11.42578125" bestFit="1" customWidth="1"/>
    <col min="10748" max="10748" width="14.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2.710937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1" width="15.5703125" bestFit="1" customWidth="1"/>
    <col min="10762" max="10762" width="20.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3.85546875" customWidth="1"/>
    <col min="11002" max="11002" width="19.7109375" bestFit="1" customWidth="1"/>
    <col min="11003" max="11003" width="11.42578125" bestFit="1" customWidth="1"/>
    <col min="11004" max="11004" width="14.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2.710937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7" width="15.5703125" bestFit="1" customWidth="1"/>
    <col min="11018" max="11018" width="20.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3.85546875" customWidth="1"/>
    <col min="11258" max="11258" width="19.7109375" bestFit="1" customWidth="1"/>
    <col min="11259" max="11259" width="11.42578125" bestFit="1" customWidth="1"/>
    <col min="11260" max="11260" width="14.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2.710937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3" width="15.5703125" bestFit="1" customWidth="1"/>
    <col min="11274" max="11274" width="20.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3.85546875" customWidth="1"/>
    <col min="11514" max="11514" width="19.7109375" bestFit="1" customWidth="1"/>
    <col min="11515" max="11515" width="11.42578125" bestFit="1" customWidth="1"/>
    <col min="11516" max="11516" width="14.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2.710937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29" width="15.5703125" bestFit="1" customWidth="1"/>
    <col min="11530" max="11530" width="20.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3.85546875" customWidth="1"/>
    <col min="11770" max="11770" width="19.7109375" bestFit="1" customWidth="1"/>
    <col min="11771" max="11771" width="11.42578125" bestFit="1" customWidth="1"/>
    <col min="11772" max="11772" width="14.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2.710937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5" width="15.5703125" bestFit="1" customWidth="1"/>
    <col min="11786" max="11786" width="20.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3.85546875" customWidth="1"/>
    <col min="12026" max="12026" width="19.7109375" bestFit="1" customWidth="1"/>
    <col min="12027" max="12027" width="11.42578125" bestFit="1" customWidth="1"/>
    <col min="12028" max="12028" width="14.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2.710937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1" width="15.5703125" bestFit="1" customWidth="1"/>
    <col min="12042" max="12042" width="20.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3.85546875" customWidth="1"/>
    <col min="12282" max="12282" width="19.7109375" bestFit="1" customWidth="1"/>
    <col min="12283" max="12283" width="11.42578125" bestFit="1" customWidth="1"/>
    <col min="12284" max="12284" width="14.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2.710937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7" width="15.5703125" bestFit="1" customWidth="1"/>
    <col min="12298" max="12298" width="20.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3.85546875" customWidth="1"/>
    <col min="12538" max="12538" width="19.7109375" bestFit="1" customWidth="1"/>
    <col min="12539" max="12539" width="11.42578125" bestFit="1" customWidth="1"/>
    <col min="12540" max="12540" width="14.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2.710937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3" width="15.5703125" bestFit="1" customWidth="1"/>
    <col min="12554" max="12554" width="20.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3.85546875" customWidth="1"/>
    <col min="12794" max="12794" width="19.7109375" bestFit="1" customWidth="1"/>
    <col min="12795" max="12795" width="11.42578125" bestFit="1" customWidth="1"/>
    <col min="12796" max="12796" width="14.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2.710937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09" width="15.5703125" bestFit="1" customWidth="1"/>
    <col min="12810" max="12810" width="20.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3.85546875" customWidth="1"/>
    <col min="13050" max="13050" width="19.7109375" bestFit="1" customWidth="1"/>
    <col min="13051" max="13051" width="11.42578125" bestFit="1" customWidth="1"/>
    <col min="13052" max="13052" width="14.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2.710937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5" width="15.5703125" bestFit="1" customWidth="1"/>
    <col min="13066" max="13066" width="20.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3.85546875" customWidth="1"/>
    <col min="13306" max="13306" width="19.7109375" bestFit="1" customWidth="1"/>
    <col min="13307" max="13307" width="11.42578125" bestFit="1" customWidth="1"/>
    <col min="13308" max="13308" width="14.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2.710937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1" width="15.5703125" bestFit="1" customWidth="1"/>
    <col min="13322" max="13322" width="20.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3.85546875" customWidth="1"/>
    <col min="13562" max="13562" width="19.7109375" bestFit="1" customWidth="1"/>
    <col min="13563" max="13563" width="11.42578125" bestFit="1" customWidth="1"/>
    <col min="13564" max="13564" width="14.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2.710937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7" width="15.5703125" bestFit="1" customWidth="1"/>
    <col min="13578" max="13578" width="20.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3.85546875" customWidth="1"/>
    <col min="13818" max="13818" width="19.7109375" bestFit="1" customWidth="1"/>
    <col min="13819" max="13819" width="11.42578125" bestFit="1" customWidth="1"/>
    <col min="13820" max="13820" width="14.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2.710937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3" width="15.5703125" bestFit="1" customWidth="1"/>
    <col min="13834" max="13834" width="20.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3.85546875" customWidth="1"/>
    <col min="14074" max="14074" width="19.7109375" bestFit="1" customWidth="1"/>
    <col min="14075" max="14075" width="11.42578125" bestFit="1" customWidth="1"/>
    <col min="14076" max="14076" width="14.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2.710937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89" width="15.5703125" bestFit="1" customWidth="1"/>
    <col min="14090" max="14090" width="20.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3.85546875" customWidth="1"/>
    <col min="14330" max="14330" width="19.7109375" bestFit="1" customWidth="1"/>
    <col min="14331" max="14331" width="11.42578125" bestFit="1" customWidth="1"/>
    <col min="14332" max="14332" width="14.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2.710937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5" width="15.5703125" bestFit="1" customWidth="1"/>
    <col min="14346" max="14346" width="20.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3.85546875" customWidth="1"/>
    <col min="14586" max="14586" width="19.7109375" bestFit="1" customWidth="1"/>
    <col min="14587" max="14587" width="11.42578125" bestFit="1" customWidth="1"/>
    <col min="14588" max="14588" width="14.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2.710937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1" width="15.5703125" bestFit="1" customWidth="1"/>
    <col min="14602" max="14602" width="20.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3.85546875" customWidth="1"/>
    <col min="14842" max="14842" width="19.7109375" bestFit="1" customWidth="1"/>
    <col min="14843" max="14843" width="11.42578125" bestFit="1" customWidth="1"/>
    <col min="14844" max="14844" width="14.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2.710937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7" width="15.5703125" bestFit="1" customWidth="1"/>
    <col min="14858" max="14858" width="20.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3.85546875" customWidth="1"/>
    <col min="15098" max="15098" width="19.7109375" bestFit="1" customWidth="1"/>
    <col min="15099" max="15099" width="11.42578125" bestFit="1" customWidth="1"/>
    <col min="15100" max="15100" width="14.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2.710937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3" width="15.5703125" bestFit="1" customWidth="1"/>
    <col min="15114" max="15114" width="20.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3.85546875" customWidth="1"/>
    <col min="15354" max="15354" width="19.7109375" bestFit="1" customWidth="1"/>
    <col min="15355" max="15355" width="11.42578125" bestFit="1" customWidth="1"/>
    <col min="15356" max="15356" width="14.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2.710937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69" width="15.5703125" bestFit="1" customWidth="1"/>
    <col min="15370" max="15370" width="20.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3.85546875" customWidth="1"/>
    <col min="15610" max="15610" width="19.7109375" bestFit="1" customWidth="1"/>
    <col min="15611" max="15611" width="11.42578125" bestFit="1" customWidth="1"/>
    <col min="15612" max="15612" width="14.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2.710937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5" width="15.5703125" bestFit="1" customWidth="1"/>
    <col min="15626" max="15626" width="20.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3.85546875" customWidth="1"/>
    <col min="15866" max="15866" width="19.7109375" bestFit="1" customWidth="1"/>
    <col min="15867" max="15867" width="11.42578125" bestFit="1" customWidth="1"/>
    <col min="15868" max="15868" width="14.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2.710937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1" width="15.5703125" bestFit="1" customWidth="1"/>
    <col min="15882" max="15882" width="20.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3.85546875" customWidth="1"/>
    <col min="16122" max="16122" width="19.7109375" bestFit="1" customWidth="1"/>
    <col min="16123" max="16123" width="11.42578125" bestFit="1" customWidth="1"/>
    <col min="16124" max="16124" width="14.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2.710937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7" width="15.5703125" bestFit="1" customWidth="1"/>
    <col min="16138" max="16138" width="20.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4" customHeight="1" thickBot="1">
      <c r="C1" s="1831" t="s">
        <v>612</v>
      </c>
      <c r="D1" s="1812" t="s">
        <v>283</v>
      </c>
      <c r="E1" s="1812" t="s">
        <v>6</v>
      </c>
      <c r="F1" s="1812">
        <v>18230639</v>
      </c>
      <c r="G1" s="1812" t="s">
        <v>31</v>
      </c>
      <c r="J1" s="45"/>
      <c r="M1" s="1831" t="s">
        <v>612</v>
      </c>
      <c r="N1" s="1812" t="s">
        <v>283</v>
      </c>
      <c r="O1" s="1812" t="s">
        <v>6</v>
      </c>
      <c r="P1" s="1812">
        <v>18230639</v>
      </c>
      <c r="Q1" s="1812" t="s">
        <v>31</v>
      </c>
      <c r="V1" s="1831" t="s">
        <v>612</v>
      </c>
      <c r="W1" s="1812" t="s">
        <v>283</v>
      </c>
      <c r="X1" s="1812" t="s">
        <v>6</v>
      </c>
      <c r="Y1" s="1812">
        <v>18230639</v>
      </c>
    </row>
    <row r="2" spans="1:25" ht="16.5" thickBot="1">
      <c r="C2" s="45"/>
      <c r="D2" s="46"/>
      <c r="H2" s="1576" t="s">
        <v>674</v>
      </c>
      <c r="R2" s="3596"/>
      <c r="S2" s="3596"/>
      <c r="T2" s="3597" t="s">
        <v>36</v>
      </c>
      <c r="U2" s="3598"/>
      <c r="V2" s="3599"/>
      <c r="W2" s="3594" t="s">
        <v>37</v>
      </c>
    </row>
    <row r="3" spans="1:25" ht="27.75" thickBot="1">
      <c r="A3" s="1844" t="s">
        <v>612</v>
      </c>
      <c r="B3" s="1808"/>
      <c r="C3" s="2715" t="s">
        <v>621</v>
      </c>
      <c r="H3" s="1577" t="s">
        <v>8</v>
      </c>
      <c r="I3" s="1538" t="s">
        <v>9</v>
      </c>
      <c r="J3" s="1538" t="s">
        <v>10</v>
      </c>
      <c r="K3" s="1538" t="s">
        <v>11</v>
      </c>
      <c r="L3" s="2037" t="s">
        <v>504</v>
      </c>
      <c r="M3" s="1538" t="s">
        <v>12</v>
      </c>
      <c r="N3" s="1538" t="s">
        <v>13</v>
      </c>
      <c r="O3" s="1538" t="s">
        <v>14</v>
      </c>
      <c r="P3" s="1538" t="s">
        <v>38</v>
      </c>
      <c r="Q3" s="1538" t="s">
        <v>39</v>
      </c>
      <c r="R3" s="1578" t="s">
        <v>16</v>
      </c>
      <c r="S3" s="1995" t="s">
        <v>40</v>
      </c>
      <c r="T3" s="49" t="s">
        <v>41</v>
      </c>
      <c r="U3" s="49" t="s">
        <v>11</v>
      </c>
      <c r="V3" s="50" t="s">
        <v>42</v>
      </c>
      <c r="W3" s="3595"/>
    </row>
    <row r="4" spans="1:25" ht="16.5" thickBot="1">
      <c r="A4" s="1808" t="s">
        <v>283</v>
      </c>
      <c r="B4" s="1808"/>
      <c r="C4" s="46"/>
      <c r="G4" s="1704" t="s">
        <v>668</v>
      </c>
      <c r="H4" s="2003">
        <v>0</v>
      </c>
      <c r="I4" s="2002">
        <v>0</v>
      </c>
      <c r="J4" s="2002">
        <v>0</v>
      </c>
      <c r="K4" s="2002">
        <v>0</v>
      </c>
      <c r="L4" s="2002">
        <v>0</v>
      </c>
      <c r="M4" s="2002">
        <v>0</v>
      </c>
      <c r="N4" s="2002">
        <v>0</v>
      </c>
      <c r="O4" s="2002">
        <v>0</v>
      </c>
      <c r="P4" s="2002">
        <v>0</v>
      </c>
      <c r="Q4" s="2002">
        <v>0</v>
      </c>
      <c r="R4" s="2000">
        <v>0</v>
      </c>
      <c r="S4" s="1998">
        <v>0</v>
      </c>
      <c r="T4" s="65" t="e">
        <f>P4/R4</f>
        <v>#DIV/0!</v>
      </c>
      <c r="U4" s="65" t="e">
        <f>(K4+(I4*1.63))/R4</f>
        <v>#DIV/0!</v>
      </c>
      <c r="V4" s="65" t="e">
        <f>M4/R4</f>
        <v>#DIV/0!</v>
      </c>
      <c r="W4" s="52" t="e">
        <f>R4/S4</f>
        <v>#DIV/0!</v>
      </c>
    </row>
    <row r="5" spans="1:25" ht="16.5" thickBot="1">
      <c r="A5" s="1808" t="s">
        <v>6</v>
      </c>
      <c r="B5" s="1808"/>
      <c r="C5" s="45"/>
      <c r="G5" s="45">
        <v>2016</v>
      </c>
      <c r="H5" s="1582">
        <f>D15</f>
        <v>0</v>
      </c>
      <c r="I5" s="1549">
        <f>D21</f>
        <v>0</v>
      </c>
      <c r="J5" s="1549">
        <f>D27</f>
        <v>0</v>
      </c>
      <c r="K5" s="1549">
        <f>D34</f>
        <v>0</v>
      </c>
      <c r="L5" s="1549">
        <f>D40</f>
        <v>0</v>
      </c>
      <c r="M5" s="1549">
        <f>D46</f>
        <v>0</v>
      </c>
      <c r="N5" s="1549">
        <f>D52</f>
        <v>0</v>
      </c>
      <c r="O5" s="1549">
        <f>D58</f>
        <v>0</v>
      </c>
      <c r="P5" s="1549">
        <f>D64</f>
        <v>0</v>
      </c>
      <c r="Q5" s="1549">
        <f>D65</f>
        <v>0</v>
      </c>
      <c r="R5" s="2001">
        <f>SUM(H5:Q5)</f>
        <v>0</v>
      </c>
      <c r="S5" s="1999">
        <f>T15</f>
        <v>0</v>
      </c>
      <c r="T5" s="66" t="e">
        <f>P5/R5</f>
        <v>#DIV/0!</v>
      </c>
      <c r="U5" s="66" t="e">
        <f>(K5+(I5*1.63))/R5</f>
        <v>#DIV/0!</v>
      </c>
      <c r="V5" s="66" t="e">
        <f>M5/R5</f>
        <v>#DIV/0!</v>
      </c>
      <c r="W5" s="56" t="e">
        <f>R5/S5</f>
        <v>#DIV/0!</v>
      </c>
    </row>
    <row r="6" spans="1:25" ht="16.5" thickBot="1">
      <c r="A6" s="1808">
        <v>18230639</v>
      </c>
      <c r="B6" s="1808"/>
      <c r="D6" s="45"/>
      <c r="G6" s="45">
        <v>2017</v>
      </c>
      <c r="H6" s="57">
        <f>E15</f>
        <v>0</v>
      </c>
      <c r="I6" s="1990">
        <f>E21</f>
        <v>0</v>
      </c>
      <c r="J6" s="1989">
        <f>E27</f>
        <v>0</v>
      </c>
      <c r="K6" s="58">
        <f>E34</f>
        <v>0</v>
      </c>
      <c r="L6" s="58">
        <f>E40</f>
        <v>0</v>
      </c>
      <c r="M6" s="58">
        <f>E46</f>
        <v>0</v>
      </c>
      <c r="N6" s="58">
        <f>E52</f>
        <v>0</v>
      </c>
      <c r="O6" s="58">
        <f>E58</f>
        <v>0</v>
      </c>
      <c r="P6" s="58">
        <f>E64</f>
        <v>0</v>
      </c>
      <c r="Q6" s="58">
        <f>E65</f>
        <v>0</v>
      </c>
      <c r="R6" s="1997">
        <f>SUM(H6:Q6)</f>
        <v>0</v>
      </c>
      <c r="S6" s="1996">
        <f>U15</f>
        <v>0</v>
      </c>
      <c r="T6" s="66" t="e">
        <f>P6/R6</f>
        <v>#DIV/0!</v>
      </c>
      <c r="U6" s="66" t="e">
        <f>(K6+(I6*1.63))/R6</f>
        <v>#DIV/0!</v>
      </c>
      <c r="V6" s="66" t="e">
        <f>M6/R6</f>
        <v>#DIV/0!</v>
      </c>
      <c r="W6" s="56" t="e">
        <f>R6/S6</f>
        <v>#DIV/0!</v>
      </c>
    </row>
    <row r="7" spans="1:25" ht="16.5" thickBot="1">
      <c r="A7" s="1808" t="s">
        <v>31</v>
      </c>
      <c r="B7" s="1808"/>
      <c r="C7" s="1866"/>
      <c r="D7" s="1592"/>
      <c r="E7" s="1867"/>
      <c r="F7" s="1866"/>
      <c r="G7" s="1608" t="s">
        <v>23</v>
      </c>
      <c r="H7" s="1564">
        <f>SUM(H5:H6)</f>
        <v>0</v>
      </c>
      <c r="I7" s="1991">
        <f t="shared" ref="I7:Q7" si="0">SUM(I5:I6)</f>
        <v>0</v>
      </c>
      <c r="J7" s="1992">
        <f t="shared" si="0"/>
        <v>0</v>
      </c>
      <c r="K7" s="1993">
        <f t="shared" si="0"/>
        <v>0</v>
      </c>
      <c r="L7" s="1991">
        <f t="shared" si="0"/>
        <v>0</v>
      </c>
      <c r="M7" s="1992">
        <f t="shared" si="0"/>
        <v>0</v>
      </c>
      <c r="N7" s="1991">
        <f t="shared" si="0"/>
        <v>0</v>
      </c>
      <c r="O7" s="1992">
        <f t="shared" si="0"/>
        <v>0</v>
      </c>
      <c r="P7" s="1993">
        <f t="shared" si="0"/>
        <v>0</v>
      </c>
      <c r="Q7" s="1991">
        <f t="shared" si="0"/>
        <v>0</v>
      </c>
      <c r="R7" s="1993">
        <f>SUM(H7:Q7)</f>
        <v>0</v>
      </c>
      <c r="S7" s="1994" t="e">
        <f>#REF!</f>
        <v>#REF!</v>
      </c>
      <c r="T7" s="66" t="e">
        <f>P7/R7</f>
        <v>#DIV/0!</v>
      </c>
      <c r="U7" s="66" t="e">
        <f>(K7+(I7*1.63))/R7</f>
        <v>#DIV/0!</v>
      </c>
      <c r="V7" s="66" t="e">
        <f>M7/R7</f>
        <v>#DIV/0!</v>
      </c>
      <c r="W7" s="56" t="e">
        <f>R7/S7</f>
        <v>#REF!</v>
      </c>
    </row>
    <row r="8" spans="1:25" ht="15.75">
      <c r="B8" s="1808"/>
      <c r="C8" s="1866"/>
      <c r="D8" s="1592"/>
      <c r="E8" s="1867"/>
      <c r="F8" s="1866"/>
    </row>
    <row r="9" spans="1:25" ht="20.25" customHeight="1">
      <c r="A9" s="1808"/>
      <c r="B9" s="1808"/>
      <c r="C9" s="1866"/>
      <c r="D9" s="1592"/>
      <c r="E9" s="1867"/>
      <c r="F9" s="1866"/>
    </row>
    <row r="10" spans="1:25">
      <c r="A10" s="1808"/>
      <c r="B10" s="1808"/>
      <c r="C10" s="1915" t="s">
        <v>329</v>
      </c>
      <c r="D10" s="1915"/>
      <c r="E10" s="1915"/>
      <c r="F10" s="1915"/>
      <c r="H10" s="3601" t="s">
        <v>317</v>
      </c>
      <c r="I10" s="3601"/>
      <c r="J10" s="3601"/>
      <c r="K10" s="3601"/>
      <c r="L10" s="3601"/>
      <c r="M10" s="3601"/>
      <c r="N10" s="3601"/>
      <c r="O10" s="3601"/>
      <c r="P10" s="3601"/>
      <c r="Q10" s="1927"/>
      <c r="R10" s="1927"/>
      <c r="S10" s="1927"/>
      <c r="T10" s="1927"/>
      <c r="U10" s="1927"/>
      <c r="V10" s="1927"/>
      <c r="W10" s="1930" t="s">
        <v>317</v>
      </c>
      <c r="X10" s="1927"/>
      <c r="Y10" s="1927"/>
    </row>
    <row r="11" spans="1:25">
      <c r="A11" s="1808"/>
      <c r="B11" s="1808"/>
      <c r="C11" s="1866"/>
      <c r="D11" s="1866"/>
      <c r="E11" s="1867"/>
      <c r="F11" s="1866"/>
      <c r="H11" s="1917"/>
      <c r="I11" s="1918"/>
      <c r="J11" s="1918"/>
      <c r="K11" s="1917"/>
      <c r="L11" s="1917"/>
      <c r="M11" s="1917"/>
      <c r="N11" s="1917"/>
      <c r="O11" s="1917"/>
      <c r="P11" s="1917"/>
      <c r="Q11" s="1917"/>
      <c r="R11" s="1917"/>
      <c r="S11" s="1917"/>
      <c r="T11" s="1917"/>
      <c r="U11" s="1917"/>
      <c r="V11" s="1917"/>
      <c r="W11" s="1917"/>
      <c r="X11" s="1917"/>
      <c r="Y11" s="1917"/>
    </row>
    <row r="12" spans="1:25">
      <c r="A12" s="1808"/>
      <c r="B12" s="1808"/>
      <c r="C12" s="1887" t="s">
        <v>314</v>
      </c>
      <c r="D12" s="1924">
        <f>D15+D21+D27+D34+D40+D46+D52+D58</f>
        <v>0</v>
      </c>
      <c r="E12" s="1948">
        <f>E15+E21+E27+E34+E40+E46+E52+E58</f>
        <v>0</v>
      </c>
      <c r="F12" s="1924">
        <f>D12+E12</f>
        <v>0</v>
      </c>
      <c r="H12" s="3602" t="s">
        <v>318</v>
      </c>
      <c r="I12" s="3602"/>
      <c r="J12" s="3602"/>
      <c r="K12" s="3602"/>
      <c r="L12" s="3602"/>
      <c r="M12" s="3602"/>
      <c r="N12" s="3602"/>
      <c r="O12" s="3602"/>
      <c r="P12" s="3602"/>
      <c r="Q12" s="3604" t="s">
        <v>43</v>
      </c>
      <c r="R12" s="3604"/>
      <c r="S12" s="3604"/>
      <c r="T12" s="3600" t="s">
        <v>44</v>
      </c>
      <c r="U12" s="3600"/>
      <c r="V12" s="3600"/>
      <c r="W12" s="3603" t="s">
        <v>56</v>
      </c>
      <c r="X12" s="3603"/>
      <c r="Y12" s="3603"/>
    </row>
    <row r="13" spans="1:25">
      <c r="B13" s="1808"/>
      <c r="C13" s="1947"/>
      <c r="D13" s="1866"/>
      <c r="E13" s="1787"/>
      <c r="F13" s="1866"/>
      <c r="H13" s="1933" t="s">
        <v>320</v>
      </c>
      <c r="I13" s="1933" t="s">
        <v>240</v>
      </c>
      <c r="J13" s="1933" t="s">
        <v>321</v>
      </c>
      <c r="K13" s="1933" t="s">
        <v>322</v>
      </c>
      <c r="L13" s="1933" t="s">
        <v>57</v>
      </c>
      <c r="M13" s="1933" t="s">
        <v>58</v>
      </c>
      <c r="N13" s="1933" t="s">
        <v>323</v>
      </c>
      <c r="O13" s="1933" t="s">
        <v>59</v>
      </c>
      <c r="P13" s="1933" t="s">
        <v>60</v>
      </c>
      <c r="Q13" s="1934">
        <v>2016</v>
      </c>
      <c r="R13" s="1934">
        <v>2017</v>
      </c>
      <c r="S13" s="1934" t="s">
        <v>324</v>
      </c>
      <c r="T13" s="1935">
        <v>2016</v>
      </c>
      <c r="U13" s="1935">
        <v>2017</v>
      </c>
      <c r="V13" s="1935" t="s">
        <v>324</v>
      </c>
      <c r="W13" s="1937">
        <v>2016</v>
      </c>
      <c r="X13" s="1937">
        <v>2017</v>
      </c>
      <c r="Y13" s="1937" t="s">
        <v>324</v>
      </c>
    </row>
    <row r="14" spans="1:25" ht="15.75">
      <c r="B14" s="1808"/>
      <c r="C14" s="1888" t="s">
        <v>45</v>
      </c>
      <c r="D14" s="1969">
        <v>2016</v>
      </c>
      <c r="E14" s="1970">
        <v>2017</v>
      </c>
      <c r="F14" s="1950" t="s">
        <v>23</v>
      </c>
      <c r="H14" s="1919" t="s">
        <v>326</v>
      </c>
      <c r="I14" s="1919" t="s">
        <v>326</v>
      </c>
      <c r="J14" s="1933"/>
      <c r="K14" s="1919" t="s">
        <v>326</v>
      </c>
      <c r="L14" s="1919" t="s">
        <v>326</v>
      </c>
      <c r="M14" s="1919" t="s">
        <v>326</v>
      </c>
      <c r="N14" s="1919" t="s">
        <v>326</v>
      </c>
      <c r="O14" s="1919" t="s">
        <v>326</v>
      </c>
      <c r="P14" s="1919" t="s">
        <v>326</v>
      </c>
      <c r="Q14" s="1919" t="s">
        <v>326</v>
      </c>
      <c r="R14" s="1919" t="s">
        <v>326</v>
      </c>
      <c r="S14" s="1934"/>
      <c r="T14" s="1935"/>
      <c r="U14" s="1935"/>
      <c r="V14" s="1935"/>
      <c r="W14" s="1937"/>
      <c r="X14" s="1937"/>
      <c r="Y14" s="1937"/>
    </row>
    <row r="15" spans="1:25">
      <c r="B15" s="1886" t="s">
        <v>312</v>
      </c>
      <c r="C15" s="1910" t="s">
        <v>46</v>
      </c>
      <c r="D15" s="1911">
        <f>SUM(D16:D19)</f>
        <v>0</v>
      </c>
      <c r="E15" s="1926">
        <f>SUM(E16:E19)</f>
        <v>0</v>
      </c>
      <c r="F15" s="1924">
        <f>D15+E15</f>
        <v>0</v>
      </c>
      <c r="H15" s="1938" t="s">
        <v>327</v>
      </c>
      <c r="I15" s="1939"/>
      <c r="J15" s="1939"/>
      <c r="K15" s="1940"/>
      <c r="L15" s="1941">
        <f>SUMPRODUCT(L16:L165,S16:S165)</f>
        <v>0</v>
      </c>
      <c r="M15" s="1941">
        <f>SUM(M16:M165)</f>
        <v>0</v>
      </c>
      <c r="N15" s="1942" t="s">
        <v>241</v>
      </c>
      <c r="O15" s="1940" t="s">
        <v>328</v>
      </c>
      <c r="P15" s="1940"/>
      <c r="Q15" s="1940"/>
      <c r="R15" s="1940"/>
      <c r="S15" s="1940"/>
      <c r="T15" s="1943">
        <v>0</v>
      </c>
      <c r="U15" s="1943">
        <v>0</v>
      </c>
      <c r="V15" s="1943">
        <v>0</v>
      </c>
      <c r="W15" s="1941">
        <v>0</v>
      </c>
      <c r="X15" s="1941">
        <v>0</v>
      </c>
      <c r="Y15" s="1941">
        <v>0</v>
      </c>
    </row>
    <row r="16" spans="1:25">
      <c r="B16" s="1885"/>
      <c r="C16" s="1876"/>
      <c r="D16" s="1907"/>
      <c r="E16" s="1906"/>
      <c r="F16" s="1879">
        <f>SUM(D16:E16)</f>
        <v>0</v>
      </c>
      <c r="H16" s="1922"/>
      <c r="I16" s="2927"/>
      <c r="J16" s="1932" t="s">
        <v>241</v>
      </c>
      <c r="K16" s="1922"/>
      <c r="L16" s="1929"/>
      <c r="M16" s="1929"/>
      <c r="N16" s="1923"/>
      <c r="O16" s="1922"/>
      <c r="P16" s="1925"/>
      <c r="Q16" s="1928"/>
      <c r="R16" s="1928"/>
      <c r="S16" s="1931" t="s">
        <v>241</v>
      </c>
      <c r="T16" s="1931" t="s">
        <v>241</v>
      </c>
      <c r="U16" s="1931" t="s">
        <v>241</v>
      </c>
      <c r="V16" s="1931" t="s">
        <v>241</v>
      </c>
      <c r="W16" s="1921" t="s">
        <v>241</v>
      </c>
      <c r="X16" s="1921" t="s">
        <v>241</v>
      </c>
      <c r="Y16" s="1921" t="s">
        <v>241</v>
      </c>
    </row>
    <row r="17" spans="2:25">
      <c r="B17" s="1885"/>
      <c r="C17" s="1876"/>
      <c r="D17" s="1905"/>
      <c r="E17" s="1904"/>
      <c r="F17" s="1891">
        <f t="shared" ref="F17:F30" si="1">SUM(D17:E17)</f>
        <v>0</v>
      </c>
      <c r="H17" s="1922"/>
      <c r="I17" s="2927"/>
      <c r="J17" s="1932" t="s">
        <v>241</v>
      </c>
      <c r="K17" s="1922"/>
      <c r="L17" s="1929"/>
      <c r="M17" s="1929"/>
      <c r="N17" s="1923"/>
      <c r="O17" s="1922"/>
      <c r="P17" s="1925"/>
      <c r="Q17" s="1928"/>
      <c r="R17" s="1928"/>
      <c r="S17" s="1931" t="s">
        <v>241</v>
      </c>
      <c r="T17" s="1931" t="s">
        <v>241</v>
      </c>
      <c r="U17" s="1931" t="s">
        <v>241</v>
      </c>
      <c r="V17" s="1931" t="s">
        <v>241</v>
      </c>
      <c r="W17" s="1921" t="s">
        <v>241</v>
      </c>
      <c r="X17" s="1921" t="s">
        <v>241</v>
      </c>
      <c r="Y17" s="1921" t="s">
        <v>241</v>
      </c>
    </row>
    <row r="18" spans="2:25">
      <c r="B18" s="1885"/>
      <c r="C18" s="1876"/>
      <c r="D18" s="1905"/>
      <c r="E18" s="1904"/>
      <c r="F18" s="1891">
        <f t="shared" si="1"/>
        <v>0</v>
      </c>
      <c r="H18" s="1922"/>
      <c r="I18" s="2927"/>
      <c r="J18" s="1932" t="s">
        <v>241</v>
      </c>
      <c r="K18" s="1922"/>
      <c r="L18" s="1929"/>
      <c r="M18" s="1929"/>
      <c r="N18" s="1923"/>
      <c r="O18" s="1922"/>
      <c r="P18" s="1925"/>
      <c r="Q18" s="1928"/>
      <c r="R18" s="1928"/>
      <c r="S18" s="1931" t="s">
        <v>241</v>
      </c>
      <c r="T18" s="1931" t="s">
        <v>241</v>
      </c>
      <c r="U18" s="1931" t="s">
        <v>241</v>
      </c>
      <c r="V18" s="1931" t="s">
        <v>241</v>
      </c>
      <c r="W18" s="1921" t="s">
        <v>241</v>
      </c>
      <c r="X18" s="1921" t="s">
        <v>241</v>
      </c>
      <c r="Y18" s="1921" t="s">
        <v>241</v>
      </c>
    </row>
    <row r="19" spans="2:25">
      <c r="B19" s="1885"/>
      <c r="C19" s="1876"/>
      <c r="D19" s="1903"/>
      <c r="E19" s="1902"/>
      <c r="F19" s="1891">
        <f t="shared" si="1"/>
        <v>0</v>
      </c>
      <c r="H19" s="1922"/>
      <c r="I19" s="2927"/>
      <c r="J19" s="1932" t="s">
        <v>241</v>
      </c>
      <c r="K19" s="1922"/>
      <c r="L19" s="1929"/>
      <c r="M19" s="1929"/>
      <c r="N19" s="1923"/>
      <c r="O19" s="1922"/>
      <c r="P19" s="1925"/>
      <c r="Q19" s="1928"/>
      <c r="R19" s="1928"/>
      <c r="S19" s="1931" t="s">
        <v>241</v>
      </c>
      <c r="T19" s="1931" t="s">
        <v>241</v>
      </c>
      <c r="U19" s="1931" t="s">
        <v>241</v>
      </c>
      <c r="V19" s="1931" t="s">
        <v>241</v>
      </c>
      <c r="W19" s="1921" t="s">
        <v>241</v>
      </c>
      <c r="X19" s="1921" t="s">
        <v>241</v>
      </c>
      <c r="Y19" s="1921" t="s">
        <v>241</v>
      </c>
    </row>
    <row r="20" spans="2:25">
      <c r="B20" s="1908">
        <f>SUM(B16:B19)</f>
        <v>0</v>
      </c>
      <c r="C20" s="1952"/>
      <c r="D20" s="1954"/>
      <c r="E20" s="1955"/>
      <c r="F20" s="1957"/>
      <c r="H20" s="1922"/>
      <c r="I20" s="2927"/>
      <c r="J20" s="1932" t="s">
        <v>241</v>
      </c>
      <c r="K20" s="1922"/>
      <c r="L20" s="1929"/>
      <c r="M20" s="1929"/>
      <c r="N20" s="1923"/>
      <c r="O20" s="1922"/>
      <c r="P20" s="1925"/>
      <c r="Q20" s="1928"/>
      <c r="R20" s="1928"/>
      <c r="S20" s="1931" t="s">
        <v>241</v>
      </c>
      <c r="T20" s="1931" t="s">
        <v>241</v>
      </c>
      <c r="U20" s="1931" t="s">
        <v>241</v>
      </c>
      <c r="V20" s="1931" t="s">
        <v>241</v>
      </c>
      <c r="W20" s="1921" t="s">
        <v>241</v>
      </c>
      <c r="X20" s="1921" t="s">
        <v>241</v>
      </c>
      <c r="Y20" s="1921" t="s">
        <v>241</v>
      </c>
    </row>
    <row r="21" spans="2:25">
      <c r="C21" s="1910" t="s">
        <v>47</v>
      </c>
      <c r="D21" s="1911">
        <f>SUM(D22:D25)</f>
        <v>0</v>
      </c>
      <c r="E21" s="1926">
        <f>SUM(E22:E25)</f>
        <v>0</v>
      </c>
      <c r="F21" s="1924">
        <f>D21+E21</f>
        <v>0</v>
      </c>
      <c r="H21" s="1922"/>
      <c r="I21" s="2927"/>
      <c r="J21" s="1932" t="s">
        <v>241</v>
      </c>
      <c r="K21" s="1922"/>
      <c r="L21" s="1929"/>
      <c r="M21" s="1929"/>
      <c r="N21" s="1923"/>
      <c r="O21" s="1922"/>
      <c r="P21" s="1925"/>
      <c r="Q21" s="1928"/>
      <c r="R21" s="1928"/>
      <c r="S21" s="1931" t="s">
        <v>241</v>
      </c>
      <c r="T21" s="1931" t="s">
        <v>241</v>
      </c>
      <c r="U21" s="1931" t="s">
        <v>241</v>
      </c>
      <c r="V21" s="1931" t="s">
        <v>241</v>
      </c>
      <c r="W21" s="1921" t="s">
        <v>241</v>
      </c>
      <c r="X21" s="1921" t="s">
        <v>241</v>
      </c>
      <c r="Y21" s="1921" t="s">
        <v>241</v>
      </c>
    </row>
    <row r="22" spans="2:25">
      <c r="C22" s="1876"/>
      <c r="D22" s="1907"/>
      <c r="E22" s="1906"/>
      <c r="F22" s="1879">
        <f t="shared" si="1"/>
        <v>0</v>
      </c>
      <c r="H22" s="1922"/>
      <c r="I22" s="2927"/>
      <c r="J22" s="1932" t="s">
        <v>241</v>
      </c>
      <c r="K22" s="1922"/>
      <c r="L22" s="1929"/>
      <c r="M22" s="1929"/>
      <c r="N22" s="1923"/>
      <c r="O22" s="1922"/>
      <c r="P22" s="1925"/>
      <c r="Q22" s="1928"/>
      <c r="R22" s="1928"/>
      <c r="S22" s="1931" t="s">
        <v>241</v>
      </c>
      <c r="T22" s="1931" t="s">
        <v>241</v>
      </c>
      <c r="U22" s="1931" t="s">
        <v>241</v>
      </c>
      <c r="V22" s="1931" t="s">
        <v>241</v>
      </c>
      <c r="W22" s="1921" t="s">
        <v>241</v>
      </c>
      <c r="X22" s="1921" t="s">
        <v>241</v>
      </c>
      <c r="Y22" s="1921" t="s">
        <v>241</v>
      </c>
    </row>
    <row r="23" spans="2:25">
      <c r="C23" s="1876"/>
      <c r="D23" s="1900"/>
      <c r="E23" s="1899"/>
      <c r="F23" s="1891">
        <f t="shared" si="1"/>
        <v>0</v>
      </c>
      <c r="H23" s="1922"/>
      <c r="I23" s="2927"/>
      <c r="J23" s="1932" t="s">
        <v>241</v>
      </c>
      <c r="K23" s="1922"/>
      <c r="L23" s="1929"/>
      <c r="M23" s="1929"/>
      <c r="N23" s="1923"/>
      <c r="O23" s="1922"/>
      <c r="P23" s="1925"/>
      <c r="Q23" s="1928"/>
      <c r="R23" s="1928"/>
      <c r="S23" s="1931" t="s">
        <v>241</v>
      </c>
      <c r="T23" s="1931" t="s">
        <v>241</v>
      </c>
      <c r="U23" s="1931" t="s">
        <v>241</v>
      </c>
      <c r="V23" s="1931" t="s">
        <v>241</v>
      </c>
      <c r="W23" s="1921" t="s">
        <v>241</v>
      </c>
      <c r="X23" s="1921" t="s">
        <v>241</v>
      </c>
      <c r="Y23" s="1921" t="s">
        <v>241</v>
      </c>
    </row>
    <row r="24" spans="2:25">
      <c r="C24" s="1876"/>
      <c r="D24" s="1898"/>
      <c r="E24" s="1897"/>
      <c r="F24" s="1891">
        <f t="shared" si="1"/>
        <v>0</v>
      </c>
      <c r="H24" s="1922"/>
      <c r="I24" s="2927"/>
      <c r="J24" s="1932" t="s">
        <v>241</v>
      </c>
      <c r="K24" s="1922"/>
      <c r="L24" s="1929"/>
      <c r="M24" s="1929"/>
      <c r="N24" s="1923"/>
      <c r="O24" s="1922"/>
      <c r="P24" s="1925"/>
      <c r="Q24" s="1928"/>
      <c r="R24" s="1928"/>
      <c r="S24" s="1931" t="s">
        <v>241</v>
      </c>
      <c r="T24" s="1931" t="s">
        <v>241</v>
      </c>
      <c r="U24" s="1931" t="s">
        <v>241</v>
      </c>
      <c r="V24" s="1931" t="s">
        <v>241</v>
      </c>
      <c r="W24" s="1921" t="s">
        <v>241</v>
      </c>
      <c r="X24" s="1921" t="s">
        <v>241</v>
      </c>
      <c r="Y24" s="1921" t="s">
        <v>241</v>
      </c>
    </row>
    <row r="25" spans="2:25">
      <c r="C25" s="1876"/>
      <c r="D25" s="1896"/>
      <c r="E25" s="1899"/>
      <c r="F25" s="1891">
        <f t="shared" si="1"/>
        <v>0</v>
      </c>
      <c r="H25" s="1922"/>
      <c r="I25" s="2927"/>
      <c r="J25" s="1932" t="s">
        <v>241</v>
      </c>
      <c r="K25" s="1922"/>
      <c r="L25" s="1929"/>
      <c r="M25" s="1929"/>
      <c r="N25" s="1923"/>
      <c r="O25" s="1922"/>
      <c r="P25" s="1925"/>
      <c r="Q25" s="1928"/>
      <c r="R25" s="1928"/>
      <c r="S25" s="1931" t="s">
        <v>241</v>
      </c>
      <c r="T25" s="1931" t="s">
        <v>241</v>
      </c>
      <c r="U25" s="1931" t="s">
        <v>241</v>
      </c>
      <c r="V25" s="1931" t="s">
        <v>241</v>
      </c>
      <c r="W25" s="1921" t="s">
        <v>241</v>
      </c>
      <c r="X25" s="1921" t="s">
        <v>241</v>
      </c>
      <c r="Y25" s="1921" t="s">
        <v>241</v>
      </c>
    </row>
    <row r="26" spans="2:25">
      <c r="C26" s="1877"/>
      <c r="D26" s="1892"/>
      <c r="E26" s="1884"/>
      <c r="F26" s="1892"/>
      <c r="H26" s="1922"/>
      <c r="I26" s="2927"/>
      <c r="J26" s="1932" t="s">
        <v>241</v>
      </c>
      <c r="K26" s="1922"/>
      <c r="L26" s="1929"/>
      <c r="M26" s="1929"/>
      <c r="N26" s="1923"/>
      <c r="O26" s="1922"/>
      <c r="P26" s="1925"/>
      <c r="Q26" s="1928"/>
      <c r="R26" s="1928"/>
      <c r="S26" s="1931" t="s">
        <v>241</v>
      </c>
      <c r="T26" s="1931" t="s">
        <v>241</v>
      </c>
      <c r="U26" s="1931" t="s">
        <v>241</v>
      </c>
      <c r="V26" s="1931" t="s">
        <v>241</v>
      </c>
      <c r="W26" s="1921" t="s">
        <v>241</v>
      </c>
      <c r="X26" s="1921" t="s">
        <v>241</v>
      </c>
      <c r="Y26" s="1921" t="s">
        <v>241</v>
      </c>
    </row>
    <row r="27" spans="2:25">
      <c r="C27" s="1910" t="s">
        <v>48</v>
      </c>
      <c r="D27" s="1911">
        <f>SUM(D29:D32)</f>
        <v>0</v>
      </c>
      <c r="E27" s="1926">
        <f>SUM(E29:E32)</f>
        <v>0</v>
      </c>
      <c r="F27" s="1924">
        <f>D27+E27</f>
        <v>0</v>
      </c>
      <c r="H27" s="1922"/>
      <c r="I27" s="2927"/>
      <c r="J27" s="1932" t="s">
        <v>241</v>
      </c>
      <c r="K27" s="1922"/>
      <c r="L27" s="1929"/>
      <c r="M27" s="1929"/>
      <c r="N27" s="1923"/>
      <c r="O27" s="1922"/>
      <c r="P27" s="1925"/>
      <c r="Q27" s="1928"/>
      <c r="R27" s="1928"/>
      <c r="S27" s="1931" t="s">
        <v>241</v>
      </c>
      <c r="T27" s="1931" t="s">
        <v>241</v>
      </c>
      <c r="U27" s="1931" t="s">
        <v>241</v>
      </c>
      <c r="V27" s="1931" t="s">
        <v>241</v>
      </c>
      <c r="W27" s="1921" t="s">
        <v>241</v>
      </c>
      <c r="X27" s="1921" t="s">
        <v>241</v>
      </c>
      <c r="Y27" s="1921" t="s">
        <v>241</v>
      </c>
    </row>
    <row r="28" spans="2:25">
      <c r="C28" s="1909" t="s">
        <v>315</v>
      </c>
      <c r="D28" s="1912">
        <v>0.66700000000000004</v>
      </c>
      <c r="E28" s="1913">
        <v>0.69599999999999995</v>
      </c>
      <c r="F28" s="1949"/>
      <c r="H28" s="1922"/>
      <c r="I28" s="2927"/>
      <c r="J28" s="1932" t="s">
        <v>241</v>
      </c>
      <c r="K28" s="1922"/>
      <c r="L28" s="1929"/>
      <c r="M28" s="1929"/>
      <c r="N28" s="1923"/>
      <c r="O28" s="1922"/>
      <c r="P28" s="1925"/>
      <c r="Q28" s="1928"/>
      <c r="R28" s="1928"/>
      <c r="S28" s="1931" t="s">
        <v>241</v>
      </c>
      <c r="T28" s="1931" t="s">
        <v>241</v>
      </c>
      <c r="U28" s="1931" t="s">
        <v>241</v>
      </c>
      <c r="V28" s="1931" t="s">
        <v>241</v>
      </c>
      <c r="W28" s="1921" t="s">
        <v>241</v>
      </c>
      <c r="X28" s="1921" t="s">
        <v>241</v>
      </c>
      <c r="Y28" s="1921" t="s">
        <v>241</v>
      </c>
    </row>
    <row r="29" spans="2:25">
      <c r="C29" s="1876" t="s">
        <v>778</v>
      </c>
      <c r="D29" s="1971">
        <f>D15*D28</f>
        <v>0</v>
      </c>
      <c r="E29" s="1972">
        <f>E15*E28</f>
        <v>0</v>
      </c>
      <c r="F29" s="1891">
        <f t="shared" si="1"/>
        <v>0</v>
      </c>
      <c r="H29" s="1922"/>
      <c r="I29" s="2927"/>
      <c r="J29" s="1932" t="s">
        <v>241</v>
      </c>
      <c r="K29" s="1922"/>
      <c r="L29" s="1929"/>
      <c r="M29" s="1929"/>
      <c r="N29" s="1923"/>
      <c r="O29" s="1922"/>
      <c r="P29" s="1925"/>
      <c r="Q29" s="1928"/>
      <c r="R29" s="1928"/>
      <c r="S29" s="1931" t="s">
        <v>241</v>
      </c>
      <c r="T29" s="1931" t="s">
        <v>241</v>
      </c>
      <c r="U29" s="1931" t="s">
        <v>241</v>
      </c>
      <c r="V29" s="1931" t="s">
        <v>241</v>
      </c>
      <c r="W29" s="1921" t="s">
        <v>241</v>
      </c>
      <c r="X29" s="1921" t="s">
        <v>241</v>
      </c>
      <c r="Y29" s="1921" t="s">
        <v>241</v>
      </c>
    </row>
    <row r="30" spans="2:25">
      <c r="C30" s="1876" t="s">
        <v>779</v>
      </c>
      <c r="D30" s="1973">
        <f>D21*D28</f>
        <v>0</v>
      </c>
      <c r="E30" s="1972">
        <f>E21*E28</f>
        <v>0</v>
      </c>
      <c r="F30" s="1891">
        <f t="shared" si="1"/>
        <v>0</v>
      </c>
      <c r="H30" s="1922"/>
      <c r="I30" s="2927"/>
      <c r="J30" s="1932" t="s">
        <v>241</v>
      </c>
      <c r="K30" s="1922"/>
      <c r="L30" s="1929"/>
      <c r="M30" s="1929"/>
      <c r="N30" s="1923"/>
      <c r="O30" s="1922"/>
      <c r="P30" s="1925"/>
      <c r="Q30" s="1928"/>
      <c r="R30" s="1928"/>
      <c r="S30" s="1931" t="s">
        <v>241</v>
      </c>
      <c r="T30" s="1931" t="s">
        <v>241</v>
      </c>
      <c r="U30" s="1931" t="s">
        <v>241</v>
      </c>
      <c r="V30" s="1931" t="s">
        <v>241</v>
      </c>
      <c r="W30" s="1921" t="s">
        <v>241</v>
      </c>
      <c r="X30" s="1921" t="s">
        <v>241</v>
      </c>
      <c r="Y30" s="1921" t="s">
        <v>241</v>
      </c>
    </row>
    <row r="31" spans="2:25">
      <c r="C31" s="1901"/>
      <c r="D31" s="1898"/>
      <c r="E31" s="1897"/>
      <c r="F31" s="1889"/>
      <c r="H31" s="1922"/>
      <c r="I31" s="2927"/>
      <c r="J31" s="1932" t="s">
        <v>241</v>
      </c>
      <c r="K31" s="1922"/>
      <c r="L31" s="1929"/>
      <c r="M31" s="1929"/>
      <c r="N31" s="1923"/>
      <c r="O31" s="1922"/>
      <c r="P31" s="1925"/>
      <c r="Q31" s="1928"/>
      <c r="R31" s="1928"/>
      <c r="S31" s="1931" t="s">
        <v>241</v>
      </c>
      <c r="T31" s="1931" t="s">
        <v>241</v>
      </c>
      <c r="U31" s="1931" t="s">
        <v>241</v>
      </c>
      <c r="V31" s="1931" t="s">
        <v>241</v>
      </c>
      <c r="W31" s="1921" t="s">
        <v>241</v>
      </c>
      <c r="X31" s="1921" t="s">
        <v>241</v>
      </c>
      <c r="Y31" s="1921" t="s">
        <v>241</v>
      </c>
    </row>
    <row r="32" spans="2:25">
      <c r="C32" s="1901"/>
      <c r="D32" s="1896"/>
      <c r="E32" s="1899"/>
      <c r="F32" s="1890"/>
      <c r="H32" s="1922"/>
      <c r="I32" s="2927"/>
      <c r="J32" s="1932" t="s">
        <v>241</v>
      </c>
      <c r="K32" s="1922"/>
      <c r="L32" s="1929"/>
      <c r="M32" s="1929"/>
      <c r="N32" s="1923"/>
      <c r="O32" s="1922"/>
      <c r="P32" s="1925"/>
      <c r="Q32" s="1928"/>
      <c r="R32" s="1928"/>
      <c r="S32" s="1931" t="s">
        <v>241</v>
      </c>
      <c r="T32" s="1931" t="s">
        <v>241</v>
      </c>
      <c r="U32" s="1931" t="s">
        <v>241</v>
      </c>
      <c r="V32" s="1931" t="s">
        <v>241</v>
      </c>
      <c r="W32" s="1921" t="s">
        <v>241</v>
      </c>
      <c r="X32" s="1921" t="s">
        <v>241</v>
      </c>
      <c r="Y32" s="1921" t="s">
        <v>241</v>
      </c>
    </row>
    <row r="33" spans="1:25">
      <c r="C33" s="1952"/>
      <c r="D33" s="1958"/>
      <c r="E33" s="1955"/>
      <c r="F33" s="1958"/>
      <c r="H33" s="1922"/>
      <c r="I33" s="2927"/>
      <c r="J33" s="1932" t="s">
        <v>241</v>
      </c>
      <c r="K33" s="1922"/>
      <c r="L33" s="1929"/>
      <c r="M33" s="1929"/>
      <c r="N33" s="1923"/>
      <c r="O33" s="1922"/>
      <c r="P33" s="1925"/>
      <c r="Q33" s="1928"/>
      <c r="R33" s="1928"/>
      <c r="S33" s="1931" t="s">
        <v>241</v>
      </c>
      <c r="T33" s="1931" t="s">
        <v>241</v>
      </c>
      <c r="U33" s="1931" t="s">
        <v>241</v>
      </c>
      <c r="V33" s="1931" t="s">
        <v>241</v>
      </c>
      <c r="W33" s="1921" t="s">
        <v>241</v>
      </c>
      <c r="X33" s="1921" t="s">
        <v>241</v>
      </c>
      <c r="Y33" s="1921" t="s">
        <v>241</v>
      </c>
    </row>
    <row r="34" spans="1:25">
      <c r="A34" s="1844" t="s">
        <v>612</v>
      </c>
      <c r="C34" s="1910" t="s">
        <v>49</v>
      </c>
      <c r="D34" s="1911">
        <f>SUM(D35:D38)</f>
        <v>0</v>
      </c>
      <c r="E34" s="1926">
        <f>SUM(E35:E38)</f>
        <v>0</v>
      </c>
      <c r="F34" s="1924">
        <f>D34+E34</f>
        <v>0</v>
      </c>
      <c r="H34" s="1922"/>
      <c r="I34" s="2927"/>
      <c r="J34" s="1932" t="s">
        <v>241</v>
      </c>
      <c r="K34" s="1922"/>
      <c r="L34" s="1929"/>
      <c r="M34" s="1929"/>
      <c r="N34" s="1923"/>
      <c r="O34" s="1922"/>
      <c r="P34" s="1925"/>
      <c r="Q34" s="1928"/>
      <c r="R34" s="1928"/>
      <c r="S34" s="1931" t="s">
        <v>241</v>
      </c>
      <c r="T34" s="1931" t="s">
        <v>241</v>
      </c>
      <c r="U34" s="1931" t="s">
        <v>241</v>
      </c>
      <c r="V34" s="1931" t="s">
        <v>241</v>
      </c>
      <c r="W34" s="1921" t="s">
        <v>241</v>
      </c>
      <c r="X34" s="1921" t="s">
        <v>241</v>
      </c>
      <c r="Y34" s="1921" t="s">
        <v>241</v>
      </c>
    </row>
    <row r="35" spans="1:25">
      <c r="A35" s="1808" t="s">
        <v>283</v>
      </c>
      <c r="C35" s="1876"/>
      <c r="D35" s="1971"/>
      <c r="E35" s="1988"/>
      <c r="F35" s="1891">
        <f t="shared" ref="F35:F44" si="2">SUM(D35:E35)</f>
        <v>0</v>
      </c>
      <c r="H35" s="1922"/>
      <c r="I35" s="2927"/>
      <c r="J35" s="1932" t="s">
        <v>241</v>
      </c>
      <c r="K35" s="1922"/>
      <c r="L35" s="1929"/>
      <c r="M35" s="1929"/>
      <c r="N35" s="1923"/>
      <c r="O35" s="1922"/>
      <c r="P35" s="1925"/>
      <c r="Q35" s="1928"/>
      <c r="R35" s="1928"/>
      <c r="S35" s="1931" t="s">
        <v>241</v>
      </c>
      <c r="T35" s="1931" t="s">
        <v>241</v>
      </c>
      <c r="U35" s="1931" t="s">
        <v>241</v>
      </c>
      <c r="V35" s="1931" t="s">
        <v>241</v>
      </c>
      <c r="W35" s="1921" t="s">
        <v>241</v>
      </c>
      <c r="X35" s="1921" t="s">
        <v>241</v>
      </c>
      <c r="Y35" s="1921" t="s">
        <v>241</v>
      </c>
    </row>
    <row r="36" spans="1:25">
      <c r="A36" s="1808" t="s">
        <v>6</v>
      </c>
      <c r="C36" s="1876"/>
      <c r="D36" s="1971"/>
      <c r="E36" s="1988"/>
      <c r="F36" s="1891">
        <f t="shared" si="2"/>
        <v>0</v>
      </c>
      <c r="H36" s="1922"/>
      <c r="I36" s="2927"/>
      <c r="J36" s="1932" t="s">
        <v>241</v>
      </c>
      <c r="K36" s="1922"/>
      <c r="L36" s="1929"/>
      <c r="M36" s="1929"/>
      <c r="N36" s="1923"/>
      <c r="O36" s="1922"/>
      <c r="P36" s="1925"/>
      <c r="Q36" s="1928"/>
      <c r="R36" s="1928"/>
      <c r="S36" s="1931" t="s">
        <v>241</v>
      </c>
      <c r="T36" s="1931" t="s">
        <v>241</v>
      </c>
      <c r="U36" s="1931" t="s">
        <v>241</v>
      </c>
      <c r="V36" s="1931" t="s">
        <v>241</v>
      </c>
      <c r="W36" s="1921" t="s">
        <v>241</v>
      </c>
      <c r="X36" s="1921" t="s">
        <v>241</v>
      </c>
      <c r="Y36" s="1921" t="s">
        <v>241</v>
      </c>
    </row>
    <row r="37" spans="1:25">
      <c r="A37" s="1808">
        <v>18230639</v>
      </c>
      <c r="C37" s="1876"/>
      <c r="D37" s="1971"/>
      <c r="E37" s="1988"/>
      <c r="F37" s="1891">
        <f t="shared" si="2"/>
        <v>0</v>
      </c>
      <c r="H37" s="1922"/>
      <c r="I37" s="2927"/>
      <c r="J37" s="1932" t="s">
        <v>241</v>
      </c>
      <c r="K37" s="1922"/>
      <c r="L37" s="1929"/>
      <c r="M37" s="1929"/>
      <c r="N37" s="1923"/>
      <c r="O37" s="1922"/>
      <c r="P37" s="1925"/>
      <c r="Q37" s="1928"/>
      <c r="R37" s="1928"/>
      <c r="S37" s="1931" t="s">
        <v>241</v>
      </c>
      <c r="T37" s="1931" t="s">
        <v>241</v>
      </c>
      <c r="U37" s="1931" t="s">
        <v>241</v>
      </c>
      <c r="V37" s="1931" t="s">
        <v>241</v>
      </c>
      <c r="W37" s="1921" t="s">
        <v>241</v>
      </c>
      <c r="X37" s="1921" t="s">
        <v>241</v>
      </c>
      <c r="Y37" s="1921" t="s">
        <v>241</v>
      </c>
    </row>
    <row r="38" spans="1:25">
      <c r="A38" s="1808" t="s">
        <v>31</v>
      </c>
      <c r="C38" s="1876"/>
      <c r="D38" s="1971"/>
      <c r="E38" s="1988"/>
      <c r="F38" s="1891">
        <f t="shared" si="2"/>
        <v>0</v>
      </c>
      <c r="H38" s="1922"/>
      <c r="I38" s="2927"/>
      <c r="J38" s="1932" t="s">
        <v>241</v>
      </c>
      <c r="K38" s="1922"/>
      <c r="L38" s="1929"/>
      <c r="M38" s="1929"/>
      <c r="N38" s="1923"/>
      <c r="O38" s="1922"/>
      <c r="P38" s="1925"/>
      <c r="Q38" s="1928"/>
      <c r="R38" s="1928"/>
      <c r="S38" s="1931" t="s">
        <v>241</v>
      </c>
      <c r="T38" s="1931" t="s">
        <v>241</v>
      </c>
      <c r="U38" s="1931" t="s">
        <v>241</v>
      </c>
      <c r="V38" s="1931" t="s">
        <v>241</v>
      </c>
      <c r="W38" s="1921" t="s">
        <v>241</v>
      </c>
      <c r="X38" s="1921" t="s">
        <v>241</v>
      </c>
      <c r="Y38" s="1921" t="s">
        <v>241</v>
      </c>
    </row>
    <row r="39" spans="1:25">
      <c r="C39" s="1952"/>
      <c r="D39" s="1958"/>
      <c r="E39" s="1955"/>
      <c r="F39" s="1958"/>
      <c r="H39" s="1922"/>
      <c r="I39" s="2927"/>
      <c r="J39" s="1932" t="s">
        <v>241</v>
      </c>
      <c r="K39" s="1922"/>
      <c r="L39" s="1929"/>
      <c r="M39" s="1929"/>
      <c r="N39" s="1923"/>
      <c r="O39" s="1922"/>
      <c r="P39" s="1925"/>
      <c r="Q39" s="1928"/>
      <c r="R39" s="1928"/>
      <c r="S39" s="1931" t="s">
        <v>241</v>
      </c>
      <c r="T39" s="1931" t="s">
        <v>241</v>
      </c>
      <c r="U39" s="1931" t="s">
        <v>241</v>
      </c>
      <c r="V39" s="1931" t="s">
        <v>241</v>
      </c>
      <c r="W39" s="1921" t="s">
        <v>241</v>
      </c>
      <c r="X39" s="1921" t="s">
        <v>241</v>
      </c>
      <c r="Y39" s="1921" t="s">
        <v>241</v>
      </c>
    </row>
    <row r="40" spans="1:25">
      <c r="C40" s="2106" t="s">
        <v>506</v>
      </c>
      <c r="D40" s="1911">
        <f>SUM(D41:D44)</f>
        <v>0</v>
      </c>
      <c r="E40" s="1926">
        <f>SUM(E41:E44)</f>
        <v>0</v>
      </c>
      <c r="F40" s="1924">
        <f>D40+E40</f>
        <v>0</v>
      </c>
      <c r="H40" s="1922"/>
      <c r="I40" s="2927"/>
      <c r="J40" s="1932" t="s">
        <v>241</v>
      </c>
      <c r="K40" s="1922"/>
      <c r="L40" s="1929"/>
      <c r="M40" s="1929"/>
      <c r="N40" s="1923"/>
      <c r="O40" s="1922"/>
      <c r="P40" s="1925"/>
      <c r="Q40" s="1928"/>
      <c r="R40" s="1928"/>
      <c r="S40" s="1931" t="s">
        <v>241</v>
      </c>
      <c r="T40" s="1931" t="s">
        <v>241</v>
      </c>
      <c r="U40" s="1931" t="s">
        <v>241</v>
      </c>
      <c r="V40" s="1931" t="s">
        <v>241</v>
      </c>
      <c r="W40" s="1921" t="s">
        <v>241</v>
      </c>
      <c r="X40" s="1921" t="s">
        <v>241</v>
      </c>
      <c r="Y40" s="1921" t="s">
        <v>241</v>
      </c>
    </row>
    <row r="41" spans="1:25">
      <c r="C41" s="1876"/>
      <c r="D41" s="1971"/>
      <c r="E41" s="1988"/>
      <c r="F41" s="1891">
        <f t="shared" si="2"/>
        <v>0</v>
      </c>
      <c r="H41" s="1922"/>
      <c r="I41" s="2927"/>
      <c r="J41" s="1932" t="s">
        <v>241</v>
      </c>
      <c r="K41" s="1922"/>
      <c r="L41" s="1929"/>
      <c r="M41" s="1929"/>
      <c r="N41" s="1923"/>
      <c r="O41" s="1922"/>
      <c r="P41" s="1925"/>
      <c r="Q41" s="1928"/>
      <c r="R41" s="1928"/>
      <c r="S41" s="1931" t="s">
        <v>241</v>
      </c>
      <c r="T41" s="1931" t="s">
        <v>241</v>
      </c>
      <c r="U41" s="1931" t="s">
        <v>241</v>
      </c>
      <c r="V41" s="1931" t="s">
        <v>241</v>
      </c>
      <c r="W41" s="1921" t="s">
        <v>241</v>
      </c>
      <c r="X41" s="1921" t="s">
        <v>241</v>
      </c>
      <c r="Y41" s="1921" t="s">
        <v>241</v>
      </c>
    </row>
    <row r="42" spans="1:25">
      <c r="C42" s="1876"/>
      <c r="D42" s="1971"/>
      <c r="E42" s="1988"/>
      <c r="F42" s="1891">
        <f t="shared" si="2"/>
        <v>0</v>
      </c>
      <c r="H42" s="1922"/>
      <c r="I42" s="2927"/>
      <c r="J42" s="1932" t="s">
        <v>241</v>
      </c>
      <c r="K42" s="1922"/>
      <c r="L42" s="1929"/>
      <c r="M42" s="1929"/>
      <c r="N42" s="1923"/>
      <c r="O42" s="1922"/>
      <c r="P42" s="1925"/>
      <c r="Q42" s="1928"/>
      <c r="R42" s="1928"/>
      <c r="S42" s="1931" t="s">
        <v>241</v>
      </c>
      <c r="T42" s="1931" t="s">
        <v>241</v>
      </c>
      <c r="U42" s="1931" t="s">
        <v>241</v>
      </c>
      <c r="V42" s="1931" t="s">
        <v>241</v>
      </c>
      <c r="W42" s="1921" t="s">
        <v>241</v>
      </c>
      <c r="X42" s="1921" t="s">
        <v>241</v>
      </c>
      <c r="Y42" s="1921" t="s">
        <v>241</v>
      </c>
    </row>
    <row r="43" spans="1:25">
      <c r="C43" s="1876"/>
      <c r="D43" s="1971"/>
      <c r="E43" s="1988"/>
      <c r="F43" s="1891">
        <f t="shared" si="2"/>
        <v>0</v>
      </c>
      <c r="H43" s="1922"/>
      <c r="I43" s="2927"/>
      <c r="J43" s="1932" t="s">
        <v>241</v>
      </c>
      <c r="K43" s="1922"/>
      <c r="L43" s="1929"/>
      <c r="M43" s="1929"/>
      <c r="N43" s="1923"/>
      <c r="O43" s="1922"/>
      <c r="P43" s="1925"/>
      <c r="Q43" s="1928"/>
      <c r="R43" s="1928"/>
      <c r="S43" s="1931" t="s">
        <v>241</v>
      </c>
      <c r="T43" s="1931" t="s">
        <v>241</v>
      </c>
      <c r="U43" s="1931" t="s">
        <v>241</v>
      </c>
      <c r="V43" s="1931" t="s">
        <v>241</v>
      </c>
      <c r="W43" s="1921" t="s">
        <v>241</v>
      </c>
      <c r="X43" s="1921" t="s">
        <v>241</v>
      </c>
      <c r="Y43" s="1921" t="s">
        <v>241</v>
      </c>
    </row>
    <row r="44" spans="1:25">
      <c r="C44" s="1876"/>
      <c r="D44" s="1971"/>
      <c r="E44" s="1988"/>
      <c r="F44" s="1891">
        <f t="shared" si="2"/>
        <v>0</v>
      </c>
      <c r="H44" s="1922"/>
      <c r="I44" s="2927"/>
      <c r="J44" s="1932" t="s">
        <v>241</v>
      </c>
      <c r="K44" s="1922"/>
      <c r="L44" s="1929"/>
      <c r="M44" s="1929"/>
      <c r="N44" s="1923"/>
      <c r="O44" s="1922"/>
      <c r="P44" s="1925"/>
      <c r="Q44" s="1928"/>
      <c r="R44" s="1928"/>
      <c r="S44" s="1931" t="s">
        <v>241</v>
      </c>
      <c r="T44" s="1931" t="s">
        <v>241</v>
      </c>
      <c r="U44" s="1931" t="s">
        <v>241</v>
      </c>
      <c r="V44" s="1931" t="s">
        <v>241</v>
      </c>
      <c r="W44" s="1921" t="s">
        <v>241</v>
      </c>
      <c r="X44" s="1921" t="s">
        <v>241</v>
      </c>
      <c r="Y44" s="1921" t="s">
        <v>241</v>
      </c>
    </row>
    <row r="45" spans="1:25">
      <c r="C45" s="1952"/>
      <c r="D45" s="1958"/>
      <c r="E45" s="1955"/>
      <c r="F45" s="1958"/>
      <c r="H45" s="1922"/>
      <c r="I45" s="2927"/>
      <c r="J45" s="1932" t="s">
        <v>241</v>
      </c>
      <c r="K45" s="1922"/>
      <c r="L45" s="1929"/>
      <c r="M45" s="1929"/>
      <c r="N45" s="1923"/>
      <c r="O45" s="1922"/>
      <c r="P45" s="1925"/>
      <c r="Q45" s="1928"/>
      <c r="R45" s="1928"/>
      <c r="S45" s="1931" t="s">
        <v>241</v>
      </c>
      <c r="T45" s="1931" t="s">
        <v>241</v>
      </c>
      <c r="U45" s="1931" t="s">
        <v>241</v>
      </c>
      <c r="V45" s="1931" t="s">
        <v>241</v>
      </c>
      <c r="W45" s="1921" t="s">
        <v>241</v>
      </c>
      <c r="X45" s="1921" t="s">
        <v>241</v>
      </c>
      <c r="Y45" s="1921" t="s">
        <v>241</v>
      </c>
    </row>
    <row r="46" spans="1:25">
      <c r="C46" s="1910" t="s">
        <v>50</v>
      </c>
      <c r="D46" s="1911">
        <f>SUM(D47:D50)</f>
        <v>0</v>
      </c>
      <c r="E46" s="1926">
        <f>SUM(E47:E50)</f>
        <v>0</v>
      </c>
      <c r="F46" s="1924">
        <f>D46+E46</f>
        <v>0</v>
      </c>
      <c r="H46" s="1922"/>
      <c r="I46" s="2927"/>
      <c r="J46" s="1932" t="s">
        <v>241</v>
      </c>
      <c r="K46" s="1922"/>
      <c r="L46" s="1929"/>
      <c r="M46" s="1929"/>
      <c r="N46" s="1923"/>
      <c r="O46" s="1922"/>
      <c r="P46" s="1925"/>
      <c r="Q46" s="1928"/>
      <c r="R46" s="1928"/>
      <c r="S46" s="1931" t="s">
        <v>241</v>
      </c>
      <c r="T46" s="1931" t="s">
        <v>241</v>
      </c>
      <c r="U46" s="1931" t="s">
        <v>241</v>
      </c>
      <c r="V46" s="1931" t="s">
        <v>241</v>
      </c>
      <c r="W46" s="1921" t="s">
        <v>241</v>
      </c>
      <c r="X46" s="1921" t="s">
        <v>241</v>
      </c>
      <c r="Y46" s="1921" t="s">
        <v>241</v>
      </c>
    </row>
    <row r="47" spans="1:25">
      <c r="C47" s="1876"/>
      <c r="D47" s="1971"/>
      <c r="E47" s="1988"/>
      <c r="F47" s="1891">
        <f t="shared" ref="F47:F62" si="3">SUM(D47:E47)</f>
        <v>0</v>
      </c>
      <c r="H47" s="1922"/>
      <c r="I47" s="2927"/>
      <c r="J47" s="1932" t="s">
        <v>241</v>
      </c>
      <c r="K47" s="1922"/>
      <c r="L47" s="1929"/>
      <c r="M47" s="1929"/>
      <c r="N47" s="1923"/>
      <c r="O47" s="1922"/>
      <c r="P47" s="1925"/>
      <c r="Q47" s="1928"/>
      <c r="R47" s="1928"/>
      <c r="S47" s="1931" t="s">
        <v>241</v>
      </c>
      <c r="T47" s="1931" t="s">
        <v>241</v>
      </c>
      <c r="U47" s="1931" t="s">
        <v>241</v>
      </c>
      <c r="V47" s="1931" t="s">
        <v>241</v>
      </c>
      <c r="W47" s="1921" t="s">
        <v>241</v>
      </c>
      <c r="X47" s="1921" t="s">
        <v>241</v>
      </c>
      <c r="Y47" s="1921" t="s">
        <v>241</v>
      </c>
    </row>
    <row r="48" spans="1:25">
      <c r="C48" s="1876"/>
      <c r="D48" s="1971"/>
      <c r="E48" s="1988"/>
      <c r="F48" s="1891">
        <f t="shared" si="3"/>
        <v>0</v>
      </c>
      <c r="H48" s="1922"/>
      <c r="I48" s="2927"/>
      <c r="J48" s="1932" t="s">
        <v>241</v>
      </c>
      <c r="K48" s="1922"/>
      <c r="L48" s="1929"/>
      <c r="M48" s="1929"/>
      <c r="N48" s="1923"/>
      <c r="O48" s="1922"/>
      <c r="P48" s="1925"/>
      <c r="Q48" s="1928"/>
      <c r="R48" s="1928"/>
      <c r="S48" s="1931" t="s">
        <v>241</v>
      </c>
      <c r="T48" s="1931" t="s">
        <v>241</v>
      </c>
      <c r="U48" s="1931" t="s">
        <v>241</v>
      </c>
      <c r="V48" s="1931" t="s">
        <v>241</v>
      </c>
      <c r="W48" s="1921" t="s">
        <v>241</v>
      </c>
      <c r="X48" s="1921" t="s">
        <v>241</v>
      </c>
      <c r="Y48" s="1921" t="s">
        <v>241</v>
      </c>
    </row>
    <row r="49" spans="1:25">
      <c r="C49" s="1876"/>
      <c r="D49" s="1971"/>
      <c r="E49" s="1988"/>
      <c r="F49" s="1891">
        <f t="shared" si="3"/>
        <v>0</v>
      </c>
      <c r="H49" s="1922"/>
      <c r="I49" s="2927"/>
      <c r="J49" s="1932" t="s">
        <v>241</v>
      </c>
      <c r="K49" s="1922"/>
      <c r="L49" s="1929"/>
      <c r="M49" s="1929"/>
      <c r="N49" s="1923"/>
      <c r="O49" s="1922"/>
      <c r="P49" s="1925"/>
      <c r="Q49" s="1928"/>
      <c r="R49" s="1928"/>
      <c r="S49" s="1931" t="s">
        <v>241</v>
      </c>
      <c r="T49" s="1931" t="s">
        <v>241</v>
      </c>
      <c r="U49" s="1931" t="s">
        <v>241</v>
      </c>
      <c r="V49" s="1931" t="s">
        <v>241</v>
      </c>
      <c r="W49" s="1921" t="s">
        <v>241</v>
      </c>
      <c r="X49" s="1921" t="s">
        <v>241</v>
      </c>
      <c r="Y49" s="1921" t="s">
        <v>241</v>
      </c>
    </row>
    <row r="50" spans="1:25">
      <c r="C50" s="1876"/>
      <c r="D50" s="1971"/>
      <c r="E50" s="1988"/>
      <c r="F50" s="1891">
        <f t="shared" si="3"/>
        <v>0</v>
      </c>
      <c r="H50" s="1922"/>
      <c r="I50" s="2927"/>
      <c r="J50" s="1932" t="s">
        <v>241</v>
      </c>
      <c r="K50" s="1922"/>
      <c r="L50" s="1929"/>
      <c r="M50" s="1929"/>
      <c r="N50" s="1923"/>
      <c r="O50" s="1922"/>
      <c r="P50" s="1925"/>
      <c r="Q50" s="1928"/>
      <c r="R50" s="1928"/>
      <c r="S50" s="1931" t="s">
        <v>241</v>
      </c>
      <c r="T50" s="1931" t="s">
        <v>241</v>
      </c>
      <c r="U50" s="1931" t="s">
        <v>241</v>
      </c>
      <c r="V50" s="1931" t="s">
        <v>241</v>
      </c>
      <c r="W50" s="1921" t="s">
        <v>241</v>
      </c>
      <c r="X50" s="1921" t="s">
        <v>241</v>
      </c>
      <c r="Y50" s="1921" t="s">
        <v>241</v>
      </c>
    </row>
    <row r="51" spans="1:25">
      <c r="C51" s="1952"/>
      <c r="D51" s="1958"/>
      <c r="E51" s="1955"/>
      <c r="F51" s="1958"/>
      <c r="H51" s="1922"/>
      <c r="I51" s="2927"/>
      <c r="J51" s="1932" t="s">
        <v>241</v>
      </c>
      <c r="K51" s="1922"/>
      <c r="L51" s="1929"/>
      <c r="M51" s="1929"/>
      <c r="N51" s="1923"/>
      <c r="O51" s="1922"/>
      <c r="P51" s="1925"/>
      <c r="Q51" s="1928"/>
      <c r="R51" s="1928"/>
      <c r="S51" s="1931" t="s">
        <v>241</v>
      </c>
      <c r="T51" s="1931" t="s">
        <v>241</v>
      </c>
      <c r="U51" s="1931" t="s">
        <v>241</v>
      </c>
      <c r="V51" s="1931" t="s">
        <v>241</v>
      </c>
      <c r="W51" s="1921" t="s">
        <v>241</v>
      </c>
      <c r="X51" s="1921" t="s">
        <v>241</v>
      </c>
      <c r="Y51" s="1921" t="s">
        <v>241</v>
      </c>
    </row>
    <row r="52" spans="1:25">
      <c r="C52" s="1910" t="s">
        <v>51</v>
      </c>
      <c r="D52" s="1911">
        <f>SUM(D53:D56)</f>
        <v>0</v>
      </c>
      <c r="E52" s="1926">
        <f>SUM(E53:E56)</f>
        <v>0</v>
      </c>
      <c r="F52" s="1924">
        <f>D52+E52</f>
        <v>0</v>
      </c>
      <c r="H52" s="1922"/>
      <c r="I52" s="2927"/>
      <c r="J52" s="1932" t="s">
        <v>241</v>
      </c>
      <c r="K52" s="1922"/>
      <c r="L52" s="1929"/>
      <c r="M52" s="1929"/>
      <c r="N52" s="1923"/>
      <c r="O52" s="1922"/>
      <c r="P52" s="1925"/>
      <c r="Q52" s="1928"/>
      <c r="R52" s="1928"/>
      <c r="S52" s="1931" t="s">
        <v>241</v>
      </c>
      <c r="T52" s="1931" t="s">
        <v>241</v>
      </c>
      <c r="U52" s="1931" t="s">
        <v>241</v>
      </c>
      <c r="V52" s="1931" t="s">
        <v>241</v>
      </c>
      <c r="W52" s="1921" t="s">
        <v>241</v>
      </c>
      <c r="X52" s="1921" t="s">
        <v>241</v>
      </c>
      <c r="Y52" s="1921" t="s">
        <v>241</v>
      </c>
    </row>
    <row r="53" spans="1:25">
      <c r="C53" s="1876"/>
      <c r="D53" s="1971"/>
      <c r="E53" s="1972"/>
      <c r="F53" s="1891">
        <f t="shared" si="3"/>
        <v>0</v>
      </c>
      <c r="H53" s="1922"/>
      <c r="I53" s="2927"/>
      <c r="J53" s="1932" t="s">
        <v>241</v>
      </c>
      <c r="K53" s="1922"/>
      <c r="L53" s="1929"/>
      <c r="M53" s="1929"/>
      <c r="N53" s="1923"/>
      <c r="O53" s="1922"/>
      <c r="P53" s="1925"/>
      <c r="Q53" s="1928"/>
      <c r="R53" s="1928"/>
      <c r="S53" s="1931" t="s">
        <v>241</v>
      </c>
      <c r="T53" s="1931" t="s">
        <v>241</v>
      </c>
      <c r="U53" s="1931" t="s">
        <v>241</v>
      </c>
      <c r="V53" s="1931" t="s">
        <v>241</v>
      </c>
      <c r="W53" s="1921" t="s">
        <v>241</v>
      </c>
      <c r="X53" s="1921" t="s">
        <v>241</v>
      </c>
      <c r="Y53" s="1921" t="s">
        <v>241</v>
      </c>
    </row>
    <row r="54" spans="1:25">
      <c r="C54" s="1876"/>
      <c r="D54" s="1971"/>
      <c r="E54" s="1972"/>
      <c r="F54" s="1891">
        <f t="shared" si="3"/>
        <v>0</v>
      </c>
      <c r="H54" s="1922"/>
      <c r="I54" s="2927"/>
      <c r="J54" s="1932" t="s">
        <v>241</v>
      </c>
      <c r="K54" s="1922"/>
      <c r="L54" s="1929"/>
      <c r="M54" s="1929"/>
      <c r="N54" s="1923"/>
      <c r="O54" s="1922"/>
      <c r="P54" s="1925"/>
      <c r="Q54" s="1928"/>
      <c r="R54" s="1928"/>
      <c r="S54" s="1931" t="s">
        <v>241</v>
      </c>
      <c r="T54" s="1931" t="s">
        <v>241</v>
      </c>
      <c r="U54" s="1931" t="s">
        <v>241</v>
      </c>
      <c r="V54" s="1931" t="s">
        <v>241</v>
      </c>
      <c r="W54" s="1921" t="s">
        <v>241</v>
      </c>
      <c r="X54" s="1921" t="s">
        <v>241</v>
      </c>
      <c r="Y54" s="1921" t="s">
        <v>241</v>
      </c>
    </row>
    <row r="55" spans="1:25">
      <c r="C55" s="1876"/>
      <c r="D55" s="1971"/>
      <c r="E55" s="1972"/>
      <c r="F55" s="1891">
        <f t="shared" si="3"/>
        <v>0</v>
      </c>
      <c r="H55" s="1922"/>
      <c r="I55" s="2927"/>
      <c r="J55" s="1932" t="s">
        <v>241</v>
      </c>
      <c r="K55" s="1922"/>
      <c r="L55" s="1929"/>
      <c r="M55" s="1929"/>
      <c r="N55" s="1923"/>
      <c r="O55" s="1922"/>
      <c r="P55" s="1925"/>
      <c r="Q55" s="1928"/>
      <c r="R55" s="1928"/>
      <c r="S55" s="1931" t="s">
        <v>241</v>
      </c>
      <c r="T55" s="1931" t="s">
        <v>241</v>
      </c>
      <c r="U55" s="1931" t="s">
        <v>241</v>
      </c>
      <c r="V55" s="1931" t="s">
        <v>241</v>
      </c>
      <c r="W55" s="1921" t="s">
        <v>241</v>
      </c>
      <c r="X55" s="1921" t="s">
        <v>241</v>
      </c>
      <c r="Y55" s="1921" t="s">
        <v>241</v>
      </c>
    </row>
    <row r="56" spans="1:25">
      <c r="C56" s="1876"/>
      <c r="D56" s="1971"/>
      <c r="E56" s="1972"/>
      <c r="F56" s="1891">
        <f t="shared" si="3"/>
        <v>0</v>
      </c>
      <c r="H56" s="1922"/>
      <c r="I56" s="2927"/>
      <c r="J56" s="1932" t="s">
        <v>241</v>
      </c>
      <c r="K56" s="1922"/>
      <c r="L56" s="1929"/>
      <c r="M56" s="1929"/>
      <c r="N56" s="1923"/>
      <c r="O56" s="1922"/>
      <c r="P56" s="1925"/>
      <c r="Q56" s="1928"/>
      <c r="R56" s="1928"/>
      <c r="S56" s="1931" t="s">
        <v>241</v>
      </c>
      <c r="T56" s="1931" t="s">
        <v>241</v>
      </c>
      <c r="U56" s="1931" t="s">
        <v>241</v>
      </c>
      <c r="V56" s="1931" t="s">
        <v>241</v>
      </c>
      <c r="W56" s="1921" t="s">
        <v>241</v>
      </c>
      <c r="X56" s="1921" t="s">
        <v>241</v>
      </c>
      <c r="Y56" s="1921" t="s">
        <v>241</v>
      </c>
    </row>
    <row r="57" spans="1:25">
      <c r="C57" s="1952"/>
      <c r="D57" s="1958"/>
      <c r="E57" s="1955"/>
      <c r="F57" s="1958"/>
      <c r="H57" s="1922"/>
      <c r="I57" s="2927"/>
      <c r="J57" s="1932" t="s">
        <v>241</v>
      </c>
      <c r="K57" s="1922"/>
      <c r="L57" s="1929"/>
      <c r="M57" s="1929"/>
      <c r="N57" s="1923"/>
      <c r="O57" s="1922"/>
      <c r="P57" s="1925"/>
      <c r="Q57" s="1928"/>
      <c r="R57" s="1928"/>
      <c r="S57" s="1931" t="s">
        <v>241</v>
      </c>
      <c r="T57" s="1931" t="s">
        <v>241</v>
      </c>
      <c r="U57" s="1931" t="s">
        <v>241</v>
      </c>
      <c r="V57" s="1931" t="s">
        <v>241</v>
      </c>
      <c r="W57" s="1921" t="s">
        <v>241</v>
      </c>
      <c r="X57" s="1921" t="s">
        <v>241</v>
      </c>
      <c r="Y57" s="1921" t="s">
        <v>241</v>
      </c>
    </row>
    <row r="58" spans="1:25">
      <c r="C58" s="1910" t="s">
        <v>52</v>
      </c>
      <c r="D58" s="1911">
        <f>SUM(D59:D62)</f>
        <v>0</v>
      </c>
      <c r="E58" s="1926">
        <f>SUM(E59:E62)</f>
        <v>0</v>
      </c>
      <c r="F58" s="1924">
        <f>D58+E58</f>
        <v>0</v>
      </c>
      <c r="H58" s="1922"/>
      <c r="I58" s="2927"/>
      <c r="J58" s="1932" t="s">
        <v>241</v>
      </c>
      <c r="K58" s="1922"/>
      <c r="L58" s="1929"/>
      <c r="M58" s="1929"/>
      <c r="N58" s="1923"/>
      <c r="O58" s="1922"/>
      <c r="P58" s="1925"/>
      <c r="Q58" s="1928"/>
      <c r="R58" s="1928"/>
      <c r="S58" s="1931" t="s">
        <v>241</v>
      </c>
      <c r="T58" s="1931" t="s">
        <v>241</v>
      </c>
      <c r="U58" s="1931" t="s">
        <v>241</v>
      </c>
      <c r="V58" s="1931" t="s">
        <v>241</v>
      </c>
      <c r="W58" s="1921" t="s">
        <v>241</v>
      </c>
      <c r="X58" s="1921" t="s">
        <v>241</v>
      </c>
      <c r="Y58" s="1921" t="s">
        <v>241</v>
      </c>
    </row>
    <row r="59" spans="1:25">
      <c r="C59" s="1876"/>
      <c r="D59" s="1971"/>
      <c r="E59" s="1988"/>
      <c r="F59" s="1891">
        <f t="shared" si="3"/>
        <v>0</v>
      </c>
      <c r="H59" s="1922"/>
      <c r="I59" s="2927"/>
      <c r="J59" s="1932" t="s">
        <v>241</v>
      </c>
      <c r="K59" s="1922"/>
      <c r="L59" s="1929"/>
      <c r="M59" s="1929"/>
      <c r="N59" s="1923"/>
      <c r="O59" s="1922"/>
      <c r="P59" s="1925"/>
      <c r="Q59" s="1928"/>
      <c r="R59" s="1928"/>
      <c r="S59" s="1931" t="s">
        <v>241</v>
      </c>
      <c r="T59" s="1931" t="s">
        <v>241</v>
      </c>
      <c r="U59" s="1931" t="s">
        <v>241</v>
      </c>
      <c r="V59" s="1931" t="s">
        <v>241</v>
      </c>
      <c r="W59" s="1921" t="s">
        <v>241</v>
      </c>
      <c r="X59" s="1921" t="s">
        <v>241</v>
      </c>
      <c r="Y59" s="1921" t="s">
        <v>241</v>
      </c>
    </row>
    <row r="60" spans="1:25">
      <c r="C60" s="1876"/>
      <c r="D60" s="1971"/>
      <c r="E60" s="1988"/>
      <c r="F60" s="1891">
        <f t="shared" si="3"/>
        <v>0</v>
      </c>
      <c r="H60" s="1922"/>
      <c r="I60" s="2927"/>
      <c r="J60" s="1932" t="s">
        <v>241</v>
      </c>
      <c r="K60" s="1922"/>
      <c r="L60" s="1929"/>
      <c r="M60" s="1929"/>
      <c r="N60" s="1923"/>
      <c r="O60" s="1922"/>
      <c r="P60" s="1925"/>
      <c r="Q60" s="1928"/>
      <c r="R60" s="1928"/>
      <c r="S60" s="1931" t="s">
        <v>241</v>
      </c>
      <c r="T60" s="1931" t="s">
        <v>241</v>
      </c>
      <c r="U60" s="1931" t="s">
        <v>241</v>
      </c>
      <c r="V60" s="1931" t="s">
        <v>241</v>
      </c>
      <c r="W60" s="1921" t="s">
        <v>241</v>
      </c>
      <c r="X60" s="1921" t="s">
        <v>241</v>
      </c>
      <c r="Y60" s="1921" t="s">
        <v>241</v>
      </c>
    </row>
    <row r="61" spans="1:25">
      <c r="C61" s="1876"/>
      <c r="D61" s="1971"/>
      <c r="E61" s="1988"/>
      <c r="F61" s="1890">
        <f t="shared" si="3"/>
        <v>0</v>
      </c>
      <c r="H61" s="1922"/>
      <c r="I61" s="2927"/>
      <c r="J61" s="1932" t="s">
        <v>241</v>
      </c>
      <c r="K61" s="1922"/>
      <c r="L61" s="1929"/>
      <c r="M61" s="1929"/>
      <c r="N61" s="1923"/>
      <c r="O61" s="1922"/>
      <c r="P61" s="1925"/>
      <c r="Q61" s="1928"/>
      <c r="R61" s="1928"/>
      <c r="S61" s="1931" t="s">
        <v>241</v>
      </c>
      <c r="T61" s="1931" t="s">
        <v>241</v>
      </c>
      <c r="U61" s="1931" t="s">
        <v>241</v>
      </c>
      <c r="V61" s="1931" t="s">
        <v>241</v>
      </c>
      <c r="W61" s="1921" t="s">
        <v>241</v>
      </c>
      <c r="X61" s="1921" t="s">
        <v>241</v>
      </c>
      <c r="Y61" s="1921" t="s">
        <v>241</v>
      </c>
    </row>
    <row r="62" spans="1:25">
      <c r="C62" s="1876"/>
      <c r="D62" s="1971"/>
      <c r="E62" s="1988"/>
      <c r="F62" s="1891">
        <f t="shared" si="3"/>
        <v>0</v>
      </c>
      <c r="H62" s="1922"/>
      <c r="I62" s="1928"/>
      <c r="J62" s="1932" t="s">
        <v>241</v>
      </c>
      <c r="K62" s="1922"/>
      <c r="L62" s="1929"/>
      <c r="M62" s="1929"/>
      <c r="N62" s="1923"/>
      <c r="O62" s="1922"/>
      <c r="P62" s="1925"/>
      <c r="Q62" s="1928"/>
      <c r="R62" s="1928"/>
      <c r="S62" s="1931" t="s">
        <v>241</v>
      </c>
      <c r="T62" s="1931" t="s">
        <v>241</v>
      </c>
      <c r="U62" s="1931" t="s">
        <v>241</v>
      </c>
      <c r="V62" s="1931" t="s">
        <v>241</v>
      </c>
      <c r="W62" s="1921" t="s">
        <v>241</v>
      </c>
      <c r="X62" s="1921" t="s">
        <v>241</v>
      </c>
      <c r="Y62" s="1921" t="s">
        <v>241</v>
      </c>
    </row>
    <row r="63" spans="1:25">
      <c r="C63" s="1952"/>
      <c r="D63" s="1958"/>
      <c r="E63" s="1955"/>
      <c r="F63" s="1958"/>
      <c r="H63" s="1922"/>
      <c r="I63" s="1928"/>
      <c r="J63" s="1932" t="s">
        <v>241</v>
      </c>
      <c r="K63" s="1922"/>
      <c r="L63" s="1929"/>
      <c r="M63" s="1929"/>
      <c r="N63" s="1923"/>
      <c r="O63" s="1922"/>
      <c r="P63" s="1925"/>
      <c r="Q63" s="1928"/>
      <c r="R63" s="1928"/>
      <c r="S63" s="1931" t="s">
        <v>241</v>
      </c>
      <c r="T63" s="1931" t="s">
        <v>241</v>
      </c>
      <c r="U63" s="1931" t="s">
        <v>241</v>
      </c>
      <c r="V63" s="1931" t="s">
        <v>241</v>
      </c>
      <c r="W63" s="1921" t="s">
        <v>241</v>
      </c>
      <c r="X63" s="1921" t="s">
        <v>241</v>
      </c>
      <c r="Y63" s="1921" t="s">
        <v>241</v>
      </c>
    </row>
    <row r="64" spans="1:25">
      <c r="A64" s="1808" t="s">
        <v>282</v>
      </c>
      <c r="C64" s="1910" t="s">
        <v>53</v>
      </c>
      <c r="D64" s="1911">
        <f>W15</f>
        <v>0</v>
      </c>
      <c r="E64" s="1926">
        <f>X15*1.15</f>
        <v>0</v>
      </c>
      <c r="F64" s="1924">
        <f>D64+E64</f>
        <v>0</v>
      </c>
      <c r="H64" s="1922"/>
      <c r="I64" s="1928"/>
      <c r="J64" s="1932" t="s">
        <v>241</v>
      </c>
      <c r="K64" s="1922"/>
      <c r="L64" s="1929"/>
      <c r="M64" s="1929"/>
      <c r="N64" s="1923"/>
      <c r="O64" s="1922"/>
      <c r="P64" s="1925"/>
      <c r="Q64" s="1928"/>
      <c r="R64" s="1928"/>
      <c r="S64" s="1931" t="s">
        <v>241</v>
      </c>
      <c r="T64" s="1931" t="s">
        <v>241</v>
      </c>
      <c r="U64" s="1931" t="s">
        <v>241</v>
      </c>
      <c r="V64" s="1931" t="s">
        <v>241</v>
      </c>
      <c r="W64" s="1921" t="s">
        <v>241</v>
      </c>
      <c r="X64" s="1921" t="s">
        <v>241</v>
      </c>
      <c r="Y64" s="1921" t="s">
        <v>241</v>
      </c>
    </row>
    <row r="65" spans="1:25">
      <c r="A65" s="1808" t="s">
        <v>283</v>
      </c>
      <c r="C65" s="1967" t="s">
        <v>313</v>
      </c>
      <c r="D65" s="1961"/>
      <c r="E65" s="1962"/>
      <c r="F65" s="1966"/>
      <c r="H65" s="1922"/>
      <c r="I65" s="1928"/>
      <c r="J65" s="1932" t="s">
        <v>241</v>
      </c>
      <c r="K65" s="1922"/>
      <c r="L65" s="1929"/>
      <c r="M65" s="1929"/>
      <c r="N65" s="1923"/>
      <c r="O65" s="1922"/>
      <c r="P65" s="1925"/>
      <c r="Q65" s="1928"/>
      <c r="R65" s="1928"/>
      <c r="S65" s="1931" t="s">
        <v>241</v>
      </c>
      <c r="T65" s="1931" t="s">
        <v>241</v>
      </c>
      <c r="U65" s="1931" t="s">
        <v>241</v>
      </c>
      <c r="V65" s="1931" t="s">
        <v>241</v>
      </c>
      <c r="W65" s="1921" t="s">
        <v>241</v>
      </c>
      <c r="X65" s="1921" t="s">
        <v>241</v>
      </c>
      <c r="Y65" s="1921" t="s">
        <v>241</v>
      </c>
    </row>
    <row r="66" spans="1:25">
      <c r="A66" s="1808" t="s">
        <v>6</v>
      </c>
      <c r="C66" s="1968"/>
      <c r="D66" s="1963"/>
      <c r="E66" s="1964"/>
      <c r="F66" s="1965"/>
    </row>
    <row r="67" spans="1:25">
      <c r="A67" s="1808">
        <v>18230639</v>
      </c>
      <c r="C67" s="1959" t="s">
        <v>54</v>
      </c>
      <c r="D67" s="1971">
        <v>0</v>
      </c>
      <c r="E67" s="1971">
        <v>0</v>
      </c>
      <c r="F67" s="1956">
        <v>0</v>
      </c>
    </row>
    <row r="68" spans="1:25">
      <c r="A68" s="1808" t="s">
        <v>31</v>
      </c>
    </row>
  </sheetData>
  <customSheetViews>
    <customSheetView guid="{074EB09C-6289-46D7-9513-012B68BCA7BF}" showGridLines="0" fitToPage="1">
      <pane xSplit="1" ySplit="1" topLeftCell="B2" activePane="bottomRight" state="frozen"/>
      <selection pane="bottomRight" activeCell="E31" sqref="E31"/>
      <pageMargins left="0.17" right="0.25" top="0.34" bottom="0.37" header="0.3" footer="0.3"/>
      <pageSetup paperSize="17" scale="54" orientation="landscape" r:id="rId1"/>
    </customSheetView>
    <customSheetView guid="{D9EFFE19-D14B-4C6F-BDF4-FF696F73968D}" showGridLines="0" fitToPage="1">
      <pane xSplit="1" ySplit="1" topLeftCell="D2" activePane="bottomRight" state="frozen"/>
      <selection pane="bottomRight" activeCell="L15" sqref="L15:M15"/>
      <pageMargins left="0.17" right="0.25" top="0.34" bottom="0.37" header="0.3" footer="0.3"/>
      <pageSetup paperSize="17" scale="54" orientation="landscape" r:id="rId2"/>
    </customSheetView>
  </customSheetViews>
  <mergeCells count="8">
    <mergeCell ref="R2:S2"/>
    <mergeCell ref="T2:V2"/>
    <mergeCell ref="W2:W3"/>
    <mergeCell ref="H10:P10"/>
    <mergeCell ref="H12:P12"/>
    <mergeCell ref="Q12:S12"/>
    <mergeCell ref="T12:V12"/>
    <mergeCell ref="W12:Y12"/>
  </mergeCells>
  <pageMargins left="0.17" right="0.25" top="0.34" bottom="0.37" header="0.3" footer="0.3"/>
  <pageSetup paperSize="17" scale="54"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249977111117893"/>
  </sheetPr>
  <dimension ref="A1:L99"/>
  <sheetViews>
    <sheetView showGridLines="0" topLeftCell="A44" zoomScaleNormal="100" workbookViewId="0">
      <selection activeCell="I72" sqref="I72"/>
    </sheetView>
  </sheetViews>
  <sheetFormatPr defaultRowHeight="12.75"/>
  <cols>
    <col min="1" max="1" width="4.85546875" style="1602" customWidth="1"/>
    <col min="2" max="2" width="5.85546875" style="2177" customWidth="1"/>
    <col min="3" max="3" width="15.28515625" style="1604" customWidth="1"/>
    <col min="4" max="4" width="6.28515625" style="1602" customWidth="1"/>
    <col min="5" max="5" width="6.140625" style="1602" customWidth="1"/>
    <col min="6" max="6" width="35" style="1602" customWidth="1"/>
    <col min="7" max="7" width="16.42578125" style="1602" customWidth="1"/>
    <col min="8" max="8" width="18.5703125" style="1602" customWidth="1"/>
    <col min="9" max="9" width="19.140625" style="1602" customWidth="1"/>
    <col min="10" max="10" width="16.85546875" style="1602" customWidth="1"/>
    <col min="11" max="11" width="19.5703125" style="1602" customWidth="1"/>
    <col min="12" max="16384" width="9.140625" style="1602"/>
  </cols>
  <sheetData>
    <row r="1" spans="1:12" ht="54" customHeight="1">
      <c r="E1" s="1614"/>
      <c r="F1" s="1800" t="s">
        <v>645</v>
      </c>
      <c r="I1" s="1624"/>
      <c r="J1" s="1623"/>
      <c r="K1" s="1623"/>
    </row>
    <row r="2" spans="1:12" ht="17.25" customHeight="1" thickBot="1">
      <c r="E2" s="1615" t="s">
        <v>178</v>
      </c>
      <c r="F2" s="1598">
        <f ca="1">NOW()</f>
        <v>42310.409787268516</v>
      </c>
      <c r="G2" s="1488"/>
      <c r="H2" s="645"/>
      <c r="I2" s="648"/>
      <c r="J2" s="1599"/>
      <c r="K2" s="1599"/>
    </row>
    <row r="3" spans="1:12" ht="65.25">
      <c r="A3" s="1787"/>
      <c r="B3" s="2283" t="s">
        <v>439</v>
      </c>
      <c r="C3" s="2264" t="s">
        <v>264</v>
      </c>
      <c r="D3" s="2249" t="s">
        <v>179</v>
      </c>
      <c r="E3" s="2245"/>
      <c r="F3" s="2245"/>
      <c r="G3" s="2251" t="s">
        <v>587</v>
      </c>
      <c r="H3" s="2251" t="s">
        <v>180</v>
      </c>
      <c r="I3" s="2251" t="s">
        <v>181</v>
      </c>
      <c r="J3" s="2251" t="s">
        <v>311</v>
      </c>
      <c r="K3" s="2250" t="s">
        <v>183</v>
      </c>
    </row>
    <row r="4" spans="1:12" s="2177" customFormat="1" ht="16.5" thickBot="1">
      <c r="A4" s="1787"/>
      <c r="B4" s="1607"/>
      <c r="C4" s="2265"/>
      <c r="D4" s="2314" t="s">
        <v>618</v>
      </c>
      <c r="E4" s="2246"/>
      <c r="F4" s="2246"/>
      <c r="G4" s="2247"/>
      <c r="H4" s="2247"/>
      <c r="I4" s="2247"/>
      <c r="J4" s="2247"/>
      <c r="K4" s="2248"/>
    </row>
    <row r="5" spans="1:12" ht="15.75">
      <c r="A5" s="1787"/>
      <c r="B5" s="2895"/>
      <c r="C5" s="2896"/>
      <c r="D5" s="2897" t="s">
        <v>78</v>
      </c>
      <c r="E5" s="2897"/>
      <c r="F5" s="2897"/>
      <c r="G5" s="2898"/>
      <c r="H5" s="2899"/>
      <c r="I5" s="2898"/>
      <c r="J5" s="2898"/>
      <c r="K5" s="2900"/>
    </row>
    <row r="6" spans="1:12">
      <c r="A6" s="1787"/>
      <c r="B6" s="2295" t="s">
        <v>440</v>
      </c>
      <c r="C6" s="2267">
        <v>201</v>
      </c>
      <c r="D6" s="1229" t="s">
        <v>175</v>
      </c>
      <c r="E6" s="1197"/>
      <c r="F6" s="1198"/>
      <c r="G6" s="3372">
        <f>'2017 Sector View Elect'!T7/1000</f>
        <v>1560.3460600000001</v>
      </c>
      <c r="H6" s="1654">
        <f>'2017 Sector View Elect'!S7</f>
        <v>3375337.8948999997</v>
      </c>
      <c r="I6" s="3372">
        <f>'2017 Sector View Gas'!T7</f>
        <v>18641.260000000002</v>
      </c>
      <c r="J6" s="1230">
        <f>'2017 Sector View Gas'!S7</f>
        <v>284611.57759999996</v>
      </c>
      <c r="K6" s="2786">
        <f t="array" ref="K6:K21">H6:H21+J6:J21</f>
        <v>3659949.4724999997</v>
      </c>
    </row>
    <row r="7" spans="1:12">
      <c r="A7" s="1787"/>
      <c r="B7" s="2284" t="s">
        <v>441</v>
      </c>
      <c r="C7" s="2266">
        <v>214</v>
      </c>
      <c r="D7" s="652" t="s">
        <v>434</v>
      </c>
      <c r="E7" s="2026"/>
      <c r="F7" s="2025"/>
      <c r="G7" s="3375">
        <f>SUM(G8:G17)</f>
        <v>104083.79138</v>
      </c>
      <c r="H7" s="1246">
        <f>SUM(H8:H17)</f>
        <v>30525825.134199996</v>
      </c>
      <c r="I7" s="3373">
        <f>SUM(I8:I17)</f>
        <v>1444453.26</v>
      </c>
      <c r="J7" s="1246">
        <f>SUM(J8:J17)</f>
        <v>5814038.9594800007</v>
      </c>
      <c r="K7" s="1657">
        <v>36339864.093679994</v>
      </c>
    </row>
    <row r="8" spans="1:12" s="2689" customFormat="1">
      <c r="A8" s="2680"/>
      <c r="B8" s="2681" t="s">
        <v>442</v>
      </c>
      <c r="C8" s="2682"/>
      <c r="D8" s="2683"/>
      <c r="E8" s="2684" t="s">
        <v>184</v>
      </c>
      <c r="F8" s="2685"/>
      <c r="G8" s="3376">
        <f>'2017 Sector View Elect'!T14/1000</f>
        <v>70775.149999999994</v>
      </c>
      <c r="H8" s="2686">
        <f>'2017 Sector View Elect'!S14</f>
        <v>14419449.878599999</v>
      </c>
      <c r="I8" s="3374"/>
      <c r="J8" s="2686"/>
      <c r="K8" s="2687">
        <v>14419449.878599999</v>
      </c>
      <c r="L8" s="2688"/>
    </row>
    <row r="9" spans="1:12" s="2689" customFormat="1">
      <c r="A9" s="2680"/>
      <c r="B9" s="2681" t="s">
        <v>443</v>
      </c>
      <c r="C9" s="2682"/>
      <c r="D9" s="2683"/>
      <c r="E9" s="2684" t="s">
        <v>185</v>
      </c>
      <c r="F9" s="2685"/>
      <c r="G9" s="3376">
        <f>'2017 Sector View Elect'!T11/1000</f>
        <v>7283.69</v>
      </c>
      <c r="H9" s="2686">
        <f>'2017 Sector View Elect'!S11</f>
        <v>4111679.1628</v>
      </c>
      <c r="I9" s="3374">
        <f>'2017 Sector View Gas'!T11</f>
        <v>645705</v>
      </c>
      <c r="J9" s="2686">
        <f>'2017 Sector View Gas'!S11</f>
        <v>2423883.8075999999</v>
      </c>
      <c r="K9" s="2687">
        <v>6535562.9704</v>
      </c>
      <c r="L9" s="2688"/>
    </row>
    <row r="10" spans="1:12" s="2689" customFormat="1">
      <c r="A10" s="2680"/>
      <c r="B10" s="2681" t="s">
        <v>444</v>
      </c>
      <c r="C10" s="2682"/>
      <c r="D10" s="2683"/>
      <c r="E10" s="2684" t="s">
        <v>186</v>
      </c>
      <c r="F10" s="2685"/>
      <c r="G10" s="3376">
        <f>'2017 Sector View Elect'!T9/1000</f>
        <v>571.29999999999995</v>
      </c>
      <c r="H10" s="2686">
        <f>'2017 Sector View Elect'!S9</f>
        <v>409536.99400000001</v>
      </c>
      <c r="I10" s="3374">
        <f>'2017 Sector View Gas'!T9</f>
        <v>0</v>
      </c>
      <c r="J10" s="2686">
        <f>'2017 Sector View Gas'!S9</f>
        <v>0</v>
      </c>
      <c r="K10" s="2687">
        <v>409536.99400000001</v>
      </c>
      <c r="L10" s="2688"/>
    </row>
    <row r="11" spans="1:12" s="2689" customFormat="1">
      <c r="A11" s="2680"/>
      <c r="B11" s="2681" t="s">
        <v>445</v>
      </c>
      <c r="C11" s="2682"/>
      <c r="D11" s="2683"/>
      <c r="E11" s="2684" t="s">
        <v>1655</v>
      </c>
      <c r="F11" s="2685"/>
      <c r="G11" s="3376">
        <f>'2017 Sector View Elect'!T8/1000</f>
        <v>3423.2020000000002</v>
      </c>
      <c r="H11" s="2686">
        <f>'2017 Sector View Elect'!S8</f>
        <v>2196429.5424000002</v>
      </c>
      <c r="I11" s="3374">
        <f>'2017 Sector View Gas'!T8</f>
        <v>0</v>
      </c>
      <c r="J11" s="2686">
        <f>'2017 Sector View Gas'!S8</f>
        <v>0</v>
      </c>
      <c r="K11" s="2687">
        <v>2196429.5424000002</v>
      </c>
      <c r="L11" s="2688"/>
    </row>
    <row r="12" spans="1:12" s="2689" customFormat="1">
      <c r="A12" s="2680"/>
      <c r="B12" s="2681" t="s">
        <v>446</v>
      </c>
      <c r="C12" s="2682"/>
      <c r="D12" s="2683"/>
      <c r="E12" s="2684" t="s">
        <v>68</v>
      </c>
      <c r="F12" s="2685"/>
      <c r="G12" s="3376">
        <f>'2017 Sector View Elect'!T12/1000</f>
        <v>10290.5</v>
      </c>
      <c r="H12" s="2686">
        <f>'2017 Sector View Elect'!S12</f>
        <v>5800717.4484000001</v>
      </c>
      <c r="I12" s="3374">
        <f>'2017 Sector View Gas'!T13</f>
        <v>46930</v>
      </c>
      <c r="J12" s="2686">
        <f>'2017 Sector View Gas'!S13</f>
        <v>16650</v>
      </c>
      <c r="K12" s="2687">
        <v>5817367.4484000001</v>
      </c>
      <c r="L12" s="2688"/>
    </row>
    <row r="13" spans="1:12" s="2689" customFormat="1">
      <c r="A13" s="2680"/>
      <c r="B13" s="2681" t="s">
        <v>447</v>
      </c>
      <c r="C13" s="2682"/>
      <c r="D13" s="2683"/>
      <c r="E13" s="2684" t="s">
        <v>292</v>
      </c>
      <c r="F13" s="2685"/>
      <c r="G13" s="3376">
        <f>'2017 Sector View Elect'!T15/1000</f>
        <v>2865.8249999999998</v>
      </c>
      <c r="H13" s="2686">
        <f>'2017 Sector View Elect'!S15</f>
        <v>1391893.8152000001</v>
      </c>
      <c r="I13" s="3374">
        <f>'2017 Sector View Gas'!T14</f>
        <v>0</v>
      </c>
      <c r="J13" s="2686">
        <f>'2017 Sector View Gas'!S14</f>
        <v>0</v>
      </c>
      <c r="K13" s="2687">
        <v>1391893.8152000001</v>
      </c>
      <c r="L13" s="2688"/>
    </row>
    <row r="14" spans="1:12" s="2689" customFormat="1">
      <c r="A14" s="2680"/>
      <c r="B14" s="2681" t="s">
        <v>326</v>
      </c>
      <c r="C14" s="2682"/>
      <c r="D14" s="2683"/>
      <c r="E14" s="2684" t="s">
        <v>345</v>
      </c>
      <c r="F14" s="2685"/>
      <c r="G14" s="3376">
        <f>'2017 Sector View Elect'!T17/1000</f>
        <v>848</v>
      </c>
      <c r="H14" s="2686">
        <f>'2017 Sector View Elect'!S17</f>
        <v>257066.27480000001</v>
      </c>
      <c r="I14" s="3374">
        <f>'2017 Sector View Gas'!T15</f>
        <v>34000</v>
      </c>
      <c r="J14" s="2686">
        <f>'2017 Sector View Gas'!S15</f>
        <v>203557.32988</v>
      </c>
      <c r="K14" s="2687">
        <v>460623.60467999999</v>
      </c>
      <c r="L14" s="2688"/>
    </row>
    <row r="15" spans="1:12" s="2689" customFormat="1">
      <c r="A15" s="2680"/>
      <c r="B15" s="2681" t="s">
        <v>448</v>
      </c>
      <c r="C15" s="2682"/>
      <c r="D15" s="2683"/>
      <c r="E15" s="2684" t="s">
        <v>187</v>
      </c>
      <c r="F15" s="2685"/>
      <c r="G15" s="3376">
        <f>'2017 Sector View Elect'!T13/1000</f>
        <v>4804.7380000000003</v>
      </c>
      <c r="H15" s="2686">
        <f>'2017 Sector View Elect'!S13</f>
        <v>656166.16200000001</v>
      </c>
      <c r="I15" s="3374">
        <f>'2017 Sector View Gas'!T12</f>
        <v>326630.76</v>
      </c>
      <c r="J15" s="2686">
        <f>'2017 Sector View Gas'!S12</f>
        <v>530225.64119999995</v>
      </c>
      <c r="K15" s="2687">
        <v>1186391.8032</v>
      </c>
      <c r="L15" s="2688"/>
    </row>
    <row r="16" spans="1:12" s="2689" customFormat="1">
      <c r="A16" s="2680"/>
      <c r="B16" s="2681" t="s">
        <v>449</v>
      </c>
      <c r="C16" s="2682"/>
      <c r="D16" s="2683"/>
      <c r="E16" s="2684" t="s">
        <v>188</v>
      </c>
      <c r="F16" s="2685"/>
      <c r="G16" s="3376">
        <f>'2017 Sector View Elect'!T10/1000</f>
        <v>3221.3863799999999</v>
      </c>
      <c r="H16" s="2686">
        <f>'2017 Sector View Elect'!S10</f>
        <v>1282885.8559999999</v>
      </c>
      <c r="I16" s="3374">
        <f>'2017 Sector View Gas'!T10</f>
        <v>391187.5</v>
      </c>
      <c r="J16" s="2686">
        <f>'2017 Sector View Gas'!S10</f>
        <v>2639722.1808000002</v>
      </c>
      <c r="K16" s="2687">
        <v>3922608.0367999999</v>
      </c>
      <c r="L16" s="2688"/>
    </row>
    <row r="17" spans="1:12" s="2689" customFormat="1">
      <c r="A17" s="2680"/>
      <c r="B17" s="2681" t="s">
        <v>450</v>
      </c>
      <c r="C17" s="2682"/>
      <c r="D17" s="2683"/>
      <c r="E17" s="2684" t="s">
        <v>192</v>
      </c>
      <c r="F17" s="2685"/>
      <c r="G17" s="3376">
        <f>'2017 Sector View Elect'!T16/1000</f>
        <v>0</v>
      </c>
      <c r="H17" s="2686">
        <f>'2017 Sector View Elect'!S16</f>
        <v>0</v>
      </c>
      <c r="I17" s="3374">
        <f>'2017 Sector View Gas'!T16</f>
        <v>0</v>
      </c>
      <c r="J17" s="2686">
        <f>'2017 Sector View Gas'!S16</f>
        <v>0</v>
      </c>
      <c r="K17" s="2687">
        <v>0</v>
      </c>
      <c r="L17" s="2688"/>
    </row>
    <row r="18" spans="1:12">
      <c r="A18" s="1787"/>
      <c r="B18" s="2284" t="s">
        <v>451</v>
      </c>
      <c r="C18" s="2266" t="s">
        <v>592</v>
      </c>
      <c r="D18" s="1233" t="s">
        <v>593</v>
      </c>
      <c r="E18" s="1197"/>
      <c r="F18" s="1198"/>
      <c r="G18" s="3372">
        <f>('2017 Sector View Elect'!T18+'2017 Sector View Elect'!T19+'2017 Sector View Elect'!T22)/1000</f>
        <v>2000.0000788</v>
      </c>
      <c r="H18" s="1654">
        <f>'2017 Sector View Elect'!S18+'2017 Sector View Elect'!S19+'2017 Sector View Elect'!S22</f>
        <v>795020.27600000007</v>
      </c>
      <c r="I18" s="3372">
        <f>'2017 Sector View Gas'!T18+'2017 Sector View Gas'!T17+'2017 Sector View Gas'!T20</f>
        <v>52630</v>
      </c>
      <c r="J18" s="1246">
        <f>'2017 Sector View Gas'!S18+'2017 Sector View Gas'!T17+'2017 Sector View Gas'!S20</f>
        <v>229125.53600000002</v>
      </c>
      <c r="K18" s="1657">
        <v>1024145.8120000002</v>
      </c>
    </row>
    <row r="19" spans="1:12">
      <c r="A19" s="1787"/>
      <c r="B19" s="2284" t="s">
        <v>452</v>
      </c>
      <c r="C19" s="2266">
        <v>216</v>
      </c>
      <c r="D19" s="652" t="s">
        <v>190</v>
      </c>
      <c r="E19" s="644"/>
      <c r="F19" s="627"/>
      <c r="G19" s="3373">
        <f>'2017 Sector View Elect'!T20/1000</f>
        <v>1896.7</v>
      </c>
      <c r="H19" s="1625">
        <f>'2017 Sector View Elect'!S20</f>
        <v>836904.45200000005</v>
      </c>
      <c r="I19" s="3373"/>
      <c r="J19" s="1246"/>
      <c r="K19" s="1657">
        <v>836904.45200000005</v>
      </c>
    </row>
    <row r="20" spans="1:12">
      <c r="A20" s="1787"/>
      <c r="B20" s="2284" t="s">
        <v>453</v>
      </c>
      <c r="C20" s="2266">
        <v>217</v>
      </c>
      <c r="D20" s="652" t="s">
        <v>191</v>
      </c>
      <c r="E20" s="644"/>
      <c r="F20" s="627"/>
      <c r="G20" s="3373">
        <f>'2017 Sector View Elect'!T21/1000</f>
        <v>19095.964</v>
      </c>
      <c r="H20" s="1625">
        <f>'2017 Sector View Elect'!S21</f>
        <v>10151098.704</v>
      </c>
      <c r="I20" s="3373">
        <f>'2017 Sector View Gas'!T19</f>
        <v>130945.8</v>
      </c>
      <c r="J20" s="1246">
        <f>'2017 Sector View Gas'!S19</f>
        <v>983826.09600000002</v>
      </c>
      <c r="K20" s="1657">
        <v>11134924.800000001</v>
      </c>
    </row>
    <row r="21" spans="1:12">
      <c r="A21" s="1787"/>
      <c r="B21" s="2285" t="s">
        <v>610</v>
      </c>
      <c r="C21" s="2268"/>
      <c r="D21" s="615" t="s">
        <v>193</v>
      </c>
      <c r="E21" s="615"/>
      <c r="F21" s="615"/>
      <c r="G21" s="3377">
        <f>G6+G7+SUM(G18:G20)</f>
        <v>128636.8015188</v>
      </c>
      <c r="H21" s="665">
        <f>H6+H7+SUM(H18:H20)</f>
        <v>45684186.461099997</v>
      </c>
      <c r="I21" s="3378">
        <f>I6+I7+SUM(I18:I20)</f>
        <v>1646670.32</v>
      </c>
      <c r="J21" s="665">
        <f>J6+J7+SUM(J18:J20)</f>
        <v>7311602.1690800013</v>
      </c>
      <c r="K21" s="1210">
        <v>52995788.630180001</v>
      </c>
    </row>
    <row r="22" spans="1:12">
      <c r="A22" s="1787"/>
      <c r="B22" s="2286"/>
      <c r="C22" s="1555"/>
      <c r="D22" s="1617"/>
      <c r="E22" s="1607"/>
      <c r="F22" s="1607"/>
      <c r="G22" s="1627"/>
      <c r="H22" s="1628"/>
      <c r="I22" s="1629"/>
      <c r="J22" s="1628"/>
      <c r="K22" s="1658"/>
    </row>
    <row r="23" spans="1:12" ht="15.75">
      <c r="A23" s="1787"/>
      <c r="B23" s="2890"/>
      <c r="C23" s="2891"/>
      <c r="D23" s="2892" t="s">
        <v>157</v>
      </c>
      <c r="E23" s="2892"/>
      <c r="F23" s="2892"/>
      <c r="G23" s="2893"/>
      <c r="H23" s="2893"/>
      <c r="I23" s="2893"/>
      <c r="J23" s="2893"/>
      <c r="K23" s="2894"/>
    </row>
    <row r="24" spans="1:12">
      <c r="A24" s="1787"/>
      <c r="B24" s="2288" t="s">
        <v>588</v>
      </c>
      <c r="C24" s="2267">
        <v>250</v>
      </c>
      <c r="D24" s="1197" t="s">
        <v>195</v>
      </c>
      <c r="E24" s="1197"/>
      <c r="F24" s="1198"/>
      <c r="G24" s="3383">
        <f>('2017 Sector View Elect'!T27+'2017 Sector View Elect'!T28)/1000</f>
        <v>65800</v>
      </c>
      <c r="H24" s="1244">
        <f>'2017 Sector View Elect'!S27+'2017 Sector View Elect'!S28</f>
        <v>18358483.155072663</v>
      </c>
      <c r="I24" s="3383">
        <f>'2017 Sector View Gas'!T25</f>
        <v>375000</v>
      </c>
      <c r="J24" s="1244">
        <f>'2017 Sector View Gas'!S25</f>
        <v>1801285.73</v>
      </c>
      <c r="K24" s="1659">
        <f t="array" ref="K24:K30">H24:H30+J24:J30</f>
        <v>20159768.885072663</v>
      </c>
    </row>
    <row r="25" spans="1:12">
      <c r="A25" s="1787"/>
      <c r="B25" s="2289" t="s">
        <v>455</v>
      </c>
      <c r="C25" s="2266">
        <v>251</v>
      </c>
      <c r="D25" s="644" t="s">
        <v>147</v>
      </c>
      <c r="E25" s="644"/>
      <c r="F25" s="627"/>
      <c r="G25" s="3384">
        <f>'2017 Sector View Elect'!T29/1000</f>
        <v>6981.03</v>
      </c>
      <c r="H25" s="1245">
        <f>'2017 Sector View Elect'!S29</f>
        <v>2037260</v>
      </c>
      <c r="I25" s="3384">
        <f>'2017 Sector View Gas'!T26</f>
        <v>165375</v>
      </c>
      <c r="J25" s="1245">
        <f>'2017 Sector View Gas'!S26</f>
        <v>663467.35</v>
      </c>
      <c r="K25" s="1660">
        <v>2700727.35</v>
      </c>
    </row>
    <row r="26" spans="1:12">
      <c r="A26" s="1787"/>
      <c r="B26" s="2288" t="s">
        <v>759</v>
      </c>
      <c r="C26" s="2266">
        <v>253</v>
      </c>
      <c r="D26" s="644" t="s">
        <v>748</v>
      </c>
      <c r="E26" s="644"/>
      <c r="F26" s="627"/>
      <c r="G26" s="3384">
        <f>'2017 Sector View Elect'!T30/1000</f>
        <v>30250</v>
      </c>
      <c r="H26" s="1245">
        <f>'2017 Sector View Elect'!S30</f>
        <v>1942498.9368</v>
      </c>
      <c r="I26" s="3384">
        <f>'2017 Sector View Gas'!T27</f>
        <v>550000</v>
      </c>
      <c r="J26" s="1245">
        <f>'2017 Sector View Gas'!S27</f>
        <v>508051.02159999998</v>
      </c>
      <c r="K26" s="1660">
        <v>2450549.9583999999</v>
      </c>
    </row>
    <row r="27" spans="1:12">
      <c r="A27" s="1787"/>
      <c r="B27" s="2288" t="s">
        <v>456</v>
      </c>
      <c r="C27" s="2266" t="s">
        <v>143</v>
      </c>
      <c r="D27" s="644" t="s">
        <v>196</v>
      </c>
      <c r="E27" s="644"/>
      <c r="F27" s="627"/>
      <c r="G27" s="3384">
        <f>'2017 Sector View Elect'!T34/1000</f>
        <v>31462.657999999999</v>
      </c>
      <c r="H27" s="1245">
        <f>'2017 Sector View Elect'!S34</f>
        <v>9935046.0064904131</v>
      </c>
      <c r="I27" s="3384"/>
      <c r="J27" s="1246"/>
      <c r="K27" s="1660">
        <v>9935046.0064904131</v>
      </c>
    </row>
    <row r="28" spans="1:12">
      <c r="A28" s="1787"/>
      <c r="B28" s="2289" t="s">
        <v>457</v>
      </c>
      <c r="C28" s="2298" t="s">
        <v>265</v>
      </c>
      <c r="D28" s="2049" t="s">
        <v>197</v>
      </c>
      <c r="E28" s="1199"/>
      <c r="F28" s="627"/>
      <c r="G28" s="3380">
        <f>'2017 Sector View Elect'!T37/1000</f>
        <v>0</v>
      </c>
      <c r="H28" s="1626">
        <f>'2017 Sector View Elect'!S37</f>
        <v>0</v>
      </c>
      <c r="I28" s="3373">
        <f>'2017 Sector View Gas'!T30</f>
        <v>0</v>
      </c>
      <c r="J28" s="1626">
        <f>'2017 Sector View Gas'!S30</f>
        <v>0</v>
      </c>
      <c r="K28" s="1656">
        <v>0</v>
      </c>
    </row>
    <row r="29" spans="1:12">
      <c r="A29" s="1787"/>
      <c r="B29" s="2288" t="s">
        <v>454</v>
      </c>
      <c r="C29" s="2299">
        <v>262</v>
      </c>
      <c r="D29" s="1195" t="s">
        <v>198</v>
      </c>
      <c r="E29" s="1195"/>
      <c r="F29" s="1196"/>
      <c r="G29" s="3385">
        <f>'2017 Sector View Elect'!T38/1000</f>
        <v>32040.134100000003</v>
      </c>
      <c r="H29" s="1247">
        <f>'2017 Sector View Elect'!S38</f>
        <v>7428158.4486100003</v>
      </c>
      <c r="I29" s="3385">
        <f>'2017 Sector View Gas'!T31</f>
        <v>688307.4</v>
      </c>
      <c r="J29" s="1247">
        <f>'2017 Sector View Gas'!S31</f>
        <v>1815622.5308999999</v>
      </c>
      <c r="K29" s="1660">
        <v>9243780.97951</v>
      </c>
    </row>
    <row r="30" spans="1:12">
      <c r="A30" s="1787"/>
      <c r="B30" s="2285" t="s">
        <v>458</v>
      </c>
      <c r="C30" s="2268"/>
      <c r="D30" s="615" t="s">
        <v>199</v>
      </c>
      <c r="E30" s="615"/>
      <c r="F30" s="615"/>
      <c r="G30" s="3377">
        <f>SUM(G24:G29)</f>
        <v>166533.82209999999</v>
      </c>
      <c r="H30" s="665">
        <f>SUM(H24:H29)</f>
        <v>39701446.546973079</v>
      </c>
      <c r="I30" s="3377">
        <f>SUM(I24:I29)</f>
        <v>1778682.4</v>
      </c>
      <c r="J30" s="665">
        <f>SUM(J24:J29)</f>
        <v>4788426.6325000003</v>
      </c>
      <c r="K30" s="1216">
        <v>44489873.17947308</v>
      </c>
    </row>
    <row r="31" spans="1:12">
      <c r="A31" s="1787"/>
      <c r="B31" s="2286"/>
      <c r="C31" s="1555"/>
      <c r="D31" s="1617"/>
      <c r="E31" s="1607"/>
      <c r="F31" s="1607"/>
      <c r="G31" s="1627"/>
      <c r="H31" s="1628"/>
      <c r="I31" s="1629"/>
      <c r="J31" s="1628"/>
      <c r="K31" s="1658"/>
    </row>
    <row r="32" spans="1:12" s="2177" customFormat="1" ht="15.75">
      <c r="A32" s="1787"/>
      <c r="B32" s="2901"/>
      <c r="C32" s="2902"/>
      <c r="D32" s="2903" t="s">
        <v>77</v>
      </c>
      <c r="E32" s="2903"/>
      <c r="F32" s="2903"/>
      <c r="G32" s="2904"/>
      <c r="H32" s="2904"/>
      <c r="I32" s="2904"/>
      <c r="J32" s="2904"/>
      <c r="K32" s="2905"/>
      <c r="L32" s="2153"/>
    </row>
    <row r="33" spans="1:12" s="2177" customFormat="1">
      <c r="A33" s="1787"/>
      <c r="B33" s="2291" t="s">
        <v>459</v>
      </c>
      <c r="C33" s="2274">
        <v>249</v>
      </c>
      <c r="D33" s="1618" t="s">
        <v>602</v>
      </c>
      <c r="E33" s="1618"/>
      <c r="F33" s="1618"/>
      <c r="G33" s="3386">
        <f>'2017 Sector View Elect'!T50/1000</f>
        <v>0</v>
      </c>
      <c r="H33" s="1235">
        <f>'2017 Sector View Elect'!S50</f>
        <v>0</v>
      </c>
      <c r="I33" s="3382">
        <f>'2017 Sector View Gas'!T42</f>
        <v>0</v>
      </c>
      <c r="J33" s="1645">
        <f>'2017 Sector View Gas'!S42</f>
        <v>0</v>
      </c>
      <c r="K33" s="1214">
        <f t="array" ref="K33:K35">H33:H35+J33:J35</f>
        <v>0</v>
      </c>
      <c r="L33" s="2153"/>
    </row>
    <row r="34" spans="1:12" s="2177" customFormat="1">
      <c r="A34" s="1787"/>
      <c r="B34" s="2292" t="s">
        <v>460</v>
      </c>
      <c r="C34" s="2275">
        <v>249</v>
      </c>
      <c r="D34" s="1238" t="s">
        <v>603</v>
      </c>
      <c r="E34" s="621"/>
      <c r="F34" s="621"/>
      <c r="G34" s="3387">
        <f>'2017 Sector View Elect'!T51/1000</f>
        <v>0</v>
      </c>
      <c r="H34" s="1234">
        <f>'2017 Sector View Elect'!S51</f>
        <v>0</v>
      </c>
      <c r="I34" s="3388">
        <f>'2017 Sector View Gas'!T43</f>
        <v>0</v>
      </c>
      <c r="J34" s="672">
        <f>'2017 Sector View Gas'!S43</f>
        <v>0</v>
      </c>
      <c r="K34" s="1237">
        <v>0</v>
      </c>
      <c r="L34" s="2153"/>
    </row>
    <row r="35" spans="1:12" s="2177" customFormat="1">
      <c r="A35" s="1787"/>
      <c r="B35" s="2285" t="s">
        <v>461</v>
      </c>
      <c r="C35" s="2268"/>
      <c r="D35" s="615" t="s">
        <v>613</v>
      </c>
      <c r="E35" s="615"/>
      <c r="F35" s="615"/>
      <c r="G35" s="3378">
        <f>SUM(G33:G34)</f>
        <v>0</v>
      </c>
      <c r="H35" s="2881">
        <f>SUM(H33:H34)</f>
        <v>0</v>
      </c>
      <c r="I35" s="3378">
        <f>SUM(I33:I34)</f>
        <v>0</v>
      </c>
      <c r="J35" s="2881">
        <f>SUM(J33:J34)</f>
        <v>0</v>
      </c>
      <c r="K35" s="1210">
        <v>0</v>
      </c>
      <c r="L35" s="2153"/>
    </row>
    <row r="36" spans="1:12" s="2177" customFormat="1">
      <c r="A36" s="1787"/>
      <c r="B36" s="2286"/>
      <c r="C36" s="1555"/>
      <c r="D36" s="1617"/>
      <c r="E36" s="1607"/>
      <c r="F36" s="1607"/>
      <c r="G36" s="1627"/>
      <c r="H36" s="1628"/>
      <c r="I36" s="1629"/>
      <c r="J36" s="1628"/>
      <c r="K36" s="1658"/>
      <c r="L36" s="2153"/>
    </row>
    <row r="37" spans="1:12" ht="15.75">
      <c r="A37" s="1787"/>
      <c r="B37" s="2290"/>
      <c r="C37" s="2273"/>
      <c r="D37" s="641" t="s">
        <v>158</v>
      </c>
      <c r="E37" s="641"/>
      <c r="F37" s="641"/>
      <c r="G37" s="666"/>
      <c r="H37" s="666"/>
      <c r="I37" s="666"/>
      <c r="J37" s="666"/>
      <c r="K37" s="1217"/>
    </row>
    <row r="38" spans="1:12" ht="15">
      <c r="A38" s="1787"/>
      <c r="B38" s="2291" t="s">
        <v>462</v>
      </c>
      <c r="C38" s="2274" t="s">
        <v>161</v>
      </c>
      <c r="D38" s="2636" t="s">
        <v>200</v>
      </c>
      <c r="E38" s="2636"/>
      <c r="F38" s="2636"/>
      <c r="G38" s="3379">
        <f>'2017 Sector View Elect'!T55/1000</f>
        <v>14016</v>
      </c>
      <c r="H38" s="1235">
        <f>'2017 Sector View Elect'!S55</f>
        <v>5200000</v>
      </c>
      <c r="I38" s="3382"/>
      <c r="J38" s="1240"/>
      <c r="K38" s="1214">
        <f t="array" ref="K38:K41">H38:H41+J38:J41</f>
        <v>5200000</v>
      </c>
    </row>
    <row r="39" spans="1:12" s="2177" customFormat="1">
      <c r="A39" s="1787"/>
      <c r="B39" s="2289" t="s">
        <v>463</v>
      </c>
      <c r="C39" s="2266"/>
      <c r="D39" s="652" t="s">
        <v>643</v>
      </c>
      <c r="E39" s="644"/>
      <c r="F39" s="627"/>
      <c r="G39" s="3380"/>
      <c r="H39" s="2773"/>
      <c r="I39" s="3380">
        <f>'2017 Sector View Gas'!T47</f>
        <v>37680</v>
      </c>
      <c r="J39" s="2831">
        <f>'2017 Sector View Gas'!S47</f>
        <v>1389079</v>
      </c>
      <c r="K39" s="1660">
        <v>1389079</v>
      </c>
    </row>
    <row r="40" spans="1:12" ht="15">
      <c r="A40" s="1787"/>
      <c r="B40" s="2292" t="s">
        <v>464</v>
      </c>
      <c r="C40" s="2275"/>
      <c r="D40" s="2632" t="s">
        <v>238</v>
      </c>
      <c r="E40" s="2633"/>
      <c r="F40" s="2634"/>
      <c r="G40" s="3381">
        <f>'2017 Sector View Elect'!T56/1000</f>
        <v>1500</v>
      </c>
      <c r="H40" s="2713">
        <f>'2017 Sector View Elect'!S56</f>
        <v>0</v>
      </c>
      <c r="I40" s="3381"/>
      <c r="J40" s="2635"/>
      <c r="K40" s="1237">
        <v>0</v>
      </c>
    </row>
    <row r="41" spans="1:12">
      <c r="A41" s="1787"/>
      <c r="B41" s="2285" t="s">
        <v>465</v>
      </c>
      <c r="C41" s="2268"/>
      <c r="D41" s="615" t="s">
        <v>201</v>
      </c>
      <c r="E41" s="615"/>
      <c r="F41" s="615"/>
      <c r="G41" s="3378">
        <f>SUM(G38:G40)</f>
        <v>15516</v>
      </c>
      <c r="H41" s="667">
        <f>SUM(H38:H40)</f>
        <v>5200000</v>
      </c>
      <c r="I41" s="3378">
        <f>SUM(I38:I40)</f>
        <v>37680</v>
      </c>
      <c r="J41" s="667">
        <f>SUM(J38:J40)</f>
        <v>1389079</v>
      </c>
      <c r="K41" s="1210">
        <v>6589079</v>
      </c>
    </row>
    <row r="42" spans="1:12">
      <c r="A42" s="1787"/>
      <c r="B42" s="2286"/>
      <c r="C42" s="1555"/>
      <c r="D42" s="1607"/>
      <c r="E42" s="1607"/>
      <c r="F42" s="1607"/>
      <c r="G42" s="1627"/>
      <c r="H42" s="1632"/>
      <c r="I42" s="1633"/>
      <c r="J42" s="1632"/>
      <c r="K42" s="1661"/>
    </row>
    <row r="43" spans="1:12">
      <c r="A43" s="1787"/>
      <c r="B43" s="2293"/>
      <c r="C43" s="2276"/>
      <c r="D43" s="621"/>
      <c r="E43" s="621"/>
      <c r="F43" s="621"/>
      <c r="G43" s="671"/>
      <c r="H43" s="672"/>
      <c r="I43" s="671"/>
      <c r="J43" s="672"/>
      <c r="K43" s="1590"/>
    </row>
    <row r="44" spans="1:12" ht="15.75">
      <c r="A44" s="1787"/>
      <c r="B44" s="2294"/>
      <c r="C44" s="2277"/>
      <c r="D44" s="642" t="s">
        <v>335</v>
      </c>
      <c r="E44" s="642"/>
      <c r="F44" s="642"/>
      <c r="G44" s="673"/>
      <c r="H44" s="673"/>
      <c r="I44" s="673"/>
      <c r="J44" s="673"/>
      <c r="K44" s="1231"/>
    </row>
    <row r="45" spans="1:12" s="1761" customFormat="1" ht="15.75">
      <c r="A45" s="2659"/>
      <c r="B45" s="2289" t="s">
        <v>466</v>
      </c>
      <c r="C45" s="2660"/>
      <c r="D45" s="2661" t="s">
        <v>202</v>
      </c>
      <c r="E45" s="2257"/>
      <c r="F45" s="2258"/>
      <c r="G45" s="2662"/>
      <c r="H45" s="1626">
        <f>H46+H47+H48+H49</f>
        <v>1919280.3953919997</v>
      </c>
      <c r="I45" s="1634"/>
      <c r="J45" s="1626">
        <f>J46+J47+J48+J49</f>
        <v>215712.09452399999</v>
      </c>
      <c r="K45" s="1657">
        <f t="array" ref="K45:K60">H45:H60+J45:J60</f>
        <v>2134992.4899159996</v>
      </c>
      <c r="L45" s="2153"/>
    </row>
    <row r="46" spans="1:12" s="2701" customFormat="1" ht="12">
      <c r="A46" s="2692"/>
      <c r="B46" s="2681" t="s">
        <v>467</v>
      </c>
      <c r="C46" s="2693"/>
      <c r="D46" s="2694"/>
      <c r="E46" s="2677" t="s">
        <v>203</v>
      </c>
      <c r="F46" s="2695"/>
      <c r="G46" s="2696"/>
      <c r="H46" s="2697">
        <f>'2017 Sector View Elect'!S61</f>
        <v>1163118.5159999998</v>
      </c>
      <c r="I46" s="2698"/>
      <c r="J46" s="2697">
        <f>'2017 Sector View Gas'!S52</f>
        <v>86419.793600000005</v>
      </c>
      <c r="K46" s="2699">
        <v>1249538.3095999998</v>
      </c>
      <c r="L46" s="2700"/>
    </row>
    <row r="47" spans="1:12" s="2701" customFormat="1" ht="12">
      <c r="A47" s="2692"/>
      <c r="B47" s="2681" t="s">
        <v>468</v>
      </c>
      <c r="C47" s="2693"/>
      <c r="D47" s="2694"/>
      <c r="E47" s="2702" t="s">
        <v>204</v>
      </c>
      <c r="F47" s="2677"/>
      <c r="G47" s="2696"/>
      <c r="H47" s="2697">
        <f>'2017 Sector View Elect'!S62</f>
        <v>647056.88525199995</v>
      </c>
      <c r="I47" s="2698"/>
      <c r="J47" s="2697">
        <f>'2017 Sector View Gas'!S53</f>
        <v>112307.47491999998</v>
      </c>
      <c r="K47" s="2699">
        <v>759364.3601719999</v>
      </c>
      <c r="L47" s="2700"/>
    </row>
    <row r="48" spans="1:12" s="2701" customFormat="1" ht="12">
      <c r="A48" s="2692"/>
      <c r="B48" s="2681" t="s">
        <v>469</v>
      </c>
      <c r="C48" s="2693"/>
      <c r="D48" s="2694"/>
      <c r="E48" s="2677" t="s">
        <v>357</v>
      </c>
      <c r="F48" s="2695"/>
      <c r="G48" s="2696"/>
      <c r="H48" s="2697">
        <f>'2017 Sector View Elect'!S63</f>
        <v>100304.99414</v>
      </c>
      <c r="I48" s="2698"/>
      <c r="J48" s="2697">
        <f>'2017 Sector View Gas'!S54</f>
        <v>16009.826004</v>
      </c>
      <c r="K48" s="2699">
        <v>116314.820144</v>
      </c>
      <c r="L48" s="2700"/>
    </row>
    <row r="49" spans="1:12" s="2701" customFormat="1" ht="12">
      <c r="A49" s="2692"/>
      <c r="B49" s="2681" t="s">
        <v>470</v>
      </c>
      <c r="C49" s="2693">
        <v>202</v>
      </c>
      <c r="D49" s="2694"/>
      <c r="E49" s="2677" t="s">
        <v>205</v>
      </c>
      <c r="F49" s="2695"/>
      <c r="G49" s="2696"/>
      <c r="H49" s="2697">
        <f>'2017 Sector View Elect'!S64</f>
        <v>8800</v>
      </c>
      <c r="I49" s="2703"/>
      <c r="J49" s="2697">
        <f>'2017 Sector View Gas'!S55</f>
        <v>975</v>
      </c>
      <c r="K49" s="2699">
        <v>9775</v>
      </c>
      <c r="L49" s="2700"/>
    </row>
    <row r="50" spans="1:12" s="1761" customFormat="1">
      <c r="A50" s="2659"/>
      <c r="B50" s="2289" t="s">
        <v>471</v>
      </c>
      <c r="C50" s="2663"/>
      <c r="D50" s="2023" t="s">
        <v>756</v>
      </c>
      <c r="E50" s="2023"/>
      <c r="F50" s="2025"/>
      <c r="G50" s="2664"/>
      <c r="H50" s="2665">
        <f>H51+H52+H53</f>
        <v>1050335.2464000001</v>
      </c>
      <c r="I50" s="1634"/>
      <c r="J50" s="2665">
        <f>J51+J52+J53</f>
        <v>161014.9216</v>
      </c>
      <c r="K50" s="1657">
        <v>1211350.1680000001</v>
      </c>
      <c r="L50" s="2153"/>
    </row>
    <row r="51" spans="1:12" s="2675" customFormat="1">
      <c r="A51" s="2666"/>
      <c r="B51" s="2667" t="s">
        <v>472</v>
      </c>
      <c r="C51" s="2668"/>
      <c r="D51" s="2676"/>
      <c r="E51" s="2677" t="s">
        <v>786</v>
      </c>
      <c r="F51" s="2669"/>
      <c r="G51" s="2670"/>
      <c r="H51" s="2671">
        <f>'2017 Sector View Elect'!S66</f>
        <v>588990</v>
      </c>
      <c r="I51" s="2672"/>
      <c r="J51" s="2671">
        <f>'2017 Sector View Gas'!S57</f>
        <v>88010</v>
      </c>
      <c r="K51" s="2673">
        <v>677000</v>
      </c>
      <c r="L51" s="2674"/>
    </row>
    <row r="52" spans="1:12" s="2675" customFormat="1">
      <c r="A52" s="2666"/>
      <c r="B52" s="2667" t="s">
        <v>473</v>
      </c>
      <c r="C52" s="2668"/>
      <c r="D52" s="2676"/>
      <c r="E52" s="2677" t="s">
        <v>341</v>
      </c>
      <c r="F52" s="2669"/>
      <c r="G52" s="2670"/>
      <c r="H52" s="2671">
        <f>'2017 Sector View Elect'!S67</f>
        <v>333268.8</v>
      </c>
      <c r="I52" s="2672"/>
      <c r="J52" s="2671">
        <f>'2017 Sector View Gas'!S58</f>
        <v>52802.240000000005</v>
      </c>
      <c r="K52" s="2673">
        <v>386071.03999999998</v>
      </c>
      <c r="L52" s="2674"/>
    </row>
    <row r="53" spans="1:12" s="2675" customFormat="1">
      <c r="A53" s="2666"/>
      <c r="B53" s="2667" t="s">
        <v>474</v>
      </c>
      <c r="C53" s="2668"/>
      <c r="D53" s="2676"/>
      <c r="E53" s="2677" t="s">
        <v>1636</v>
      </c>
      <c r="F53" s="2677"/>
      <c r="G53" s="2670"/>
      <c r="H53" s="2671">
        <f>'2017 Sector View Elect'!S68</f>
        <v>128076.44640000002</v>
      </c>
      <c r="I53" s="2672"/>
      <c r="J53" s="2671">
        <f>'2017 Sector View Gas'!S59</f>
        <v>20202.681600000004</v>
      </c>
      <c r="K53" s="2673">
        <v>148279.12800000003</v>
      </c>
      <c r="L53" s="2674"/>
    </row>
    <row r="54" spans="1:12" s="1761" customFormat="1">
      <c r="A54" s="2659"/>
      <c r="B54" s="2289" t="s">
        <v>475</v>
      </c>
      <c r="C54" s="2663"/>
      <c r="D54" s="2023" t="s">
        <v>1564</v>
      </c>
      <c r="E54" s="2026"/>
      <c r="F54" s="2774"/>
      <c r="G54" s="2664"/>
      <c r="H54" s="1626">
        <f>'2017 Sector View Elect'!S69</f>
        <v>681063.13008000003</v>
      </c>
      <c r="I54" s="1634"/>
      <c r="J54" s="1626">
        <f>'2017 Sector View Gas'!S60</f>
        <v>101768.05392000001</v>
      </c>
      <c r="K54" s="1657">
        <v>782831.18400000001</v>
      </c>
      <c r="L54" s="2153"/>
    </row>
    <row r="55" spans="1:12" s="1761" customFormat="1">
      <c r="A55" s="2659"/>
      <c r="B55" s="2289" t="s">
        <v>476</v>
      </c>
      <c r="C55" s="2663"/>
      <c r="D55" s="2023" t="s">
        <v>636</v>
      </c>
      <c r="E55" s="2026"/>
      <c r="F55" s="2774"/>
      <c r="G55" s="2664"/>
      <c r="H55" s="1626">
        <f>'2017 Sector View Elect'!S70</f>
        <v>310213.7928</v>
      </c>
      <c r="I55" s="1634"/>
      <c r="J55" s="1626">
        <f>'2017 Sector View Gas'!S61</f>
        <v>46635.231200000002</v>
      </c>
      <c r="K55" s="1657">
        <v>356849.02399999998</v>
      </c>
      <c r="L55" s="2153"/>
    </row>
    <row r="56" spans="1:12" s="2675" customFormat="1">
      <c r="A56" s="2666"/>
      <c r="B56" s="2667" t="s">
        <v>477</v>
      </c>
      <c r="C56" s="2668"/>
      <c r="D56" s="2026" t="s">
        <v>637</v>
      </c>
      <c r="F56" s="2677"/>
      <c r="G56" s="2670"/>
      <c r="H56" s="1626">
        <f>'2017 Sector View Elect'!S71</f>
        <v>891012.41940000001</v>
      </c>
      <c r="I56" s="1634"/>
      <c r="J56" s="1626">
        <f>'2017 Sector View Gas'!S62</f>
        <v>130488.12</v>
      </c>
      <c r="K56" s="1657">
        <v>1021500.5394</v>
      </c>
      <c r="L56" s="2674"/>
    </row>
    <row r="57" spans="1:12" s="1761" customFormat="1">
      <c r="A57" s="2659"/>
      <c r="B57" s="2289" t="s">
        <v>478</v>
      </c>
      <c r="C57" s="2663"/>
      <c r="D57" s="2022" t="s">
        <v>26</v>
      </c>
      <c r="E57" s="2022"/>
      <c r="F57" s="2022"/>
      <c r="G57" s="2664"/>
      <c r="H57" s="1626">
        <f>'2017 Sector View Elect'!S72</f>
        <v>926485.09987999999</v>
      </c>
      <c r="I57" s="1634"/>
      <c r="J57" s="1626">
        <f>'2017 Sector View Gas'!S63</f>
        <v>135757.79382799999</v>
      </c>
      <c r="K57" s="1657">
        <v>1062242.893708</v>
      </c>
      <c r="L57" s="2153"/>
    </row>
    <row r="58" spans="1:12" s="1761" customFormat="1">
      <c r="A58" s="2659"/>
      <c r="B58" s="2289" t="s">
        <v>479</v>
      </c>
      <c r="C58" s="2790"/>
      <c r="D58" s="2022" t="s">
        <v>206</v>
      </c>
      <c r="E58" s="2022"/>
      <c r="F58" s="2022"/>
      <c r="G58" s="1634"/>
      <c r="H58" s="1626">
        <f>'2017 Sector View Elect'!S73</f>
        <v>117661</v>
      </c>
      <c r="I58" s="1634"/>
      <c r="J58" s="1626">
        <f>'2017 Sector View Gas'!S64</f>
        <v>21015</v>
      </c>
      <c r="K58" s="1657">
        <v>138676</v>
      </c>
      <c r="L58" s="2153"/>
    </row>
    <row r="59" spans="1:12" s="1761" customFormat="1">
      <c r="A59" s="2659"/>
      <c r="B59" s="2793" t="s">
        <v>480</v>
      </c>
      <c r="C59" s="1974"/>
      <c r="D59" s="2777" t="s">
        <v>646</v>
      </c>
      <c r="E59" s="2708"/>
      <c r="F59" s="2794"/>
      <c r="G59" s="2775"/>
      <c r="H59" s="2665">
        <f>'2017 Sector View Elect'!S74</f>
        <v>-9584.2200000000303</v>
      </c>
      <c r="I59" s="2775"/>
      <c r="J59" s="2665">
        <f>'2017 Sector View Gas'!S65</f>
        <v>-9559.796800000011</v>
      </c>
      <c r="K59" s="2776">
        <v>-19144.016800000041</v>
      </c>
      <c r="L59" s="2153"/>
    </row>
    <row r="60" spans="1:12">
      <c r="A60" s="1787"/>
      <c r="B60" s="2285" t="s">
        <v>481</v>
      </c>
      <c r="C60" s="2268"/>
      <c r="D60" s="615" t="s">
        <v>207</v>
      </c>
      <c r="E60" s="615"/>
      <c r="F60" s="615"/>
      <c r="G60" s="657"/>
      <c r="H60" s="2881">
        <f>H45+H50+SUM(H54:H59)</f>
        <v>5886466.8639519997</v>
      </c>
      <c r="I60" s="668"/>
      <c r="J60" s="2881">
        <f>J45+J50+SUM(J54:J59)</f>
        <v>802831.41827199992</v>
      </c>
      <c r="K60" s="1210">
        <v>6689298.2822239995</v>
      </c>
    </row>
    <row r="61" spans="1:12">
      <c r="A61" s="1787"/>
      <c r="B61" s="2286"/>
      <c r="C61" s="1555"/>
      <c r="D61" s="1607"/>
      <c r="E61" s="1619"/>
      <c r="F61" s="1607"/>
      <c r="G61" s="1633"/>
      <c r="H61" s="1632"/>
      <c r="I61" s="1633"/>
      <c r="J61" s="1632"/>
      <c r="K61" s="1661"/>
    </row>
    <row r="62" spans="1:12" ht="15.75">
      <c r="A62" s="1787"/>
      <c r="B62" s="2287"/>
      <c r="C62" s="2269"/>
      <c r="D62" s="640" t="s">
        <v>334</v>
      </c>
      <c r="E62" s="640"/>
      <c r="F62" s="640"/>
      <c r="G62" s="662"/>
      <c r="H62" s="662"/>
      <c r="I62" s="662"/>
      <c r="J62" s="662"/>
      <c r="K62" s="1212"/>
    </row>
    <row r="63" spans="1:12">
      <c r="A63" s="1787"/>
      <c r="B63" s="2295" t="s">
        <v>482</v>
      </c>
      <c r="C63" s="2267"/>
      <c r="D63" s="1200" t="s">
        <v>27</v>
      </c>
      <c r="E63" s="1200"/>
      <c r="F63" s="1200"/>
      <c r="G63" s="1638"/>
      <c r="H63" s="1639">
        <f>'2017 Sector View Elect'!S78</f>
        <v>176087.64</v>
      </c>
      <c r="I63" s="1640"/>
      <c r="J63" s="1639">
        <f>'2017 Sector View Gas'!S69</f>
        <v>26311.951999999997</v>
      </c>
      <c r="K63" s="1659">
        <f t="array" ref="K63:K69">H63:H69+J63:J69</f>
        <v>202399.592</v>
      </c>
    </row>
    <row r="64" spans="1:12" ht="15">
      <c r="A64" s="1787"/>
      <c r="B64" s="2284" t="s">
        <v>483</v>
      </c>
      <c r="C64" s="2266"/>
      <c r="D64" s="1663" t="s">
        <v>32</v>
      </c>
      <c r="E64" s="1663"/>
      <c r="F64" s="1663"/>
      <c r="G64" s="1641"/>
      <c r="H64" s="1637">
        <f>'2017 Sector View Elect'!S79</f>
        <v>145549.03200000001</v>
      </c>
      <c r="I64" s="1636"/>
      <c r="J64" s="1639">
        <f>'2017 Sector View Gas'!S70</f>
        <v>21748.703999999998</v>
      </c>
      <c r="K64" s="1659">
        <v>167297.736</v>
      </c>
    </row>
    <row r="65" spans="1:12" s="2177" customFormat="1" ht="15">
      <c r="A65" s="1787"/>
      <c r="B65" s="2284" t="s">
        <v>484</v>
      </c>
      <c r="C65" s="2266"/>
      <c r="D65" s="1663" t="s">
        <v>356</v>
      </c>
      <c r="E65" s="1663"/>
      <c r="F65" s="1663"/>
      <c r="G65" s="1641"/>
      <c r="H65" s="2243">
        <f>'2017 Sector View Elect'!S80</f>
        <v>290966.2758</v>
      </c>
      <c r="I65" s="1634"/>
      <c r="J65" s="1626">
        <f>'2017 Sector View Gas'!S71</f>
        <v>43477.72419999999</v>
      </c>
      <c r="K65" s="1657">
        <v>334444</v>
      </c>
    </row>
    <row r="66" spans="1:12">
      <c r="A66" s="1787"/>
      <c r="B66" s="2295" t="s">
        <v>485</v>
      </c>
      <c r="C66" s="2266"/>
      <c r="D66" s="1663" t="s">
        <v>28</v>
      </c>
      <c r="E66" s="1663"/>
      <c r="F66" s="1663"/>
      <c r="G66" s="1635"/>
      <c r="H66" s="1642">
        <f>'2017 Sector View Elect'!S81</f>
        <v>1819411.2239999999</v>
      </c>
      <c r="I66" s="1636"/>
      <c r="J66" s="1643">
        <f>'2017 Sector View Gas'!S72</f>
        <v>271866.03840000002</v>
      </c>
      <c r="K66" s="1659">
        <v>2091277.2623999999</v>
      </c>
    </row>
    <row r="67" spans="1:12" s="2177" customFormat="1">
      <c r="A67" s="1787"/>
      <c r="B67" s="2284" t="s">
        <v>486</v>
      </c>
      <c r="C67" s="2278"/>
      <c r="D67" s="2130" t="s">
        <v>436</v>
      </c>
      <c r="E67" s="2150"/>
      <c r="F67" s="2151"/>
      <c r="G67" s="2148"/>
      <c r="H67" s="2132">
        <f>'2017 Sector View Elect'!S82</f>
        <v>100000</v>
      </c>
      <c r="I67" s="2149"/>
      <c r="J67" s="2147"/>
      <c r="K67" s="2152">
        <v>100000</v>
      </c>
    </row>
    <row r="68" spans="1:12" s="2140" customFormat="1">
      <c r="A68" s="1787"/>
      <c r="B68" s="2284" t="s">
        <v>487</v>
      </c>
      <c r="C68" s="2278"/>
      <c r="D68" s="2130" t="s">
        <v>267</v>
      </c>
      <c r="E68" s="2150"/>
      <c r="F68" s="2151"/>
      <c r="G68" s="2148"/>
      <c r="H68" s="2132">
        <f>'2017 Sector View Elect'!S83</f>
        <v>420919.56504000002</v>
      </c>
      <c r="I68" s="2149"/>
      <c r="J68" s="2147">
        <f>'2017 Sector View Gas'!S73</f>
        <v>112103.05392000001</v>
      </c>
      <c r="K68" s="2152">
        <v>533022.61895999999</v>
      </c>
    </row>
    <row r="69" spans="1:12">
      <c r="A69" s="1787"/>
      <c r="B69" s="2285" t="s">
        <v>488</v>
      </c>
      <c r="C69" s="2268"/>
      <c r="D69" s="615" t="s">
        <v>208</v>
      </c>
      <c r="E69" s="615"/>
      <c r="F69" s="615"/>
      <c r="G69" s="657"/>
      <c r="H69" s="667">
        <f>SUM(H63:H68)</f>
        <v>2952933.7368399994</v>
      </c>
      <c r="I69" s="668"/>
      <c r="J69" s="667">
        <f>SUM(J63:J68)</f>
        <v>475507.47251999995</v>
      </c>
      <c r="K69" s="1210">
        <v>3428441.2093599993</v>
      </c>
    </row>
    <row r="70" spans="1:12">
      <c r="A70" s="1787"/>
      <c r="B70" s="2293"/>
      <c r="C70" s="2276"/>
      <c r="D70" s="621"/>
      <c r="E70" s="621"/>
      <c r="F70" s="621"/>
      <c r="G70" s="671"/>
      <c r="H70" s="672"/>
      <c r="I70" s="671"/>
      <c r="J70" s="672"/>
      <c r="K70" s="1590"/>
    </row>
    <row r="71" spans="1:12" ht="15">
      <c r="A71" s="1787"/>
      <c r="B71" s="2300" t="s">
        <v>752</v>
      </c>
      <c r="C71" s="2279" t="s">
        <v>353</v>
      </c>
      <c r="D71" s="628"/>
      <c r="E71" s="629"/>
      <c r="F71" s="629"/>
      <c r="G71" s="683">
        <f>G21+G30+G35+G41</f>
        <v>310686.62361879996</v>
      </c>
      <c r="H71" s="2884">
        <f>H21+H30+H35+H41+H60+H69</f>
        <v>99425033.608865067</v>
      </c>
      <c r="I71" s="683">
        <f>I21+I30+I35+I41</f>
        <v>3463032.7199999997</v>
      </c>
      <c r="J71" s="2884">
        <f>J21+J30+J35+J41+J60+J69</f>
        <v>14767446.692372</v>
      </c>
      <c r="K71" s="1232">
        <f>H71+J71</f>
        <v>114192480.30123706</v>
      </c>
    </row>
    <row r="72" spans="1:12">
      <c r="A72" s="1787"/>
      <c r="B72" s="2293"/>
      <c r="C72" s="2276"/>
      <c r="D72" s="621"/>
      <c r="E72" s="621"/>
      <c r="F72" s="621"/>
      <c r="G72" s="684"/>
      <c r="H72" s="672"/>
      <c r="I72" s="671"/>
      <c r="J72" s="672"/>
      <c r="K72" s="1590"/>
    </row>
    <row r="73" spans="1:12" ht="15.75">
      <c r="A73" s="1787"/>
      <c r="B73" s="2296"/>
      <c r="C73" s="2280"/>
      <c r="D73" s="2017" t="s">
        <v>168</v>
      </c>
      <c r="E73" s="643"/>
      <c r="F73" s="643"/>
      <c r="G73" s="685"/>
      <c r="H73" s="685"/>
      <c r="I73" s="685"/>
      <c r="J73" s="685"/>
      <c r="K73" s="1222"/>
    </row>
    <row r="74" spans="1:12">
      <c r="A74" s="1787"/>
      <c r="B74" s="2789" t="s">
        <v>489</v>
      </c>
      <c r="C74" s="2274" t="s">
        <v>209</v>
      </c>
      <c r="D74" s="1618" t="s">
        <v>3</v>
      </c>
      <c r="E74" s="1621"/>
      <c r="F74" s="1620"/>
      <c r="G74" s="1644"/>
      <c r="H74" s="1645">
        <f>'2017 Sector View Elect'!S87</f>
        <v>959776.03119999997</v>
      </c>
      <c r="I74" s="1646"/>
      <c r="J74" s="1630"/>
      <c r="K74" s="1214">
        <f t="array" ref="K74:K76">H74:H76+J74:J76</f>
        <v>959776.03119999997</v>
      </c>
    </row>
    <row r="75" spans="1:12" s="2177" customFormat="1">
      <c r="A75" s="1787"/>
      <c r="B75" s="2295" t="s">
        <v>490</v>
      </c>
      <c r="C75" s="2267" t="s">
        <v>640</v>
      </c>
      <c r="D75" s="625" t="s">
        <v>641</v>
      </c>
      <c r="E75" s="1229"/>
      <c r="F75" s="624"/>
      <c r="G75" s="1638"/>
      <c r="H75" s="2787">
        <f>'2017 Sector View Elect'!S88</f>
        <v>0</v>
      </c>
      <c r="I75" s="2788"/>
      <c r="J75" s="1654"/>
      <c r="K75" s="2772">
        <v>0</v>
      </c>
    </row>
    <row r="76" spans="1:12">
      <c r="A76" s="1787"/>
      <c r="B76" s="2285" t="s">
        <v>491</v>
      </c>
      <c r="C76" s="2268"/>
      <c r="D76" s="631" t="s">
        <v>211</v>
      </c>
      <c r="E76" s="632"/>
      <c r="F76" s="633"/>
      <c r="G76" s="668"/>
      <c r="H76" s="667">
        <f>SUM(H74:H75)</f>
        <v>959776.03119999997</v>
      </c>
      <c r="I76" s="668"/>
      <c r="J76" s="667"/>
      <c r="K76" s="1210">
        <v>959776.03119999997</v>
      </c>
    </row>
    <row r="77" spans="1:12" ht="13.5" thickBot="1">
      <c r="A77" s="1787"/>
      <c r="B77" s="2281"/>
      <c r="C77" s="2281"/>
      <c r="D77" s="1597"/>
      <c r="E77" s="1597"/>
      <c r="F77" s="1597"/>
      <c r="G77" s="1600"/>
      <c r="H77" s="1601"/>
      <c r="I77" s="1600"/>
      <c r="J77" s="1601"/>
      <c r="K77" s="1662"/>
    </row>
    <row r="78" spans="1:12">
      <c r="B78" s="2283"/>
      <c r="C78" s="1555"/>
      <c r="D78" s="1607"/>
      <c r="E78" s="1607"/>
      <c r="F78" s="1607"/>
      <c r="G78" s="1647" t="s">
        <v>7</v>
      </c>
      <c r="H78" s="1632"/>
      <c r="I78" s="1633"/>
      <c r="J78" s="1632"/>
      <c r="K78" s="1632"/>
    </row>
    <row r="79" spans="1:12">
      <c r="C79" s="1555"/>
      <c r="D79" s="621"/>
      <c r="E79" s="621"/>
      <c r="F79" s="621"/>
      <c r="G79" s="671"/>
      <c r="H79" s="672"/>
      <c r="I79" s="671"/>
      <c r="J79" s="672"/>
      <c r="K79" s="672"/>
    </row>
    <row r="80" spans="1:12" ht="15">
      <c r="B80" s="2259" t="s">
        <v>492</v>
      </c>
      <c r="C80" s="3301"/>
      <c r="D80" s="3444" t="s">
        <v>332</v>
      </c>
      <c r="E80" s="3445"/>
      <c r="F80" s="3446"/>
      <c r="G80" s="3471">
        <f>G71</f>
        <v>310686.62361879996</v>
      </c>
      <c r="H80" s="3464">
        <f>H71+H76</f>
        <v>100384809.64006507</v>
      </c>
      <c r="I80" s="3465">
        <f>I71</f>
        <v>3463032.7199999997</v>
      </c>
      <c r="J80" s="3464">
        <f>J71+J76</f>
        <v>14767446.692372</v>
      </c>
      <c r="K80" s="3466">
        <f>H80+J80</f>
        <v>115152256.33243707</v>
      </c>
      <c r="L80" s="1607"/>
    </row>
    <row r="81" spans="2:12" s="2177" customFormat="1" ht="15">
      <c r="B81" s="2259"/>
      <c r="C81" s="3301"/>
      <c r="D81" s="3451"/>
      <c r="E81" s="3452"/>
      <c r="F81" s="3452"/>
      <c r="G81" s="3467">
        <f>G80/8760</f>
        <v>35.466509545525106</v>
      </c>
      <c r="H81" s="3468"/>
      <c r="I81" s="3469"/>
      <c r="J81" s="3468"/>
      <c r="K81" s="3470"/>
      <c r="L81" s="1607"/>
    </row>
    <row r="82" spans="2:12" s="2177" customFormat="1" ht="15">
      <c r="B82" s="2872"/>
      <c r="C82" s="635"/>
      <c r="D82" s="1622"/>
      <c r="E82" s="1622"/>
      <c r="F82" s="1622"/>
      <c r="G82" s="1648"/>
      <c r="H82" s="1649"/>
      <c r="I82" s="1650"/>
      <c r="J82" s="1649"/>
      <c r="K82" s="1651"/>
    </row>
    <row r="83" spans="2:12" s="2195" customFormat="1" ht="15" customHeight="1">
      <c r="B83" s="2872" t="s">
        <v>753</v>
      </c>
      <c r="C83" s="2729"/>
      <c r="D83" s="3589" t="s">
        <v>1790</v>
      </c>
      <c r="E83" s="3590"/>
      <c r="F83" s="3590"/>
      <c r="G83" s="3457">
        <f>G80-(G38+G35)</f>
        <v>296670.62361879996</v>
      </c>
      <c r="H83" s="3459"/>
      <c r="I83" s="3460">
        <f>I80-(I39+I35)</f>
        <v>3425352.7199999997</v>
      </c>
      <c r="J83" s="3459"/>
      <c r="K83" s="3461"/>
      <c r="L83" s="1330"/>
    </row>
    <row r="84" spans="2:12" s="2195" customFormat="1" ht="15" customHeight="1">
      <c r="B84" s="2872"/>
      <c r="C84" s="2729"/>
      <c r="D84" s="3591"/>
      <c r="E84" s="3592"/>
      <c r="F84" s="3592"/>
      <c r="G84" s="3458">
        <f>G83/8760</f>
        <v>33.866509545525112</v>
      </c>
      <c r="H84" s="3462"/>
      <c r="I84" s="3462"/>
      <c r="J84" s="3462"/>
      <c r="K84" s="3463"/>
      <c r="L84" s="1330"/>
    </row>
    <row r="85" spans="2:12" s="2195" customFormat="1" ht="15" customHeight="1">
      <c r="B85" s="2872"/>
      <c r="C85" s="2729"/>
      <c r="D85" s="2730"/>
      <c r="E85" s="2730"/>
      <c r="F85" s="2730"/>
      <c r="G85" s="2714"/>
      <c r="H85" s="1242"/>
      <c r="I85" s="1243"/>
      <c r="J85" s="1242"/>
      <c r="K85" s="1242"/>
      <c r="L85" s="1330"/>
    </row>
    <row r="86" spans="2:12">
      <c r="B86" s="2259" t="s">
        <v>754</v>
      </c>
      <c r="E86" s="2887" t="s">
        <v>212</v>
      </c>
      <c r="F86" s="2886"/>
      <c r="G86" s="2885"/>
      <c r="H86" s="2882">
        <f>(H35+H60)/H71</f>
        <v>5.9205077939517466E-2</v>
      </c>
      <c r="I86" s="699"/>
      <c r="J86" s="2883">
        <f>(J35+J60)/J71</f>
        <v>5.4364944393988958E-2</v>
      </c>
      <c r="K86" s="1652"/>
    </row>
    <row r="87" spans="2:12">
      <c r="B87" s="2259"/>
      <c r="E87" s="2177"/>
      <c r="F87" s="2177" t="s">
        <v>333</v>
      </c>
      <c r="G87" s="1652"/>
      <c r="H87" s="1653"/>
      <c r="I87" s="1652"/>
      <c r="J87" s="1653"/>
      <c r="K87" s="1652"/>
    </row>
    <row r="88" spans="2:12">
      <c r="B88" s="2259"/>
      <c r="E88" s="2177"/>
      <c r="F88" s="2177" t="s">
        <v>242</v>
      </c>
      <c r="G88" s="1652"/>
      <c r="H88" s="1653"/>
      <c r="I88" s="1652"/>
      <c r="J88" s="1653"/>
      <c r="K88" s="1652"/>
    </row>
    <row r="89" spans="2:12">
      <c r="B89" s="2259"/>
      <c r="E89" s="2235"/>
      <c r="F89" s="2235"/>
      <c r="G89" s="2236"/>
      <c r="H89" s="1653"/>
      <c r="I89" s="1652"/>
      <c r="J89" s="1653"/>
      <c r="K89" s="1652"/>
    </row>
    <row r="90" spans="2:12">
      <c r="B90" s="2259" t="s">
        <v>493</v>
      </c>
      <c r="E90" s="2888" t="s">
        <v>351</v>
      </c>
      <c r="F90" s="2814"/>
      <c r="G90" s="2814"/>
      <c r="H90" s="700">
        <f>SUM(H66:H68)/(H21+H30)</f>
        <v>2.7408952848293876E-2</v>
      </c>
      <c r="I90" s="699"/>
      <c r="J90" s="2691">
        <f>SUM(J66:J68)/(J21+J30)</f>
        <v>3.1732907302655516E-2</v>
      </c>
      <c r="K90" s="1652"/>
    </row>
    <row r="91" spans="2:12">
      <c r="B91" s="2765"/>
      <c r="E91" s="2177"/>
      <c r="F91" s="1762" t="s">
        <v>352</v>
      </c>
      <c r="G91" s="2177"/>
      <c r="H91" s="2177"/>
      <c r="I91" s="2177"/>
      <c r="J91" s="2177"/>
    </row>
    <row r="99" spans="8:8">
      <c r="H99" s="1655"/>
    </row>
  </sheetData>
  <customSheetViews>
    <customSheetView guid="{074EB09C-6289-46D7-9513-012B68BCA7BF}" showGridLines="0">
      <pageMargins left="0.28000000000000003" right="0.3" top="0.75" bottom="0.75" header="0.3" footer="0.3"/>
      <pageSetup paperSize="17" scale="80" orientation="portrait" r:id="rId1"/>
      <headerFooter>
        <oddFooter>&amp;R&amp;G</oddFooter>
      </headerFooter>
    </customSheetView>
    <customSheetView guid="{D9EFFE19-D14B-4C6F-BDF4-FF696F73968D}" showGridLines="0" topLeftCell="A25">
      <pageMargins left="0.28000000000000003" right="0.3" top="0.75" bottom="0.75" header="0.3" footer="0.3"/>
      <pageSetup paperSize="17" scale="80" orientation="portrait" r:id="rId2"/>
      <headerFooter>
        <oddFooter>&amp;R&amp;G</oddFooter>
      </headerFooter>
    </customSheetView>
  </customSheetViews>
  <mergeCells count="1">
    <mergeCell ref="D83:F84"/>
  </mergeCells>
  <hyperlinks>
    <hyperlink ref="G3" location="'2017 Sector View Elect'!A1" display="MWh Savings"/>
    <hyperlink ref="H3" location="'2017 Sector View Elect'!A1" display="Electric Rider Budget"/>
    <hyperlink ref="I3" location="'2017 Sector View Gas'!A1" display="Therm Savings"/>
    <hyperlink ref="J3" location="'2017 Sector View Gas'!A1" display="Gas Rider Budget"/>
  </hyperlinks>
  <pageMargins left="0.28000000000000003" right="0.3" top="0.75" bottom="0.75" header="0.3" footer="0.3"/>
  <pageSetup paperSize="3" scale="80" orientation="portrait" r:id="rId3"/>
  <headerFooter>
    <oddFooter>&amp;R&amp;G</oddFooter>
  </headerFooter>
  <ignoredErrors>
    <ignoredError sqref="C28" numberStoredAsText="1"/>
    <ignoredError sqref="I80" formula="1"/>
    <ignoredError sqref="G7:J8 I21:J21 I27:J28 G41:J41 I14:J17 I19:J20 K24:K38 I30 J69 K63:K74 J90 J80 H83" emptyCellReference="1"/>
  </ignoredErrors>
  <drawing r:id="rId4"/>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S69"/>
  <sheetViews>
    <sheetView showGridLines="0" workbookViewId="0">
      <pane xSplit="1" ySplit="1" topLeftCell="B2" activePane="bottomRight" state="frozen"/>
      <selection pane="topRight" activeCell="B1" sqref="B1"/>
      <selection pane="bottomLeft" activeCell="A2" sqref="A2"/>
      <selection pane="bottomRight" activeCell="E48" sqref="E48"/>
    </sheetView>
  </sheetViews>
  <sheetFormatPr defaultRowHeight="12.75"/>
  <cols>
    <col min="1" max="1" width="18.28515625" customWidth="1"/>
    <col min="2" max="2" width="16.140625" style="1866" customWidth="1"/>
    <col min="3" max="3" width="29" customWidth="1"/>
    <col min="4" max="4" width="23.85546875" customWidth="1"/>
    <col min="5" max="5" width="21" customWidth="1"/>
    <col min="6" max="6" width="18.7109375" customWidth="1"/>
    <col min="7" max="16" width="16.7109375" customWidth="1"/>
    <col min="17" max="17" width="26.42578125" customWidth="1"/>
    <col min="18" max="18" width="16.85546875" customWidth="1"/>
    <col min="19" max="19" width="13.7109375" bestFit="1" customWidth="1"/>
  </cols>
  <sheetData>
    <row r="1" spans="1:19" ht="57" customHeight="1">
      <c r="A1" s="1164"/>
      <c r="C1" s="1812" t="s">
        <v>159</v>
      </c>
      <c r="D1" s="1812" t="s">
        <v>270</v>
      </c>
      <c r="E1" s="1812" t="s">
        <v>25</v>
      </c>
      <c r="F1" s="1880">
        <v>18230421</v>
      </c>
      <c r="G1" s="1812" t="s">
        <v>5</v>
      </c>
      <c r="J1" s="1164"/>
      <c r="K1" s="1164"/>
      <c r="L1" s="1164"/>
      <c r="M1" s="1812" t="s">
        <v>159</v>
      </c>
      <c r="N1" s="1812" t="s">
        <v>270</v>
      </c>
      <c r="O1" s="1812" t="s">
        <v>25</v>
      </c>
      <c r="P1" s="1880">
        <v>18230421</v>
      </c>
      <c r="Q1" s="1812" t="s">
        <v>5</v>
      </c>
    </row>
    <row r="2" spans="1:19" ht="16.5" thickBot="1">
      <c r="A2" s="1164"/>
      <c r="D2" s="609"/>
      <c r="E2" s="1800"/>
      <c r="F2" s="1800"/>
      <c r="G2" s="1165"/>
      <c r="H2" s="1576" t="s">
        <v>674</v>
      </c>
      <c r="I2" s="1866"/>
      <c r="J2" s="1866"/>
      <c r="K2" s="1866"/>
      <c r="L2" s="1866"/>
      <c r="M2" s="1866"/>
      <c r="N2" s="1866"/>
      <c r="O2" s="1866"/>
      <c r="P2" s="1866"/>
      <c r="Q2" s="1866"/>
      <c r="R2" s="1868"/>
    </row>
    <row r="3" spans="1:19" s="2006" customFormat="1" ht="26.25" thickBot="1">
      <c r="A3" s="1808" t="s">
        <v>159</v>
      </c>
      <c r="B3" s="1808"/>
      <c r="D3" s="1791"/>
      <c r="E3" s="1791"/>
      <c r="F3" s="1791"/>
      <c r="H3" s="2036" t="s">
        <v>8</v>
      </c>
      <c r="I3" s="2037" t="s">
        <v>9</v>
      </c>
      <c r="J3" s="2037" t="s">
        <v>10</v>
      </c>
      <c r="K3" s="2037" t="s">
        <v>11</v>
      </c>
      <c r="L3" s="2037" t="s">
        <v>504</v>
      </c>
      <c r="M3" s="2037" t="s">
        <v>12</v>
      </c>
      <c r="N3" s="2037" t="s">
        <v>13</v>
      </c>
      <c r="O3" s="2037" t="s">
        <v>14</v>
      </c>
      <c r="P3" s="2037" t="s">
        <v>15</v>
      </c>
      <c r="Q3" s="2037" t="s">
        <v>39</v>
      </c>
      <c r="R3" s="2037" t="s">
        <v>16</v>
      </c>
      <c r="S3" s="2038" t="s">
        <v>40</v>
      </c>
    </row>
    <row r="4" spans="1:19" ht="15.75">
      <c r="A4" s="1808" t="s">
        <v>270</v>
      </c>
      <c r="B4" s="1808"/>
      <c r="C4" s="1164"/>
      <c r="D4" s="1165"/>
      <c r="E4" s="1806"/>
      <c r="F4" s="1806"/>
      <c r="G4" s="1704" t="s">
        <v>668</v>
      </c>
      <c r="H4" s="2003">
        <v>0</v>
      </c>
      <c r="I4" s="2002">
        <v>0</v>
      </c>
      <c r="J4" s="2002">
        <v>0</v>
      </c>
      <c r="K4" s="2002">
        <v>0</v>
      </c>
      <c r="L4" s="2002">
        <v>0</v>
      </c>
      <c r="M4" s="2002">
        <v>1431577</v>
      </c>
      <c r="N4" s="2002">
        <v>0</v>
      </c>
      <c r="O4" s="2002">
        <v>0</v>
      </c>
      <c r="P4" s="2002">
        <v>3340345</v>
      </c>
      <c r="Q4" s="2002"/>
      <c r="R4" s="2002">
        <v>4771922</v>
      </c>
      <c r="S4" s="2044">
        <v>22338000</v>
      </c>
    </row>
    <row r="5" spans="1:19">
      <c r="A5" s="1808" t="s">
        <v>25</v>
      </c>
      <c r="B5" s="1808"/>
      <c r="C5" s="1164"/>
      <c r="D5" s="1164"/>
      <c r="E5" s="1866"/>
      <c r="F5" s="1866"/>
      <c r="G5" s="18">
        <v>2016</v>
      </c>
      <c r="H5" s="1582">
        <f>D15</f>
        <v>0</v>
      </c>
      <c r="I5" s="1549">
        <f>D21</f>
        <v>0</v>
      </c>
      <c r="J5" s="1549">
        <f>D27</f>
        <v>0</v>
      </c>
      <c r="K5" s="1549">
        <f>D34</f>
        <v>0</v>
      </c>
      <c r="L5" s="1549">
        <f>D40</f>
        <v>0</v>
      </c>
      <c r="M5" s="1549">
        <f>D46</f>
        <v>1560000</v>
      </c>
      <c r="N5" s="1549">
        <f>D52</f>
        <v>0</v>
      </c>
      <c r="O5" s="1549">
        <f>D58</f>
        <v>0</v>
      </c>
      <c r="P5" s="1549">
        <f>D64</f>
        <v>3640000</v>
      </c>
      <c r="Q5" s="1549"/>
      <c r="R5" s="1549">
        <f>SUM(H5:P5)</f>
        <v>5200000</v>
      </c>
      <c r="S5" s="2045">
        <f>I20</f>
        <v>8760000</v>
      </c>
    </row>
    <row r="6" spans="1:19" ht="16.5" thickBot="1">
      <c r="A6" s="1880">
        <v>18230421</v>
      </c>
      <c r="B6" s="1880"/>
      <c r="C6" s="1302"/>
      <c r="D6" s="1164"/>
      <c r="E6" s="1866"/>
      <c r="F6" s="1866"/>
      <c r="G6" s="18">
        <v>2017</v>
      </c>
      <c r="H6" s="57">
        <f>E15</f>
        <v>0</v>
      </c>
      <c r="I6" s="1990">
        <f>E21</f>
        <v>0</v>
      </c>
      <c r="J6" s="1989">
        <f>E27</f>
        <v>0</v>
      </c>
      <c r="K6" s="58">
        <f>E34</f>
        <v>0</v>
      </c>
      <c r="L6" s="58">
        <f>E40</f>
        <v>0</v>
      </c>
      <c r="M6" s="58">
        <f>E46</f>
        <v>1560000</v>
      </c>
      <c r="N6" s="58">
        <f>E52</f>
        <v>0</v>
      </c>
      <c r="O6" s="58">
        <f>E58</f>
        <v>0</v>
      </c>
      <c r="P6" s="58">
        <f>E64</f>
        <v>3640000</v>
      </c>
      <c r="Q6" s="58"/>
      <c r="R6" s="58">
        <f>SUM(H6:P6)</f>
        <v>5200000</v>
      </c>
      <c r="S6" s="2046">
        <f>J20</f>
        <v>14016000</v>
      </c>
    </row>
    <row r="7" spans="1:19" ht="13.5" thickBot="1">
      <c r="A7" s="1808" t="s">
        <v>5</v>
      </c>
      <c r="B7" s="1978"/>
      <c r="C7" s="18"/>
      <c r="D7" s="18"/>
      <c r="E7" s="1862"/>
      <c r="F7" s="1862"/>
      <c r="G7" s="1843" t="s">
        <v>23</v>
      </c>
      <c r="H7" s="1564">
        <f>SUM(H5:H6)</f>
        <v>0</v>
      </c>
      <c r="I7" s="1991">
        <f t="shared" ref="I7:P7" si="0">SUM(I5:I6)</f>
        <v>0</v>
      </c>
      <c r="J7" s="1992">
        <f t="shared" si="0"/>
        <v>0</v>
      </c>
      <c r="K7" s="1993">
        <f t="shared" si="0"/>
        <v>0</v>
      </c>
      <c r="L7" s="1991">
        <f t="shared" si="0"/>
        <v>0</v>
      </c>
      <c r="M7" s="1992">
        <f t="shared" si="0"/>
        <v>3120000</v>
      </c>
      <c r="N7" s="1991">
        <f t="shared" si="0"/>
        <v>0</v>
      </c>
      <c r="O7" s="1992">
        <f t="shared" si="0"/>
        <v>0</v>
      </c>
      <c r="P7" s="1993">
        <f t="shared" si="0"/>
        <v>7280000</v>
      </c>
      <c r="Q7" s="1993"/>
      <c r="R7" s="1991">
        <f>SUM(R5:R6)</f>
        <v>10400000</v>
      </c>
      <c r="S7" s="2870">
        <f>SUM(S5:S6)</f>
        <v>22776000</v>
      </c>
    </row>
    <row r="8" spans="1:19">
      <c r="B8" s="1808"/>
      <c r="C8" s="18"/>
      <c r="D8" s="18"/>
    </row>
    <row r="9" spans="1:19">
      <c r="A9" s="1819"/>
      <c r="B9" s="1819"/>
      <c r="C9" s="18"/>
      <c r="D9" s="18"/>
    </row>
    <row r="10" spans="1:19">
      <c r="A10" s="1822"/>
      <c r="B10" s="1822"/>
      <c r="C10" s="1915" t="s">
        <v>329</v>
      </c>
      <c r="D10" s="1915"/>
      <c r="E10" s="1915"/>
      <c r="F10" s="1915"/>
    </row>
    <row r="11" spans="1:19" ht="25.5">
      <c r="A11" s="1822"/>
      <c r="B11" s="1822"/>
      <c r="C11" s="1866"/>
      <c r="D11" s="1866"/>
      <c r="E11" s="1867"/>
      <c r="F11" s="1866"/>
      <c r="G11" s="1164"/>
      <c r="H11" s="1164"/>
      <c r="I11" s="1164"/>
      <c r="J11" s="1164"/>
      <c r="K11" s="1164"/>
      <c r="L11" s="1164"/>
      <c r="M11" s="1164"/>
      <c r="N11" s="21" t="s">
        <v>20</v>
      </c>
      <c r="O11" s="1164"/>
      <c r="P11" s="1164"/>
    </row>
    <row r="12" spans="1:19" ht="15.75">
      <c r="A12" s="1822"/>
      <c r="B12" s="1865"/>
      <c r="C12" s="1887" t="s">
        <v>314</v>
      </c>
      <c r="D12" s="1924">
        <f>D15+D21+D27+D34+D40+D46+D52+D58+D64</f>
        <v>5200000</v>
      </c>
      <c r="E12" s="1948">
        <f>E15+E21+E27+E34+E40+E46+E52+E58+E64</f>
        <v>5200000</v>
      </c>
      <c r="F12" s="1924">
        <f>D12+E12</f>
        <v>10400000</v>
      </c>
      <c r="G12" s="2717" t="s">
        <v>617</v>
      </c>
      <c r="I12" s="1164"/>
      <c r="J12" s="1164"/>
      <c r="K12" s="1164"/>
      <c r="L12" s="1164"/>
      <c r="M12" s="1164"/>
      <c r="N12" s="21" t="s">
        <v>21</v>
      </c>
      <c r="O12" s="1164"/>
      <c r="P12" s="1164"/>
    </row>
    <row r="13" spans="1:19" ht="15.75">
      <c r="A13" s="21"/>
      <c r="B13" s="1863"/>
      <c r="C13" s="1947"/>
      <c r="D13" s="1866"/>
      <c r="E13" s="1787"/>
      <c r="F13" s="1866"/>
      <c r="G13" s="1297"/>
      <c r="H13" s="1297"/>
      <c r="I13" s="1164"/>
      <c r="J13" s="1164"/>
      <c r="K13" s="1164"/>
      <c r="L13" s="1164"/>
      <c r="M13" s="1164"/>
      <c r="N13" s="1164"/>
      <c r="O13" s="1164"/>
      <c r="P13" s="1164"/>
    </row>
    <row r="14" spans="1:19" ht="15.75">
      <c r="A14" s="29"/>
      <c r="B14" s="1863"/>
      <c r="C14" s="1888" t="s">
        <v>45</v>
      </c>
      <c r="D14" s="1969">
        <v>2016</v>
      </c>
      <c r="E14" s="1970">
        <v>2017</v>
      </c>
      <c r="F14" s="1950" t="s">
        <v>23</v>
      </c>
      <c r="G14" s="30"/>
      <c r="H14" s="30"/>
      <c r="I14" s="18"/>
      <c r="J14" s="18"/>
      <c r="K14" s="18"/>
      <c r="L14" s="18"/>
      <c r="M14" s="18"/>
      <c r="N14" s="18"/>
      <c r="O14" s="18"/>
      <c r="P14" s="18"/>
    </row>
    <row r="15" spans="1:19" ht="15.75">
      <c r="A15" s="29"/>
      <c r="B15" s="1886" t="s">
        <v>312</v>
      </c>
      <c r="C15" s="1910" t="s">
        <v>46</v>
      </c>
      <c r="D15" s="1911">
        <f>SUM(D16:D19)</f>
        <v>0</v>
      </c>
      <c r="E15" s="1926">
        <f>SUM(E16:E19)</f>
        <v>0</v>
      </c>
      <c r="F15" s="1924">
        <f>SUM(D15:E15)</f>
        <v>0</v>
      </c>
      <c r="G15" s="30"/>
      <c r="H15" s="30"/>
      <c r="I15" s="18"/>
      <c r="J15" s="18"/>
      <c r="K15" s="18"/>
      <c r="L15" s="18"/>
      <c r="M15" s="18"/>
      <c r="N15" s="18"/>
      <c r="O15" s="18"/>
      <c r="P15" s="18"/>
    </row>
    <row r="16" spans="1:19">
      <c r="A16" s="21"/>
      <c r="B16" s="1885"/>
      <c r="C16" s="1876"/>
      <c r="D16" s="1907"/>
      <c r="E16" s="1906"/>
      <c r="F16" s="1879">
        <f>SUM(D16:E16)</f>
        <v>0</v>
      </c>
      <c r="G16" s="1164"/>
      <c r="H16" s="1164"/>
      <c r="I16" s="1164"/>
      <c r="J16" s="1164"/>
      <c r="K16" s="1164"/>
      <c r="L16" s="1164"/>
      <c r="M16" s="1164"/>
      <c r="N16" s="1164"/>
      <c r="O16" s="1164"/>
      <c r="P16" s="1164"/>
    </row>
    <row r="17" spans="1:16" ht="15.75" customHeight="1">
      <c r="A17" s="21"/>
      <c r="B17" s="1885"/>
      <c r="C17" s="1876"/>
      <c r="D17" s="1905"/>
      <c r="E17" s="1904"/>
      <c r="F17" s="1891">
        <f>SUM(D17:E17)</f>
        <v>0</v>
      </c>
      <c r="G17" s="1164"/>
      <c r="H17" s="1164"/>
      <c r="I17" s="1164"/>
      <c r="J17" s="1164"/>
      <c r="K17" s="1166"/>
      <c r="L17" s="1166"/>
      <c r="M17" s="1166"/>
      <c r="N17" s="1166"/>
      <c r="O17" s="1164"/>
      <c r="P17" s="1164"/>
    </row>
    <row r="18" spans="1:16" ht="15.75">
      <c r="A18" s="21"/>
      <c r="B18" s="1885"/>
      <c r="C18" s="1876"/>
      <c r="D18" s="1905"/>
      <c r="E18" s="1904"/>
      <c r="F18" s="1891">
        <f>SUM(D18:E18)</f>
        <v>0</v>
      </c>
      <c r="G18" s="1164"/>
      <c r="H18" s="1164"/>
      <c r="I18" s="3630" t="s">
        <v>251</v>
      </c>
      <c r="J18" s="3631"/>
      <c r="K18" s="1297"/>
      <c r="L18" s="1297"/>
      <c r="M18" s="1297"/>
      <c r="N18" s="1297"/>
      <c r="O18" s="1164"/>
      <c r="P18" s="1164"/>
    </row>
    <row r="19" spans="1:16">
      <c r="A19" s="21"/>
      <c r="B19" s="1885"/>
      <c r="C19" s="1876"/>
      <c r="D19" s="1903"/>
      <c r="E19" s="1902"/>
      <c r="F19" s="1891">
        <f>SUM(D19:E19)</f>
        <v>0</v>
      </c>
      <c r="G19" s="1164"/>
      <c r="H19" s="1164"/>
      <c r="I19" s="9">
        <v>2016</v>
      </c>
      <c r="J19" s="9">
        <v>2017</v>
      </c>
      <c r="K19" s="1164"/>
      <c r="L19" s="1164"/>
      <c r="M19" s="1164"/>
      <c r="N19" s="1164"/>
      <c r="O19" s="1164"/>
      <c r="P19" s="1164"/>
    </row>
    <row r="20" spans="1:16">
      <c r="A20" s="21"/>
      <c r="B20" s="1908">
        <f>SUM(B16:B19)</f>
        <v>0</v>
      </c>
      <c r="C20" s="1952"/>
      <c r="D20" s="1954"/>
      <c r="E20" s="1955"/>
      <c r="F20" s="1957"/>
      <c r="G20" s="1164"/>
      <c r="H20" s="1164"/>
      <c r="I20" s="1298">
        <v>8760000</v>
      </c>
      <c r="J20" s="1298">
        <v>14016000</v>
      </c>
      <c r="K20" s="1164"/>
      <c r="L20" s="1164"/>
      <c r="M20" s="1164"/>
      <c r="N20" s="1164"/>
      <c r="O20" s="1164"/>
      <c r="P20" s="1164"/>
    </row>
    <row r="21" spans="1:16">
      <c r="A21" s="29"/>
      <c r="B21" s="1865"/>
      <c r="C21" s="1910" t="s">
        <v>47</v>
      </c>
      <c r="D21" s="1911">
        <v>0</v>
      </c>
      <c r="E21" s="1926">
        <v>0</v>
      </c>
      <c r="F21" s="1924">
        <v>0</v>
      </c>
      <c r="G21" s="18"/>
      <c r="H21" s="18"/>
      <c r="I21" s="18"/>
      <c r="J21" s="18"/>
      <c r="K21" s="18"/>
      <c r="L21" s="18"/>
      <c r="M21" s="18"/>
      <c r="N21" s="18"/>
      <c r="O21" s="18"/>
      <c r="P21" s="18"/>
    </row>
    <row r="22" spans="1:16">
      <c r="A22" s="21"/>
      <c r="B22" s="1865"/>
      <c r="C22" s="1876"/>
      <c r="D22" s="1907"/>
      <c r="E22" s="1906"/>
      <c r="F22" s="1879">
        <v>0</v>
      </c>
      <c r="G22" s="1164"/>
      <c r="H22" s="1164"/>
      <c r="I22" s="1164"/>
      <c r="J22" s="1164"/>
      <c r="K22" s="1164"/>
      <c r="L22" s="1164"/>
      <c r="M22" s="1164"/>
      <c r="N22" s="1164"/>
      <c r="O22" s="1164"/>
      <c r="P22" s="1164"/>
    </row>
    <row r="23" spans="1:16">
      <c r="A23" s="21"/>
      <c r="B23" s="1865"/>
      <c r="C23" s="1876"/>
      <c r="D23" s="1900"/>
      <c r="E23" s="1899"/>
      <c r="F23" s="1891">
        <v>0</v>
      </c>
      <c r="G23" s="1164"/>
      <c r="H23" s="1164"/>
      <c r="I23" s="1164"/>
      <c r="J23" s="1164"/>
      <c r="K23" s="1164"/>
      <c r="L23" s="1164"/>
      <c r="M23" s="1164"/>
      <c r="N23" s="1164"/>
      <c r="O23" s="1164"/>
      <c r="P23" s="1164"/>
    </row>
    <row r="24" spans="1:16">
      <c r="A24" s="21"/>
      <c r="B24" s="1865"/>
      <c r="C24" s="1876"/>
      <c r="D24" s="1898"/>
      <c r="E24" s="1897"/>
      <c r="F24" s="1891">
        <v>0</v>
      </c>
      <c r="G24" s="1164"/>
      <c r="H24" s="1164"/>
      <c r="I24" s="1164"/>
      <c r="J24" s="1164"/>
      <c r="K24" s="1164"/>
      <c r="L24" s="1164"/>
      <c r="M24" s="1164"/>
      <c r="N24" s="1164"/>
      <c r="O24" s="1164"/>
      <c r="P24" s="1164"/>
    </row>
    <row r="25" spans="1:16">
      <c r="A25" s="21"/>
      <c r="B25" s="1865"/>
      <c r="C25" s="1876"/>
      <c r="D25" s="1896"/>
      <c r="E25" s="1899"/>
      <c r="F25" s="1891">
        <v>0</v>
      </c>
      <c r="G25" s="1164"/>
      <c r="H25" s="1164"/>
      <c r="I25" s="1164"/>
      <c r="J25" s="1164"/>
      <c r="K25" s="1164"/>
      <c r="L25" s="1164"/>
      <c r="M25" s="1164"/>
      <c r="N25" s="1164"/>
      <c r="O25" s="1164"/>
      <c r="P25" s="1164"/>
    </row>
    <row r="26" spans="1:16">
      <c r="A26" s="21"/>
      <c r="B26" s="1865"/>
      <c r="C26" s="1877"/>
      <c r="D26" s="1892"/>
      <c r="E26" s="1884"/>
      <c r="F26" s="1892"/>
      <c r="G26" s="1164"/>
      <c r="H26" s="1164"/>
      <c r="I26" s="1164"/>
      <c r="J26" s="1164"/>
      <c r="K26" s="1164"/>
      <c r="L26" s="1164"/>
      <c r="M26" s="1164"/>
      <c r="N26" s="1164"/>
      <c r="O26" s="1164"/>
      <c r="P26" s="1164"/>
    </row>
    <row r="27" spans="1:16">
      <c r="A27" s="21"/>
      <c r="B27" s="1801"/>
      <c r="C27" s="1910" t="s">
        <v>48</v>
      </c>
      <c r="D27" s="1911">
        <f>SUM(D29:D31)</f>
        <v>0</v>
      </c>
      <c r="E27" s="1926">
        <f>SUM(E29:E31)</f>
        <v>0</v>
      </c>
      <c r="F27" s="1924">
        <f>SUM(D27:E27)</f>
        <v>0</v>
      </c>
      <c r="G27" s="1164"/>
      <c r="H27" s="1164"/>
      <c r="I27" s="1164"/>
      <c r="J27" s="1164"/>
      <c r="K27" s="1164"/>
      <c r="L27" s="1164"/>
      <c r="M27" s="1164"/>
      <c r="N27" s="1164"/>
      <c r="O27" s="1164"/>
      <c r="P27" s="1164"/>
    </row>
    <row r="28" spans="1:16">
      <c r="A28" s="547"/>
      <c r="B28" s="1865"/>
      <c r="C28" s="1909" t="s">
        <v>315</v>
      </c>
      <c r="D28" s="1912">
        <v>0.66700000000000004</v>
      </c>
      <c r="E28" s="1913">
        <v>0.69599999999999995</v>
      </c>
      <c r="F28" s="1949"/>
      <c r="G28" s="38"/>
      <c r="H28" s="1164"/>
      <c r="I28" s="1164"/>
      <c r="J28" s="1164"/>
      <c r="K28" s="1164"/>
      <c r="L28" s="1164"/>
      <c r="M28" s="1164"/>
      <c r="N28" s="1164"/>
      <c r="O28" s="1164"/>
      <c r="P28" s="1164"/>
    </row>
    <row r="29" spans="1:16">
      <c r="A29" s="21"/>
      <c r="B29" s="1863"/>
      <c r="C29" s="1876"/>
      <c r="D29" s="1971"/>
      <c r="E29" s="1972"/>
      <c r="F29" s="1891">
        <f>SUM(D29:E29)</f>
        <v>0</v>
      </c>
      <c r="G29" s="1164"/>
      <c r="H29" s="1164"/>
      <c r="I29" s="1164"/>
      <c r="J29" s="1164"/>
      <c r="K29" s="1164"/>
      <c r="L29" s="1164"/>
      <c r="M29" s="1164"/>
      <c r="N29" s="1164"/>
      <c r="O29" s="1164"/>
      <c r="P29" s="1164"/>
    </row>
    <row r="30" spans="1:16">
      <c r="A30" s="29"/>
      <c r="B30" s="1865"/>
      <c r="C30" s="1876"/>
      <c r="D30" s="1973"/>
      <c r="E30" s="1972"/>
      <c r="F30" s="1891">
        <f>SUM(D30:E30)</f>
        <v>0</v>
      </c>
      <c r="G30" s="18"/>
      <c r="H30" s="18"/>
      <c r="I30" s="18"/>
      <c r="J30" s="18"/>
      <c r="K30" s="18"/>
      <c r="L30" s="18"/>
      <c r="M30" s="18"/>
      <c r="N30" s="18"/>
      <c r="O30" s="18"/>
      <c r="P30" s="18"/>
    </row>
    <row r="31" spans="1:16">
      <c r="A31" s="21"/>
      <c r="B31" s="1865"/>
      <c r="C31" s="1901"/>
      <c r="D31" s="1898"/>
      <c r="E31" s="1897"/>
      <c r="F31" s="1889"/>
      <c r="G31" s="1164"/>
      <c r="H31" s="1164"/>
      <c r="I31" s="1164"/>
      <c r="J31" s="1164"/>
      <c r="K31" s="1164"/>
      <c r="L31" s="1164"/>
      <c r="M31" s="1164"/>
      <c r="N31" s="1164"/>
      <c r="O31" s="1164"/>
      <c r="P31" s="1164"/>
    </row>
    <row r="32" spans="1:16">
      <c r="A32" s="21"/>
      <c r="B32" s="1865"/>
      <c r="C32" s="1901"/>
      <c r="D32" s="1896"/>
      <c r="E32" s="1899"/>
      <c r="F32" s="1890"/>
      <c r="G32" s="1164"/>
      <c r="H32" s="1164"/>
      <c r="I32" s="1164"/>
      <c r="J32" s="1164"/>
      <c r="K32" s="1164"/>
      <c r="L32" s="1164"/>
      <c r="M32" s="1164"/>
      <c r="N32" s="1164"/>
      <c r="O32" s="1164"/>
      <c r="P32" s="1164"/>
    </row>
    <row r="33" spans="1:16">
      <c r="A33" s="21"/>
      <c r="B33" s="1865"/>
      <c r="C33" s="1952"/>
      <c r="D33" s="1958"/>
      <c r="E33" s="1955"/>
      <c r="F33" s="1958"/>
      <c r="G33" s="1164"/>
      <c r="H33" s="1164"/>
      <c r="I33" s="1164"/>
      <c r="J33" s="1164"/>
      <c r="K33" s="1164"/>
      <c r="L33" s="1164"/>
      <c r="M33" s="1164"/>
      <c r="N33" s="1164"/>
      <c r="O33" s="1164"/>
      <c r="P33" s="1164"/>
    </row>
    <row r="34" spans="1:16" ht="16.5" customHeight="1">
      <c r="A34" s="3632" t="s">
        <v>159</v>
      </c>
      <c r="B34" s="1865"/>
      <c r="C34" s="1910" t="s">
        <v>49</v>
      </c>
      <c r="D34" s="1911">
        <v>0</v>
      </c>
      <c r="E34" s="1926">
        <v>0</v>
      </c>
      <c r="F34" s="1924">
        <v>0</v>
      </c>
      <c r="G34" s="1164"/>
      <c r="H34" s="1164"/>
      <c r="I34" s="1164"/>
      <c r="J34" s="1164"/>
      <c r="K34" s="1164"/>
      <c r="L34" s="1164"/>
      <c r="M34" s="1164"/>
      <c r="N34" s="1164"/>
      <c r="O34" s="1164"/>
      <c r="P34" s="1164"/>
    </row>
    <row r="35" spans="1:16">
      <c r="A35" s="3632"/>
      <c r="B35" s="1865"/>
      <c r="C35" s="1876"/>
      <c r="D35" s="1971"/>
      <c r="E35" s="1988"/>
      <c r="F35" s="1891">
        <v>0</v>
      </c>
      <c r="G35" s="1164"/>
      <c r="H35" s="1164"/>
      <c r="I35" s="1164"/>
      <c r="J35" s="1164"/>
      <c r="K35" s="1164"/>
      <c r="L35" s="1164"/>
      <c r="M35" s="1164"/>
      <c r="N35" s="1164"/>
      <c r="O35" s="1164"/>
      <c r="P35" s="1164"/>
    </row>
    <row r="36" spans="1:16">
      <c r="B36" s="1865"/>
      <c r="C36" s="1876"/>
      <c r="D36" s="1971"/>
      <c r="E36" s="1988"/>
      <c r="F36" s="1891">
        <v>0</v>
      </c>
      <c r="G36" s="1164"/>
      <c r="H36" s="1164"/>
      <c r="I36" s="1164"/>
      <c r="J36" s="1164"/>
      <c r="K36" s="1164"/>
      <c r="L36" s="1164"/>
      <c r="M36" s="1164"/>
      <c r="N36" s="1164"/>
      <c r="O36" s="1164"/>
      <c r="P36" s="1164"/>
    </row>
    <row r="37" spans="1:16">
      <c r="A37" s="1808" t="s">
        <v>270</v>
      </c>
      <c r="B37" s="1865"/>
      <c r="C37" s="1876"/>
      <c r="D37" s="1971"/>
      <c r="E37" s="1988"/>
      <c r="F37" s="1891">
        <v>0</v>
      </c>
      <c r="G37" s="1164"/>
      <c r="H37" s="1164"/>
      <c r="I37" s="1164"/>
      <c r="J37" s="1164"/>
      <c r="K37" s="1164"/>
      <c r="L37" s="1164"/>
      <c r="M37" s="1164"/>
      <c r="N37" s="1164"/>
      <c r="O37" s="1164"/>
      <c r="P37" s="1164"/>
    </row>
    <row r="38" spans="1:16">
      <c r="A38" s="1808" t="s">
        <v>25</v>
      </c>
      <c r="B38" s="1865"/>
      <c r="C38" s="1876"/>
      <c r="D38" s="1971"/>
      <c r="E38" s="1988"/>
      <c r="F38" s="1891">
        <v>0</v>
      </c>
      <c r="G38" s="1164"/>
      <c r="H38" s="1164"/>
      <c r="I38" s="1164"/>
      <c r="J38" s="1164"/>
      <c r="K38" s="1164"/>
      <c r="L38" s="1164"/>
      <c r="M38" s="1164"/>
      <c r="N38" s="1164"/>
      <c r="O38" s="1164"/>
      <c r="P38" s="1164"/>
    </row>
    <row r="39" spans="1:16">
      <c r="A39" s="1880">
        <v>18230421</v>
      </c>
      <c r="B39" s="1865"/>
      <c r="C39" s="1952"/>
      <c r="D39" s="1958"/>
      <c r="E39" s="1955"/>
      <c r="F39" s="1958"/>
      <c r="G39" s="1164"/>
      <c r="H39" s="1164"/>
      <c r="I39" s="1164"/>
      <c r="J39" s="1164"/>
      <c r="K39" s="1164"/>
      <c r="L39" s="1164"/>
      <c r="M39" s="1164"/>
      <c r="N39" s="1164"/>
      <c r="O39" s="1164"/>
      <c r="P39" s="1164"/>
    </row>
    <row r="40" spans="1:16">
      <c r="A40" s="1808" t="s">
        <v>5</v>
      </c>
      <c r="B40" s="1865"/>
      <c r="C40" s="2106" t="s">
        <v>506</v>
      </c>
      <c r="D40" s="1911">
        <f>SUM(D41:D44)</f>
        <v>0</v>
      </c>
      <c r="E40" s="1926">
        <f>SUM(E41:E44)</f>
        <v>0</v>
      </c>
      <c r="F40" s="1924">
        <f t="shared" ref="F40:F56" si="1">SUM(D40:E40)</f>
        <v>0</v>
      </c>
      <c r="G40" s="1164"/>
      <c r="H40" s="1164"/>
      <c r="I40" s="1164"/>
      <c r="J40" s="1164"/>
      <c r="K40" s="1164"/>
      <c r="L40" s="1164"/>
      <c r="M40" s="1164"/>
      <c r="N40" s="1164"/>
      <c r="O40" s="1164"/>
      <c r="P40" s="1164"/>
    </row>
    <row r="41" spans="1:16">
      <c r="A41" s="21"/>
      <c r="B41" s="1865"/>
      <c r="C41" s="1876"/>
      <c r="D41" s="1971"/>
      <c r="E41" s="1988"/>
      <c r="F41" s="1891">
        <f t="shared" si="1"/>
        <v>0</v>
      </c>
      <c r="G41" s="1164"/>
      <c r="H41" s="1164"/>
      <c r="I41" s="1164"/>
      <c r="J41" s="1164"/>
      <c r="K41" s="1164"/>
      <c r="L41" s="1164"/>
      <c r="M41" s="1164"/>
      <c r="N41" s="1164"/>
      <c r="O41" s="1164"/>
      <c r="P41" s="1164"/>
    </row>
    <row r="42" spans="1:16">
      <c r="A42" s="21"/>
      <c r="B42" s="1865"/>
      <c r="C42" s="1876"/>
      <c r="D42" s="1971"/>
      <c r="E42" s="1988"/>
      <c r="F42" s="1891">
        <f t="shared" si="1"/>
        <v>0</v>
      </c>
      <c r="G42" s="1164"/>
      <c r="H42" s="1164"/>
      <c r="I42" s="1164"/>
      <c r="J42" s="1164"/>
      <c r="K42" s="1164"/>
      <c r="L42" s="1164"/>
      <c r="M42" s="1164"/>
      <c r="N42" s="1164"/>
      <c r="O42" s="1164"/>
      <c r="P42" s="1164"/>
    </row>
    <row r="43" spans="1:16">
      <c r="A43" s="21"/>
      <c r="B43" s="1865"/>
      <c r="C43" s="1876"/>
      <c r="D43" s="1971"/>
      <c r="E43" s="1988"/>
      <c r="F43" s="1891">
        <f t="shared" si="1"/>
        <v>0</v>
      </c>
      <c r="G43" s="1164"/>
      <c r="H43" s="1164"/>
      <c r="I43" s="1164"/>
      <c r="J43" s="1164"/>
      <c r="K43" s="1164"/>
      <c r="L43" s="1164"/>
      <c r="M43" s="1164"/>
      <c r="N43" s="1164"/>
      <c r="O43" s="1164"/>
      <c r="P43" s="1164"/>
    </row>
    <row r="44" spans="1:16">
      <c r="A44" s="21"/>
      <c r="B44" s="1865"/>
      <c r="C44" s="1876"/>
      <c r="D44" s="1971"/>
      <c r="E44" s="1988"/>
      <c r="F44" s="1891">
        <f t="shared" si="1"/>
        <v>0</v>
      </c>
      <c r="G44" s="1164"/>
      <c r="H44" s="1164"/>
      <c r="I44" s="1164"/>
      <c r="J44" s="1164"/>
      <c r="K44" s="1164"/>
      <c r="L44" s="1164"/>
      <c r="M44" s="1164"/>
      <c r="N44" s="1164"/>
      <c r="O44" s="1164"/>
      <c r="P44" s="1164"/>
    </row>
    <row r="45" spans="1:16">
      <c r="A45" s="21"/>
      <c r="B45" s="1865"/>
      <c r="C45" s="1952"/>
      <c r="D45" s="1958"/>
      <c r="E45" s="1955"/>
      <c r="F45" s="1958"/>
      <c r="G45" s="1164"/>
      <c r="H45" s="1164"/>
      <c r="I45" s="1164"/>
      <c r="J45" s="1164"/>
      <c r="K45" s="1164"/>
      <c r="L45" s="1164"/>
      <c r="M45" s="1164"/>
      <c r="N45" s="1164"/>
      <c r="O45" s="1164"/>
      <c r="P45" s="1164"/>
    </row>
    <row r="46" spans="1:16">
      <c r="A46" s="21"/>
      <c r="B46" s="1865"/>
      <c r="C46" s="1910" t="s">
        <v>50</v>
      </c>
      <c r="D46" s="1911">
        <f>SUM(D47:D50)</f>
        <v>1560000</v>
      </c>
      <c r="E46" s="1926">
        <f>SUM(E47:E50)</f>
        <v>1560000</v>
      </c>
      <c r="F46" s="1924">
        <f t="shared" si="1"/>
        <v>3120000</v>
      </c>
      <c r="G46" s="1164"/>
      <c r="H46" s="1164"/>
      <c r="I46" s="1164"/>
      <c r="J46" s="1164"/>
      <c r="K46" s="1164"/>
      <c r="L46" s="1164"/>
      <c r="M46" s="1164"/>
      <c r="N46" s="1164"/>
      <c r="O46" s="1164"/>
      <c r="P46" s="1164"/>
    </row>
    <row r="47" spans="1:16">
      <c r="A47" s="21"/>
      <c r="B47" s="1865"/>
      <c r="C47" s="1876"/>
      <c r="D47" s="1971">
        <v>1560000</v>
      </c>
      <c r="E47" s="1988">
        <v>1560000</v>
      </c>
      <c r="F47" s="1891">
        <f t="shared" si="1"/>
        <v>3120000</v>
      </c>
      <c r="G47" s="1164"/>
      <c r="H47" s="1164"/>
      <c r="I47" s="1164"/>
      <c r="J47" s="1164"/>
      <c r="K47" s="1164"/>
      <c r="L47" s="1164"/>
      <c r="M47" s="1164"/>
      <c r="N47" s="1164"/>
      <c r="O47" s="1164"/>
      <c r="P47" s="1164"/>
    </row>
    <row r="48" spans="1:16">
      <c r="A48" s="21"/>
      <c r="B48" s="1865"/>
      <c r="C48" s="1876"/>
      <c r="D48" s="1971"/>
      <c r="E48" s="1988"/>
      <c r="F48" s="1891">
        <f t="shared" si="1"/>
        <v>0</v>
      </c>
      <c r="G48" s="1164"/>
      <c r="H48" s="1164"/>
      <c r="I48" s="1164"/>
      <c r="J48" s="1164"/>
      <c r="K48" s="1164"/>
      <c r="L48" s="1164"/>
      <c r="M48" s="1164"/>
      <c r="N48" s="1164"/>
      <c r="O48" s="1164"/>
      <c r="P48" s="1164"/>
    </row>
    <row r="49" spans="1:16">
      <c r="A49" s="21"/>
      <c r="B49" s="1865"/>
      <c r="C49" s="1876"/>
      <c r="D49" s="1971"/>
      <c r="E49" s="1988"/>
      <c r="F49" s="1891">
        <f t="shared" si="1"/>
        <v>0</v>
      </c>
      <c r="G49" s="1164"/>
      <c r="H49" s="1164"/>
      <c r="I49" s="1164"/>
      <c r="J49" s="1164"/>
      <c r="K49" s="1164"/>
      <c r="L49" s="1164"/>
      <c r="M49" s="1164"/>
      <c r="N49" s="1164"/>
      <c r="O49" s="1164"/>
      <c r="P49" s="1164"/>
    </row>
    <row r="50" spans="1:16">
      <c r="A50" s="21"/>
      <c r="B50" s="1865"/>
      <c r="C50" s="1876"/>
      <c r="D50" s="1971"/>
      <c r="E50" s="1988"/>
      <c r="F50" s="1891">
        <f t="shared" si="1"/>
        <v>0</v>
      </c>
      <c r="G50" s="1164"/>
      <c r="H50" s="1164"/>
      <c r="I50" s="1164"/>
      <c r="J50" s="1164"/>
      <c r="K50" s="1164"/>
      <c r="L50" s="1164"/>
      <c r="M50" s="1164"/>
      <c r="N50" s="1164"/>
      <c r="O50" s="1164"/>
      <c r="P50" s="1164"/>
    </row>
    <row r="51" spans="1:16">
      <c r="A51" s="21"/>
      <c r="B51" s="1865"/>
      <c r="C51" s="1952"/>
      <c r="D51" s="1958"/>
      <c r="E51" s="1955"/>
      <c r="F51" s="1958"/>
      <c r="G51" s="1164"/>
      <c r="H51" s="1164"/>
      <c r="I51" s="1164"/>
      <c r="J51" s="1164"/>
      <c r="K51" s="1164"/>
      <c r="L51" s="1164"/>
      <c r="M51" s="1164"/>
      <c r="N51" s="1164"/>
      <c r="O51" s="1164"/>
      <c r="P51" s="1164"/>
    </row>
    <row r="52" spans="1:16">
      <c r="A52" s="21"/>
      <c r="B52" s="1865"/>
      <c r="C52" s="1910" t="s">
        <v>51</v>
      </c>
      <c r="D52" s="1911">
        <f>SUM(D53:D56)</f>
        <v>0</v>
      </c>
      <c r="E52" s="1926">
        <f>SUM(E53:E56)</f>
        <v>0</v>
      </c>
      <c r="F52" s="1924">
        <f t="shared" si="1"/>
        <v>0</v>
      </c>
      <c r="G52" s="1164"/>
      <c r="H52" s="1164"/>
      <c r="I52" s="1164"/>
      <c r="J52" s="1164"/>
      <c r="K52" s="1164"/>
      <c r="L52" s="1164"/>
      <c r="M52" s="1164"/>
      <c r="N52" s="1164"/>
      <c r="O52" s="1164"/>
      <c r="P52" s="1164"/>
    </row>
    <row r="53" spans="1:16">
      <c r="A53" s="21"/>
      <c r="B53" s="1865"/>
      <c r="C53" s="1876"/>
      <c r="D53" s="1971"/>
      <c r="E53" s="1972"/>
      <c r="F53" s="1891">
        <f t="shared" si="1"/>
        <v>0</v>
      </c>
      <c r="G53" s="1164"/>
      <c r="H53" s="1164"/>
      <c r="I53" s="1164"/>
      <c r="J53" s="1164"/>
      <c r="K53" s="1164"/>
      <c r="L53" s="1164"/>
      <c r="M53" s="1164"/>
      <c r="N53" s="1164"/>
      <c r="O53" s="1164"/>
      <c r="P53" s="1164"/>
    </row>
    <row r="54" spans="1:16">
      <c r="A54" s="21"/>
      <c r="B54" s="1865"/>
      <c r="C54" s="1876"/>
      <c r="D54" s="1971"/>
      <c r="E54" s="1972"/>
      <c r="F54" s="1891">
        <f t="shared" si="1"/>
        <v>0</v>
      </c>
      <c r="G54" s="1164"/>
      <c r="H54" s="1164"/>
      <c r="I54" s="1164"/>
      <c r="J54" s="1164"/>
      <c r="K54" s="1164"/>
      <c r="L54" s="1164"/>
      <c r="M54" s="1164"/>
      <c r="N54" s="1164"/>
      <c r="O54" s="1164"/>
      <c r="P54" s="1164"/>
    </row>
    <row r="55" spans="1:16">
      <c r="A55" s="21"/>
      <c r="B55" s="1865"/>
      <c r="C55" s="1876"/>
      <c r="D55" s="1971"/>
      <c r="E55" s="1972"/>
      <c r="F55" s="1891">
        <f t="shared" si="1"/>
        <v>0</v>
      </c>
      <c r="G55" s="1164"/>
      <c r="H55" s="1164"/>
      <c r="I55" s="1164"/>
      <c r="J55" s="1164"/>
      <c r="K55" s="1164"/>
      <c r="L55" s="1164"/>
      <c r="M55" s="1164"/>
      <c r="N55" s="1164"/>
      <c r="O55" s="1164"/>
      <c r="P55" s="1164"/>
    </row>
    <row r="56" spans="1:16">
      <c r="A56" s="21"/>
      <c r="B56" s="1865"/>
      <c r="C56" s="1876"/>
      <c r="D56" s="1971"/>
      <c r="E56" s="1972"/>
      <c r="F56" s="1891">
        <f t="shared" si="1"/>
        <v>0</v>
      </c>
      <c r="G56" s="1164"/>
      <c r="H56" s="1164"/>
      <c r="I56" s="1164"/>
      <c r="J56" s="1164"/>
      <c r="K56" s="1164"/>
      <c r="L56" s="1164"/>
      <c r="M56" s="1164"/>
      <c r="N56" s="1164"/>
      <c r="O56" s="1164"/>
      <c r="P56" s="1164"/>
    </row>
    <row r="57" spans="1:16">
      <c r="A57" s="21"/>
      <c r="B57" s="1865"/>
      <c r="C57" s="1952"/>
      <c r="D57" s="1958"/>
      <c r="E57" s="1955"/>
      <c r="F57" s="1958"/>
      <c r="G57" s="1164"/>
      <c r="H57" s="1164"/>
      <c r="I57" s="1164"/>
      <c r="J57" s="1164"/>
      <c r="K57" s="1164"/>
      <c r="L57" s="1164"/>
      <c r="M57" s="1164"/>
      <c r="N57" s="1164"/>
      <c r="O57" s="1164"/>
      <c r="P57" s="1164"/>
    </row>
    <row r="58" spans="1:16">
      <c r="A58" s="21"/>
      <c r="B58" s="1865"/>
      <c r="C58" s="1910" t="s">
        <v>52</v>
      </c>
      <c r="D58" s="2183">
        <f>SUM(D59:D62)</f>
        <v>0</v>
      </c>
      <c r="E58" s="2184">
        <f>SUM(E59:E62)</f>
        <v>0</v>
      </c>
      <c r="F58" s="2114">
        <f>SUM(D58:E58)</f>
        <v>0</v>
      </c>
      <c r="G58" s="1164"/>
      <c r="H58" s="1164"/>
      <c r="I58" s="1164"/>
      <c r="J58" s="1164"/>
      <c r="K58" s="1164"/>
      <c r="L58" s="1164"/>
      <c r="M58" s="1164"/>
      <c r="N58" s="1164"/>
      <c r="O58" s="1164"/>
      <c r="P58" s="1164"/>
    </row>
    <row r="59" spans="1:16">
      <c r="A59" s="21"/>
      <c r="C59" s="1876"/>
      <c r="D59" s="1971"/>
      <c r="E59" s="1988"/>
      <c r="F59" s="1891">
        <f>SUM(D59:E59)</f>
        <v>0</v>
      </c>
      <c r="G59" s="1164"/>
      <c r="H59" s="1164"/>
      <c r="I59" s="1164"/>
      <c r="J59" s="1164"/>
      <c r="K59" s="1164"/>
      <c r="L59" s="1164"/>
      <c r="M59" s="1164"/>
      <c r="N59" s="1164"/>
      <c r="O59" s="1164"/>
      <c r="P59" s="1164"/>
    </row>
    <row r="60" spans="1:16">
      <c r="C60" s="1876"/>
      <c r="D60" s="1971"/>
      <c r="E60" s="1988"/>
      <c r="F60" s="1891">
        <v>0</v>
      </c>
    </row>
    <row r="61" spans="1:16">
      <c r="C61" s="1876"/>
      <c r="D61" s="1971"/>
      <c r="E61" s="1988"/>
      <c r="F61" s="1890">
        <v>0</v>
      </c>
    </row>
    <row r="62" spans="1:16">
      <c r="C62" s="1876"/>
      <c r="D62" s="1971"/>
      <c r="E62" s="1988"/>
      <c r="F62" s="1891">
        <v>0</v>
      </c>
    </row>
    <row r="63" spans="1:16">
      <c r="C63" s="1952"/>
      <c r="D63" s="1958"/>
      <c r="E63" s="1955"/>
      <c r="F63" s="1958"/>
    </row>
    <row r="64" spans="1:16" ht="21" customHeight="1">
      <c r="A64" s="3632" t="s">
        <v>159</v>
      </c>
      <c r="C64" s="1910" t="s">
        <v>53</v>
      </c>
      <c r="D64" s="1911">
        <v>3640000</v>
      </c>
      <c r="E64" s="1926">
        <v>3640000</v>
      </c>
      <c r="F64" s="1924">
        <f>D64+E64</f>
        <v>7280000</v>
      </c>
    </row>
    <row r="65" spans="1:6">
      <c r="A65" s="3632"/>
      <c r="C65" s="1967" t="s">
        <v>313</v>
      </c>
      <c r="D65" s="1961"/>
      <c r="E65" s="1962"/>
      <c r="F65" s="1966"/>
    </row>
    <row r="66" spans="1:6">
      <c r="A66" s="1808" t="s">
        <v>270</v>
      </c>
      <c r="C66" s="1968"/>
      <c r="D66" s="1963"/>
      <c r="E66" s="1964"/>
      <c r="F66" s="1965"/>
    </row>
    <row r="67" spans="1:6">
      <c r="A67" s="1808" t="s">
        <v>25</v>
      </c>
      <c r="C67" s="1959" t="s">
        <v>54</v>
      </c>
      <c r="D67" s="1971">
        <v>0</v>
      </c>
      <c r="E67" s="1971">
        <v>0</v>
      </c>
      <c r="F67" s="1956">
        <v>0</v>
      </c>
    </row>
    <row r="68" spans="1:6">
      <c r="A68" s="1880">
        <v>18230421</v>
      </c>
    </row>
    <row r="69" spans="1:6">
      <c r="A69" s="1808" t="s">
        <v>5</v>
      </c>
    </row>
  </sheetData>
  <customSheetViews>
    <customSheetView guid="{074EB09C-6289-46D7-9513-012B68BCA7BF}" showGridLines="0" fitToPage="1">
      <pane xSplit="1" ySplit="1" topLeftCell="J2" activePane="bottomRight" state="frozen"/>
      <selection pane="bottomRight" activeCell="E48" sqref="E48"/>
      <pageMargins left="0.22" right="0.21" top="0.75" bottom="0.75" header="0.3" footer="0.3"/>
      <pageSetup paperSize="17" scale="62" orientation="landscape" r:id="rId1"/>
    </customSheetView>
    <customSheetView guid="{D9EFFE19-D14B-4C6F-BDF4-FF696F73968D}" showGridLines="0" fitToPage="1">
      <pane xSplit="1" ySplit="1" topLeftCell="B2" activePane="bottomRight" state="frozen"/>
      <selection pane="bottomRight" activeCell="E48" sqref="E48"/>
      <pageMargins left="0.22" right="0.21" top="0.75" bottom="0.75" header="0.3" footer="0.3"/>
      <pageSetup paperSize="17" scale="62" orientation="landscape" r:id="rId2"/>
    </customSheetView>
  </customSheetViews>
  <mergeCells count="3">
    <mergeCell ref="I18:J18"/>
    <mergeCell ref="A34:A35"/>
    <mergeCell ref="A64:A65"/>
  </mergeCells>
  <pageMargins left="0.22" right="0.21" top="0.75" bottom="0.75" header="0.3" footer="0.3"/>
  <pageSetup paperSize="17" scale="62" orientation="landscape" r:id="rId3"/>
  <ignoredErrors>
    <ignoredError sqref="D27:E27" formulaRange="1"/>
  </ignoredErrors>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T127"/>
  <sheetViews>
    <sheetView showGridLines="0" workbookViewId="0">
      <pane xSplit="1" ySplit="1" topLeftCell="B35" activePane="bottomRight" state="frozen"/>
      <selection pane="topRight" activeCell="B1" sqref="B1"/>
      <selection pane="bottomLeft" activeCell="A2" sqref="A2"/>
      <selection pane="bottomRight" activeCell="A49" sqref="A49:F67"/>
    </sheetView>
  </sheetViews>
  <sheetFormatPr defaultRowHeight="12.75"/>
  <cols>
    <col min="1" max="1" width="15.5703125" style="1164" customWidth="1"/>
    <col min="2" max="2" width="56" bestFit="1" customWidth="1"/>
    <col min="3" max="5" width="16.5703125" customWidth="1"/>
    <col min="6" max="6" width="16.140625" customWidth="1"/>
    <col min="7" max="7" width="17.85546875" bestFit="1" customWidth="1"/>
    <col min="8" max="8" width="15.42578125" customWidth="1"/>
    <col min="9" max="9" width="17.140625" customWidth="1"/>
    <col min="10" max="10" width="15.42578125" customWidth="1"/>
    <col min="11" max="11" width="20.5703125" customWidth="1"/>
    <col min="12" max="12" width="15" customWidth="1"/>
    <col min="13" max="13" width="15.5703125" customWidth="1"/>
    <col min="14" max="14" width="19.5703125" customWidth="1"/>
    <col min="15" max="19" width="18.5703125" customWidth="1"/>
  </cols>
  <sheetData>
    <row r="1" spans="1:20" ht="45.75" customHeight="1">
      <c r="B1" s="1833" t="s">
        <v>225</v>
      </c>
      <c r="C1" s="1808" t="s">
        <v>269</v>
      </c>
      <c r="D1" s="1833" t="s">
        <v>89</v>
      </c>
      <c r="E1" s="1808" t="s">
        <v>5</v>
      </c>
      <c r="H1" s="1808"/>
      <c r="I1" s="713"/>
      <c r="J1" s="713"/>
      <c r="K1" s="1833" t="s">
        <v>225</v>
      </c>
      <c r="L1" s="1808" t="s">
        <v>269</v>
      </c>
      <c r="M1" s="1833" t="s">
        <v>89</v>
      </c>
      <c r="N1" s="1808" t="s">
        <v>5</v>
      </c>
    </row>
    <row r="2" spans="1:20" ht="20.25">
      <c r="B2" s="726"/>
      <c r="C2" s="727"/>
      <c r="D2" s="727"/>
      <c r="E2" s="753"/>
      <c r="F2" s="728"/>
      <c r="G2" s="728"/>
      <c r="H2" s="713"/>
      <c r="I2" s="713"/>
      <c r="J2" s="713"/>
      <c r="K2" s="713"/>
      <c r="L2" s="713"/>
      <c r="M2" s="713"/>
      <c r="N2" s="713"/>
    </row>
    <row r="3" spans="1:20" ht="76.5">
      <c r="A3" s="1833" t="s">
        <v>225</v>
      </c>
      <c r="G3" s="1300"/>
      <c r="H3" s="787" t="s">
        <v>8</v>
      </c>
      <c r="I3" s="720" t="s">
        <v>9</v>
      </c>
      <c r="J3" s="720" t="s">
        <v>87</v>
      </c>
      <c r="K3" s="721" t="s">
        <v>11</v>
      </c>
      <c r="L3" s="721" t="s">
        <v>504</v>
      </c>
      <c r="M3" s="721" t="s">
        <v>12</v>
      </c>
      <c r="N3" s="721" t="s">
        <v>13</v>
      </c>
      <c r="O3" s="721" t="s">
        <v>14</v>
      </c>
      <c r="P3" s="721" t="s">
        <v>88</v>
      </c>
      <c r="Q3" s="720" t="s">
        <v>39</v>
      </c>
      <c r="R3" s="721" t="s">
        <v>16</v>
      </c>
      <c r="S3" s="790" t="s">
        <v>40</v>
      </c>
      <c r="T3" s="722" t="s">
        <v>17</v>
      </c>
    </row>
    <row r="4" spans="1:20" ht="15.75">
      <c r="A4" s="1808" t="s">
        <v>269</v>
      </c>
      <c r="G4" s="1704" t="s">
        <v>266</v>
      </c>
      <c r="H4" s="785"/>
      <c r="I4" s="785">
        <v>0</v>
      </c>
      <c r="J4" s="785">
        <v>0</v>
      </c>
      <c r="K4" s="785">
        <v>0</v>
      </c>
      <c r="L4" s="785">
        <v>0</v>
      </c>
      <c r="M4" s="785">
        <v>0</v>
      </c>
      <c r="N4" s="785">
        <v>0</v>
      </c>
      <c r="O4" s="785">
        <v>0</v>
      </c>
      <c r="P4" s="786">
        <v>0</v>
      </c>
      <c r="Q4" s="786"/>
      <c r="R4" s="788">
        <v>0</v>
      </c>
      <c r="S4" s="789">
        <v>0</v>
      </c>
      <c r="T4" s="804" t="s">
        <v>18</v>
      </c>
    </row>
    <row r="5" spans="1:20" ht="25.5">
      <c r="A5" s="1833" t="s">
        <v>89</v>
      </c>
      <c r="G5" s="716">
        <v>2014</v>
      </c>
      <c r="H5" s="769">
        <f>C17</f>
        <v>0</v>
      </c>
      <c r="I5" s="770">
        <v>0</v>
      </c>
      <c r="J5" s="770">
        <f>C38</f>
        <v>0</v>
      </c>
      <c r="K5" s="770">
        <v>0</v>
      </c>
      <c r="L5" s="770">
        <v>0</v>
      </c>
      <c r="M5" s="770">
        <v>0</v>
      </c>
      <c r="N5" s="770">
        <v>0</v>
      </c>
      <c r="O5" s="770">
        <v>0</v>
      </c>
      <c r="P5" s="771">
        <v>0</v>
      </c>
      <c r="Q5" s="771"/>
      <c r="R5" s="771">
        <f>SUM(H5:P5)</f>
        <v>0</v>
      </c>
      <c r="S5" s="2047">
        <f>C66</f>
        <v>1781325</v>
      </c>
      <c r="T5" s="804" t="s">
        <v>18</v>
      </c>
    </row>
    <row r="6" spans="1:20" ht="13.5" thickBot="1">
      <c r="A6" s="1808" t="s">
        <v>5</v>
      </c>
      <c r="G6" s="779">
        <v>2015</v>
      </c>
      <c r="H6" s="769">
        <f>D17</f>
        <v>0</v>
      </c>
      <c r="I6" s="770">
        <v>0</v>
      </c>
      <c r="J6" s="770">
        <f>D38</f>
        <v>0</v>
      </c>
      <c r="K6" s="770">
        <v>0</v>
      </c>
      <c r="L6" s="770">
        <v>0</v>
      </c>
      <c r="M6" s="799">
        <v>0</v>
      </c>
      <c r="N6" s="767">
        <v>0</v>
      </c>
      <c r="O6" s="767">
        <v>0</v>
      </c>
      <c r="P6" s="784">
        <v>0</v>
      </c>
      <c r="Q6" s="784"/>
      <c r="R6" s="771">
        <f>SUM(H6:P6)</f>
        <v>0</v>
      </c>
      <c r="S6" s="2047">
        <f>D66</f>
        <v>1500000</v>
      </c>
      <c r="T6" s="791">
        <v>0</v>
      </c>
    </row>
    <row r="7" spans="1:20" ht="13.5" thickBot="1">
      <c r="G7" s="748" t="s">
        <v>55</v>
      </c>
      <c r="H7" s="780">
        <f>SUM(H5:H6)</f>
        <v>0</v>
      </c>
      <c r="I7" s="781">
        <f>SUM(I5:I6)</f>
        <v>0</v>
      </c>
      <c r="J7" s="781">
        <f t="shared" ref="J7:P7" si="0">SUM(J5:J6)</f>
        <v>0</v>
      </c>
      <c r="K7" s="781">
        <f t="shared" si="0"/>
        <v>0</v>
      </c>
      <c r="L7" s="781">
        <f t="shared" si="0"/>
        <v>0</v>
      </c>
      <c r="M7" s="781">
        <f t="shared" si="0"/>
        <v>0</v>
      </c>
      <c r="N7" s="781">
        <f t="shared" si="0"/>
        <v>0</v>
      </c>
      <c r="O7" s="781">
        <f t="shared" si="0"/>
        <v>0</v>
      </c>
      <c r="P7" s="781">
        <f t="shared" si="0"/>
        <v>0</v>
      </c>
      <c r="Q7" s="781"/>
      <c r="R7" s="781">
        <f>SUM(R5:R6)</f>
        <v>0</v>
      </c>
      <c r="S7" s="2048">
        <f>SUM(S5:S6)</f>
        <v>3281325</v>
      </c>
      <c r="T7" s="713"/>
    </row>
    <row r="8" spans="1:20">
      <c r="A8" s="1808"/>
    </row>
    <row r="9" spans="1:20" ht="18">
      <c r="A9" s="1808"/>
      <c r="B9" s="748"/>
      <c r="C9" s="727"/>
      <c r="D9" s="727"/>
      <c r="E9" s="753"/>
      <c r="F9" s="728"/>
      <c r="G9" s="728"/>
      <c r="H9" s="713"/>
      <c r="I9" s="713"/>
      <c r="J9" s="713"/>
      <c r="K9" s="713"/>
      <c r="L9" s="713"/>
      <c r="M9" s="713"/>
      <c r="N9" s="713"/>
    </row>
    <row r="10" spans="1:20" ht="18">
      <c r="A10" s="1808"/>
      <c r="C10" s="774">
        <v>2014</v>
      </c>
      <c r="D10" s="775">
        <v>2015</v>
      </c>
      <c r="E10" s="775" t="s">
        <v>23</v>
      </c>
      <c r="F10" s="776"/>
      <c r="G10" s="750"/>
      <c r="H10" s="750"/>
      <c r="I10" s="750"/>
      <c r="J10" s="713"/>
      <c r="K10" s="713"/>
      <c r="L10" s="713"/>
      <c r="M10" s="713"/>
      <c r="N10" s="713"/>
    </row>
    <row r="11" spans="1:20" ht="18">
      <c r="A11" s="1808"/>
      <c r="B11" s="772"/>
      <c r="C11" s="713"/>
      <c r="D11" s="713"/>
      <c r="E11" s="713"/>
      <c r="F11" s="757"/>
      <c r="G11" s="737"/>
      <c r="H11" s="737"/>
      <c r="I11" s="1292"/>
      <c r="J11" s="1283"/>
      <c r="K11" s="1283"/>
      <c r="L11" s="732"/>
      <c r="M11" s="713"/>
      <c r="N11" s="713"/>
    </row>
    <row r="12" spans="1:20">
      <c r="A12" s="1808"/>
      <c r="B12" s="723" t="s">
        <v>90</v>
      </c>
      <c r="C12" s="756">
        <v>0</v>
      </c>
      <c r="D12" s="795">
        <v>0</v>
      </c>
      <c r="E12" s="796">
        <v>0</v>
      </c>
      <c r="F12" s="737"/>
      <c r="G12" s="737"/>
      <c r="H12" s="737"/>
      <c r="I12" s="1284"/>
      <c r="J12" s="1285"/>
      <c r="K12" s="1283"/>
      <c r="L12" s="713"/>
      <c r="M12" s="713"/>
      <c r="N12" s="713"/>
    </row>
    <row r="13" spans="1:20" ht="18">
      <c r="B13" s="729"/>
      <c r="C13" s="757"/>
      <c r="D13" s="715"/>
      <c r="E13" s="758"/>
      <c r="F13" s="737"/>
      <c r="G13" s="737"/>
      <c r="H13" s="737"/>
      <c r="I13" s="1284"/>
      <c r="J13" s="1286"/>
      <c r="K13" s="1283"/>
      <c r="L13" s="713"/>
      <c r="M13" s="713"/>
      <c r="N13" s="713"/>
    </row>
    <row r="14" spans="1:20">
      <c r="B14" s="723" t="s">
        <v>93</v>
      </c>
      <c r="C14" s="759"/>
      <c r="D14" s="715"/>
      <c r="E14" s="758"/>
      <c r="F14" s="733"/>
      <c r="G14" s="733"/>
      <c r="H14" s="733"/>
      <c r="I14" s="1284"/>
      <c r="J14" s="1286"/>
      <c r="K14" s="1280"/>
      <c r="L14" s="713"/>
      <c r="M14" s="713"/>
      <c r="N14" s="713"/>
    </row>
    <row r="15" spans="1:20">
      <c r="B15" s="736" t="s">
        <v>95</v>
      </c>
      <c r="C15" s="809"/>
      <c r="D15" s="792"/>
      <c r="E15" s="778">
        <f>SUM(C15:D15)</f>
        <v>0</v>
      </c>
      <c r="F15" s="749">
        <v>0</v>
      </c>
      <c r="G15" s="738" t="s">
        <v>96</v>
      </c>
      <c r="H15" s="734"/>
      <c r="I15" s="1465"/>
      <c r="J15" s="1282"/>
      <c r="K15" s="1280"/>
      <c r="L15" s="713"/>
      <c r="M15" s="713"/>
      <c r="N15" s="713"/>
    </row>
    <row r="16" spans="1:20">
      <c r="B16" s="1271" t="s">
        <v>249</v>
      </c>
      <c r="C16" s="1275">
        <v>0</v>
      </c>
      <c r="D16" s="1274">
        <v>0</v>
      </c>
      <c r="E16" s="1273">
        <f>SUM(C16:D16)</f>
        <v>0</v>
      </c>
      <c r="F16" s="749"/>
      <c r="G16" s="738"/>
      <c r="H16" s="734"/>
      <c r="I16" s="1284"/>
      <c r="J16" s="1282"/>
      <c r="K16" s="1280"/>
      <c r="L16" s="713"/>
      <c r="M16" s="713"/>
      <c r="N16" s="713"/>
    </row>
    <row r="17" spans="2:12">
      <c r="B17" s="1276" t="s">
        <v>250</v>
      </c>
      <c r="C17" s="1272">
        <f>SUM(C15:C16)</f>
        <v>0</v>
      </c>
      <c r="D17" s="2628">
        <f>SUM(D15:D16)</f>
        <v>0</v>
      </c>
      <c r="E17" s="2629">
        <f>SUM(E15:E16)</f>
        <v>0</v>
      </c>
      <c r="F17" s="749"/>
      <c r="G17" s="738"/>
      <c r="H17" s="734"/>
      <c r="I17" s="1284"/>
      <c r="J17" s="1282"/>
      <c r="K17" s="1280"/>
    </row>
    <row r="18" spans="2:12">
      <c r="B18" s="736"/>
      <c r="C18" s="760"/>
      <c r="D18" s="792"/>
      <c r="E18" s="778"/>
      <c r="F18" s="749"/>
      <c r="G18" s="738"/>
      <c r="H18" s="734"/>
      <c r="I18" s="1284"/>
      <c r="J18" s="1282"/>
      <c r="K18" s="1280"/>
    </row>
    <row r="19" spans="2:12">
      <c r="B19" s="736"/>
      <c r="C19" s="760"/>
      <c r="D19" s="792"/>
      <c r="E19" s="778"/>
      <c r="F19" s="749"/>
      <c r="G19" s="738"/>
      <c r="H19" s="733"/>
      <c r="I19" s="1284"/>
      <c r="J19" s="1282"/>
      <c r="K19" s="1280"/>
    </row>
    <row r="20" spans="2:12">
      <c r="B20" s="736"/>
      <c r="C20" s="761"/>
      <c r="D20" s="715"/>
      <c r="E20" s="758"/>
      <c r="F20" s="734"/>
      <c r="G20" s="734"/>
      <c r="H20" s="735"/>
      <c r="I20" s="1284"/>
      <c r="J20" s="1291"/>
      <c r="K20" s="1280"/>
    </row>
    <row r="21" spans="2:12">
      <c r="B21" s="723" t="s">
        <v>506</v>
      </c>
      <c r="C21" s="759"/>
      <c r="D21" s="715"/>
      <c r="E21" s="758"/>
      <c r="F21" s="733"/>
      <c r="G21" s="733"/>
      <c r="H21" s="733"/>
      <c r="I21" s="1280"/>
      <c r="J21" s="1281"/>
      <c r="K21" s="1280"/>
    </row>
    <row r="22" spans="2:12">
      <c r="B22" s="713" t="s">
        <v>100</v>
      </c>
      <c r="C22" s="762">
        <v>0</v>
      </c>
      <c r="D22" s="792">
        <v>0</v>
      </c>
      <c r="E22" s="778">
        <v>0</v>
      </c>
      <c r="F22" s="735"/>
      <c r="G22" s="735"/>
      <c r="H22" s="725"/>
      <c r="I22" s="1284"/>
      <c r="J22" s="1296"/>
      <c r="K22" s="1280"/>
    </row>
    <row r="23" spans="2:12">
      <c r="B23" s="736" t="s">
        <v>101</v>
      </c>
      <c r="C23" s="763">
        <v>0</v>
      </c>
      <c r="D23" s="792">
        <v>0</v>
      </c>
      <c r="E23" s="778">
        <v>0</v>
      </c>
      <c r="F23" s="713"/>
      <c r="G23" s="733"/>
      <c r="H23" s="725"/>
      <c r="I23" s="1289" t="s">
        <v>102</v>
      </c>
      <c r="J23" s="1294">
        <f>M8</f>
        <v>0</v>
      </c>
      <c r="K23" s="1287" t="s">
        <v>103</v>
      </c>
    </row>
    <row r="24" spans="2:12">
      <c r="B24" s="736" t="s">
        <v>104</v>
      </c>
      <c r="C24" s="762">
        <v>0</v>
      </c>
      <c r="D24" s="792">
        <v>0</v>
      </c>
      <c r="E24" s="778">
        <v>0</v>
      </c>
      <c r="F24" s="733"/>
      <c r="G24" s="733"/>
      <c r="H24" s="725"/>
      <c r="I24" s="1289" t="s">
        <v>105</v>
      </c>
      <c r="J24" s="1293">
        <v>0</v>
      </c>
      <c r="K24" s="1290" t="s">
        <v>106</v>
      </c>
    </row>
    <row r="25" spans="2:12">
      <c r="B25" s="736" t="s">
        <v>107</v>
      </c>
      <c r="C25" s="762">
        <v>0</v>
      </c>
      <c r="D25" s="792">
        <v>0</v>
      </c>
      <c r="E25" s="778">
        <v>0</v>
      </c>
      <c r="F25" s="733"/>
      <c r="G25" s="733"/>
      <c r="H25" s="725"/>
      <c r="I25" s="1289" t="s">
        <v>108</v>
      </c>
      <c r="J25" s="1293">
        <v>0.05</v>
      </c>
      <c r="K25" s="1290" t="s">
        <v>106</v>
      </c>
    </row>
    <row r="26" spans="2:12">
      <c r="B26" s="713"/>
      <c r="C26" s="764">
        <v>0</v>
      </c>
      <c r="D26" s="745">
        <v>0</v>
      </c>
      <c r="E26" s="797">
        <v>0</v>
      </c>
      <c r="F26" s="733"/>
      <c r="G26" s="733"/>
      <c r="H26" s="725"/>
      <c r="I26" s="1288" t="s">
        <v>109</v>
      </c>
      <c r="J26" s="1295">
        <v>0</v>
      </c>
      <c r="K26" s="1280"/>
    </row>
    <row r="27" spans="2:12">
      <c r="B27" s="715"/>
      <c r="C27" s="765"/>
      <c r="D27" s="715"/>
      <c r="E27" s="758"/>
      <c r="F27" s="733"/>
      <c r="G27" s="733"/>
      <c r="H27" s="725"/>
      <c r="I27" s="747"/>
      <c r="J27" s="751"/>
      <c r="K27" s="713"/>
    </row>
    <row r="28" spans="2:12">
      <c r="B28" s="723" t="s">
        <v>94</v>
      </c>
      <c r="C28" s="764">
        <v>0</v>
      </c>
      <c r="D28" s="754">
        <v>0</v>
      </c>
      <c r="E28" s="797">
        <v>0</v>
      </c>
      <c r="F28" s="733"/>
      <c r="G28" s="733"/>
      <c r="H28" s="725"/>
      <c r="I28" s="737"/>
      <c r="J28" s="713"/>
      <c r="K28" s="713"/>
    </row>
    <row r="29" spans="2:12">
      <c r="B29" s="715"/>
      <c r="C29" s="765"/>
      <c r="D29" s="715"/>
      <c r="E29" s="758"/>
      <c r="F29" s="733"/>
      <c r="G29" s="733"/>
      <c r="H29" s="725"/>
      <c r="I29" s="1305" t="s">
        <v>255</v>
      </c>
      <c r="J29" s="1304"/>
      <c r="K29" s="1304"/>
      <c r="L29" s="1304"/>
    </row>
    <row r="30" spans="2:12">
      <c r="B30" s="719" t="s">
        <v>97</v>
      </c>
      <c r="C30" s="765"/>
      <c r="D30" s="715"/>
      <c r="E30" s="758"/>
      <c r="F30" s="725"/>
      <c r="G30" s="725"/>
      <c r="H30" s="725"/>
      <c r="I30" s="1310"/>
      <c r="J30" s="1311" t="s">
        <v>256</v>
      </c>
      <c r="K30" s="1312">
        <v>800000</v>
      </c>
      <c r="L30" s="1309"/>
    </row>
    <row r="31" spans="2:12">
      <c r="B31" s="713" t="s">
        <v>110</v>
      </c>
      <c r="C31" s="765">
        <v>0</v>
      </c>
      <c r="D31" s="792">
        <v>0</v>
      </c>
      <c r="E31" s="778">
        <v>0</v>
      </c>
      <c r="F31" s="725"/>
      <c r="G31" s="725"/>
      <c r="H31" s="725"/>
      <c r="I31" s="1308"/>
      <c r="J31" s="1306" t="s">
        <v>257</v>
      </c>
      <c r="K31" s="1313">
        <f>K30+R7</f>
        <v>800000</v>
      </c>
      <c r="L31" s="1307"/>
    </row>
    <row r="32" spans="2:12">
      <c r="B32" s="713" t="s">
        <v>111</v>
      </c>
      <c r="C32" s="765">
        <v>0</v>
      </c>
      <c r="D32" s="792">
        <v>0</v>
      </c>
      <c r="E32" s="778">
        <v>0</v>
      </c>
      <c r="F32" s="725"/>
      <c r="G32" s="725"/>
      <c r="H32" s="725"/>
      <c r="I32" s="1314"/>
      <c r="J32" s="1315"/>
      <c r="K32" s="1316">
        <v>0.18</v>
      </c>
      <c r="L32" s="1317" t="s">
        <v>106</v>
      </c>
    </row>
    <row r="33" spans="1:9">
      <c r="B33" s="715" t="s">
        <v>112</v>
      </c>
      <c r="C33" s="765">
        <v>0</v>
      </c>
      <c r="D33" s="792">
        <v>0</v>
      </c>
      <c r="E33" s="778">
        <v>0</v>
      </c>
      <c r="F33" s="725"/>
      <c r="G33" s="725"/>
      <c r="H33" s="725"/>
      <c r="I33" s="737"/>
    </row>
    <row r="34" spans="1:9">
      <c r="B34" s="719" t="s">
        <v>113</v>
      </c>
      <c r="C34" s="766">
        <v>0</v>
      </c>
      <c r="D34" s="739">
        <v>0</v>
      </c>
      <c r="E34" s="797">
        <v>0</v>
      </c>
      <c r="F34" s="725"/>
      <c r="G34" s="725"/>
      <c r="H34" s="725"/>
      <c r="I34" s="737"/>
    </row>
    <row r="35" spans="1:9">
      <c r="B35" s="715"/>
      <c r="C35" s="765"/>
      <c r="D35" s="715"/>
      <c r="E35" s="758"/>
      <c r="F35" s="725"/>
      <c r="G35" s="725"/>
      <c r="H35" s="725"/>
      <c r="I35" s="737"/>
    </row>
    <row r="36" spans="1:9" ht="25.5">
      <c r="A36" s="1833" t="s">
        <v>225</v>
      </c>
      <c r="B36" s="719" t="s">
        <v>98</v>
      </c>
      <c r="C36" s="2630">
        <v>0</v>
      </c>
      <c r="D36" s="793">
        <v>0</v>
      </c>
      <c r="E36" s="797">
        <v>0</v>
      </c>
      <c r="F36" s="725"/>
      <c r="G36" s="725"/>
      <c r="H36" s="725"/>
      <c r="I36" s="737"/>
    </row>
    <row r="37" spans="1:9">
      <c r="A37" s="1808" t="s">
        <v>269</v>
      </c>
      <c r="B37" s="715"/>
      <c r="C37" s="765"/>
      <c r="D37" s="715"/>
      <c r="E37" s="758"/>
      <c r="F37" s="725"/>
      <c r="G37" s="724"/>
      <c r="H37" s="725"/>
      <c r="I37" s="730"/>
    </row>
    <row r="38" spans="1:9" ht="25.5">
      <c r="A38" s="1833" t="s">
        <v>89</v>
      </c>
      <c r="B38" s="719" t="s">
        <v>10</v>
      </c>
      <c r="C38" s="1278">
        <f>ROUND(C17*F38,-2)</f>
        <v>0</v>
      </c>
      <c r="D38" s="1277">
        <f>ROUND(D17*F39,-2)</f>
        <v>0</v>
      </c>
      <c r="E38" s="1279">
        <f>SUM(C38:D38)</f>
        <v>0</v>
      </c>
      <c r="F38" s="2915">
        <v>0.66700000000000004</v>
      </c>
      <c r="G38" s="2916">
        <v>2016</v>
      </c>
      <c r="H38" s="725"/>
      <c r="I38" s="730"/>
    </row>
    <row r="39" spans="1:9">
      <c r="A39" s="1808" t="s">
        <v>5</v>
      </c>
      <c r="B39" s="715"/>
      <c r="C39" s="765"/>
      <c r="D39" s="715"/>
      <c r="E39" s="758"/>
      <c r="F39" s="2915">
        <v>0.69599999999999995</v>
      </c>
      <c r="G39" s="2917" t="s">
        <v>780</v>
      </c>
      <c r="H39" s="725"/>
      <c r="I39" s="730"/>
    </row>
    <row r="40" spans="1:9">
      <c r="B40" s="716" t="s">
        <v>12</v>
      </c>
      <c r="C40" s="765"/>
      <c r="D40" s="715"/>
      <c r="E40" s="758"/>
      <c r="F40" s="725"/>
      <c r="G40" s="714"/>
      <c r="H40" s="725"/>
      <c r="I40" s="730"/>
    </row>
    <row r="41" spans="1:9">
      <c r="B41" s="713"/>
      <c r="C41" s="762">
        <v>0</v>
      </c>
      <c r="D41" s="792">
        <v>0</v>
      </c>
      <c r="E41" s="778">
        <v>0</v>
      </c>
      <c r="F41" s="725"/>
      <c r="G41" s="714"/>
      <c r="H41" s="725"/>
      <c r="I41" s="730"/>
    </row>
    <row r="42" spans="1:9">
      <c r="B42" s="744"/>
      <c r="C42" s="762">
        <v>0</v>
      </c>
      <c r="D42" s="792">
        <v>0</v>
      </c>
      <c r="E42" s="778">
        <v>0</v>
      </c>
      <c r="F42" s="725"/>
      <c r="G42" s="714"/>
      <c r="H42" s="725"/>
      <c r="I42" s="730"/>
    </row>
    <row r="43" spans="1:9">
      <c r="B43" s="744"/>
      <c r="C43" s="762"/>
      <c r="D43" s="792">
        <v>0</v>
      </c>
      <c r="E43" s="778">
        <v>0</v>
      </c>
      <c r="F43" s="725"/>
      <c r="G43" s="714"/>
      <c r="H43" s="725"/>
      <c r="I43" s="730"/>
    </row>
    <row r="44" spans="1:9">
      <c r="B44" s="744"/>
      <c r="C44" s="762"/>
      <c r="D44" s="792">
        <v>0</v>
      </c>
      <c r="E44" s="778">
        <v>0</v>
      </c>
      <c r="F44" s="725"/>
      <c r="G44" s="714"/>
      <c r="H44" s="725"/>
      <c r="I44" s="730"/>
    </row>
    <row r="45" spans="1:9">
      <c r="B45" s="744"/>
      <c r="C45" s="762"/>
      <c r="D45" s="792">
        <v>0</v>
      </c>
      <c r="E45" s="778">
        <v>0</v>
      </c>
      <c r="F45" s="725"/>
      <c r="G45" s="714"/>
      <c r="H45" s="725"/>
      <c r="I45" s="730"/>
    </row>
    <row r="46" spans="1:9">
      <c r="B46" s="744"/>
      <c r="C46" s="762"/>
      <c r="D46" s="792">
        <v>0</v>
      </c>
      <c r="E46" s="778">
        <v>0</v>
      </c>
      <c r="F46" s="725"/>
      <c r="G46" s="714"/>
      <c r="H46" s="725"/>
      <c r="I46" s="730"/>
    </row>
    <row r="47" spans="1:9">
      <c r="B47" s="744"/>
      <c r="C47" s="762"/>
      <c r="D47" s="792">
        <v>0</v>
      </c>
      <c r="E47" s="778">
        <v>0</v>
      </c>
      <c r="F47" s="725"/>
      <c r="G47" s="724"/>
      <c r="H47" s="725"/>
      <c r="I47" s="730"/>
    </row>
    <row r="48" spans="1:9">
      <c r="B48" s="744"/>
      <c r="C48" s="762"/>
      <c r="D48" s="792">
        <v>0</v>
      </c>
      <c r="E48" s="778">
        <v>0</v>
      </c>
      <c r="F48" s="725"/>
      <c r="G48" s="724"/>
      <c r="H48" s="725"/>
      <c r="I48" s="730"/>
    </row>
    <row r="49" spans="2:10">
      <c r="B49" s="742"/>
      <c r="C49" s="764"/>
      <c r="D49" s="764">
        <v>0</v>
      </c>
      <c r="E49" s="797">
        <v>0</v>
      </c>
      <c r="F49" s="725"/>
      <c r="G49" s="724"/>
      <c r="H49" s="725"/>
      <c r="I49" s="730"/>
      <c r="J49" s="713"/>
    </row>
    <row r="50" spans="2:10" ht="13.5" thickBot="1">
      <c r="B50" s="731"/>
      <c r="C50" s="762"/>
      <c r="D50" s="715"/>
      <c r="E50" s="758"/>
      <c r="F50" s="725"/>
      <c r="G50" s="724"/>
      <c r="H50" s="740"/>
      <c r="I50" s="741"/>
      <c r="J50" s="717"/>
    </row>
    <row r="51" spans="2:10" ht="13.5" thickBot="1">
      <c r="B51" s="742" t="s">
        <v>118</v>
      </c>
      <c r="C51" s="768">
        <f>C12+C17+C26+C28+C34+C36+C38+C49</f>
        <v>0</v>
      </c>
      <c r="D51" s="768">
        <f>D12+D17+D26+D28+D34+D36+D38+D49</f>
        <v>0</v>
      </c>
      <c r="E51" s="768">
        <f>E12+E17+E26+E28+E34+E36+E38+E49</f>
        <v>0</v>
      </c>
      <c r="F51" s="725"/>
      <c r="G51" s="724"/>
      <c r="H51" s="743"/>
      <c r="I51" s="743"/>
      <c r="J51" s="717"/>
    </row>
    <row r="52" spans="2:10">
      <c r="B52" s="717"/>
      <c r="C52" s="800"/>
      <c r="D52" s="718"/>
      <c r="E52" s="718"/>
      <c r="F52" s="725"/>
      <c r="G52" s="724"/>
      <c r="H52" s="743"/>
      <c r="I52" s="743"/>
      <c r="J52" s="717"/>
    </row>
    <row r="53" spans="2:10">
      <c r="B53" s="719" t="s">
        <v>119</v>
      </c>
      <c r="C53" s="783">
        <v>2012</v>
      </c>
      <c r="D53" s="783">
        <v>2013</v>
      </c>
      <c r="E53" s="783" t="s">
        <v>23</v>
      </c>
      <c r="F53" s="725"/>
      <c r="G53" s="724"/>
      <c r="H53" s="743"/>
      <c r="I53" s="743"/>
      <c r="J53" s="717"/>
    </row>
    <row r="54" spans="2:10">
      <c r="B54" s="805" t="s">
        <v>226</v>
      </c>
      <c r="C54" s="713"/>
      <c r="D54" s="713"/>
      <c r="E54" s="713"/>
      <c r="F54" s="713"/>
      <c r="G54" s="725"/>
      <c r="H54" s="743"/>
      <c r="I54" s="743"/>
      <c r="J54" s="717"/>
    </row>
    <row r="55" spans="2:10">
      <c r="B55" s="806" t="s">
        <v>227</v>
      </c>
      <c r="C55" s="801">
        <v>0</v>
      </c>
      <c r="D55" s="798">
        <v>0</v>
      </c>
      <c r="E55" s="798">
        <f>C55+D55</f>
        <v>0</v>
      </c>
      <c r="F55" s="740" t="s">
        <v>120</v>
      </c>
      <c r="G55" s="725"/>
      <c r="H55" s="743"/>
      <c r="I55" s="743"/>
      <c r="J55" s="717"/>
    </row>
    <row r="56" spans="2:10">
      <c r="B56" s="806" t="s">
        <v>228</v>
      </c>
      <c r="C56" s="801">
        <v>0</v>
      </c>
      <c r="D56" s="798">
        <v>0</v>
      </c>
      <c r="E56" s="798">
        <f t="shared" ref="E56:E65" si="1">C56+D56</f>
        <v>0</v>
      </c>
      <c r="F56" s="740" t="s">
        <v>120</v>
      </c>
      <c r="G56" s="725"/>
      <c r="H56" s="743"/>
      <c r="I56" s="743"/>
      <c r="J56" s="717"/>
    </row>
    <row r="57" spans="2:10">
      <c r="B57" s="806" t="s">
        <v>229</v>
      </c>
      <c r="C57" s="801">
        <v>0</v>
      </c>
      <c r="D57" s="798">
        <v>0</v>
      </c>
      <c r="E57" s="798">
        <f t="shared" si="1"/>
        <v>0</v>
      </c>
      <c r="F57" s="740" t="s">
        <v>120</v>
      </c>
      <c r="G57" s="725"/>
      <c r="H57" s="743"/>
      <c r="I57" s="743"/>
      <c r="J57" s="717"/>
    </row>
    <row r="58" spans="2:10">
      <c r="B58" s="806" t="s">
        <v>230</v>
      </c>
      <c r="C58" s="801">
        <v>0</v>
      </c>
      <c r="D58" s="798">
        <v>0</v>
      </c>
      <c r="E58" s="798">
        <f t="shared" si="1"/>
        <v>0</v>
      </c>
      <c r="F58" s="740" t="s">
        <v>120</v>
      </c>
      <c r="G58" s="740"/>
      <c r="H58" s="743"/>
      <c r="I58" s="743"/>
      <c r="J58" s="717"/>
    </row>
    <row r="59" spans="2:10">
      <c r="B59" s="806" t="s">
        <v>231</v>
      </c>
      <c r="C59" s="801">
        <v>0</v>
      </c>
      <c r="D59" s="798">
        <v>0</v>
      </c>
      <c r="E59" s="798">
        <f t="shared" si="1"/>
        <v>0</v>
      </c>
      <c r="F59" s="740" t="s">
        <v>120</v>
      </c>
      <c r="G59" s="740"/>
      <c r="H59" s="743"/>
      <c r="I59" s="743"/>
      <c r="J59" s="717"/>
    </row>
    <row r="60" spans="2:10">
      <c r="B60" s="806" t="s">
        <v>232</v>
      </c>
      <c r="C60" s="801">
        <v>0</v>
      </c>
      <c r="D60" s="798">
        <v>0</v>
      </c>
      <c r="E60" s="798">
        <f t="shared" si="1"/>
        <v>0</v>
      </c>
      <c r="F60" s="740" t="s">
        <v>120</v>
      </c>
      <c r="G60" s="740"/>
      <c r="H60" s="743"/>
      <c r="I60" s="743"/>
      <c r="J60" s="717"/>
    </row>
    <row r="61" spans="2:10">
      <c r="B61" s="806" t="s">
        <v>233</v>
      </c>
      <c r="C61" s="801">
        <v>0</v>
      </c>
      <c r="D61" s="798">
        <v>0</v>
      </c>
      <c r="E61" s="798">
        <f t="shared" si="1"/>
        <v>0</v>
      </c>
      <c r="F61" s="740" t="s">
        <v>120</v>
      </c>
      <c r="G61" s="740"/>
      <c r="H61" s="743"/>
      <c r="I61" s="743"/>
      <c r="J61" s="717"/>
    </row>
    <row r="62" spans="2:10">
      <c r="B62" s="806" t="s">
        <v>234</v>
      </c>
      <c r="C62" s="801">
        <v>0</v>
      </c>
      <c r="D62" s="798">
        <v>0</v>
      </c>
      <c r="E62" s="798">
        <f t="shared" si="1"/>
        <v>0</v>
      </c>
      <c r="F62" s="740" t="s">
        <v>120</v>
      </c>
      <c r="G62" s="740"/>
      <c r="H62" s="740"/>
      <c r="I62" s="743"/>
      <c r="J62" s="717"/>
    </row>
    <row r="63" spans="2:10">
      <c r="B63" s="2631" t="s">
        <v>160</v>
      </c>
      <c r="C63" s="801">
        <v>1781325</v>
      </c>
      <c r="D63" s="798">
        <v>1500000</v>
      </c>
      <c r="E63" s="798">
        <f t="shared" si="1"/>
        <v>3281325</v>
      </c>
      <c r="F63" s="740" t="s">
        <v>120</v>
      </c>
      <c r="G63" s="740"/>
      <c r="H63" s="740"/>
      <c r="I63" s="741"/>
      <c r="J63" s="717"/>
    </row>
    <row r="64" spans="2:10">
      <c r="B64" s="806" t="s">
        <v>235</v>
      </c>
      <c r="C64" s="807"/>
      <c r="D64" s="798"/>
      <c r="E64" s="798">
        <f t="shared" si="1"/>
        <v>0</v>
      </c>
      <c r="F64" s="802" t="s">
        <v>120</v>
      </c>
      <c r="G64" s="743"/>
      <c r="H64" s="740"/>
      <c r="I64" s="741"/>
      <c r="J64" s="717"/>
    </row>
    <row r="65" spans="2:10">
      <c r="B65" s="806" t="s">
        <v>236</v>
      </c>
      <c r="C65" s="807"/>
      <c r="D65" s="798"/>
      <c r="E65" s="798">
        <f t="shared" si="1"/>
        <v>0</v>
      </c>
      <c r="F65" s="802" t="s">
        <v>120</v>
      </c>
      <c r="G65" s="743"/>
      <c r="H65" s="740"/>
      <c r="I65" s="741"/>
      <c r="J65" s="717"/>
    </row>
    <row r="66" spans="2:10">
      <c r="B66" s="803" t="s">
        <v>40</v>
      </c>
      <c r="C66" s="808">
        <f>SUM(C55:C65)</f>
        <v>1781325</v>
      </c>
      <c r="D66" s="808">
        <f>SUM(D55:D65)</f>
        <v>1500000</v>
      </c>
      <c r="E66" s="808">
        <f>SUM(E55:E65)</f>
        <v>3281325</v>
      </c>
      <c r="F66" s="743" t="s">
        <v>120</v>
      </c>
      <c r="G66" s="743"/>
      <c r="H66" s="740"/>
      <c r="I66" s="741"/>
      <c r="J66" s="717"/>
    </row>
    <row r="67" spans="2:10">
      <c r="B67" s="713"/>
      <c r="C67" s="740"/>
      <c r="D67" s="713"/>
      <c r="E67" s="713"/>
      <c r="F67" s="743"/>
      <c r="G67" s="743"/>
      <c r="H67" s="740"/>
      <c r="I67" s="741"/>
      <c r="J67" s="717"/>
    </row>
    <row r="68" spans="2:10">
      <c r="B68" s="752" t="s">
        <v>122</v>
      </c>
      <c r="C68" s="794"/>
      <c r="D68" s="794"/>
      <c r="E68" s="713"/>
      <c r="F68" s="743"/>
      <c r="G68" s="743"/>
    </row>
    <row r="69" spans="2:10">
      <c r="B69" s="713"/>
      <c r="C69" s="743"/>
      <c r="D69" s="713"/>
      <c r="E69" s="713"/>
      <c r="F69" s="740"/>
      <c r="G69" s="743"/>
    </row>
    <row r="71" spans="2:10">
      <c r="H71" s="713"/>
      <c r="I71" s="713"/>
      <c r="J71" s="713"/>
    </row>
    <row r="73" spans="2:10" ht="20.25">
      <c r="B73" s="726" t="s">
        <v>123</v>
      </c>
      <c r="C73" s="713"/>
      <c r="D73" s="713"/>
      <c r="E73" s="713"/>
      <c r="F73" s="713"/>
      <c r="G73" s="713"/>
    </row>
    <row r="85" spans="2:5">
      <c r="B85" s="3633"/>
      <c r="C85" s="3633"/>
      <c r="D85" s="3633"/>
      <c r="E85" s="3633"/>
    </row>
    <row r="93" spans="2:5">
      <c r="B93" s="3633"/>
      <c r="C93" s="3633"/>
      <c r="D93" s="3633"/>
      <c r="E93" s="3633"/>
    </row>
    <row r="94" spans="2:5">
      <c r="B94" s="3633"/>
      <c r="C94" s="3633"/>
      <c r="D94" s="3633"/>
      <c r="E94" s="713"/>
    </row>
    <row r="95" spans="2:5">
      <c r="B95" s="3633"/>
      <c r="C95" s="3633"/>
      <c r="D95" s="3633"/>
      <c r="E95" s="713"/>
    </row>
    <row r="96" spans="2:5">
      <c r="B96" s="3633"/>
      <c r="C96" s="3633"/>
      <c r="D96" s="3633"/>
      <c r="E96" s="713"/>
    </row>
    <row r="97" spans="2:10">
      <c r="B97" s="3633"/>
      <c r="C97" s="3633"/>
      <c r="D97" s="3633"/>
      <c r="E97" s="713"/>
      <c r="H97" s="713"/>
      <c r="I97" s="713"/>
      <c r="J97" s="713"/>
    </row>
    <row r="98" spans="2:10">
      <c r="B98" s="3633"/>
      <c r="C98" s="3633"/>
      <c r="D98" s="3633"/>
      <c r="E98" s="713"/>
    </row>
    <row r="99" spans="2:10">
      <c r="B99" s="3633"/>
      <c r="C99" s="3633"/>
      <c r="D99" s="3633"/>
      <c r="E99" s="713"/>
      <c r="F99" s="713"/>
      <c r="G99" s="713"/>
    </row>
    <row r="104" spans="2:10">
      <c r="H104" s="732"/>
      <c r="I104" s="732"/>
      <c r="J104" s="732"/>
    </row>
    <row r="105" spans="2:10">
      <c r="H105" s="732"/>
      <c r="I105" s="732"/>
      <c r="J105" s="732"/>
    </row>
    <row r="106" spans="2:10">
      <c r="B106" s="717"/>
      <c r="C106" s="732"/>
      <c r="D106" s="732"/>
      <c r="E106" s="732"/>
      <c r="F106" s="732"/>
      <c r="G106" s="732"/>
      <c r="H106" s="732"/>
      <c r="I106" s="732"/>
      <c r="J106" s="732"/>
    </row>
    <row r="107" spans="2:10">
      <c r="B107" s="717"/>
      <c r="C107" s="732"/>
      <c r="D107" s="732"/>
      <c r="E107" s="732"/>
      <c r="F107" s="732"/>
      <c r="G107" s="732"/>
      <c r="H107" s="732"/>
      <c r="I107" s="732"/>
      <c r="J107" s="732"/>
    </row>
    <row r="108" spans="2:10">
      <c r="B108" s="717"/>
      <c r="C108" s="732"/>
      <c r="D108" s="732"/>
      <c r="E108" s="732"/>
      <c r="F108" s="732"/>
      <c r="G108" s="732"/>
      <c r="H108" s="732"/>
      <c r="I108" s="732"/>
      <c r="J108" s="732"/>
    </row>
    <row r="109" spans="2:10">
      <c r="B109" s="717"/>
      <c r="C109" s="732"/>
      <c r="D109" s="732"/>
      <c r="E109" s="732"/>
      <c r="F109" s="732"/>
      <c r="G109" s="732"/>
      <c r="H109" s="732"/>
      <c r="I109" s="732"/>
      <c r="J109" s="732"/>
    </row>
    <row r="110" spans="2:10">
      <c r="B110" s="717"/>
      <c r="C110" s="732"/>
      <c r="D110" s="732"/>
      <c r="E110" s="732"/>
      <c r="F110" s="732"/>
      <c r="G110" s="732"/>
      <c r="H110" s="732"/>
      <c r="I110" s="732"/>
      <c r="J110" s="732"/>
    </row>
    <row r="111" spans="2:10">
      <c r="B111" s="717"/>
      <c r="C111" s="732"/>
      <c r="D111" s="732"/>
      <c r="E111" s="732"/>
      <c r="F111" s="732"/>
      <c r="G111" s="732"/>
      <c r="H111" s="732"/>
      <c r="I111" s="732"/>
      <c r="J111" s="732"/>
    </row>
    <row r="112" spans="2:10">
      <c r="B112" s="717"/>
      <c r="C112" s="732"/>
      <c r="D112" s="732"/>
      <c r="E112" s="732"/>
      <c r="F112" s="732"/>
      <c r="G112" s="732"/>
      <c r="H112" s="732"/>
      <c r="I112" s="732"/>
      <c r="J112" s="732"/>
    </row>
    <row r="113" spans="2:10">
      <c r="B113" s="717"/>
      <c r="C113" s="732"/>
      <c r="D113" s="732"/>
      <c r="E113" s="732"/>
      <c r="F113" s="732"/>
      <c r="G113" s="732"/>
      <c r="H113" s="732"/>
      <c r="I113" s="732"/>
      <c r="J113" s="732"/>
    </row>
    <row r="114" spans="2:10">
      <c r="B114" s="717"/>
      <c r="C114" s="732"/>
      <c r="D114" s="732"/>
      <c r="E114" s="732"/>
      <c r="F114" s="732"/>
      <c r="G114" s="732"/>
      <c r="H114" s="1267"/>
      <c r="I114" s="1268"/>
      <c r="J114" s="732"/>
    </row>
    <row r="115" spans="2:10">
      <c r="B115" s="717"/>
      <c r="C115" s="732"/>
      <c r="D115" s="732"/>
      <c r="E115" s="732"/>
      <c r="F115" s="732"/>
      <c r="G115" s="732"/>
      <c r="H115" s="1269"/>
      <c r="I115" s="1270"/>
      <c r="J115" s="732"/>
    </row>
    <row r="116" spans="2:10">
      <c r="B116" s="717"/>
      <c r="C116" s="732"/>
      <c r="D116" s="732"/>
      <c r="E116" s="732"/>
      <c r="F116" s="732"/>
      <c r="G116" s="732"/>
      <c r="H116" s="732"/>
      <c r="I116" s="732"/>
      <c r="J116" s="732"/>
    </row>
    <row r="117" spans="2:10">
      <c r="B117" s="717"/>
      <c r="C117" s="732"/>
      <c r="D117" s="732"/>
      <c r="E117" s="732"/>
      <c r="F117" s="732"/>
      <c r="G117" s="732"/>
      <c r="H117" s="732"/>
      <c r="I117" s="732"/>
      <c r="J117" s="732"/>
    </row>
    <row r="118" spans="2:10">
      <c r="B118" s="717"/>
      <c r="C118" s="732"/>
      <c r="D118" s="732"/>
      <c r="E118" s="732"/>
      <c r="F118" s="732"/>
      <c r="G118" s="732"/>
      <c r="H118" s="732"/>
      <c r="I118" s="732"/>
      <c r="J118" s="732"/>
    </row>
    <row r="119" spans="2:10">
      <c r="B119" s="717"/>
      <c r="C119" s="732"/>
      <c r="D119" s="732"/>
      <c r="E119" s="732"/>
      <c r="F119" s="732"/>
      <c r="G119" s="732"/>
      <c r="H119" s="732"/>
      <c r="I119" s="732"/>
      <c r="J119" s="732"/>
    </row>
    <row r="120" spans="2:10">
      <c r="B120" s="717"/>
      <c r="C120" s="732"/>
      <c r="D120" s="732"/>
      <c r="E120" s="732"/>
      <c r="F120" s="732"/>
      <c r="G120" s="732"/>
      <c r="H120" s="732"/>
      <c r="I120" s="732"/>
      <c r="J120" s="732"/>
    </row>
    <row r="121" spans="2:10">
      <c r="B121" s="717"/>
      <c r="C121" s="732"/>
      <c r="D121" s="732"/>
      <c r="E121" s="732"/>
      <c r="F121" s="732"/>
      <c r="G121" s="732"/>
      <c r="H121" s="732"/>
      <c r="I121" s="732"/>
      <c r="J121" s="732"/>
    </row>
    <row r="122" spans="2:10">
      <c r="B122" s="717"/>
      <c r="C122" s="732"/>
      <c r="D122" s="732"/>
      <c r="E122" s="732"/>
      <c r="F122" s="732"/>
      <c r="G122" s="732"/>
      <c r="H122" s="732"/>
      <c r="I122" s="732"/>
      <c r="J122" s="732"/>
    </row>
    <row r="123" spans="2:10">
      <c r="B123" s="717"/>
      <c r="C123" s="732"/>
      <c r="D123" s="732"/>
      <c r="E123" s="732"/>
      <c r="F123" s="732"/>
      <c r="G123" s="732"/>
      <c r="H123" s="732"/>
      <c r="I123" s="732"/>
      <c r="J123" s="732"/>
    </row>
    <row r="124" spans="2:10">
      <c r="B124" s="717"/>
      <c r="C124" s="732"/>
      <c r="D124" s="732"/>
      <c r="E124" s="732"/>
      <c r="F124" s="732"/>
      <c r="G124" s="732"/>
      <c r="H124" s="732"/>
      <c r="I124" s="732"/>
      <c r="J124" s="732"/>
    </row>
    <row r="125" spans="2:10">
      <c r="B125" s="717"/>
      <c r="C125" s="732"/>
      <c r="D125" s="732"/>
      <c r="E125" s="732"/>
      <c r="F125" s="732"/>
      <c r="G125" s="732"/>
      <c r="H125" s="732"/>
      <c r="I125" s="732"/>
      <c r="J125" s="732"/>
    </row>
    <row r="126" spans="2:10">
      <c r="B126" s="717"/>
      <c r="C126" s="732"/>
      <c r="D126" s="732"/>
      <c r="E126" s="732"/>
      <c r="F126" s="732"/>
      <c r="G126" s="732"/>
    </row>
    <row r="127" spans="2:10">
      <c r="B127" s="717"/>
      <c r="C127" s="732"/>
      <c r="D127" s="732"/>
      <c r="E127" s="732"/>
      <c r="F127" s="732"/>
      <c r="G127" s="732"/>
    </row>
  </sheetData>
  <customSheetViews>
    <customSheetView guid="{074EB09C-6289-46D7-9513-012B68BCA7BF}" showGridLines="0">
      <pane xSplit="1" ySplit="1" topLeftCell="B35" activePane="bottomRight" state="frozen"/>
      <selection pane="bottomRight" activeCell="A49" sqref="A49:F67"/>
      <pageMargins left="0.7" right="0.24" top="0.38" bottom="0.75" header="0.3" footer="0.3"/>
      <pageSetup paperSize="17" scale="65" orientation="landscape" r:id="rId1"/>
    </customSheetView>
    <customSheetView guid="{D9EFFE19-D14B-4C6F-BDF4-FF696F73968D}" showGridLines="0">
      <pane xSplit="1" ySplit="1" topLeftCell="B17" activePane="bottomRight" state="frozen"/>
      <selection pane="bottomRight"/>
      <pageMargins left="0.7" right="0.24" top="0.38" bottom="0.75" header="0.3" footer="0.3"/>
      <pageSetup paperSize="17" scale="65" orientation="landscape" r:id="rId2"/>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17" scale="65" orientation="landscape" r:id="rId3"/>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showGridLines="0" workbookViewId="0">
      <pane xSplit="1" ySplit="1" topLeftCell="B2" activePane="bottomRight" state="frozen"/>
      <selection pane="topRight" activeCell="B1" sqref="B1"/>
      <selection pane="bottomLeft" activeCell="A2" sqref="A2"/>
      <selection pane="bottomRight" activeCell="B4" sqref="B4"/>
    </sheetView>
  </sheetViews>
  <sheetFormatPr defaultRowHeight="12.75"/>
  <cols>
    <col min="1" max="1" width="18" style="2177" customWidth="1"/>
    <col min="2" max="2" width="16.140625" style="2177" customWidth="1"/>
    <col min="3" max="3" width="29" style="2177" customWidth="1"/>
    <col min="4" max="4" width="23.85546875" style="2177" customWidth="1"/>
    <col min="5" max="5" width="21" style="2177" customWidth="1"/>
    <col min="6" max="6" width="18.7109375" style="2177" customWidth="1"/>
    <col min="7" max="16" width="16.7109375" style="2177" customWidth="1"/>
    <col min="17" max="17" width="26.42578125" style="2177" customWidth="1"/>
    <col min="18" max="18" width="16.85546875" style="2177" customWidth="1"/>
    <col min="19" max="19" width="13.5703125" style="2177" customWidth="1"/>
    <col min="20" max="16384" width="9.140625" style="2177"/>
  </cols>
  <sheetData>
    <row r="1" spans="1:19" ht="58.5" customHeight="1">
      <c r="C1" s="1812" t="s">
        <v>643</v>
      </c>
      <c r="D1" s="1812" t="s">
        <v>716</v>
      </c>
      <c r="E1" s="1812" t="s">
        <v>25</v>
      </c>
      <c r="F1" s="1880">
        <v>18230660</v>
      </c>
      <c r="G1" s="1812" t="s">
        <v>31</v>
      </c>
      <c r="M1" s="1812" t="s">
        <v>643</v>
      </c>
      <c r="N1" s="1812" t="s">
        <v>716</v>
      </c>
      <c r="O1" s="1812" t="s">
        <v>25</v>
      </c>
      <c r="P1" s="1880">
        <v>18230660</v>
      </c>
      <c r="Q1" s="1812" t="s">
        <v>31</v>
      </c>
    </row>
    <row r="2" spans="1:19" ht="16.5" thickBot="1">
      <c r="D2" s="1800"/>
      <c r="E2" s="1800"/>
      <c r="F2" s="1800"/>
      <c r="G2" s="2192"/>
      <c r="H2" s="1576" t="s">
        <v>674</v>
      </c>
      <c r="R2" s="2801"/>
    </row>
    <row r="3" spans="1:19" s="2192" customFormat="1" ht="26.25" thickBot="1">
      <c r="A3" s="2802" t="s">
        <v>643</v>
      </c>
      <c r="B3" s="2802"/>
      <c r="D3" s="1791"/>
      <c r="E3" s="1791"/>
      <c r="F3" s="1791"/>
      <c r="H3" s="2036" t="s">
        <v>8</v>
      </c>
      <c r="I3" s="2037" t="s">
        <v>9</v>
      </c>
      <c r="J3" s="2037" t="s">
        <v>10</v>
      </c>
      <c r="K3" s="2037" t="s">
        <v>11</v>
      </c>
      <c r="L3" s="2037" t="s">
        <v>504</v>
      </c>
      <c r="M3" s="2037" t="s">
        <v>12</v>
      </c>
      <c r="N3" s="2037" t="s">
        <v>13</v>
      </c>
      <c r="O3" s="2037" t="s">
        <v>14</v>
      </c>
      <c r="P3" s="2037" t="s">
        <v>15</v>
      </c>
      <c r="Q3" s="2037" t="s">
        <v>39</v>
      </c>
      <c r="R3" s="2037" t="s">
        <v>16</v>
      </c>
      <c r="S3" s="2038" t="s">
        <v>40</v>
      </c>
    </row>
    <row r="4" spans="1:19" ht="15.75">
      <c r="A4" s="2802" t="s">
        <v>715</v>
      </c>
      <c r="B4" s="2802"/>
      <c r="D4" s="2192"/>
      <c r="E4" s="2192"/>
      <c r="F4" s="2192"/>
      <c r="G4" s="1804" t="s">
        <v>668</v>
      </c>
      <c r="H4" s="2003">
        <v>0</v>
      </c>
      <c r="I4" s="2002">
        <v>0</v>
      </c>
      <c r="J4" s="2002">
        <v>0</v>
      </c>
      <c r="K4" s="2002">
        <v>0</v>
      </c>
      <c r="L4" s="2002">
        <v>0</v>
      </c>
      <c r="M4" s="2002">
        <v>830000</v>
      </c>
      <c r="N4" s="2002">
        <v>0</v>
      </c>
      <c r="O4" s="2002">
        <v>0</v>
      </c>
      <c r="P4" s="2002">
        <v>0</v>
      </c>
      <c r="Q4" s="2002"/>
      <c r="R4" s="2002">
        <v>830000</v>
      </c>
      <c r="S4" s="2906">
        <v>0</v>
      </c>
    </row>
    <row r="5" spans="1:19">
      <c r="A5" s="2802" t="s">
        <v>25</v>
      </c>
      <c r="B5" s="2802"/>
      <c r="G5" s="2194">
        <v>2016</v>
      </c>
      <c r="H5" s="1582">
        <f>D15</f>
        <v>0</v>
      </c>
      <c r="I5" s="1549">
        <f>D21</f>
        <v>0</v>
      </c>
      <c r="J5" s="1549">
        <f>D27</f>
        <v>0</v>
      </c>
      <c r="K5" s="1549">
        <f>D34</f>
        <v>0</v>
      </c>
      <c r="L5" s="1549">
        <f>D40</f>
        <v>0</v>
      </c>
      <c r="M5" s="1549">
        <f>D46</f>
        <v>1086677</v>
      </c>
      <c r="N5" s="1549">
        <f>D52</f>
        <v>0</v>
      </c>
      <c r="O5" s="1549">
        <f>D58</f>
        <v>0</v>
      </c>
      <c r="P5" s="1549">
        <f>D64</f>
        <v>0</v>
      </c>
      <c r="Q5" s="1549"/>
      <c r="R5" s="1549">
        <f>SUM(H5:P5)</f>
        <v>1086677</v>
      </c>
      <c r="S5" s="2907">
        <f>I20</f>
        <v>0</v>
      </c>
    </row>
    <row r="6" spans="1:19" ht="16.5" thickBot="1">
      <c r="A6" s="1880">
        <v>18230660</v>
      </c>
      <c r="B6" s="1880"/>
      <c r="C6" s="1803"/>
      <c r="G6" s="2194">
        <v>2017</v>
      </c>
      <c r="H6" s="57">
        <f>E15</f>
        <v>0</v>
      </c>
      <c r="I6" s="1990">
        <f>E21</f>
        <v>0</v>
      </c>
      <c r="J6" s="1989">
        <f>E27</f>
        <v>0</v>
      </c>
      <c r="K6" s="58">
        <f>E34</f>
        <v>0</v>
      </c>
      <c r="L6" s="58">
        <f>E40</f>
        <v>0</v>
      </c>
      <c r="M6" s="58">
        <f>E46</f>
        <v>1389079</v>
      </c>
      <c r="N6" s="58">
        <f>E52</f>
        <v>0</v>
      </c>
      <c r="O6" s="58">
        <f>E58</f>
        <v>0</v>
      </c>
      <c r="P6" s="58">
        <f>E64</f>
        <v>0</v>
      </c>
      <c r="Q6" s="58"/>
      <c r="R6" s="58">
        <f>SUM(H6:P6)</f>
        <v>1389079</v>
      </c>
      <c r="S6" s="2908">
        <f>J20</f>
        <v>37680</v>
      </c>
    </row>
    <row r="7" spans="1:19" ht="13.5" thickBot="1">
      <c r="A7" s="2802" t="s">
        <v>31</v>
      </c>
      <c r="B7" s="1978"/>
      <c r="C7" s="2194"/>
      <c r="D7" s="2194"/>
      <c r="E7" s="2194"/>
      <c r="F7" s="2194"/>
      <c r="G7" s="1843" t="s">
        <v>23</v>
      </c>
      <c r="H7" s="1564">
        <f>SUM(H5:H6)</f>
        <v>0</v>
      </c>
      <c r="I7" s="1991">
        <f t="shared" ref="I7:P7" si="0">SUM(I5:I6)</f>
        <v>0</v>
      </c>
      <c r="J7" s="1992">
        <f t="shared" si="0"/>
        <v>0</v>
      </c>
      <c r="K7" s="1993">
        <f t="shared" si="0"/>
        <v>0</v>
      </c>
      <c r="L7" s="1991">
        <f t="shared" si="0"/>
        <v>0</v>
      </c>
      <c r="M7" s="1992">
        <f t="shared" si="0"/>
        <v>2475756</v>
      </c>
      <c r="N7" s="1991">
        <f t="shared" si="0"/>
        <v>0</v>
      </c>
      <c r="O7" s="1992">
        <f t="shared" si="0"/>
        <v>0</v>
      </c>
      <c r="P7" s="1993">
        <f t="shared" si="0"/>
        <v>0</v>
      </c>
      <c r="Q7" s="1993"/>
      <c r="R7" s="1991">
        <f>SUM(R5:R6)</f>
        <v>2475756</v>
      </c>
      <c r="S7" s="2909">
        <f>SUM(S5:S6)</f>
        <v>37680</v>
      </c>
    </row>
    <row r="8" spans="1:19">
      <c r="B8" s="2802"/>
      <c r="C8" s="2194"/>
      <c r="D8" s="2194"/>
    </row>
    <row r="9" spans="1:19">
      <c r="A9" s="1819"/>
      <c r="B9" s="1819"/>
      <c r="C9" s="2194"/>
      <c r="D9" s="2194"/>
    </row>
    <row r="10" spans="1:19">
      <c r="A10" s="1822"/>
      <c r="B10" s="1822"/>
      <c r="C10" s="1915" t="s">
        <v>329</v>
      </c>
      <c r="D10" s="1915"/>
      <c r="E10" s="1915"/>
      <c r="F10" s="1915"/>
    </row>
    <row r="11" spans="1:19" ht="25.5">
      <c r="A11" s="1822"/>
      <c r="B11" s="1822"/>
      <c r="E11" s="2193"/>
      <c r="N11" s="2178" t="s">
        <v>20</v>
      </c>
    </row>
    <row r="12" spans="1:19" ht="15.75">
      <c r="A12" s="1822"/>
      <c r="B12" s="2178"/>
      <c r="C12" s="1887" t="s">
        <v>314</v>
      </c>
      <c r="D12" s="2157">
        <f>D15+D21+D27+D34+D40+D46+D52+D58+D64</f>
        <v>1086677</v>
      </c>
      <c r="E12" s="1948">
        <f>E15+E21+E27+E34+E40+E46+E52+E58+E64</f>
        <v>1389079</v>
      </c>
      <c r="F12" s="2157">
        <f>D12+E12</f>
        <v>2475756</v>
      </c>
      <c r="G12" s="2717" t="s">
        <v>617</v>
      </c>
      <c r="N12" s="2178" t="s">
        <v>21</v>
      </c>
    </row>
    <row r="13" spans="1:19" ht="15.75">
      <c r="A13" s="2178"/>
      <c r="B13" s="1863"/>
      <c r="C13" s="1947"/>
      <c r="E13" s="1787"/>
      <c r="G13" s="1802"/>
      <c r="H13" s="1802"/>
    </row>
    <row r="14" spans="1:19" ht="15.75">
      <c r="A14" s="1863"/>
      <c r="B14" s="1863"/>
      <c r="C14" s="1888" t="s">
        <v>45</v>
      </c>
      <c r="D14" s="1969">
        <v>2016</v>
      </c>
      <c r="E14" s="1970">
        <v>2017</v>
      </c>
      <c r="F14" s="1950" t="s">
        <v>23</v>
      </c>
      <c r="G14" s="1796"/>
      <c r="H14" s="1796"/>
      <c r="I14" s="2194"/>
      <c r="J14" s="2194"/>
      <c r="K14" s="2194"/>
      <c r="L14" s="2194"/>
      <c r="M14" s="2194"/>
      <c r="N14" s="2194"/>
      <c r="O14" s="2194"/>
      <c r="P14" s="2194"/>
    </row>
    <row r="15" spans="1:19" ht="15.75">
      <c r="A15" s="1863"/>
      <c r="B15" s="1886" t="s">
        <v>312</v>
      </c>
      <c r="C15" s="2106" t="s">
        <v>46</v>
      </c>
      <c r="D15" s="2158">
        <f>SUM(D16:D19)</f>
        <v>0</v>
      </c>
      <c r="E15" s="1926">
        <f>SUM(E16:E19)</f>
        <v>0</v>
      </c>
      <c r="F15" s="2157">
        <f>SUM(D15:E15)</f>
        <v>0</v>
      </c>
      <c r="G15" s="1796"/>
      <c r="H15" s="1796"/>
      <c r="I15" s="2194"/>
      <c r="J15" s="2194"/>
      <c r="K15" s="2194"/>
      <c r="L15" s="2194"/>
      <c r="M15" s="2194"/>
      <c r="N15" s="2194"/>
      <c r="O15" s="2194"/>
      <c r="P15" s="2194"/>
    </row>
    <row r="16" spans="1:19">
      <c r="A16" s="2178"/>
      <c r="B16" s="2610"/>
      <c r="C16" s="2197"/>
      <c r="D16" s="2201"/>
      <c r="E16" s="2200"/>
      <c r="F16" s="1879">
        <f>SUM(D16:E16)</f>
        <v>0</v>
      </c>
    </row>
    <row r="17" spans="1:16">
      <c r="A17" s="2178"/>
      <c r="B17" s="2610"/>
      <c r="C17" s="2197"/>
      <c r="D17" s="2199"/>
      <c r="E17" s="2198"/>
      <c r="F17" s="2191">
        <f>SUM(D17:E17)</f>
        <v>0</v>
      </c>
      <c r="K17" s="1607"/>
      <c r="L17" s="1607"/>
      <c r="M17" s="1607"/>
      <c r="N17" s="1607"/>
    </row>
    <row r="18" spans="1:16" ht="15.75">
      <c r="A18" s="2178"/>
      <c r="B18" s="2610"/>
      <c r="C18" s="2197"/>
      <c r="D18" s="2199"/>
      <c r="E18" s="2198"/>
      <c r="F18" s="2191">
        <f>SUM(D18:E18)</f>
        <v>0</v>
      </c>
      <c r="I18" s="3630" t="s">
        <v>714</v>
      </c>
      <c r="J18" s="3631"/>
      <c r="K18" s="1802"/>
      <c r="L18" s="1802"/>
      <c r="M18" s="1802"/>
      <c r="N18" s="1802"/>
    </row>
    <row r="19" spans="1:16">
      <c r="A19" s="2178"/>
      <c r="B19" s="2610"/>
      <c r="C19" s="2197"/>
      <c r="D19" s="1903"/>
      <c r="E19" s="1902"/>
      <c r="F19" s="2191">
        <f>SUM(D19:E19)</f>
        <v>0</v>
      </c>
      <c r="I19" s="2193">
        <v>2016</v>
      </c>
      <c r="J19" s="2193">
        <v>2017</v>
      </c>
    </row>
    <row r="20" spans="1:16">
      <c r="A20" s="2178"/>
      <c r="B20" s="1908">
        <f>SUM(B16:B19)</f>
        <v>0</v>
      </c>
      <c r="C20" s="1952"/>
      <c r="D20" s="1954"/>
      <c r="E20" s="1955"/>
      <c r="F20" s="1957"/>
      <c r="I20" s="1298">
        <v>0</v>
      </c>
      <c r="J20" s="1298">
        <v>37680</v>
      </c>
    </row>
    <row r="21" spans="1:16">
      <c r="A21" s="1863"/>
      <c r="B21" s="2178"/>
      <c r="C21" s="2106" t="s">
        <v>47</v>
      </c>
      <c r="D21" s="2158">
        <v>0</v>
      </c>
      <c r="E21" s="1926">
        <v>0</v>
      </c>
      <c r="F21" s="2157">
        <v>0</v>
      </c>
      <c r="G21" s="2194"/>
      <c r="H21" s="2194"/>
      <c r="I21" s="2194"/>
      <c r="J21" s="2194"/>
      <c r="K21" s="2194"/>
      <c r="L21" s="2194"/>
      <c r="M21" s="2194"/>
      <c r="N21" s="2194"/>
      <c r="O21" s="2194"/>
      <c r="P21" s="2194"/>
    </row>
    <row r="22" spans="1:16">
      <c r="A22" s="2178"/>
      <c r="B22" s="2178"/>
      <c r="C22" s="2197"/>
      <c r="D22" s="2201"/>
      <c r="E22" s="2200"/>
      <c r="F22" s="1879">
        <v>0</v>
      </c>
    </row>
    <row r="23" spans="1:16">
      <c r="A23" s="2178"/>
      <c r="B23" s="2178"/>
      <c r="C23" s="2197"/>
      <c r="D23" s="1900"/>
      <c r="E23" s="1899"/>
      <c r="F23" s="2191">
        <v>0</v>
      </c>
    </row>
    <row r="24" spans="1:16">
      <c r="A24" s="2178"/>
      <c r="B24" s="2178"/>
      <c r="C24" s="2197"/>
      <c r="D24" s="1898"/>
      <c r="E24" s="1897"/>
      <c r="F24" s="2191">
        <v>0</v>
      </c>
    </row>
    <row r="25" spans="1:16">
      <c r="A25" s="2178"/>
      <c r="B25" s="2178"/>
      <c r="C25" s="2197"/>
      <c r="D25" s="1896"/>
      <c r="E25" s="1899"/>
      <c r="F25" s="2191">
        <v>0</v>
      </c>
    </row>
    <row r="26" spans="1:16">
      <c r="A26" s="2178"/>
      <c r="B26" s="2178"/>
      <c r="C26" s="1877"/>
      <c r="D26" s="1892"/>
      <c r="E26" s="1884"/>
      <c r="F26" s="1892"/>
    </row>
    <row r="27" spans="1:16">
      <c r="A27" s="2178"/>
      <c r="B27" s="1801"/>
      <c r="C27" s="2106" t="s">
        <v>48</v>
      </c>
      <c r="D27" s="2158">
        <f>SUM(D29:D31)</f>
        <v>0</v>
      </c>
      <c r="E27" s="1926">
        <f>SUM(E29:E31)</f>
        <v>0</v>
      </c>
      <c r="F27" s="2157">
        <f>SUM(D27:E27)</f>
        <v>0</v>
      </c>
    </row>
    <row r="28" spans="1:16">
      <c r="A28" s="1801"/>
      <c r="B28" s="2178"/>
      <c r="C28" s="1909" t="s">
        <v>315</v>
      </c>
      <c r="D28" s="1912">
        <v>0.66700000000000004</v>
      </c>
      <c r="E28" s="1913">
        <v>0.69599999999999995</v>
      </c>
      <c r="F28" s="1949"/>
      <c r="G28" s="1799"/>
    </row>
    <row r="29" spans="1:16">
      <c r="A29" s="2178"/>
      <c r="B29" s="1863"/>
      <c r="C29" s="2197"/>
      <c r="D29" s="2202"/>
      <c r="E29" s="2163"/>
      <c r="F29" s="2191">
        <f>SUM(D29:E29)</f>
        <v>0</v>
      </c>
    </row>
    <row r="30" spans="1:16">
      <c r="A30" s="1863"/>
      <c r="B30" s="2178"/>
      <c r="C30" s="2197"/>
      <c r="D30" s="1973"/>
      <c r="E30" s="2163"/>
      <c r="F30" s="2191">
        <f>SUM(D30:E30)</f>
        <v>0</v>
      </c>
      <c r="G30" s="2194"/>
      <c r="H30" s="2194"/>
      <c r="I30" s="2194"/>
      <c r="J30" s="2194"/>
      <c r="K30" s="2194"/>
      <c r="L30" s="2194"/>
      <c r="M30" s="2194"/>
      <c r="N30" s="2194"/>
      <c r="O30" s="2194"/>
      <c r="P30" s="2194"/>
    </row>
    <row r="31" spans="1:16">
      <c r="A31" s="2178"/>
      <c r="B31" s="2178"/>
      <c r="C31" s="1901"/>
      <c r="D31" s="1898"/>
      <c r="E31" s="1897"/>
      <c r="F31" s="1889"/>
    </row>
    <row r="32" spans="1:16">
      <c r="A32" s="2178"/>
      <c r="B32" s="2178"/>
      <c r="C32" s="1901"/>
      <c r="D32" s="1896"/>
      <c r="E32" s="1899"/>
      <c r="F32" s="1890"/>
    </row>
    <row r="33" spans="1:7">
      <c r="A33" s="2178"/>
      <c r="B33" s="2178"/>
      <c r="C33" s="1952"/>
      <c r="D33" s="1958"/>
      <c r="E33" s="1955"/>
      <c r="F33" s="1958"/>
    </row>
    <row r="34" spans="1:7" ht="27" customHeight="1">
      <c r="A34" s="2802" t="s">
        <v>643</v>
      </c>
      <c r="B34" s="2178"/>
      <c r="C34" s="2106" t="s">
        <v>49</v>
      </c>
      <c r="D34" s="2158">
        <v>0</v>
      </c>
      <c r="E34" s="1926">
        <v>0</v>
      </c>
      <c r="F34" s="2157">
        <v>0</v>
      </c>
    </row>
    <row r="35" spans="1:7">
      <c r="A35" s="2802" t="s">
        <v>715</v>
      </c>
      <c r="B35" s="2178"/>
      <c r="C35" s="2197"/>
      <c r="D35" s="2202"/>
      <c r="E35" s="2203"/>
      <c r="F35" s="2191">
        <v>0</v>
      </c>
    </row>
    <row r="36" spans="1:7">
      <c r="A36" s="2802" t="s">
        <v>25</v>
      </c>
      <c r="B36" s="2178"/>
      <c r="C36" s="2197"/>
      <c r="D36" s="2202"/>
      <c r="E36" s="2203"/>
      <c r="F36" s="2191">
        <v>0</v>
      </c>
    </row>
    <row r="37" spans="1:7">
      <c r="A37" s="1880">
        <v>18230660</v>
      </c>
      <c r="B37" s="2178"/>
      <c r="C37" s="2197"/>
      <c r="D37" s="2202"/>
      <c r="E37" s="2203"/>
      <c r="F37" s="2191">
        <v>0</v>
      </c>
    </row>
    <row r="38" spans="1:7">
      <c r="A38" s="2802" t="s">
        <v>31</v>
      </c>
      <c r="B38" s="2178"/>
      <c r="C38" s="2197"/>
      <c r="D38" s="2202"/>
      <c r="E38" s="2203"/>
      <c r="F38" s="2191">
        <v>0</v>
      </c>
    </row>
    <row r="39" spans="1:7">
      <c r="A39" s="1880"/>
      <c r="B39" s="2178"/>
      <c r="C39" s="1952"/>
      <c r="D39" s="1958"/>
      <c r="E39" s="1955"/>
      <c r="F39" s="1958"/>
    </row>
    <row r="40" spans="1:7">
      <c r="A40" s="2802"/>
      <c r="B40" s="2178"/>
      <c r="C40" s="2106" t="s">
        <v>506</v>
      </c>
      <c r="D40" s="2158">
        <f>SUM(D41:D44)</f>
        <v>0</v>
      </c>
      <c r="E40" s="1926">
        <f>SUM(E41:E44)</f>
        <v>0</v>
      </c>
      <c r="F40" s="2157">
        <f t="shared" ref="F40:F56" si="1">SUM(D40:E40)</f>
        <v>0</v>
      </c>
    </row>
    <row r="41" spans="1:7">
      <c r="A41" s="2178"/>
      <c r="B41" s="2178"/>
      <c r="C41" s="2197"/>
      <c r="D41" s="2202"/>
      <c r="E41" s="2203"/>
      <c r="F41" s="2191">
        <f t="shared" si="1"/>
        <v>0</v>
      </c>
    </row>
    <row r="42" spans="1:7">
      <c r="A42" s="2178"/>
      <c r="B42" s="2178"/>
      <c r="C42" s="2197"/>
      <c r="D42" s="2202"/>
      <c r="E42" s="2203"/>
      <c r="F42" s="2191">
        <f t="shared" si="1"/>
        <v>0</v>
      </c>
    </row>
    <row r="43" spans="1:7">
      <c r="A43" s="2178"/>
      <c r="B43" s="2178"/>
      <c r="C43" s="2197"/>
      <c r="D43" s="2202"/>
      <c r="E43" s="2203"/>
      <c r="F43" s="2191">
        <f t="shared" si="1"/>
        <v>0</v>
      </c>
    </row>
    <row r="44" spans="1:7">
      <c r="A44" s="2178"/>
      <c r="B44" s="2178"/>
      <c r="C44" s="2197"/>
      <c r="D44" s="2202"/>
      <c r="E44" s="2203"/>
      <c r="F44" s="2191">
        <f t="shared" si="1"/>
        <v>0</v>
      </c>
    </row>
    <row r="45" spans="1:7">
      <c r="A45" s="2178"/>
      <c r="B45" s="2178"/>
      <c r="C45" s="1952"/>
      <c r="D45" s="1958"/>
      <c r="E45" s="1955"/>
      <c r="F45" s="1958"/>
    </row>
    <row r="46" spans="1:7">
      <c r="A46" s="2178"/>
      <c r="B46" s="2178"/>
      <c r="C46" s="2106" t="s">
        <v>50</v>
      </c>
      <c r="D46" s="2158">
        <f>SUM(D47:D50)</f>
        <v>1086677</v>
      </c>
      <c r="E46" s="1926">
        <f>SUM(E47:E50)</f>
        <v>1389079</v>
      </c>
      <c r="F46" s="2157">
        <f t="shared" si="1"/>
        <v>2475756</v>
      </c>
    </row>
    <row r="47" spans="1:7">
      <c r="A47" s="2178"/>
      <c r="B47" s="2178"/>
      <c r="C47" s="2197"/>
      <c r="D47" s="2202">
        <v>1086677</v>
      </c>
      <c r="E47" s="2203">
        <v>1389079</v>
      </c>
      <c r="F47" s="2191">
        <f t="shared" si="1"/>
        <v>2475756</v>
      </c>
      <c r="G47" s="2177" t="s">
        <v>815</v>
      </c>
    </row>
    <row r="48" spans="1:7">
      <c r="A48" s="2178"/>
      <c r="B48" s="2178"/>
      <c r="C48" s="2197"/>
      <c r="D48" s="2202"/>
      <c r="E48" s="2203"/>
      <c r="F48" s="2191">
        <f t="shared" si="1"/>
        <v>0</v>
      </c>
    </row>
    <row r="49" spans="1:6">
      <c r="A49" s="2178"/>
      <c r="B49" s="2178"/>
      <c r="C49" s="2197"/>
      <c r="D49" s="2202"/>
      <c r="E49" s="2203"/>
      <c r="F49" s="2191">
        <f t="shared" si="1"/>
        <v>0</v>
      </c>
    </row>
    <row r="50" spans="1:6">
      <c r="A50" s="2178"/>
      <c r="B50" s="2178"/>
      <c r="C50" s="2197"/>
      <c r="D50" s="2202"/>
      <c r="E50" s="2203"/>
      <c r="F50" s="2191">
        <f t="shared" si="1"/>
        <v>0</v>
      </c>
    </row>
    <row r="51" spans="1:6">
      <c r="A51" s="2178"/>
      <c r="B51" s="2178"/>
      <c r="C51" s="1952"/>
      <c r="D51" s="1958"/>
      <c r="E51" s="1955"/>
      <c r="F51" s="1958"/>
    </row>
    <row r="52" spans="1:6">
      <c r="A52" s="2178"/>
      <c r="B52" s="2178"/>
      <c r="C52" s="2106" t="s">
        <v>51</v>
      </c>
      <c r="D52" s="2158">
        <f>SUM(D53:D56)</f>
        <v>0</v>
      </c>
      <c r="E52" s="1926">
        <f>SUM(E53:E56)</f>
        <v>0</v>
      </c>
      <c r="F52" s="2157">
        <f t="shared" si="1"/>
        <v>0</v>
      </c>
    </row>
    <row r="53" spans="1:6">
      <c r="A53" s="2178"/>
      <c r="B53" s="2178"/>
      <c r="C53" s="2197"/>
      <c r="D53" s="2202"/>
      <c r="E53" s="2163"/>
      <c r="F53" s="2191">
        <f t="shared" si="1"/>
        <v>0</v>
      </c>
    </row>
    <row r="54" spans="1:6">
      <c r="A54" s="2178"/>
      <c r="B54" s="2178"/>
      <c r="C54" s="2197"/>
      <c r="D54" s="2202"/>
      <c r="E54" s="2163"/>
      <c r="F54" s="2191">
        <f t="shared" si="1"/>
        <v>0</v>
      </c>
    </row>
    <row r="55" spans="1:6">
      <c r="A55" s="2178"/>
      <c r="B55" s="2178"/>
      <c r="C55" s="2197"/>
      <c r="D55" s="2202"/>
      <c r="E55" s="2163"/>
      <c r="F55" s="2191">
        <f t="shared" si="1"/>
        <v>0</v>
      </c>
    </row>
    <row r="56" spans="1:6">
      <c r="A56" s="2178"/>
      <c r="B56" s="2178"/>
      <c r="C56" s="2197"/>
      <c r="D56" s="2202"/>
      <c r="E56" s="2163"/>
      <c r="F56" s="2191">
        <f t="shared" si="1"/>
        <v>0</v>
      </c>
    </row>
    <row r="57" spans="1:6">
      <c r="A57" s="2178"/>
      <c r="B57" s="2178"/>
      <c r="C57" s="1952"/>
      <c r="D57" s="1958"/>
      <c r="E57" s="1955"/>
      <c r="F57" s="1958"/>
    </row>
    <row r="58" spans="1:6">
      <c r="A58" s="2178"/>
      <c r="B58" s="2178"/>
      <c r="C58" s="2106" t="s">
        <v>52</v>
      </c>
      <c r="D58" s="2183">
        <f>SUM(D59:D62)</f>
        <v>0</v>
      </c>
      <c r="E58" s="2184">
        <f>SUM(E59:E62)</f>
        <v>0</v>
      </c>
      <c r="F58" s="2114">
        <f>SUM(D58:E58)</f>
        <v>0</v>
      </c>
    </row>
    <row r="59" spans="1:6">
      <c r="A59" s="2178"/>
      <c r="C59" s="2197"/>
      <c r="D59" s="2202"/>
      <c r="E59" s="2203"/>
      <c r="F59" s="2191">
        <f>SUM(D59:E59)</f>
        <v>0</v>
      </c>
    </row>
    <row r="60" spans="1:6">
      <c r="C60" s="2197"/>
      <c r="D60" s="2202"/>
      <c r="E60" s="2203"/>
      <c r="F60" s="2191">
        <v>0</v>
      </c>
    </row>
    <row r="61" spans="1:6">
      <c r="C61" s="2197"/>
      <c r="D61" s="2202"/>
      <c r="E61" s="2203"/>
      <c r="F61" s="1890">
        <v>0</v>
      </c>
    </row>
    <row r="62" spans="1:6">
      <c r="C62" s="2197"/>
      <c r="D62" s="2202"/>
      <c r="E62" s="2203"/>
      <c r="F62" s="2191">
        <v>0</v>
      </c>
    </row>
    <row r="63" spans="1:6">
      <c r="C63" s="1952"/>
      <c r="D63" s="1958"/>
      <c r="E63" s="1955"/>
      <c r="F63" s="1958"/>
    </row>
    <row r="64" spans="1:6" ht="26.25" customHeight="1">
      <c r="A64" s="2802" t="s">
        <v>643</v>
      </c>
      <c r="C64" s="2106" t="s">
        <v>53</v>
      </c>
      <c r="D64" s="2158"/>
      <c r="E64" s="1926"/>
      <c r="F64" s="2157">
        <f>D64+E64</f>
        <v>0</v>
      </c>
    </row>
    <row r="65" spans="1:6">
      <c r="A65" s="2802" t="s">
        <v>715</v>
      </c>
      <c r="C65" s="1967" t="s">
        <v>313</v>
      </c>
      <c r="D65" s="1961"/>
      <c r="E65" s="1962"/>
      <c r="F65" s="1966"/>
    </row>
    <row r="66" spans="1:6">
      <c r="A66" s="2802" t="s">
        <v>25</v>
      </c>
      <c r="C66" s="1968"/>
      <c r="D66" s="1963"/>
      <c r="E66" s="1964"/>
      <c r="F66" s="1965"/>
    </row>
    <row r="67" spans="1:6">
      <c r="A67" s="1880">
        <v>18230660</v>
      </c>
      <c r="C67" s="1959" t="s">
        <v>54</v>
      </c>
      <c r="D67" s="2202">
        <v>0</v>
      </c>
      <c r="E67" s="2202">
        <v>0</v>
      </c>
      <c r="F67" s="1956">
        <v>0</v>
      </c>
    </row>
    <row r="68" spans="1:6">
      <c r="A68" s="2802" t="s">
        <v>31</v>
      </c>
    </row>
    <row r="69" spans="1:6">
      <c r="A69" s="1880"/>
    </row>
    <row r="70" spans="1:6">
      <c r="A70" s="2802"/>
    </row>
    <row r="71" spans="1:6">
      <c r="A71" s="2178"/>
    </row>
  </sheetData>
  <customSheetViews>
    <customSheetView guid="{074EB09C-6289-46D7-9513-012B68BCA7BF}" showGridLines="0">
      <pane xSplit="1" ySplit="1" topLeftCell="B2" activePane="bottomRight" state="frozen"/>
      <selection pane="bottomRight" activeCell="G48" sqref="G48"/>
      <pageMargins left="0.7" right="0.7" top="0.75" bottom="0.75" header="0.3" footer="0.3"/>
      <pageSetup orientation="portrait" r:id="rId1"/>
    </customSheetView>
    <customSheetView guid="{D9EFFE19-D14B-4C6F-BDF4-FF696F73968D}" showGridLines="0">
      <pane xSplit="1" ySplit="1" topLeftCell="B11" activePane="bottomRight" state="frozen"/>
      <selection pane="bottomRight" activeCell="G48" sqref="G48"/>
      <pageMargins left="0.7" right="0.7" top="0.75" bottom="0.75" header="0.3" footer="0.3"/>
      <pageSetup orientation="portrait" r:id="rId2"/>
    </customSheetView>
  </customSheetViews>
  <mergeCells count="1">
    <mergeCell ref="I18:J18"/>
  </mergeCells>
  <pageMargins left="0.7" right="0.7" top="0.75" bottom="0.75" header="0.3" footer="0.3"/>
  <pageSetup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249977111117893"/>
  </sheetPr>
  <dimension ref="A1:C6"/>
  <sheetViews>
    <sheetView showGridLines="0" workbookViewId="0">
      <selection activeCell="H24" sqref="H24"/>
    </sheetView>
  </sheetViews>
  <sheetFormatPr defaultRowHeight="12.75"/>
  <sheetData>
    <row r="1" spans="1:3">
      <c r="A1" t="s">
        <v>1</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selection activeCell="O33" sqref="O33"/>
      <pageMargins left="0.7" right="0.7" top="0.75" bottom="0.75" header="0.3" footer="0.3"/>
      <pageSetup paperSize="3" orientation="landscape" r:id="rId1"/>
    </customSheetView>
    <customSheetView guid="{D9EFFE19-D14B-4C6F-BDF4-FF696F73968D}" showGridLines="0">
      <selection activeCell="O33" sqref="O33"/>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pageSetUpPr fitToPage="1"/>
  </sheetPr>
  <dimension ref="A1:S67"/>
  <sheetViews>
    <sheetView showGridLines="0" zoomScaleNormal="100" workbookViewId="0">
      <pane xSplit="1" ySplit="1" topLeftCell="B5" activePane="bottomRight" state="frozen"/>
      <selection pane="topRight" activeCell="B1" sqref="B1"/>
      <selection pane="bottomLeft" activeCell="A2" sqref="A2"/>
      <selection pane="bottomRight" activeCell="E17" sqref="E17"/>
    </sheetView>
  </sheetViews>
  <sheetFormatPr defaultRowHeight="12.75"/>
  <cols>
    <col min="1" max="1" width="18.85546875" style="1164" customWidth="1"/>
    <col min="2" max="2" width="16.140625" style="1866" customWidth="1"/>
    <col min="3" max="3" width="27.28515625" customWidth="1"/>
    <col min="4" max="4" width="17.7109375" customWidth="1"/>
    <col min="5" max="5" width="18.5703125" customWidth="1"/>
    <col min="6" max="6" width="23.85546875" customWidth="1"/>
    <col min="7" max="7" width="20.5703125" customWidth="1"/>
    <col min="8" max="8" width="13.85546875" customWidth="1"/>
    <col min="9" max="9" width="14.140625" customWidth="1"/>
    <col min="10" max="10" width="15.85546875" customWidth="1"/>
    <col min="11" max="11" width="12.140625" customWidth="1"/>
    <col min="12" max="12" width="15.140625" customWidth="1"/>
    <col min="13" max="19" width="12.140625" customWidth="1"/>
  </cols>
  <sheetData>
    <row r="1" spans="1:19" ht="52.5" customHeight="1">
      <c r="C1" s="1301"/>
      <c r="D1" s="1808" t="s">
        <v>203</v>
      </c>
      <c r="E1" s="1823" t="s">
        <v>6</v>
      </c>
      <c r="F1" s="1823">
        <v>18230610</v>
      </c>
      <c r="G1" s="1808" t="s">
        <v>5</v>
      </c>
      <c r="M1" s="1808" t="s">
        <v>203</v>
      </c>
      <c r="N1" s="1823" t="s">
        <v>6</v>
      </c>
      <c r="O1" s="1823">
        <v>18230610</v>
      </c>
      <c r="P1" s="1808" t="s">
        <v>5</v>
      </c>
    </row>
    <row r="2" spans="1:19" ht="16.5" customHeight="1" thickBot="1">
      <c r="C2" s="1825"/>
      <c r="D2" s="1826"/>
      <c r="E2" s="1494"/>
      <c r="F2" s="1227"/>
      <c r="G2" s="1227"/>
      <c r="H2" s="1576" t="s">
        <v>674</v>
      </c>
      <c r="I2" s="548"/>
      <c r="J2" s="548"/>
      <c r="K2" s="548"/>
      <c r="L2" s="548"/>
      <c r="M2" s="548"/>
      <c r="N2" s="548"/>
      <c r="O2" s="548"/>
      <c r="P2" s="548"/>
      <c r="Q2" s="548"/>
      <c r="R2" s="1869"/>
    </row>
    <row r="3" spans="1:19" ht="27" thickBot="1">
      <c r="A3" s="1976" t="s">
        <v>203</v>
      </c>
      <c r="B3" s="1976"/>
      <c r="C3" s="1793"/>
      <c r="D3" s="1793"/>
      <c r="E3" s="1494"/>
      <c r="F3" s="548"/>
      <c r="G3" s="548"/>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985" t="s">
        <v>6</v>
      </c>
      <c r="B4" s="1976"/>
      <c r="C4" s="1826"/>
      <c r="D4" s="1826"/>
      <c r="E4" s="1775"/>
      <c r="F4" s="548"/>
      <c r="G4" s="1704" t="s">
        <v>668</v>
      </c>
      <c r="H4" s="2003">
        <v>595268</v>
      </c>
      <c r="I4" s="2002">
        <v>0</v>
      </c>
      <c r="J4" s="2002">
        <v>420854</v>
      </c>
      <c r="K4" s="2002">
        <v>0</v>
      </c>
      <c r="L4" s="2002">
        <v>39000</v>
      </c>
      <c r="M4" s="2002">
        <v>913</v>
      </c>
      <c r="N4" s="2002">
        <v>3000</v>
      </c>
      <c r="O4" s="2002">
        <v>1350</v>
      </c>
      <c r="P4" s="2002">
        <v>0</v>
      </c>
      <c r="Q4" s="2002">
        <v>0</v>
      </c>
      <c r="R4" s="2000">
        <v>1060385</v>
      </c>
      <c r="S4" s="1998"/>
    </row>
    <row r="5" spans="1:19" ht="15.75">
      <c r="A5" s="1985">
        <v>18230610</v>
      </c>
      <c r="B5" s="1985"/>
      <c r="C5" s="1825"/>
      <c r="D5" s="1775"/>
      <c r="E5" s="1775"/>
      <c r="F5" s="548"/>
      <c r="G5" s="549">
        <v>2016</v>
      </c>
      <c r="H5" s="1582">
        <f>D15</f>
        <v>646787.81999999995</v>
      </c>
      <c r="I5" s="1549">
        <f>D21</f>
        <v>0</v>
      </c>
      <c r="J5" s="1549">
        <f>D27</f>
        <v>431407.47593999997</v>
      </c>
      <c r="K5" s="1549">
        <f>D34</f>
        <v>0</v>
      </c>
      <c r="L5" s="1549">
        <f>D40</f>
        <v>44000</v>
      </c>
      <c r="M5" s="1549">
        <f>D46</f>
        <v>1000</v>
      </c>
      <c r="N5" s="1549">
        <f>D52</f>
        <v>3000</v>
      </c>
      <c r="O5" s="1549">
        <f>D58</f>
        <v>1350</v>
      </c>
      <c r="P5" s="1549">
        <v>0</v>
      </c>
      <c r="Q5" s="1549">
        <v>0</v>
      </c>
      <c r="R5" s="2001">
        <f>SUM(H5:Q5)</f>
        <v>1127545.2959399999</v>
      </c>
      <c r="S5" s="1999"/>
    </row>
    <row r="6" spans="1:19" ht="16.5" thickBot="1">
      <c r="A6" s="1976" t="s">
        <v>5</v>
      </c>
      <c r="B6" s="1985"/>
      <c r="C6" s="1775"/>
      <c r="D6" s="1825"/>
      <c r="E6" s="1775"/>
      <c r="F6" s="548"/>
      <c r="G6" s="549">
        <v>2017</v>
      </c>
      <c r="H6" s="57">
        <f>E15</f>
        <v>662957.44999999995</v>
      </c>
      <c r="I6" s="1990">
        <f>E21</f>
        <v>0</v>
      </c>
      <c r="J6" s="1989">
        <f>E27</f>
        <v>450811.06599999999</v>
      </c>
      <c r="K6" s="58">
        <f>E34</f>
        <v>0</v>
      </c>
      <c r="L6" s="58">
        <f>E40</f>
        <v>44000</v>
      </c>
      <c r="M6" s="58">
        <f>E46</f>
        <v>1000</v>
      </c>
      <c r="N6" s="58">
        <f>E52</f>
        <v>3000</v>
      </c>
      <c r="O6" s="58">
        <f>E58</f>
        <v>1350</v>
      </c>
      <c r="P6" s="58">
        <v>0</v>
      </c>
      <c r="Q6" s="58">
        <v>0</v>
      </c>
      <c r="R6" s="1997">
        <f>SUM(H6:Q6)</f>
        <v>1163118.5159999998</v>
      </c>
      <c r="S6" s="1996"/>
    </row>
    <row r="7" spans="1:19" ht="16.5" thickBot="1">
      <c r="A7" s="1607"/>
      <c r="B7" s="1976"/>
      <c r="C7" s="1775"/>
      <c r="D7" s="1832"/>
      <c r="E7" s="1775"/>
      <c r="F7" s="548"/>
      <c r="G7" s="550" t="s">
        <v>55</v>
      </c>
      <c r="H7" s="1564">
        <f>SUM(H5:H6)</f>
        <v>1309745.27</v>
      </c>
      <c r="I7" s="1991">
        <f t="shared" ref="I7:Q7" si="0">SUM(I5:I6)</f>
        <v>0</v>
      </c>
      <c r="J7" s="1992">
        <f t="shared" si="0"/>
        <v>882218.54193999991</v>
      </c>
      <c r="K7" s="1993">
        <f t="shared" si="0"/>
        <v>0</v>
      </c>
      <c r="L7" s="1991">
        <f t="shared" si="0"/>
        <v>88000</v>
      </c>
      <c r="M7" s="1992">
        <f t="shared" si="0"/>
        <v>2000</v>
      </c>
      <c r="N7" s="1991">
        <f t="shared" si="0"/>
        <v>6000</v>
      </c>
      <c r="O7" s="1992">
        <f t="shared" si="0"/>
        <v>2700</v>
      </c>
      <c r="P7" s="1993">
        <f t="shared" si="0"/>
        <v>0</v>
      </c>
      <c r="Q7" s="1991">
        <f t="shared" si="0"/>
        <v>0</v>
      </c>
      <c r="R7" s="1993">
        <f>SUM(H7:Q7)</f>
        <v>2290663.8119399999</v>
      </c>
      <c r="S7" s="1994"/>
    </row>
    <row r="8" spans="1:19" s="650" customFormat="1" ht="15.75">
      <c r="B8" s="1808"/>
      <c r="C8" s="1775"/>
      <c r="D8" s="1832"/>
      <c r="E8" s="1775"/>
      <c r="F8" s="1805"/>
      <c r="G8" s="598"/>
    </row>
    <row r="9" spans="1:19" ht="15.75">
      <c r="A9" s="1808"/>
      <c r="B9" s="1808"/>
      <c r="C9" s="1775"/>
      <c r="D9" s="1832"/>
      <c r="E9" s="1775"/>
      <c r="F9" s="1805"/>
    </row>
    <row r="10" spans="1:19">
      <c r="A10" s="1808"/>
      <c r="B10" s="1808"/>
      <c r="C10" s="1915" t="s">
        <v>329</v>
      </c>
      <c r="D10" s="1915"/>
      <c r="E10" s="1915"/>
      <c r="F10" s="1915"/>
    </row>
    <row r="11" spans="1:19">
      <c r="A11" s="1808"/>
      <c r="B11" s="1808"/>
      <c r="C11" s="1866"/>
      <c r="D11" s="1866"/>
      <c r="E11" s="1867"/>
      <c r="F11" s="1866"/>
    </row>
    <row r="12" spans="1:19">
      <c r="A12" s="1808"/>
      <c r="B12" s="1808"/>
      <c r="C12" s="1887" t="s">
        <v>314</v>
      </c>
      <c r="D12" s="1924">
        <f>D15+D21+D27+D34+D40+D46+D52+D58</f>
        <v>1127545.2959399999</v>
      </c>
      <c r="E12" s="1948">
        <f>E15+E21+E27+E34+E40+E46+E52+E58</f>
        <v>1163118.5159999998</v>
      </c>
      <c r="F12" s="1924">
        <f>D12+E12</f>
        <v>2290663.8119399995</v>
      </c>
    </row>
    <row r="13" spans="1:19">
      <c r="B13" s="1808"/>
      <c r="C13" s="1947"/>
      <c r="D13" s="1866"/>
      <c r="E13" s="1787"/>
      <c r="F13" s="1866"/>
    </row>
    <row r="14" spans="1:19" ht="15.75">
      <c r="B14" s="1808"/>
      <c r="C14" s="1888" t="s">
        <v>45</v>
      </c>
      <c r="D14" s="1969">
        <v>2016</v>
      </c>
      <c r="E14" s="1970">
        <v>2017</v>
      </c>
      <c r="F14" s="1950" t="s">
        <v>23</v>
      </c>
    </row>
    <row r="15" spans="1:19">
      <c r="B15" s="1886" t="s">
        <v>312</v>
      </c>
      <c r="C15" s="1910" t="s">
        <v>46</v>
      </c>
      <c r="D15" s="1911">
        <f>SUM(D16:D19)</f>
        <v>646787.81999999995</v>
      </c>
      <c r="E15" s="1926">
        <f>SUM(E16:E19)</f>
        <v>662957.44999999995</v>
      </c>
      <c r="F15" s="1924">
        <f>SUM(D15:E15)</f>
        <v>1309745.27</v>
      </c>
    </row>
    <row r="16" spans="1:19">
      <c r="B16" s="2610">
        <v>11.18</v>
      </c>
      <c r="C16" s="2197" t="s">
        <v>801</v>
      </c>
      <c r="D16" s="2201">
        <v>646787.81999999995</v>
      </c>
      <c r="E16" s="2200">
        <v>662957.44999999995</v>
      </c>
      <c r="F16" s="1879">
        <f>SUM(D16:E16)</f>
        <v>1309745.27</v>
      </c>
    </row>
    <row r="17" spans="2:6">
      <c r="B17" s="1885"/>
      <c r="C17" s="1876"/>
      <c r="D17" s="1905"/>
      <c r="E17" s="1904"/>
      <c r="F17" s="1891">
        <f>SUM(D17:E17)</f>
        <v>0</v>
      </c>
    </row>
    <row r="18" spans="2:6">
      <c r="B18" s="1885"/>
      <c r="C18" s="1876"/>
      <c r="D18" s="1905"/>
      <c r="E18" s="1904"/>
      <c r="F18" s="1891">
        <f>SUM(D18:E18)</f>
        <v>0</v>
      </c>
    </row>
    <row r="19" spans="2:6">
      <c r="B19" s="1885"/>
      <c r="C19" s="1876"/>
      <c r="D19" s="1903"/>
      <c r="E19" s="1902"/>
      <c r="F19" s="1891">
        <f>SUM(D19:E19)</f>
        <v>0</v>
      </c>
    </row>
    <row r="20" spans="2:6">
      <c r="B20" s="1908">
        <f>SUM(B16:B19)</f>
        <v>11.18</v>
      </c>
      <c r="C20" s="1952"/>
      <c r="D20" s="1954"/>
      <c r="E20" s="1955"/>
      <c r="F20" s="1957"/>
    </row>
    <row r="21" spans="2:6">
      <c r="C21" s="1910" t="s">
        <v>47</v>
      </c>
      <c r="D21" s="1911">
        <v>0</v>
      </c>
      <c r="E21" s="1926">
        <v>0</v>
      </c>
      <c r="F21" s="1924">
        <v>0</v>
      </c>
    </row>
    <row r="22" spans="2:6">
      <c r="C22" s="1876"/>
      <c r="D22" s="1907"/>
      <c r="E22" s="1906"/>
      <c r="F22" s="1879">
        <v>0</v>
      </c>
    </row>
    <row r="23" spans="2:6">
      <c r="C23" s="1876"/>
      <c r="D23" s="1900"/>
      <c r="E23" s="1899"/>
      <c r="F23" s="1891">
        <v>0</v>
      </c>
    </row>
    <row r="24" spans="2:6">
      <c r="C24" s="1876"/>
      <c r="D24" s="1898"/>
      <c r="E24" s="1897"/>
      <c r="F24" s="1891">
        <v>0</v>
      </c>
    </row>
    <row r="25" spans="2:6">
      <c r="C25" s="1876"/>
      <c r="D25" s="1896"/>
      <c r="E25" s="1899"/>
      <c r="F25" s="1891">
        <v>0</v>
      </c>
    </row>
    <row r="26" spans="2:6">
      <c r="C26" s="1877"/>
      <c r="D26" s="1892"/>
      <c r="E26" s="1884"/>
      <c r="F26" s="1892"/>
    </row>
    <row r="27" spans="2:6">
      <c r="C27" s="1910" t="s">
        <v>48</v>
      </c>
      <c r="D27" s="1911">
        <f>SUM(D29:D31)</f>
        <v>431407.47593999997</v>
      </c>
      <c r="E27" s="1926">
        <f>SUM(E29:E31)</f>
        <v>450811.06599999999</v>
      </c>
      <c r="F27" s="1924">
        <f>SUM(D27:E27)</f>
        <v>882218.54193999991</v>
      </c>
    </row>
    <row r="28" spans="2:6">
      <c r="C28" s="1909" t="s">
        <v>315</v>
      </c>
      <c r="D28" s="1912">
        <v>0.66700000000000004</v>
      </c>
      <c r="E28" s="1913">
        <v>0.68</v>
      </c>
      <c r="F28" s="1949"/>
    </row>
    <row r="29" spans="2:6">
      <c r="C29" s="1876" t="s">
        <v>778</v>
      </c>
      <c r="D29" s="1971">
        <f>D15*D28</f>
        <v>431407.47593999997</v>
      </c>
      <c r="E29" s="1972">
        <f>E15*E28</f>
        <v>450811.06599999999</v>
      </c>
      <c r="F29" s="1891">
        <f>SUM(D29:E29)</f>
        <v>882218.54193999991</v>
      </c>
    </row>
    <row r="30" spans="2:6">
      <c r="C30" s="1876" t="s">
        <v>779</v>
      </c>
      <c r="D30" s="1973">
        <f>D21*D28</f>
        <v>0</v>
      </c>
      <c r="E30" s="1972">
        <f>E21*E28</f>
        <v>0</v>
      </c>
      <c r="F30" s="1891">
        <f>SUM(D30:E30)</f>
        <v>0</v>
      </c>
    </row>
    <row r="31" spans="2:6">
      <c r="C31" s="1901"/>
      <c r="D31" s="1898"/>
      <c r="E31" s="1897"/>
      <c r="F31" s="1889"/>
    </row>
    <row r="32" spans="2:6">
      <c r="C32" s="1901"/>
      <c r="D32" s="1896"/>
      <c r="E32" s="1899"/>
      <c r="F32" s="1890"/>
    </row>
    <row r="33" spans="1:8">
      <c r="C33" s="1952"/>
      <c r="D33" s="1958"/>
      <c r="E33" s="2188"/>
      <c r="F33" s="1958"/>
    </row>
    <row r="34" spans="1:8">
      <c r="A34" s="1976" t="s">
        <v>203</v>
      </c>
      <c r="C34" s="1910" t="s">
        <v>49</v>
      </c>
      <c r="D34" s="2158">
        <f>SUM(D35:D38)</f>
        <v>0</v>
      </c>
      <c r="E34" s="2237">
        <f>SUM(E35:E38)</f>
        <v>0</v>
      </c>
      <c r="F34" s="2157">
        <f>SUM(D34:E34)</f>
        <v>0</v>
      </c>
    </row>
    <row r="35" spans="1:8">
      <c r="A35" s="1985" t="s">
        <v>6</v>
      </c>
      <c r="C35" s="2154"/>
      <c r="D35" s="1971"/>
      <c r="E35" s="2203"/>
      <c r="F35" s="2156">
        <f>SUM(D35:E35)</f>
        <v>0</v>
      </c>
    </row>
    <row r="36" spans="1:8">
      <c r="A36" s="1985">
        <v>18230610</v>
      </c>
      <c r="C36" s="1876"/>
      <c r="D36" s="1971"/>
      <c r="E36" s="1988"/>
      <c r="F36" s="1891">
        <v>0</v>
      </c>
    </row>
    <row r="37" spans="1:8">
      <c r="A37" s="1976" t="s">
        <v>5</v>
      </c>
      <c r="C37" s="1876"/>
      <c r="D37" s="1971"/>
      <c r="E37" s="1988"/>
      <c r="F37" s="1891">
        <v>0</v>
      </c>
    </row>
    <row r="38" spans="1:8">
      <c r="C38" s="1876"/>
      <c r="D38" s="1971"/>
      <c r="E38" s="1988"/>
      <c r="F38" s="1891">
        <v>0</v>
      </c>
    </row>
    <row r="39" spans="1:8">
      <c r="C39" s="1952"/>
      <c r="D39" s="1958"/>
      <c r="E39" s="1955"/>
      <c r="F39" s="1958"/>
    </row>
    <row r="40" spans="1:8">
      <c r="C40" s="2106" t="s">
        <v>506</v>
      </c>
      <c r="D40" s="1911">
        <f>SUM(D41:D44)</f>
        <v>44000</v>
      </c>
      <c r="E40" s="1926">
        <f>SUM(E41:E44)</f>
        <v>44000</v>
      </c>
      <c r="F40" s="1924">
        <f t="shared" ref="F40:F56" si="1">SUM(D40:E40)</f>
        <v>88000</v>
      </c>
    </row>
    <row r="41" spans="1:8">
      <c r="C41" s="2197" t="s">
        <v>817</v>
      </c>
      <c r="D41" s="2202">
        <v>10000</v>
      </c>
      <c r="E41" s="2203">
        <v>10000</v>
      </c>
      <c r="F41" s="1891">
        <f t="shared" si="1"/>
        <v>20000</v>
      </c>
      <c r="G41" s="2177" t="s">
        <v>823</v>
      </c>
    </row>
    <row r="42" spans="1:8">
      <c r="C42" s="2197" t="s">
        <v>818</v>
      </c>
      <c r="D42" s="2202">
        <v>25000</v>
      </c>
      <c r="E42" s="2203">
        <v>25000</v>
      </c>
      <c r="F42" s="1891">
        <f t="shared" si="1"/>
        <v>50000</v>
      </c>
      <c r="G42" s="2177" t="s">
        <v>824</v>
      </c>
    </row>
    <row r="43" spans="1:8">
      <c r="C43" s="2197" t="s">
        <v>819</v>
      </c>
      <c r="D43" s="2202">
        <v>5000</v>
      </c>
      <c r="E43" s="2163">
        <v>5000</v>
      </c>
      <c r="F43" s="1891">
        <f t="shared" si="1"/>
        <v>10000</v>
      </c>
    </row>
    <row r="44" spans="1:8">
      <c r="C44" s="2197" t="s">
        <v>820</v>
      </c>
      <c r="D44" s="2923">
        <v>4000</v>
      </c>
      <c r="E44" s="2203">
        <v>4000</v>
      </c>
      <c r="F44" s="1891">
        <f t="shared" si="1"/>
        <v>8000</v>
      </c>
      <c r="H44" s="548"/>
    </row>
    <row r="45" spans="1:8">
      <c r="C45" s="1952"/>
      <c r="D45" s="1958"/>
      <c r="E45" s="1955"/>
      <c r="F45" s="1958"/>
      <c r="H45" s="548"/>
    </row>
    <row r="46" spans="1:8">
      <c r="C46" s="1910" t="s">
        <v>50</v>
      </c>
      <c r="D46" s="1911">
        <f>SUM(D47:D50)</f>
        <v>1000</v>
      </c>
      <c r="E46" s="1926">
        <f>SUM(E47:E50)</f>
        <v>1000</v>
      </c>
      <c r="F46" s="1924">
        <f t="shared" si="1"/>
        <v>2000</v>
      </c>
      <c r="H46" s="548"/>
    </row>
    <row r="47" spans="1:8">
      <c r="C47" s="1876" t="s">
        <v>821</v>
      </c>
      <c r="D47" s="1971">
        <v>1000</v>
      </c>
      <c r="E47" s="1988">
        <v>1000</v>
      </c>
      <c r="F47" s="1891">
        <f t="shared" si="1"/>
        <v>2000</v>
      </c>
      <c r="G47" t="s">
        <v>822</v>
      </c>
      <c r="H47" s="548"/>
    </row>
    <row r="48" spans="1:8">
      <c r="C48" s="1876"/>
      <c r="D48" s="1971"/>
      <c r="E48" s="1988"/>
      <c r="F48" s="1891">
        <f t="shared" si="1"/>
        <v>0</v>
      </c>
      <c r="H48" s="548"/>
    </row>
    <row r="49" spans="3:8">
      <c r="C49" s="1876"/>
      <c r="D49" s="1971"/>
      <c r="E49" s="1988"/>
      <c r="F49" s="1891">
        <f t="shared" si="1"/>
        <v>0</v>
      </c>
      <c r="H49" s="548"/>
    </row>
    <row r="50" spans="3:8">
      <c r="C50" s="1876"/>
      <c r="D50" s="1971"/>
      <c r="E50" s="1988"/>
      <c r="F50" s="1891">
        <f t="shared" si="1"/>
        <v>0</v>
      </c>
      <c r="H50" s="548"/>
    </row>
    <row r="51" spans="3:8">
      <c r="C51" s="1952"/>
      <c r="D51" s="1958"/>
      <c r="E51" s="1955"/>
      <c r="F51" s="1958"/>
      <c r="H51" s="548"/>
    </row>
    <row r="52" spans="3:8">
      <c r="C52" s="1910" t="s">
        <v>51</v>
      </c>
      <c r="D52" s="1911">
        <f>SUM(D53:D56)</f>
        <v>3000</v>
      </c>
      <c r="E52" s="1926">
        <f>SUM(E53:E56)</f>
        <v>3000</v>
      </c>
      <c r="F52" s="1924">
        <f t="shared" si="1"/>
        <v>6000</v>
      </c>
      <c r="H52" s="1327"/>
    </row>
    <row r="53" spans="3:8">
      <c r="C53" s="2197" t="s">
        <v>825</v>
      </c>
      <c r="D53" s="2202">
        <v>3000</v>
      </c>
      <c r="E53" s="2163">
        <v>3000</v>
      </c>
      <c r="F53" s="1891">
        <f t="shared" si="1"/>
        <v>6000</v>
      </c>
      <c r="H53" s="548"/>
    </row>
    <row r="54" spans="3:8">
      <c r="C54" s="2155"/>
      <c r="D54" s="2159"/>
      <c r="E54" s="2160"/>
      <c r="F54" s="1891">
        <f t="shared" si="1"/>
        <v>0</v>
      </c>
      <c r="H54" s="1328"/>
    </row>
    <row r="55" spans="3:8">
      <c r="C55" s="2155"/>
      <c r="D55" s="2159"/>
      <c r="E55" s="2160"/>
      <c r="F55" s="1891">
        <f t="shared" si="1"/>
        <v>0</v>
      </c>
      <c r="H55" s="1328"/>
    </row>
    <row r="56" spans="3:8">
      <c r="C56" s="2155"/>
      <c r="D56" s="2159"/>
      <c r="E56" s="2160"/>
      <c r="F56" s="1891">
        <f t="shared" si="1"/>
        <v>0</v>
      </c>
      <c r="G56" s="1779"/>
      <c r="H56" s="1328"/>
    </row>
    <row r="57" spans="3:8">
      <c r="C57" s="1952"/>
      <c r="D57" s="1958"/>
      <c r="E57" s="1955"/>
      <c r="F57" s="1958"/>
      <c r="G57" s="1322"/>
      <c r="H57" s="548"/>
    </row>
    <row r="58" spans="3:8">
      <c r="C58" s="1910" t="s">
        <v>52</v>
      </c>
      <c r="D58" s="2183">
        <f>SUM(D59:D62)</f>
        <v>1350</v>
      </c>
      <c r="E58" s="2184">
        <f>SUM(E59:E62)</f>
        <v>1350</v>
      </c>
      <c r="F58" s="2114">
        <f>SUM(D58:E58)</f>
        <v>2700</v>
      </c>
      <c r="G58" s="1322"/>
      <c r="H58" s="548"/>
    </row>
    <row r="59" spans="3:8">
      <c r="C59" s="2197" t="s">
        <v>14</v>
      </c>
      <c r="D59" s="2202">
        <v>1350</v>
      </c>
      <c r="E59" s="2203">
        <v>1350</v>
      </c>
      <c r="F59" s="1891">
        <f>D59+E59</f>
        <v>2700</v>
      </c>
    </row>
    <row r="60" spans="3:8">
      <c r="C60" s="1876"/>
      <c r="D60" s="1971"/>
      <c r="E60" s="1988"/>
      <c r="F60" s="1891">
        <v>0</v>
      </c>
    </row>
    <row r="61" spans="3:8">
      <c r="C61" s="1876"/>
      <c r="D61" s="1971"/>
      <c r="E61" s="1988"/>
      <c r="F61" s="1890">
        <v>0</v>
      </c>
    </row>
    <row r="62" spans="3:8">
      <c r="C62" s="1876"/>
      <c r="D62" s="1971"/>
      <c r="E62" s="1988"/>
      <c r="F62" s="1891">
        <v>0</v>
      </c>
    </row>
    <row r="63" spans="3:8">
      <c r="C63" s="1952"/>
      <c r="D63" s="1958"/>
      <c r="E63" s="1955"/>
      <c r="F63" s="1958"/>
    </row>
    <row r="64" spans="3:8">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5" activePane="bottomRight" state="frozen"/>
      <selection pane="bottomRight" activeCell="B6" sqref="B6"/>
      <pageMargins left="0.24" right="0.28000000000000003" top="0.37" bottom="0.43" header="0.3" footer="0.3"/>
      <pageSetup paperSize="17" scale="72" orientation="landscape" r:id="rId1"/>
    </customSheetView>
    <customSheetView guid="{D9EFFE19-D14B-4C6F-BDF4-FF696F73968D}" showGridLines="0" fitToPage="1">
      <pane xSplit="1" ySplit="1" topLeftCell="B5" activePane="bottomRight" state="frozen"/>
      <selection pane="bottomRight" activeCell="G28" sqref="G28"/>
      <pageMargins left="0.24" right="0.28000000000000003" top="0.37" bottom="0.43" header="0.3" footer="0.3"/>
      <pageSetup paperSize="17" scale="72" orientation="landscape" r:id="rId2"/>
    </customSheetView>
  </customSheetViews>
  <pageMargins left="0.24" right="0.28000000000000003" top="0.37" bottom="0.43" header="0.3" footer="0.3"/>
  <pageSetup paperSize="17" scale="72" orientation="landscape" r:id="rId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59999389629810485"/>
    <pageSetUpPr fitToPage="1"/>
  </sheetPr>
  <dimension ref="A1:U110"/>
  <sheetViews>
    <sheetView showGridLines="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8.7109375" style="1164" customWidth="1"/>
    <col min="2" max="2" width="16" style="1866" customWidth="1"/>
    <col min="3" max="3" width="27" customWidth="1"/>
    <col min="4" max="4" width="17.42578125" customWidth="1"/>
    <col min="5" max="7" width="17.85546875" customWidth="1"/>
    <col min="8" max="8" width="12.140625" customWidth="1"/>
    <col min="9" max="13" width="19.140625" customWidth="1"/>
    <col min="14" max="14" width="15.140625" customWidth="1"/>
    <col min="15" max="15" width="12.7109375" customWidth="1"/>
    <col min="16" max="16" width="15.42578125" customWidth="1"/>
    <col min="17" max="18" width="15.140625" customWidth="1"/>
  </cols>
  <sheetData>
    <row r="1" spans="1:19" ht="56.25" customHeight="1">
      <c r="C1" s="1301"/>
      <c r="D1" s="1812" t="s">
        <v>204</v>
      </c>
      <c r="E1" s="1824" t="s">
        <v>6</v>
      </c>
      <c r="F1" s="1824">
        <v>18230602</v>
      </c>
      <c r="G1" s="1812" t="s">
        <v>5</v>
      </c>
      <c r="J1" s="588"/>
      <c r="K1" s="586"/>
      <c r="L1" s="586"/>
      <c r="M1" s="1812" t="s">
        <v>204</v>
      </c>
      <c r="N1" s="1824" t="s">
        <v>6</v>
      </c>
      <c r="O1" s="1824">
        <v>18230602</v>
      </c>
      <c r="P1" s="1812" t="s">
        <v>5</v>
      </c>
      <c r="Q1" s="586"/>
      <c r="R1" s="586"/>
    </row>
    <row r="2" spans="1:19" ht="16.5" thickBot="1">
      <c r="C2" s="588"/>
      <c r="D2" s="1452"/>
      <c r="E2" s="586"/>
      <c r="F2" s="586"/>
      <c r="G2" s="586"/>
      <c r="H2" s="1576" t="s">
        <v>674</v>
      </c>
      <c r="I2" s="586"/>
      <c r="J2" s="586"/>
      <c r="K2" s="586"/>
      <c r="L2" s="586"/>
      <c r="M2" s="586"/>
      <c r="N2" s="586"/>
      <c r="O2" s="586"/>
      <c r="P2" s="586"/>
      <c r="Q2" s="586"/>
      <c r="R2" s="1869"/>
    </row>
    <row r="3" spans="1:19" ht="26.25" thickBot="1">
      <c r="A3" s="1808" t="s">
        <v>204</v>
      </c>
      <c r="B3" s="1808"/>
      <c r="E3" s="586"/>
      <c r="F3" s="586"/>
      <c r="G3" s="586"/>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23" t="s">
        <v>6</v>
      </c>
      <c r="B4" s="1808"/>
      <c r="C4" s="592"/>
      <c r="D4" s="1455"/>
      <c r="E4" s="586"/>
      <c r="F4" s="586"/>
      <c r="G4" s="1704" t="s">
        <v>668</v>
      </c>
      <c r="H4" s="2003">
        <v>240451</v>
      </c>
      <c r="I4" s="2002">
        <v>0</v>
      </c>
      <c r="J4" s="2002">
        <v>169999</v>
      </c>
      <c r="K4" s="2002">
        <v>13050</v>
      </c>
      <c r="L4" s="2002">
        <v>6046</v>
      </c>
      <c r="M4" s="2002">
        <v>96048</v>
      </c>
      <c r="N4" s="2002">
        <v>4785</v>
      </c>
      <c r="O4" s="2002">
        <v>0</v>
      </c>
      <c r="P4" s="2002">
        <v>0</v>
      </c>
      <c r="Q4" s="2002">
        <v>0</v>
      </c>
      <c r="R4" s="2000">
        <v>530379</v>
      </c>
      <c r="S4" s="1998"/>
    </row>
    <row r="5" spans="1:19" ht="15.75">
      <c r="A5" s="1823">
        <v>18230602</v>
      </c>
      <c r="B5" s="1823"/>
      <c r="C5" s="588"/>
      <c r="D5" s="586"/>
      <c r="E5" s="1495"/>
      <c r="F5" s="586"/>
      <c r="G5" s="588">
        <v>2016</v>
      </c>
      <c r="H5" s="1582">
        <f>D15</f>
        <v>327715.86599999998</v>
      </c>
      <c r="I5" s="1549">
        <f>D23</f>
        <v>2331.6</v>
      </c>
      <c r="J5" s="1549">
        <f>D29</f>
        <v>220141.65982200002</v>
      </c>
      <c r="K5" s="1549">
        <f>D36</f>
        <v>10440</v>
      </c>
      <c r="L5" s="1549">
        <f>D42</f>
        <v>8720</v>
      </c>
      <c r="M5" s="1549">
        <f>D48</f>
        <v>94775</v>
      </c>
      <c r="N5" s="1549">
        <f>D54</f>
        <v>4785</v>
      </c>
      <c r="O5" s="1549">
        <f>D60</f>
        <v>0</v>
      </c>
      <c r="P5" s="1549">
        <v>0</v>
      </c>
      <c r="Q5" s="1549">
        <v>0</v>
      </c>
      <c r="R5" s="2001">
        <f>SUM(H5:Q5)</f>
        <v>668909.12582199997</v>
      </c>
      <c r="S5" s="1999"/>
    </row>
    <row r="6" spans="1:19" ht="16.5" thickBot="1">
      <c r="A6" s="1808" t="s">
        <v>5</v>
      </c>
      <c r="B6" s="1823"/>
      <c r="C6" s="586"/>
      <c r="D6" s="588"/>
      <c r="E6" s="586"/>
      <c r="F6" s="586"/>
      <c r="G6" s="588">
        <v>2017</v>
      </c>
      <c r="H6" s="57">
        <f>E15</f>
        <v>335939.81264999998</v>
      </c>
      <c r="I6" s="1990">
        <f>E23</f>
        <v>2600</v>
      </c>
      <c r="J6" s="1989">
        <f>E29</f>
        <v>230207.072602</v>
      </c>
      <c r="K6" s="58">
        <f>E36</f>
        <v>7830</v>
      </c>
      <c r="L6" s="58">
        <f>E42</f>
        <v>8720</v>
      </c>
      <c r="M6" s="58">
        <f>E48</f>
        <v>56975</v>
      </c>
      <c r="N6" s="58">
        <f>E54</f>
        <v>4785</v>
      </c>
      <c r="O6" s="58">
        <f>E60</f>
        <v>0</v>
      </c>
      <c r="P6" s="58">
        <v>0</v>
      </c>
      <c r="Q6" s="58">
        <v>0</v>
      </c>
      <c r="R6" s="1997">
        <f>SUM(H6:Q6)</f>
        <v>647056.88525199995</v>
      </c>
      <c r="S6" s="1996"/>
    </row>
    <row r="7" spans="1:19" s="1737" customFormat="1" ht="16.5" thickBot="1">
      <c r="B7" s="1808"/>
      <c r="C7" s="1726"/>
      <c r="D7" s="1735"/>
      <c r="E7" s="1726"/>
      <c r="F7" s="1726"/>
      <c r="G7" s="1736" t="s">
        <v>23</v>
      </c>
      <c r="H7" s="1564">
        <f>SUM(H5:H6)</f>
        <v>663655.6786499999</v>
      </c>
      <c r="I7" s="1991">
        <f t="shared" ref="I7:Q7" si="0">SUM(I5:I6)</f>
        <v>4931.6000000000004</v>
      </c>
      <c r="J7" s="1992">
        <f t="shared" si="0"/>
        <v>450348.73242400005</v>
      </c>
      <c r="K7" s="1993">
        <f t="shared" si="0"/>
        <v>18270</v>
      </c>
      <c r="L7" s="1991">
        <f t="shared" si="0"/>
        <v>17440</v>
      </c>
      <c r="M7" s="1992">
        <f t="shared" si="0"/>
        <v>151750</v>
      </c>
      <c r="N7" s="1991">
        <f t="shared" si="0"/>
        <v>9570</v>
      </c>
      <c r="O7" s="1992">
        <f t="shared" si="0"/>
        <v>0</v>
      </c>
      <c r="P7" s="1993">
        <f t="shared" si="0"/>
        <v>0</v>
      </c>
      <c r="Q7" s="1991">
        <f t="shared" si="0"/>
        <v>0</v>
      </c>
      <c r="R7" s="1993">
        <f>SUM(R5:R6)</f>
        <v>1315966.011074</v>
      </c>
      <c r="S7" s="1994"/>
    </row>
    <row r="8" spans="1:19" ht="15.75">
      <c r="B8" s="1808"/>
      <c r="C8" s="1726"/>
      <c r="D8" s="1735"/>
      <c r="E8" s="1726"/>
      <c r="F8" s="1726"/>
      <c r="Q8" s="655"/>
      <c r="R8" s="25"/>
    </row>
    <row r="9" spans="1:19" s="650" customFormat="1" ht="15.75">
      <c r="A9" s="1808"/>
      <c r="B9" s="1808"/>
      <c r="C9" s="1726"/>
      <c r="D9" s="1735"/>
      <c r="E9" s="1726"/>
      <c r="F9" s="1726"/>
      <c r="Q9" s="655"/>
    </row>
    <row r="10" spans="1:19">
      <c r="A10" s="1808"/>
      <c r="B10" s="1808"/>
      <c r="C10" s="1915" t="s">
        <v>329</v>
      </c>
      <c r="D10" s="1915"/>
      <c r="E10" s="1915"/>
      <c r="F10" s="1915"/>
      <c r="H10" s="586"/>
      <c r="I10" s="586"/>
      <c r="J10" s="3635"/>
      <c r="K10" s="3635"/>
      <c r="L10" s="3635"/>
      <c r="M10" s="3635"/>
      <c r="N10" s="3636"/>
      <c r="O10" s="3636"/>
      <c r="P10" s="1734"/>
      <c r="Q10" s="1734"/>
      <c r="R10" s="1734"/>
    </row>
    <row r="11" spans="1:19" ht="15.75">
      <c r="A11" s="1808"/>
      <c r="B11" s="1808"/>
      <c r="C11" s="1866"/>
      <c r="D11" s="1866"/>
      <c r="E11" s="1867"/>
      <c r="F11" s="1866"/>
      <c r="H11" s="586"/>
      <c r="I11" s="586"/>
      <c r="J11" s="3634"/>
      <c r="K11" s="3634"/>
      <c r="L11" s="3634"/>
      <c r="M11" s="3634"/>
      <c r="N11" s="3634"/>
      <c r="O11" s="3634"/>
      <c r="P11" s="3634"/>
      <c r="Q11" s="3634"/>
      <c r="R11" s="3634"/>
    </row>
    <row r="12" spans="1:19" ht="15.75">
      <c r="A12" s="1808"/>
      <c r="B12" s="1808"/>
      <c r="C12" s="1887" t="s">
        <v>314</v>
      </c>
      <c r="D12" s="1924">
        <f>D15+D23+D29+D36+D42+D48+D54+D60</f>
        <v>668909.12582199997</v>
      </c>
      <c r="E12" s="1948">
        <f>E15+E23+E29+E36+E42+E48+E54+E60</f>
        <v>647056.88525199995</v>
      </c>
      <c r="F12" s="1924">
        <f>D12+E12</f>
        <v>1315966.011074</v>
      </c>
      <c r="H12" s="586"/>
      <c r="I12" s="589"/>
      <c r="J12" s="3634"/>
      <c r="K12" s="3634"/>
      <c r="L12" s="3634"/>
      <c r="M12" s="1740"/>
      <c r="N12" s="1741"/>
      <c r="O12" s="1741"/>
      <c r="P12" s="1741"/>
      <c r="Q12" s="1741"/>
      <c r="R12" s="1741"/>
    </row>
    <row r="13" spans="1:19">
      <c r="B13" s="1808"/>
      <c r="C13" s="1947"/>
      <c r="D13" s="1866"/>
      <c r="E13" s="1787"/>
      <c r="F13" s="1866"/>
      <c r="H13" s="586"/>
      <c r="I13" s="590"/>
      <c r="J13" s="1734"/>
      <c r="K13" s="1734"/>
      <c r="L13" s="1734"/>
      <c r="M13" s="1728"/>
      <c r="N13" s="1734"/>
      <c r="O13" s="1734"/>
      <c r="P13" s="1733"/>
      <c r="Q13" s="1727"/>
      <c r="R13" s="1727"/>
    </row>
    <row r="14" spans="1:19" ht="15.75">
      <c r="B14" s="1808"/>
      <c r="C14" s="1888" t="s">
        <v>45</v>
      </c>
      <c r="D14" s="1969">
        <v>2016</v>
      </c>
      <c r="E14" s="1970">
        <v>2017</v>
      </c>
      <c r="F14" s="1950" t="s">
        <v>23</v>
      </c>
      <c r="H14" s="586"/>
      <c r="I14" s="590"/>
      <c r="J14" s="1734"/>
      <c r="K14" s="1734"/>
      <c r="L14" s="1734"/>
      <c r="M14" s="1728"/>
      <c r="N14" s="1734"/>
      <c r="O14" s="1734"/>
      <c r="P14" s="1733"/>
      <c r="Q14" s="1727"/>
      <c r="R14" s="1727"/>
    </row>
    <row r="15" spans="1:19">
      <c r="B15" s="1886" t="s">
        <v>312</v>
      </c>
      <c r="C15" s="1910" t="s">
        <v>46</v>
      </c>
      <c r="D15" s="1911">
        <f>SUM(D16:D21)</f>
        <v>327715.86599999998</v>
      </c>
      <c r="E15" s="1926">
        <f>SUM(E16:E21)</f>
        <v>335939.81264999998</v>
      </c>
      <c r="F15" s="1924">
        <f t="shared" ref="F15:F64" si="1">SUM(D15:E15)</f>
        <v>663655.6786499999</v>
      </c>
      <c r="H15" s="586"/>
      <c r="I15" s="590"/>
      <c r="J15" s="1734"/>
      <c r="K15" s="1734"/>
      <c r="L15" s="1734"/>
      <c r="M15" s="1728"/>
      <c r="N15" s="1734"/>
      <c r="O15" s="1734"/>
      <c r="P15" s="1733"/>
      <c r="Q15" s="1727"/>
      <c r="R15" s="1727"/>
    </row>
    <row r="16" spans="1:19">
      <c r="B16" s="2610">
        <v>0.35</v>
      </c>
      <c r="C16" s="2197" t="s">
        <v>344</v>
      </c>
      <c r="D16" s="2201">
        <v>25882.29</v>
      </c>
      <c r="E16" s="2198">
        <f>D16*1.025</f>
        <v>26529.347249999999</v>
      </c>
      <c r="F16" s="1890">
        <f t="shared" si="1"/>
        <v>52411.63725</v>
      </c>
      <c r="H16" s="586"/>
      <c r="I16" s="590"/>
      <c r="J16" s="1734"/>
      <c r="K16" s="1734"/>
      <c r="L16" s="1734"/>
      <c r="M16" s="1728"/>
      <c r="N16" s="1734"/>
      <c r="O16" s="1734"/>
      <c r="P16" s="1733"/>
      <c r="Q16" s="1727"/>
      <c r="R16" s="1727"/>
    </row>
    <row r="17" spans="2:18" s="2177" customFormat="1">
      <c r="B17" s="2610">
        <v>0.6</v>
      </c>
      <c r="C17" s="2197" t="s">
        <v>791</v>
      </c>
      <c r="D17" s="2199">
        <v>44369.64</v>
      </c>
      <c r="E17" s="2200">
        <f>D17*1.025</f>
        <v>45478.880999999994</v>
      </c>
      <c r="F17" s="2191"/>
      <c r="H17" s="1805"/>
      <c r="I17" s="1782"/>
      <c r="J17" s="1782"/>
      <c r="K17" s="1782"/>
      <c r="L17" s="1782"/>
      <c r="M17" s="1728"/>
      <c r="N17" s="1782"/>
      <c r="O17" s="1782"/>
      <c r="P17" s="1781"/>
      <c r="Q17" s="1727"/>
      <c r="R17" s="1727"/>
    </row>
    <row r="18" spans="2:18" s="2177" customFormat="1">
      <c r="B18" s="2610">
        <v>0.65</v>
      </c>
      <c r="C18" s="2197" t="s">
        <v>853</v>
      </c>
      <c r="D18" s="2199">
        <v>48067.11</v>
      </c>
      <c r="E18" s="2200">
        <f>D18*1.025</f>
        <v>49268.787749999996</v>
      </c>
      <c r="F18" s="2191"/>
      <c r="H18" s="1805"/>
      <c r="I18" s="1782"/>
      <c r="J18" s="1782"/>
      <c r="K18" s="1782"/>
      <c r="L18" s="1782"/>
      <c r="M18" s="1728"/>
      <c r="N18" s="1782"/>
      <c r="O18" s="1782"/>
      <c r="P18" s="1781"/>
      <c r="Q18" s="1727"/>
      <c r="R18" s="1727"/>
    </row>
    <row r="19" spans="2:18">
      <c r="B19" s="2610">
        <v>2.39</v>
      </c>
      <c r="C19" s="2197" t="s">
        <v>854</v>
      </c>
      <c r="D19" s="2201">
        <v>176739.06599999999</v>
      </c>
      <c r="E19" s="2200">
        <f>D19*1.025</f>
        <v>181157.54264999999</v>
      </c>
      <c r="F19" s="1891">
        <f t="shared" si="1"/>
        <v>357896.60864999995</v>
      </c>
      <c r="H19" s="586"/>
      <c r="I19" s="590"/>
      <c r="J19" s="1734"/>
      <c r="K19" s="1734"/>
      <c r="L19" s="1734"/>
      <c r="M19" s="1728"/>
      <c r="N19" s="1734"/>
      <c r="O19" s="1734"/>
      <c r="P19" s="1733"/>
      <c r="Q19" s="1727"/>
      <c r="R19" s="1727"/>
    </row>
    <row r="20" spans="2:18">
      <c r="B20" s="2610">
        <v>0.4</v>
      </c>
      <c r="C20" s="2197" t="s">
        <v>840</v>
      </c>
      <c r="D20" s="2201">
        <v>29579.760000000002</v>
      </c>
      <c r="E20" s="2200">
        <f>D20*1.025</f>
        <v>30319.254000000001</v>
      </c>
      <c r="F20" s="1891">
        <f t="shared" si="1"/>
        <v>59899.014000000003</v>
      </c>
      <c r="H20" s="586"/>
      <c r="I20" s="590"/>
      <c r="J20" s="1734"/>
      <c r="K20" s="1734"/>
      <c r="L20" s="1734"/>
      <c r="M20" s="1728"/>
      <c r="N20" s="1734"/>
      <c r="O20" s="1734"/>
      <c r="P20" s="1733"/>
      <c r="Q20" s="1727"/>
      <c r="R20" s="1727"/>
    </row>
    <row r="21" spans="2:18">
      <c r="B21" s="2610"/>
      <c r="C21" s="2197" t="s">
        <v>855</v>
      </c>
      <c r="D21" s="2201">
        <v>3078</v>
      </c>
      <c r="E21" s="2200">
        <v>3186</v>
      </c>
      <c r="F21" s="1891">
        <f t="shared" si="1"/>
        <v>6264</v>
      </c>
      <c r="H21" s="586"/>
      <c r="I21" s="590"/>
      <c r="J21" s="1734"/>
      <c r="K21" s="1734"/>
      <c r="L21" s="1734"/>
      <c r="M21" s="1728"/>
      <c r="N21" s="1734"/>
      <c r="O21" s="1734"/>
      <c r="P21" s="1733"/>
      <c r="Q21" s="1727"/>
      <c r="R21" s="1727"/>
    </row>
    <row r="22" spans="2:18">
      <c r="B22" s="1908">
        <f>SUM(B16:B21)</f>
        <v>4.3900000000000006</v>
      </c>
      <c r="C22" s="1952"/>
      <c r="D22" s="1954"/>
      <c r="E22" s="1955"/>
      <c r="F22" s="1957"/>
      <c r="H22" s="586"/>
      <c r="I22" s="590"/>
      <c r="J22" s="1734"/>
      <c r="K22" s="1734"/>
      <c r="L22" s="1734"/>
      <c r="M22" s="1728"/>
      <c r="N22" s="1734"/>
      <c r="O22" s="1734"/>
      <c r="P22" s="1733"/>
      <c r="Q22" s="1727"/>
      <c r="R22" s="1727"/>
    </row>
    <row r="23" spans="2:18">
      <c r="C23" s="1910" t="s">
        <v>47</v>
      </c>
      <c r="D23" s="1911">
        <f>SUM(D24:D27)</f>
        <v>2331.6</v>
      </c>
      <c r="E23" s="1926">
        <f>SUM(E24:E27)</f>
        <v>2600</v>
      </c>
      <c r="F23" s="1924">
        <f t="shared" si="1"/>
        <v>4931.6000000000004</v>
      </c>
      <c r="H23" s="586"/>
      <c r="I23" s="590"/>
      <c r="J23" s="1734"/>
      <c r="K23" s="1734"/>
      <c r="L23" s="1734"/>
      <c r="M23" s="1728"/>
      <c r="N23" s="1734"/>
      <c r="O23" s="1734"/>
      <c r="P23" s="1733"/>
      <c r="Q23" s="1727"/>
      <c r="R23" s="1727"/>
    </row>
    <row r="24" spans="2:18">
      <c r="C24" s="2197" t="s">
        <v>856</v>
      </c>
      <c r="D24" s="2201">
        <v>2331.6</v>
      </c>
      <c r="E24" s="2200">
        <v>2600</v>
      </c>
      <c r="F24" s="1879">
        <f t="shared" si="1"/>
        <v>4931.6000000000004</v>
      </c>
      <c r="H24" s="586"/>
      <c r="I24" s="590"/>
      <c r="J24" s="1734"/>
      <c r="K24" s="1734"/>
      <c r="L24" s="1734"/>
      <c r="M24" s="1728"/>
      <c r="N24" s="1734"/>
      <c r="O24" s="1734"/>
      <c r="P24" s="1733"/>
      <c r="Q24" s="1727"/>
      <c r="R24" s="1727"/>
    </row>
    <row r="25" spans="2:18">
      <c r="C25" s="1876"/>
      <c r="D25" s="1900"/>
      <c r="E25" s="1899"/>
      <c r="F25" s="1891">
        <f t="shared" si="1"/>
        <v>0</v>
      </c>
      <c r="H25" s="587"/>
      <c r="I25" s="590"/>
      <c r="J25" s="1734"/>
      <c r="K25" s="1734"/>
      <c r="L25" s="1734"/>
      <c r="M25" s="1728"/>
      <c r="N25" s="1734"/>
      <c r="O25" s="1734"/>
      <c r="P25" s="1733"/>
      <c r="Q25" s="1727"/>
      <c r="R25" s="1727"/>
    </row>
    <row r="26" spans="2:18">
      <c r="C26" s="1876"/>
      <c r="D26" s="1898"/>
      <c r="E26" s="1897"/>
      <c r="F26" s="1891">
        <f t="shared" si="1"/>
        <v>0</v>
      </c>
      <c r="H26" s="586"/>
      <c r="I26" s="590"/>
      <c r="J26" s="1734"/>
      <c r="K26" s="1734"/>
      <c r="L26" s="1734"/>
      <c r="M26" s="1728"/>
      <c r="N26" s="1734"/>
      <c r="O26" s="1734"/>
      <c r="P26" s="1733"/>
      <c r="Q26" s="1727"/>
      <c r="R26" s="1727"/>
    </row>
    <row r="27" spans="2:18">
      <c r="C27" s="1876"/>
      <c r="D27" s="1896"/>
      <c r="E27" s="1899"/>
      <c r="F27" s="1891">
        <f t="shared" si="1"/>
        <v>0</v>
      </c>
      <c r="H27" s="586"/>
      <c r="I27" s="590"/>
      <c r="J27" s="1734"/>
      <c r="K27" s="1734"/>
      <c r="L27" s="1734"/>
      <c r="M27" s="1728"/>
      <c r="N27" s="1734"/>
      <c r="O27" s="1734"/>
      <c r="P27" s="1733"/>
      <c r="Q27" s="1727"/>
      <c r="R27" s="1727"/>
    </row>
    <row r="28" spans="2:18">
      <c r="C28" s="1877"/>
      <c r="D28" s="1892"/>
      <c r="E28" s="1884"/>
      <c r="F28" s="1892"/>
      <c r="H28" s="586"/>
      <c r="I28" s="590"/>
      <c r="J28" s="1734"/>
      <c r="K28" s="1734"/>
      <c r="L28" s="1734"/>
      <c r="M28" s="1728"/>
      <c r="N28" s="1734"/>
      <c r="O28" s="1734"/>
      <c r="P28" s="1733"/>
      <c r="Q28" s="1727"/>
      <c r="R28" s="1727"/>
    </row>
    <row r="29" spans="2:18">
      <c r="C29" s="1910" t="s">
        <v>48</v>
      </c>
      <c r="D29" s="1911">
        <f>SUM(D31:D34)</f>
        <v>220141.65982200002</v>
      </c>
      <c r="E29" s="1926">
        <f>SUM(E31:E34)</f>
        <v>230207.072602</v>
      </c>
      <c r="F29" s="1924">
        <f t="shared" si="1"/>
        <v>450348.73242400005</v>
      </c>
      <c r="H29" s="586"/>
      <c r="I29" s="590"/>
      <c r="J29" s="1734"/>
      <c r="K29" s="1734"/>
      <c r="L29" s="1734"/>
      <c r="M29" s="1728"/>
      <c r="N29" s="1734"/>
      <c r="O29" s="1734"/>
      <c r="P29" s="1733"/>
      <c r="Q29" s="1727"/>
      <c r="R29" s="1727"/>
    </row>
    <row r="30" spans="2:18">
      <c r="C30" s="1909" t="s">
        <v>315</v>
      </c>
      <c r="D30" s="1912">
        <v>0.66700000000000004</v>
      </c>
      <c r="E30" s="1913">
        <v>0.68</v>
      </c>
      <c r="F30" s="1949"/>
      <c r="H30" s="586"/>
      <c r="I30" s="590"/>
      <c r="J30" s="1734"/>
      <c r="K30" s="1734"/>
      <c r="L30" s="1734"/>
      <c r="M30" s="1728"/>
      <c r="N30" s="1734"/>
      <c r="O30" s="1734"/>
      <c r="P30" s="1733"/>
      <c r="Q30" s="1727"/>
      <c r="R30" s="1727"/>
    </row>
    <row r="31" spans="2:18">
      <c r="C31" s="1876" t="s">
        <v>778</v>
      </c>
      <c r="D31" s="1971">
        <f>D15*D30</f>
        <v>218586.48262200001</v>
      </c>
      <c r="E31" s="1972">
        <f>E15*E30</f>
        <v>228439.072602</v>
      </c>
      <c r="F31" s="1891">
        <f t="shared" si="1"/>
        <v>447025.55522400001</v>
      </c>
      <c r="H31" s="586"/>
      <c r="I31" s="590"/>
      <c r="J31" s="1734"/>
      <c r="K31" s="1734"/>
      <c r="L31" s="1734"/>
      <c r="M31" s="1728"/>
      <c r="N31" s="1734"/>
      <c r="O31" s="1734"/>
      <c r="P31" s="1733"/>
      <c r="Q31" s="1727"/>
      <c r="R31" s="1727"/>
    </row>
    <row r="32" spans="2:18">
      <c r="C32" s="1876" t="s">
        <v>779</v>
      </c>
      <c r="D32" s="1973">
        <f>D23*D30</f>
        <v>1555.1772000000001</v>
      </c>
      <c r="E32" s="1972">
        <f>E23*E30</f>
        <v>1768.0000000000002</v>
      </c>
      <c r="F32" s="1891">
        <f t="shared" si="1"/>
        <v>3323.1772000000001</v>
      </c>
      <c r="H32" s="586"/>
      <c r="I32" s="590"/>
      <c r="J32" s="1734"/>
      <c r="K32" s="1734"/>
      <c r="L32" s="1734"/>
      <c r="M32" s="1728"/>
      <c r="N32" s="1734"/>
      <c r="O32" s="1734"/>
      <c r="P32" s="1733"/>
      <c r="Q32" s="1727"/>
      <c r="R32" s="1727"/>
    </row>
    <row r="33" spans="1:18">
      <c r="C33" s="1901"/>
      <c r="D33" s="1898"/>
      <c r="E33" s="1897"/>
      <c r="F33" s="1889"/>
      <c r="H33" s="586"/>
      <c r="I33" s="590"/>
      <c r="J33" s="1734"/>
      <c r="K33" s="1734"/>
      <c r="L33" s="1734"/>
      <c r="M33" s="1728"/>
      <c r="N33" s="1734"/>
      <c r="O33" s="1734"/>
      <c r="P33" s="1733"/>
      <c r="Q33" s="1727"/>
      <c r="R33" s="1727"/>
    </row>
    <row r="34" spans="1:18">
      <c r="C34" s="1901"/>
      <c r="D34" s="1896"/>
      <c r="E34" s="1899"/>
      <c r="F34" s="1890">
        <f t="shared" si="1"/>
        <v>0</v>
      </c>
      <c r="H34" s="586"/>
      <c r="I34" s="590"/>
      <c r="J34" s="1734"/>
      <c r="K34" s="1734"/>
      <c r="L34" s="1734"/>
      <c r="M34" s="1728"/>
      <c r="N34" s="1734"/>
      <c r="O34" s="1734"/>
      <c r="P34" s="1733"/>
      <c r="Q34" s="1727"/>
      <c r="R34" s="1727"/>
    </row>
    <row r="35" spans="1:18">
      <c r="C35" s="1952"/>
      <c r="D35" s="1958"/>
      <c r="E35" s="1955"/>
      <c r="F35" s="1958"/>
      <c r="H35" s="586"/>
      <c r="I35" s="590"/>
      <c r="J35" s="1734"/>
      <c r="K35" s="1734"/>
      <c r="L35" s="1734"/>
      <c r="M35" s="1728"/>
      <c r="N35" s="1734"/>
      <c r="O35" s="1734"/>
      <c r="P35" s="1733"/>
      <c r="Q35" s="1727"/>
      <c r="R35" s="1727"/>
    </row>
    <row r="36" spans="1:18">
      <c r="A36" s="1808" t="s">
        <v>204</v>
      </c>
      <c r="C36" s="1910" t="s">
        <v>49</v>
      </c>
      <c r="D36" s="1911">
        <f>SUM(D37:D40)</f>
        <v>10440</v>
      </c>
      <c r="E36" s="1926">
        <f>SUM(E37:E40)</f>
        <v>7830</v>
      </c>
      <c r="F36" s="1924">
        <f t="shared" si="1"/>
        <v>18270</v>
      </c>
      <c r="H36" s="586"/>
      <c r="I36" s="590"/>
      <c r="J36" s="1734"/>
      <c r="K36" s="1734"/>
      <c r="L36" s="1734"/>
      <c r="M36" s="1728"/>
      <c r="N36" s="1734"/>
      <c r="O36" s="1734"/>
      <c r="P36" s="1733"/>
      <c r="Q36" s="1727"/>
      <c r="R36" s="1727"/>
    </row>
    <row r="37" spans="1:18">
      <c r="A37" s="1823" t="s">
        <v>6</v>
      </c>
      <c r="C37" s="2197" t="s">
        <v>856</v>
      </c>
      <c r="D37" s="2202">
        <v>10440</v>
      </c>
      <c r="E37" s="2203">
        <v>7830</v>
      </c>
      <c r="F37" s="1891">
        <f t="shared" si="1"/>
        <v>18270</v>
      </c>
      <c r="H37" s="586"/>
      <c r="I37" s="590"/>
      <c r="J37" s="1734"/>
      <c r="K37" s="1734"/>
      <c r="L37" s="1734"/>
      <c r="M37" s="1728"/>
      <c r="N37" s="1734"/>
      <c r="O37" s="1734"/>
      <c r="P37" s="1733"/>
      <c r="Q37" s="1727"/>
      <c r="R37" s="1727"/>
    </row>
    <row r="38" spans="1:18">
      <c r="A38" s="1823">
        <v>18230602</v>
      </c>
      <c r="C38" s="1876"/>
      <c r="D38" s="1971"/>
      <c r="E38" s="1988"/>
      <c r="F38" s="1891">
        <f t="shared" si="1"/>
        <v>0</v>
      </c>
      <c r="H38" s="586"/>
      <c r="I38" s="590"/>
      <c r="J38" s="1734"/>
      <c r="K38" s="1734"/>
      <c r="L38" s="1734"/>
      <c r="M38" s="1728"/>
      <c r="N38" s="1734"/>
      <c r="O38" s="1734"/>
      <c r="P38" s="1733"/>
      <c r="Q38" s="1727"/>
      <c r="R38" s="1727"/>
    </row>
    <row r="39" spans="1:18">
      <c r="A39" s="1808" t="s">
        <v>5</v>
      </c>
      <c r="C39" s="1876"/>
      <c r="D39" s="1971"/>
      <c r="E39" s="1988"/>
      <c r="F39" s="1891">
        <f t="shared" si="1"/>
        <v>0</v>
      </c>
      <c r="H39" s="586"/>
      <c r="I39" s="590"/>
      <c r="J39" s="1734"/>
      <c r="K39" s="1734"/>
      <c r="L39" s="1734"/>
      <c r="M39" s="1728"/>
      <c r="N39" s="1734"/>
      <c r="O39" s="1734"/>
      <c r="P39" s="1733"/>
      <c r="Q39" s="1727"/>
      <c r="R39" s="1727"/>
    </row>
    <row r="40" spans="1:18">
      <c r="C40" s="1876"/>
      <c r="D40" s="1971"/>
      <c r="E40" s="1988"/>
      <c r="F40" s="1891">
        <f t="shared" si="1"/>
        <v>0</v>
      </c>
      <c r="H40" s="586"/>
      <c r="I40" s="590"/>
      <c r="J40" s="1734"/>
      <c r="K40" s="1734"/>
      <c r="L40" s="1729"/>
      <c r="M40" s="1728"/>
      <c r="N40" s="1734"/>
      <c r="O40" s="1734"/>
      <c r="P40" s="1733"/>
      <c r="Q40" s="1727"/>
      <c r="R40" s="1727"/>
    </row>
    <row r="41" spans="1:18">
      <c r="C41" s="1952"/>
      <c r="D41" s="1958"/>
      <c r="E41" s="1955"/>
      <c r="F41" s="1958"/>
      <c r="H41" s="586"/>
      <c r="I41" s="590"/>
      <c r="J41" s="1734"/>
      <c r="K41" s="1734"/>
      <c r="L41" s="1729"/>
      <c r="M41" s="1728"/>
      <c r="N41" s="1734"/>
      <c r="O41" s="1734"/>
      <c r="P41" s="1733"/>
      <c r="Q41" s="1727"/>
      <c r="R41" s="1727"/>
    </row>
    <row r="42" spans="1:18">
      <c r="C42" s="2106" t="s">
        <v>506</v>
      </c>
      <c r="D42" s="1911">
        <f>SUM(D43:D46)</f>
        <v>8720</v>
      </c>
      <c r="E42" s="1926">
        <f>SUM(E43:E46)</f>
        <v>8720</v>
      </c>
      <c r="F42" s="1924">
        <f t="shared" si="1"/>
        <v>17440</v>
      </c>
      <c r="H42" s="586"/>
      <c r="I42" s="590"/>
      <c r="J42" s="1734"/>
      <c r="K42" s="1734"/>
      <c r="L42" s="1729"/>
      <c r="M42" s="1728"/>
      <c r="N42" s="1734"/>
      <c r="O42" s="1734"/>
      <c r="P42" s="1733"/>
      <c r="Q42" s="1727"/>
      <c r="R42" s="1727"/>
    </row>
    <row r="43" spans="1:18">
      <c r="C43" s="2197" t="s">
        <v>857</v>
      </c>
      <c r="D43" s="2202">
        <v>3500</v>
      </c>
      <c r="E43" s="2203">
        <v>3500</v>
      </c>
      <c r="F43" s="1891">
        <f t="shared" si="1"/>
        <v>7000</v>
      </c>
      <c r="H43" s="586"/>
      <c r="I43" s="590"/>
      <c r="J43" s="1734"/>
      <c r="K43" s="1734"/>
      <c r="L43" s="1729"/>
      <c r="M43" s="1728"/>
      <c r="N43" s="1734"/>
      <c r="O43" s="1734"/>
      <c r="P43" s="1733"/>
      <c r="Q43" s="1727"/>
      <c r="R43" s="1727"/>
    </row>
    <row r="44" spans="1:18">
      <c r="C44" s="2197" t="s">
        <v>858</v>
      </c>
      <c r="D44" s="2202">
        <v>870</v>
      </c>
      <c r="E44" s="2203">
        <v>870</v>
      </c>
      <c r="F44" s="1891">
        <f t="shared" si="1"/>
        <v>1740</v>
      </c>
      <c r="H44" s="586"/>
      <c r="I44" s="590"/>
      <c r="J44" s="1734"/>
      <c r="K44" s="1734"/>
      <c r="L44" s="1729"/>
      <c r="M44" s="1728"/>
      <c r="N44" s="1734"/>
      <c r="O44" s="1734"/>
      <c r="P44" s="1733"/>
      <c r="Q44" s="1727"/>
      <c r="R44" s="1727"/>
    </row>
    <row r="45" spans="1:18">
      <c r="C45" s="2197" t="s">
        <v>859</v>
      </c>
      <c r="D45" s="2202">
        <v>4350</v>
      </c>
      <c r="E45" s="2163">
        <v>4350</v>
      </c>
      <c r="F45" s="1891">
        <f t="shared" si="1"/>
        <v>8700</v>
      </c>
      <c r="H45" s="586"/>
      <c r="I45" s="590"/>
      <c r="J45" s="1734"/>
      <c r="K45" s="1734"/>
      <c r="L45" s="1729"/>
      <c r="M45" s="1728"/>
      <c r="N45" s="1734"/>
      <c r="O45" s="1734"/>
      <c r="P45" s="1733"/>
      <c r="Q45" s="1727"/>
      <c r="R45" s="1727"/>
    </row>
    <row r="46" spans="1:18">
      <c r="C46" s="1876"/>
      <c r="D46" s="1971"/>
      <c r="E46" s="1988"/>
      <c r="F46" s="1891">
        <f t="shared" si="1"/>
        <v>0</v>
      </c>
      <c r="H46" s="586"/>
      <c r="I46" s="590"/>
      <c r="J46" s="1734"/>
      <c r="K46" s="1734"/>
      <c r="L46" s="1729"/>
      <c r="M46" s="1728"/>
      <c r="N46" s="1734"/>
      <c r="O46" s="1734"/>
      <c r="P46" s="1733"/>
      <c r="Q46" s="1727"/>
      <c r="R46" s="1727"/>
    </row>
    <row r="47" spans="1:18">
      <c r="C47" s="1952"/>
      <c r="D47" s="1958"/>
      <c r="E47" s="1955"/>
      <c r="F47" s="1958"/>
      <c r="H47" s="586"/>
      <c r="I47" s="590"/>
      <c r="J47" s="1734"/>
      <c r="K47" s="1734"/>
      <c r="L47" s="1729"/>
      <c r="M47" s="1728"/>
      <c r="N47" s="1734"/>
      <c r="O47" s="1734"/>
      <c r="P47" s="1733"/>
      <c r="Q47" s="1727"/>
      <c r="R47" s="1727"/>
    </row>
    <row r="48" spans="1:18">
      <c r="C48" s="1910" t="s">
        <v>50</v>
      </c>
      <c r="D48" s="1911">
        <f>SUM(D49:D53)</f>
        <v>94775</v>
      </c>
      <c r="E48" s="1926">
        <f>SUM(E49:E53)</f>
        <v>56975</v>
      </c>
      <c r="F48" s="1924">
        <f t="shared" si="1"/>
        <v>151750</v>
      </c>
      <c r="H48" s="586"/>
      <c r="I48" s="590"/>
      <c r="J48" s="1734"/>
      <c r="K48" s="1734"/>
      <c r="L48" s="1729"/>
      <c r="M48" s="1728"/>
      <c r="N48" s="1734"/>
      <c r="O48" s="1734"/>
      <c r="P48" s="1733"/>
      <c r="Q48" s="1727"/>
      <c r="R48" s="1727"/>
    </row>
    <row r="49" spans="3:21">
      <c r="C49" s="2197" t="s">
        <v>860</v>
      </c>
      <c r="D49" s="2202">
        <v>28275</v>
      </c>
      <c r="E49" s="2203">
        <v>28275</v>
      </c>
      <c r="F49" s="1891">
        <f t="shared" si="1"/>
        <v>56550</v>
      </c>
      <c r="H49" s="586"/>
      <c r="I49" s="590"/>
      <c r="J49" s="1734"/>
      <c r="K49" s="1734"/>
      <c r="L49" s="1729"/>
      <c r="M49" s="1728"/>
      <c r="N49" s="1734"/>
      <c r="O49" s="1734"/>
      <c r="P49" s="1733"/>
      <c r="Q49" s="1727"/>
      <c r="R49" s="1727"/>
    </row>
    <row r="50" spans="3:21">
      <c r="C50" s="2197" t="s">
        <v>861</v>
      </c>
      <c r="D50" s="2202">
        <v>20000</v>
      </c>
      <c r="E50" s="2203">
        <v>20000</v>
      </c>
      <c r="F50" s="1891">
        <f t="shared" si="1"/>
        <v>40000</v>
      </c>
      <c r="H50" s="586"/>
      <c r="I50" s="590"/>
      <c r="J50" s="1734"/>
      <c r="K50" s="1734"/>
      <c r="L50" s="1729"/>
      <c r="M50" s="1728"/>
      <c r="N50" s="1734"/>
      <c r="O50" s="1734"/>
      <c r="P50" s="1733"/>
      <c r="Q50" s="1727"/>
      <c r="R50" s="1727"/>
    </row>
    <row r="51" spans="3:21">
      <c r="C51" s="2197" t="s">
        <v>862</v>
      </c>
      <c r="D51" s="2202">
        <v>46500</v>
      </c>
      <c r="E51" s="2203">
        <v>8700</v>
      </c>
      <c r="F51" s="1891">
        <f t="shared" si="1"/>
        <v>55200</v>
      </c>
      <c r="H51" s="586"/>
      <c r="I51" s="590"/>
      <c r="J51" s="1734"/>
      <c r="K51" s="1734"/>
      <c r="L51" s="1729"/>
      <c r="M51" s="1728"/>
      <c r="N51" s="1734"/>
      <c r="O51" s="1734"/>
      <c r="P51" s="1733"/>
      <c r="Q51" s="1727"/>
      <c r="R51" s="1727"/>
    </row>
    <row r="52" spans="3:21">
      <c r="C52" s="1876"/>
      <c r="D52" s="1971"/>
      <c r="E52" s="1988"/>
      <c r="F52" s="1891">
        <f t="shared" si="1"/>
        <v>0</v>
      </c>
      <c r="H52" s="586"/>
      <c r="I52" s="586"/>
      <c r="J52" s="1734"/>
      <c r="K52" s="1734"/>
      <c r="L52" s="1734"/>
      <c r="M52" s="1728"/>
      <c r="N52" s="1734"/>
      <c r="O52" s="1734"/>
      <c r="P52" s="1733"/>
      <c r="Q52" s="1727"/>
      <c r="R52" s="1727"/>
      <c r="S52" s="586"/>
      <c r="T52" s="586"/>
    </row>
    <row r="53" spans="3:21">
      <c r="C53" s="1952"/>
      <c r="D53" s="1958"/>
      <c r="E53" s="1955"/>
      <c r="F53" s="1958"/>
      <c r="H53" s="586"/>
      <c r="I53" s="586"/>
      <c r="J53" s="1734"/>
      <c r="K53" s="1734"/>
      <c r="L53" s="1734"/>
      <c r="M53" s="1728"/>
      <c r="N53" s="1734"/>
      <c r="O53" s="1734"/>
      <c r="P53" s="1733"/>
      <c r="Q53" s="1727"/>
      <c r="R53" s="1727"/>
      <c r="S53" s="586"/>
      <c r="T53" s="586"/>
    </row>
    <row r="54" spans="3:21">
      <c r="C54" s="2106" t="s">
        <v>51</v>
      </c>
      <c r="D54" s="2107">
        <f>SUM(D55:D58)</f>
        <v>4785</v>
      </c>
      <c r="E54" s="2108">
        <f>SUM(E55:E58)</f>
        <v>4785</v>
      </c>
      <c r="F54" s="2114">
        <f>SUM(D54:E54)</f>
        <v>9570</v>
      </c>
      <c r="H54" s="586"/>
      <c r="I54" s="586"/>
      <c r="J54" s="1734"/>
      <c r="K54" s="1734"/>
      <c r="L54" s="1734"/>
      <c r="M54" s="1728"/>
      <c r="N54" s="1734"/>
      <c r="O54" s="1734"/>
      <c r="P54" s="1733"/>
      <c r="Q54" s="1727"/>
      <c r="R54" s="1727"/>
      <c r="S54" s="586"/>
      <c r="T54" s="586"/>
    </row>
    <row r="55" spans="3:21">
      <c r="C55" s="2197" t="s">
        <v>863</v>
      </c>
      <c r="D55" s="2202">
        <v>1300</v>
      </c>
      <c r="E55" s="2203">
        <v>1300</v>
      </c>
      <c r="F55" s="1891">
        <f t="shared" si="1"/>
        <v>2600</v>
      </c>
      <c r="H55" s="591"/>
      <c r="I55" s="586"/>
      <c r="J55" s="1734"/>
      <c r="K55" s="1734"/>
      <c r="L55" s="1734"/>
      <c r="M55" s="1728"/>
      <c r="N55" s="1734"/>
      <c r="O55" s="1734"/>
      <c r="P55" s="1733"/>
      <c r="Q55" s="1727"/>
      <c r="R55" s="1727"/>
      <c r="S55" s="586"/>
      <c r="T55" s="586"/>
    </row>
    <row r="56" spans="3:21">
      <c r="C56" s="2197" t="s">
        <v>864</v>
      </c>
      <c r="D56" s="2202">
        <v>3050</v>
      </c>
      <c r="E56" s="2203">
        <v>3050</v>
      </c>
      <c r="F56" s="1891">
        <f t="shared" si="1"/>
        <v>6100</v>
      </c>
      <c r="H56" s="586"/>
      <c r="I56" s="586"/>
      <c r="J56" s="1734"/>
      <c r="K56" s="1734"/>
      <c r="L56" s="1734"/>
      <c r="M56" s="1728"/>
      <c r="N56" s="1734"/>
      <c r="O56" s="1734"/>
      <c r="P56" s="1733"/>
      <c r="Q56" s="1727"/>
      <c r="R56" s="1727"/>
      <c r="S56" s="586"/>
      <c r="T56" s="586"/>
    </row>
    <row r="57" spans="3:21">
      <c r="C57" s="2197" t="s">
        <v>865</v>
      </c>
      <c r="D57" s="2202">
        <v>435</v>
      </c>
      <c r="E57" s="2203">
        <v>435</v>
      </c>
      <c r="F57" s="1891">
        <f t="shared" si="1"/>
        <v>870</v>
      </c>
      <c r="H57" s="586"/>
      <c r="I57" s="586"/>
      <c r="J57" s="1734"/>
      <c r="K57" s="1734"/>
      <c r="L57" s="1734"/>
      <c r="M57" s="1734"/>
      <c r="N57" s="1734"/>
      <c r="O57" s="1734"/>
      <c r="P57" s="1734"/>
      <c r="Q57" s="1742"/>
      <c r="R57" s="1742"/>
      <c r="S57" s="586"/>
      <c r="T57" s="586"/>
    </row>
    <row r="58" spans="3:21">
      <c r="C58" s="1876"/>
      <c r="D58" s="1971"/>
      <c r="E58" s="1972"/>
      <c r="F58" s="1891">
        <f t="shared" si="1"/>
        <v>0</v>
      </c>
      <c r="H58" s="586"/>
      <c r="I58" s="586"/>
      <c r="J58" s="586"/>
      <c r="K58" s="586"/>
      <c r="L58" s="586"/>
      <c r="M58" s="586"/>
      <c r="N58" s="586"/>
      <c r="O58" s="586"/>
      <c r="P58" s="586"/>
      <c r="Q58" s="586"/>
      <c r="R58" s="586"/>
      <c r="S58" s="586"/>
      <c r="T58" s="586"/>
    </row>
    <row r="59" spans="3:21">
      <c r="C59" s="1952"/>
      <c r="D59" s="1958"/>
      <c r="E59" s="1955"/>
      <c r="F59" s="1958">
        <f t="shared" si="1"/>
        <v>0</v>
      </c>
      <c r="H59" s="586"/>
      <c r="I59" s="586"/>
      <c r="J59" s="586"/>
      <c r="K59" s="586"/>
      <c r="L59" s="586"/>
      <c r="M59" s="586"/>
      <c r="N59" s="586"/>
      <c r="O59" s="586"/>
      <c r="P59" s="586"/>
      <c r="Q59" s="586"/>
      <c r="R59" s="586"/>
      <c r="S59" s="586"/>
      <c r="T59" s="586"/>
    </row>
    <row r="60" spans="3:21">
      <c r="C60" s="2106" t="s">
        <v>52</v>
      </c>
      <c r="D60" s="2112">
        <f>SUM(D61:D64)</f>
        <v>0</v>
      </c>
      <c r="E60" s="2113">
        <f>SUM(E61:E64)</f>
        <v>0</v>
      </c>
      <c r="F60" s="2114">
        <f>SUM(D60:E60)</f>
        <v>0</v>
      </c>
      <c r="H60" s="1323"/>
      <c r="I60" s="1321"/>
      <c r="J60" s="586"/>
      <c r="K60" s="586"/>
      <c r="L60" s="586"/>
      <c r="M60" s="586"/>
      <c r="N60" s="586"/>
      <c r="O60" s="586"/>
      <c r="P60" s="586"/>
      <c r="Q60" s="586"/>
      <c r="R60" s="586"/>
      <c r="S60" s="586"/>
      <c r="T60" s="586"/>
    </row>
    <row r="61" spans="3:21">
      <c r="C61" s="2109"/>
      <c r="D61" s="2110"/>
      <c r="E61" s="2111"/>
      <c r="F61" s="1891">
        <f t="shared" si="1"/>
        <v>0</v>
      </c>
      <c r="H61" s="586"/>
      <c r="I61" s="586"/>
      <c r="J61" s="586"/>
      <c r="K61" s="586"/>
      <c r="L61" s="586"/>
      <c r="M61" s="586"/>
      <c r="N61" s="586"/>
      <c r="O61" s="586"/>
      <c r="P61" s="586"/>
      <c r="Q61" s="586"/>
      <c r="R61" s="586"/>
      <c r="S61" s="586"/>
      <c r="T61" s="586"/>
    </row>
    <row r="62" spans="3:21">
      <c r="C62" s="2115"/>
      <c r="D62" s="2110"/>
      <c r="E62" s="2111"/>
      <c r="F62" s="1891">
        <f t="shared" si="1"/>
        <v>0</v>
      </c>
      <c r="G62" s="586"/>
      <c r="H62" s="1225"/>
      <c r="I62" s="1225"/>
      <c r="J62" s="1225"/>
      <c r="K62" s="1225"/>
      <c r="L62" s="1225"/>
      <c r="M62" s="1225"/>
      <c r="N62" s="1225"/>
      <c r="O62" s="1225"/>
      <c r="P62" s="1225"/>
      <c r="Q62" s="1225"/>
      <c r="R62" s="1225"/>
      <c r="S62" s="1225"/>
      <c r="T62" s="1225"/>
    </row>
    <row r="63" spans="3:21">
      <c r="C63" s="2115"/>
      <c r="D63" s="2110"/>
      <c r="E63" s="2111"/>
      <c r="F63" s="1890">
        <f t="shared" si="1"/>
        <v>0</v>
      </c>
      <c r="G63" s="1734"/>
      <c r="H63" s="1707"/>
      <c r="I63" s="1707"/>
      <c r="J63" s="1705"/>
      <c r="K63" s="1734"/>
      <c r="L63" s="1734"/>
      <c r="M63" s="1725"/>
      <c r="N63" s="1725"/>
      <c r="O63" s="1724"/>
      <c r="P63" s="1724"/>
      <c r="Q63" s="1724"/>
      <c r="R63" s="1723"/>
      <c r="S63" s="1713"/>
      <c r="T63" s="1713"/>
      <c r="U63" s="1164"/>
    </row>
    <row r="64" spans="3:21">
      <c r="C64" s="1876"/>
      <c r="D64" s="1971"/>
      <c r="E64" s="1988"/>
      <c r="F64" s="1891">
        <f t="shared" si="1"/>
        <v>0</v>
      </c>
      <c r="G64" s="1734"/>
      <c r="H64" s="1707"/>
      <c r="I64" s="1707"/>
      <c r="J64" s="1705"/>
      <c r="K64" s="1734"/>
      <c r="L64" s="1734"/>
      <c r="M64" s="1725"/>
      <c r="N64" s="1725"/>
      <c r="O64" s="1724"/>
      <c r="P64" s="1724"/>
      <c r="Q64" s="1724"/>
      <c r="R64" s="1723"/>
      <c r="S64" s="1713"/>
      <c r="T64" s="1713"/>
    </row>
    <row r="65" spans="3:20">
      <c r="C65" s="1952"/>
      <c r="D65" s="1958"/>
      <c r="E65" s="1955"/>
      <c r="F65" s="1958"/>
      <c r="G65" s="1734"/>
      <c r="H65" s="1707"/>
      <c r="I65" s="1707"/>
      <c r="J65" s="1705"/>
      <c r="K65" s="1734"/>
      <c r="L65" s="1734"/>
      <c r="M65" s="1725"/>
      <c r="N65" s="1725"/>
      <c r="O65" s="1724"/>
      <c r="P65" s="1724"/>
      <c r="Q65" s="1724"/>
      <c r="R65" s="1723"/>
      <c r="S65" s="1713"/>
      <c r="T65" s="1713"/>
    </row>
    <row r="66" spans="3:20">
      <c r="C66" s="1910"/>
      <c r="D66" s="1911"/>
      <c r="E66" s="1926"/>
      <c r="F66" s="1924"/>
      <c r="G66" s="1734"/>
      <c r="H66" s="1707"/>
      <c r="I66" s="1707"/>
      <c r="J66" s="1705"/>
      <c r="K66" s="1734"/>
      <c r="L66" s="1734"/>
      <c r="M66" s="1725"/>
      <c r="N66" s="1725"/>
      <c r="O66" s="1724"/>
      <c r="P66" s="1724"/>
      <c r="Q66" s="1724"/>
      <c r="R66" s="1723"/>
      <c r="S66" s="1713"/>
      <c r="T66" s="1713"/>
    </row>
    <row r="67" spans="3:20">
      <c r="C67" s="1967"/>
      <c r="D67" s="1961"/>
      <c r="E67" s="1962"/>
      <c r="F67" s="1966"/>
      <c r="G67" s="1734"/>
      <c r="H67" s="1707"/>
      <c r="I67" s="1707"/>
      <c r="J67" s="1705"/>
      <c r="K67" s="1734"/>
      <c r="L67" s="1734"/>
      <c r="M67" s="1725"/>
      <c r="N67" s="1725"/>
      <c r="O67" s="1724"/>
      <c r="P67" s="1724"/>
      <c r="Q67" s="1724"/>
      <c r="R67" s="1723"/>
      <c r="S67" s="1713"/>
      <c r="T67" s="1713"/>
    </row>
    <row r="68" spans="3:20">
      <c r="C68" s="1968"/>
      <c r="D68" s="1963"/>
      <c r="E68" s="1964"/>
      <c r="F68" s="1965"/>
      <c r="G68" s="1734"/>
      <c r="H68" s="1707"/>
      <c r="I68" s="1707"/>
      <c r="J68" s="1705"/>
      <c r="K68" s="1734"/>
      <c r="L68" s="1734"/>
      <c r="M68" s="1725"/>
      <c r="N68" s="1725"/>
      <c r="O68" s="1724"/>
      <c r="P68" s="1724"/>
      <c r="Q68" s="1724"/>
      <c r="R68" s="1723"/>
      <c r="S68" s="1713"/>
      <c r="T68" s="1713"/>
    </row>
    <row r="69" spans="3:20">
      <c r="C69" s="1959"/>
      <c r="D69" s="1971"/>
      <c r="E69" s="1971"/>
      <c r="F69" s="1956"/>
      <c r="G69" s="1734"/>
      <c r="H69" s="1707"/>
      <c r="I69" s="1707"/>
      <c r="J69" s="1705"/>
      <c r="K69" s="1734"/>
      <c r="L69" s="1734"/>
      <c r="M69" s="1725"/>
      <c r="N69" s="1725"/>
      <c r="O69" s="1724"/>
      <c r="P69" s="1724"/>
      <c r="Q69" s="1724"/>
      <c r="R69" s="1723"/>
      <c r="S69" s="1713"/>
      <c r="T69" s="1713"/>
    </row>
    <row r="70" spans="3:20">
      <c r="C70" s="1734"/>
      <c r="D70" s="1734"/>
      <c r="E70" s="1734"/>
      <c r="F70" s="1734"/>
      <c r="G70" s="1734"/>
      <c r="H70" s="1707"/>
      <c r="I70" s="1707"/>
      <c r="J70" s="1705"/>
      <c r="K70" s="1734"/>
      <c r="L70" s="1734"/>
      <c r="M70" s="1725"/>
      <c r="N70" s="1725"/>
      <c r="O70" s="1724"/>
      <c r="P70" s="1724"/>
      <c r="Q70" s="1724"/>
      <c r="R70" s="1723"/>
      <c r="S70" s="1713"/>
      <c r="T70" s="1713"/>
    </row>
    <row r="71" spans="3:20">
      <c r="C71" s="1734"/>
      <c r="D71" s="1734"/>
      <c r="E71" s="1734"/>
      <c r="F71" s="1734"/>
      <c r="G71" s="1734"/>
      <c r="H71" s="1707"/>
      <c r="I71" s="1707"/>
      <c r="J71" s="1705"/>
      <c r="K71" s="1734"/>
      <c r="L71" s="1734"/>
      <c r="M71" s="1725"/>
      <c r="N71" s="1725"/>
      <c r="O71" s="1723"/>
      <c r="P71" s="1723"/>
      <c r="Q71" s="1724"/>
      <c r="R71" s="1723"/>
      <c r="S71" s="1713"/>
      <c r="T71" s="1713"/>
    </row>
    <row r="72" spans="3:20">
      <c r="C72" s="1734"/>
      <c r="D72" s="1734"/>
      <c r="E72" s="1734"/>
      <c r="F72" s="1734"/>
      <c r="G72" s="1734"/>
      <c r="H72" s="1707"/>
      <c r="I72" s="1707"/>
      <c r="J72" s="1705"/>
      <c r="K72" s="1734"/>
      <c r="L72" s="1734"/>
      <c r="M72" s="1725"/>
      <c r="N72" s="1725"/>
      <c r="O72" s="1723"/>
      <c r="P72" s="1723"/>
      <c r="Q72" s="1724"/>
      <c r="R72" s="1723"/>
      <c r="S72" s="1713"/>
      <c r="T72" s="1713"/>
    </row>
    <row r="73" spans="3:20">
      <c r="C73" s="1734"/>
      <c r="D73" s="1734"/>
      <c r="E73" s="1734"/>
      <c r="F73" s="1734"/>
      <c r="G73" s="1734"/>
      <c r="H73" s="1707"/>
      <c r="I73" s="1707"/>
      <c r="J73" s="1705"/>
      <c r="K73" s="1734"/>
      <c r="L73" s="1734"/>
      <c r="M73" s="1725"/>
      <c r="N73" s="1725"/>
      <c r="O73" s="1723"/>
      <c r="P73" s="1723"/>
      <c r="Q73" s="1724"/>
      <c r="R73" s="1723"/>
      <c r="S73" s="1713"/>
      <c r="T73" s="1713"/>
    </row>
    <row r="74" spans="3:20">
      <c r="C74" s="1734"/>
      <c r="D74" s="1734"/>
      <c r="E74" s="1734"/>
      <c r="F74" s="1734"/>
      <c r="G74" s="1734"/>
      <c r="H74" s="1707"/>
      <c r="I74" s="1707"/>
      <c r="J74" s="1705"/>
      <c r="K74" s="1734"/>
      <c r="L74" s="1734"/>
      <c r="M74" s="1725"/>
      <c r="N74" s="1725"/>
      <c r="O74" s="1723"/>
      <c r="P74" s="1723"/>
      <c r="Q74" s="1724"/>
      <c r="R74" s="1723"/>
      <c r="S74" s="1732"/>
      <c r="T74" s="1732"/>
    </row>
    <row r="75" spans="3:20">
      <c r="C75" s="1734"/>
      <c r="D75" s="1734"/>
      <c r="E75" s="1734"/>
      <c r="F75" s="1734"/>
      <c r="G75" s="1734"/>
      <c r="H75" s="1707"/>
      <c r="I75" s="1707"/>
      <c r="J75" s="1705"/>
      <c r="K75" s="1734"/>
      <c r="L75" s="1734"/>
      <c r="M75" s="1725"/>
      <c r="N75" s="1725"/>
      <c r="O75" s="1723"/>
      <c r="P75" s="1723"/>
      <c r="Q75" s="1724"/>
      <c r="R75" s="1723"/>
      <c r="S75" s="1732"/>
      <c r="T75" s="1732"/>
    </row>
    <row r="76" spans="3:20">
      <c r="C76" s="1734"/>
      <c r="D76" s="1734"/>
      <c r="E76" s="1734"/>
      <c r="F76" s="1734"/>
      <c r="G76" s="1734"/>
      <c r="H76" s="1707"/>
      <c r="I76" s="1707"/>
      <c r="J76" s="1705"/>
      <c r="K76" s="1734"/>
      <c r="L76" s="1734"/>
      <c r="M76" s="1725"/>
      <c r="N76" s="1725"/>
      <c r="O76" s="1723"/>
      <c r="P76" s="1723"/>
      <c r="Q76" s="1724"/>
      <c r="R76" s="1723"/>
      <c r="S76" s="1732"/>
      <c r="T76" s="1732"/>
    </row>
    <row r="77" spans="3:20">
      <c r="C77" s="1734"/>
      <c r="D77" s="1734"/>
      <c r="E77" s="1734"/>
      <c r="F77" s="1734"/>
      <c r="G77" s="1734"/>
      <c r="H77" s="1707"/>
      <c r="I77" s="1707"/>
      <c r="J77" s="1705"/>
      <c r="K77" s="1734"/>
      <c r="L77" s="1734"/>
      <c r="M77" s="1725"/>
      <c r="N77" s="1725"/>
      <c r="O77" s="1723"/>
      <c r="P77" s="1723"/>
      <c r="Q77" s="1724"/>
      <c r="R77" s="1723"/>
      <c r="S77" s="1732"/>
      <c r="T77" s="1732"/>
    </row>
    <row r="78" spans="3:20">
      <c r="C78" s="1734"/>
      <c r="D78" s="1734"/>
      <c r="E78" s="1734"/>
      <c r="F78" s="1734"/>
      <c r="G78" s="1734"/>
      <c r="H78" s="1707"/>
      <c r="I78" s="1707"/>
      <c r="J78" s="1705"/>
      <c r="K78" s="1734"/>
      <c r="L78" s="1734"/>
      <c r="M78" s="1725"/>
      <c r="N78" s="1725"/>
      <c r="O78" s="1723"/>
      <c r="P78" s="1723"/>
      <c r="Q78" s="1724"/>
      <c r="R78" s="1723"/>
      <c r="S78" s="1732"/>
      <c r="T78" s="1732"/>
    </row>
    <row r="79" spans="3:20">
      <c r="C79" s="1734"/>
      <c r="D79" s="1734"/>
      <c r="E79" s="1734"/>
      <c r="F79" s="1734"/>
      <c r="G79" s="1734"/>
      <c r="H79" s="1707"/>
      <c r="I79" s="1707"/>
      <c r="J79" s="1705"/>
      <c r="K79" s="1734"/>
      <c r="L79" s="1734"/>
      <c r="M79" s="1725"/>
      <c r="N79" s="1725"/>
      <c r="O79" s="1723"/>
      <c r="P79" s="1723"/>
      <c r="Q79" s="1724"/>
      <c r="R79" s="1723"/>
      <c r="S79" s="1732"/>
      <c r="T79" s="1732"/>
    </row>
    <row r="80" spans="3:20">
      <c r="C80" s="1734"/>
      <c r="D80" s="1734"/>
      <c r="E80" s="1734"/>
      <c r="F80" s="1734"/>
      <c r="G80" s="1734"/>
      <c r="H80" s="1707"/>
      <c r="I80" s="1707"/>
      <c r="J80" s="1705"/>
      <c r="K80" s="1734"/>
      <c r="L80" s="1734"/>
      <c r="M80" s="1725"/>
      <c r="N80" s="1725"/>
      <c r="O80" s="1723"/>
      <c r="P80" s="1723"/>
      <c r="Q80" s="1724"/>
      <c r="R80" s="1723"/>
      <c r="S80" s="1732"/>
      <c r="T80" s="1732"/>
    </row>
    <row r="81" spans="3:20">
      <c r="C81" s="1734"/>
      <c r="D81" s="1734"/>
      <c r="E81" s="1734"/>
      <c r="F81" s="1734"/>
      <c r="G81" s="1734"/>
      <c r="H81" s="1707"/>
      <c r="I81" s="1707"/>
      <c r="J81" s="1705"/>
      <c r="K81" s="1734"/>
      <c r="L81" s="1734"/>
      <c r="M81" s="1725"/>
      <c r="N81" s="1725"/>
      <c r="O81" s="1723"/>
      <c r="P81" s="1723"/>
      <c r="Q81" s="1724"/>
      <c r="R81" s="1723"/>
      <c r="S81" s="1732"/>
      <c r="T81" s="1732"/>
    </row>
    <row r="82" spans="3:20">
      <c r="C82" s="1734"/>
      <c r="D82" s="1734"/>
      <c r="E82" s="1734"/>
      <c r="F82" s="1734"/>
      <c r="G82" s="1734"/>
      <c r="H82" s="1707"/>
      <c r="I82" s="1707"/>
      <c r="J82" s="1705"/>
      <c r="K82" s="1734"/>
      <c r="L82" s="1734"/>
      <c r="M82" s="1725"/>
      <c r="N82" s="1725"/>
      <c r="O82" s="1723"/>
      <c r="P82" s="1723"/>
      <c r="Q82" s="1724"/>
      <c r="R82" s="1723"/>
      <c r="S82" s="1732"/>
      <c r="T82" s="1732"/>
    </row>
    <row r="83" spans="3:20">
      <c r="C83" s="1734"/>
      <c r="D83" s="1734"/>
      <c r="E83" s="1734"/>
      <c r="F83" s="1734"/>
      <c r="G83" s="1734"/>
      <c r="H83" s="1707"/>
      <c r="I83" s="1707"/>
      <c r="J83" s="1705"/>
      <c r="K83" s="1734"/>
      <c r="L83" s="1734"/>
      <c r="M83" s="1725"/>
      <c r="N83" s="1725"/>
      <c r="O83" s="1723"/>
      <c r="P83" s="1723"/>
      <c r="Q83" s="1724"/>
      <c r="R83" s="1723"/>
      <c r="S83" s="1732"/>
      <c r="T83" s="1732"/>
    </row>
    <row r="84" spans="3:20">
      <c r="C84" s="1734"/>
      <c r="D84" s="1734"/>
      <c r="E84" s="1734"/>
      <c r="F84" s="1734"/>
      <c r="G84" s="1734"/>
      <c r="H84" s="1707"/>
      <c r="I84" s="1707"/>
      <c r="J84" s="1705"/>
      <c r="K84" s="1734"/>
      <c r="L84" s="1734"/>
      <c r="M84" s="1725"/>
      <c r="N84" s="1725"/>
      <c r="O84" s="1723"/>
      <c r="P84" s="1723"/>
      <c r="Q84" s="1724"/>
      <c r="R84" s="1723"/>
      <c r="S84" s="1732"/>
      <c r="T84" s="1732"/>
    </row>
    <row r="85" spans="3:20">
      <c r="C85" s="1734"/>
      <c r="D85" s="1734"/>
      <c r="E85" s="1734"/>
      <c r="F85" s="1734"/>
      <c r="G85" s="1734"/>
      <c r="H85" s="1707"/>
      <c r="I85" s="1707"/>
      <c r="J85" s="1705"/>
      <c r="K85" s="1734"/>
      <c r="L85" s="1734"/>
      <c r="M85" s="1725"/>
      <c r="N85" s="1725"/>
      <c r="O85" s="1723"/>
      <c r="P85" s="1723"/>
      <c r="Q85" s="1724"/>
      <c r="R85" s="1723"/>
      <c r="S85" s="1732"/>
      <c r="T85" s="1732"/>
    </row>
    <row r="86" spans="3:20">
      <c r="C86" s="1734"/>
      <c r="D86" s="1734"/>
      <c r="E86" s="1712"/>
      <c r="F86" s="1734"/>
      <c r="G86" s="1734"/>
      <c r="H86" s="1707"/>
      <c r="I86" s="1707"/>
      <c r="J86" s="1705"/>
      <c r="K86" s="1734"/>
      <c r="L86" s="1734"/>
      <c r="M86" s="1725"/>
      <c r="N86" s="1725"/>
      <c r="O86" s="1723"/>
      <c r="P86" s="1723"/>
      <c r="Q86" s="1724"/>
      <c r="R86" s="1723"/>
      <c r="S86" s="1732"/>
      <c r="T86" s="1732"/>
    </row>
    <row r="87" spans="3:20">
      <c r="C87" s="1734"/>
      <c r="D87" s="1734"/>
      <c r="E87" s="1712"/>
      <c r="F87" s="1734"/>
      <c r="G87" s="1734"/>
      <c r="H87" s="1707"/>
      <c r="I87" s="1707"/>
      <c r="J87" s="1705"/>
      <c r="K87" s="1734"/>
      <c r="L87" s="1734"/>
      <c r="M87" s="1725"/>
      <c r="N87" s="1725"/>
      <c r="O87" s="1723"/>
      <c r="P87" s="1723"/>
      <c r="Q87" s="1724"/>
      <c r="R87" s="1723"/>
      <c r="S87" s="1732"/>
      <c r="T87" s="1732"/>
    </row>
    <row r="88" spans="3:20">
      <c r="C88" s="1734"/>
      <c r="D88" s="1734"/>
      <c r="E88" s="1712"/>
      <c r="F88" s="1734"/>
      <c r="G88" s="1734"/>
      <c r="H88" s="1707"/>
      <c r="I88" s="1707"/>
      <c r="J88" s="1705"/>
      <c r="K88" s="1734"/>
      <c r="L88" s="1734"/>
      <c r="M88" s="1725"/>
      <c r="N88" s="1725"/>
      <c r="O88" s="1723"/>
      <c r="P88" s="1723"/>
      <c r="Q88" s="1724"/>
      <c r="R88" s="1723"/>
      <c r="S88" s="1732"/>
      <c r="T88" s="1732"/>
    </row>
    <row r="89" spans="3:20">
      <c r="C89" s="1734"/>
      <c r="D89" s="1734"/>
      <c r="E89" s="1712"/>
      <c r="F89" s="1734"/>
      <c r="G89" s="1734"/>
      <c r="H89" s="1707"/>
      <c r="I89" s="1707"/>
      <c r="J89" s="1705"/>
      <c r="K89" s="1734"/>
      <c r="L89" s="1734"/>
      <c r="M89" s="1725"/>
      <c r="N89" s="1725"/>
      <c r="O89" s="1723"/>
      <c r="P89" s="1723"/>
      <c r="Q89" s="1724"/>
      <c r="R89" s="1723"/>
      <c r="S89" s="1732"/>
      <c r="T89" s="1732"/>
    </row>
    <row r="90" spans="3:20">
      <c r="C90" s="1734"/>
      <c r="D90" s="1734"/>
      <c r="E90" s="1712"/>
      <c r="F90" s="1734"/>
      <c r="G90" s="1734"/>
      <c r="H90" s="1707"/>
      <c r="I90" s="1707"/>
      <c r="J90" s="1705"/>
      <c r="K90" s="1734"/>
      <c r="L90" s="1734"/>
      <c r="M90" s="1725"/>
      <c r="N90" s="1725"/>
      <c r="O90" s="1723"/>
      <c r="P90" s="1723"/>
      <c r="Q90" s="1724"/>
      <c r="R90" s="1723"/>
      <c r="S90" s="1732"/>
      <c r="T90" s="1732"/>
    </row>
    <row r="91" spans="3:20">
      <c r="C91" s="1734"/>
      <c r="D91" s="1734"/>
      <c r="E91" s="1712"/>
      <c r="F91" s="1734"/>
      <c r="G91" s="1734"/>
      <c r="H91" s="1707"/>
      <c r="I91" s="1707"/>
      <c r="J91" s="1705"/>
      <c r="K91" s="1734"/>
      <c r="L91" s="1734"/>
      <c r="M91" s="1725"/>
      <c r="N91" s="1725"/>
      <c r="O91" s="1723"/>
      <c r="P91" s="1723"/>
      <c r="Q91" s="1724"/>
      <c r="R91" s="1723"/>
      <c r="S91" s="1732"/>
      <c r="T91" s="1732"/>
    </row>
    <row r="92" spans="3:20">
      <c r="C92" s="1734"/>
      <c r="D92" s="1734"/>
      <c r="E92" s="1712"/>
      <c r="F92" s="1734"/>
      <c r="G92" s="1734"/>
      <c r="H92" s="1707"/>
      <c r="I92" s="1707"/>
      <c r="J92" s="1705"/>
      <c r="K92" s="1734"/>
      <c r="L92" s="1734"/>
      <c r="M92" s="1725"/>
      <c r="N92" s="1725"/>
      <c r="O92" s="1723"/>
      <c r="P92" s="1723"/>
      <c r="Q92" s="1724"/>
      <c r="R92" s="1723"/>
      <c r="S92" s="1732"/>
      <c r="T92" s="1732"/>
    </row>
    <row r="93" spans="3:20">
      <c r="C93" s="1734"/>
      <c r="D93" s="1734"/>
      <c r="E93" s="1712"/>
      <c r="F93" s="1734"/>
      <c r="G93" s="1734"/>
      <c r="H93" s="1707"/>
      <c r="I93" s="1707"/>
      <c r="J93" s="1705"/>
      <c r="K93" s="1734"/>
      <c r="L93" s="1734"/>
      <c r="M93" s="1725"/>
      <c r="N93" s="1725"/>
      <c r="O93" s="1723"/>
      <c r="P93" s="1723"/>
      <c r="Q93" s="1724"/>
      <c r="R93" s="1723"/>
      <c r="S93" s="1732"/>
      <c r="T93" s="1732"/>
    </row>
    <row r="94" spans="3:20">
      <c r="C94" s="1734"/>
      <c r="D94" s="1734"/>
      <c r="E94" s="1712"/>
      <c r="F94" s="1734"/>
      <c r="G94" s="1734"/>
      <c r="H94" s="1707"/>
      <c r="I94" s="1707"/>
      <c r="J94" s="1705"/>
      <c r="K94" s="1734"/>
      <c r="L94" s="1734"/>
      <c r="M94" s="1725"/>
      <c r="N94" s="1725"/>
      <c r="O94" s="1723"/>
      <c r="P94" s="1723"/>
      <c r="Q94" s="1724"/>
      <c r="R94" s="1723"/>
      <c r="S94" s="1732"/>
      <c r="T94" s="1732"/>
    </row>
    <row r="95" spans="3:20">
      <c r="C95" s="1734"/>
      <c r="D95" s="1734"/>
      <c r="E95" s="1712"/>
      <c r="F95" s="1734"/>
      <c r="G95" s="1734"/>
      <c r="H95" s="1707"/>
      <c r="I95" s="1707"/>
      <c r="J95" s="1705"/>
      <c r="K95" s="1734"/>
      <c r="L95" s="1734"/>
      <c r="M95" s="1725"/>
      <c r="N95" s="1725"/>
      <c r="O95" s="1723"/>
      <c r="P95" s="1723"/>
      <c r="Q95" s="1724"/>
      <c r="R95" s="1723"/>
      <c r="S95" s="1732"/>
      <c r="T95" s="1732"/>
    </row>
    <row r="96" spans="3:20">
      <c r="C96" s="1734"/>
      <c r="D96" s="1734"/>
      <c r="E96" s="1712"/>
      <c r="F96" s="1734"/>
      <c r="G96" s="1734"/>
      <c r="H96" s="1707"/>
      <c r="I96" s="1707"/>
      <c r="J96" s="1705"/>
      <c r="K96" s="1734"/>
      <c r="L96" s="1734"/>
      <c r="M96" s="1725"/>
      <c r="N96" s="1725"/>
      <c r="O96" s="1723"/>
      <c r="P96" s="1723"/>
      <c r="Q96" s="1724"/>
      <c r="R96" s="1723"/>
      <c r="S96" s="1732"/>
      <c r="T96" s="1732"/>
    </row>
    <row r="97" spans="3:20">
      <c r="C97" s="1734"/>
      <c r="D97" s="1734"/>
      <c r="E97" s="1712"/>
      <c r="F97" s="1734"/>
      <c r="G97" s="1734"/>
      <c r="H97" s="1722"/>
      <c r="I97" s="1707"/>
      <c r="J97" s="1711"/>
      <c r="K97" s="1721"/>
      <c r="L97" s="1733"/>
      <c r="M97" s="1725"/>
      <c r="N97" s="1725"/>
      <c r="O97" s="1708"/>
      <c r="P97" s="1708"/>
      <c r="Q97" s="1708"/>
      <c r="R97" s="1708"/>
      <c r="S97" s="1732"/>
      <c r="T97" s="1732"/>
    </row>
    <row r="98" spans="3:20">
      <c r="C98" s="1734"/>
      <c r="D98" s="1734"/>
      <c r="E98" s="1712"/>
      <c r="F98" s="1734"/>
      <c r="G98" s="1732"/>
      <c r="H98" s="1732"/>
      <c r="I98" s="1732"/>
      <c r="J98" s="1732"/>
      <c r="K98" s="1732"/>
      <c r="L98" s="1732"/>
      <c r="M98" s="1732"/>
      <c r="N98" s="1732"/>
      <c r="O98" s="1732"/>
      <c r="P98" s="1732"/>
      <c r="Q98" s="1732"/>
      <c r="R98" s="1732"/>
      <c r="S98" s="1732"/>
      <c r="T98" s="1732"/>
    </row>
    <row r="99" spans="3:20">
      <c r="C99" s="1734"/>
      <c r="D99" s="1734"/>
      <c r="E99" s="1712"/>
      <c r="F99" s="1734"/>
      <c r="G99" s="1732"/>
      <c r="H99" s="1732"/>
      <c r="I99" s="1732"/>
      <c r="J99" s="1732"/>
      <c r="K99" s="1732"/>
      <c r="L99" s="1732"/>
      <c r="M99" s="1732"/>
      <c r="N99" s="1732"/>
      <c r="O99" s="1732"/>
      <c r="P99" s="1732"/>
      <c r="Q99" s="1732"/>
      <c r="R99" s="1732"/>
      <c r="S99" s="1732"/>
      <c r="T99" s="1732"/>
    </row>
    <row r="100" spans="3:20">
      <c r="C100" s="1734"/>
      <c r="D100" s="1734"/>
      <c r="E100" s="1712"/>
      <c r="F100" s="1734"/>
    </row>
    <row r="101" spans="3:20">
      <c r="C101" s="1734"/>
      <c r="D101" s="1734"/>
      <c r="E101" s="1712"/>
      <c r="F101" s="1734"/>
    </row>
    <row r="102" spans="3:20">
      <c r="C102" s="1734"/>
      <c r="D102" s="1734"/>
      <c r="E102" s="1712"/>
      <c r="F102" s="1734"/>
    </row>
    <row r="103" spans="3:20">
      <c r="C103" s="1734"/>
      <c r="D103" s="1734"/>
      <c r="E103" s="1712"/>
      <c r="F103" s="1734"/>
    </row>
    <row r="104" spans="3:20">
      <c r="C104" s="1734"/>
      <c r="D104" s="1734"/>
      <c r="E104" s="1712"/>
      <c r="F104" s="1734"/>
    </row>
    <row r="105" spans="3:20">
      <c r="C105" s="1734"/>
      <c r="D105" s="1734"/>
      <c r="E105" s="1712"/>
      <c r="F105" s="1734"/>
    </row>
    <row r="106" spans="3:20">
      <c r="C106" s="1734"/>
      <c r="D106" s="1734"/>
      <c r="E106" s="1712"/>
      <c r="F106" s="1734"/>
    </row>
    <row r="107" spans="3:20">
      <c r="C107" s="1734"/>
      <c r="D107" s="1734"/>
      <c r="E107" s="1712"/>
      <c r="F107" s="1734"/>
    </row>
    <row r="108" spans="3:20">
      <c r="C108" s="1734"/>
      <c r="D108" s="1734"/>
      <c r="E108" s="1734"/>
      <c r="F108" s="1734"/>
    </row>
    <row r="109" spans="3:20">
      <c r="C109" s="1732"/>
      <c r="D109" s="1732"/>
      <c r="E109" s="1732"/>
      <c r="F109" s="1732"/>
    </row>
    <row r="110" spans="3:20">
      <c r="C110" s="1732"/>
      <c r="D110" s="1732"/>
      <c r="E110" s="1732"/>
      <c r="F110" s="1732"/>
    </row>
  </sheetData>
  <customSheetViews>
    <customSheetView guid="{074EB09C-6289-46D7-9513-012B68BCA7BF}" showGridLines="0" fitToPage="1">
      <pane xSplit="1" ySplit="1" topLeftCell="B2" activePane="bottomRight" state="frozen"/>
      <selection pane="bottomRight" activeCell="D24" sqref="D24:E24"/>
      <pageMargins left="0.23" right="0.3" top="0.37" bottom="0.43" header="0.3" footer="0.3"/>
      <pageSetup paperSize="17" scale="66" orientation="landscape" r:id="rId1"/>
    </customSheetView>
    <customSheetView guid="{D9EFFE19-D14B-4C6F-BDF4-FF696F73968D}" showGridLines="0" fitToPage="1">
      <pane xSplit="1" ySplit="1" topLeftCell="B5" activePane="bottomRight" state="frozen"/>
      <selection pane="bottomRight" activeCell="H59" sqref="H59"/>
      <pageMargins left="0.23" right="0.3" top="0.37" bottom="0.43" header="0.3" footer="0.3"/>
      <pageSetup paperSize="17" scale="66" orientation="landscape" r:id="rId2"/>
    </customSheetView>
  </customSheetViews>
  <mergeCells count="6">
    <mergeCell ref="J11:M11"/>
    <mergeCell ref="N11:P11"/>
    <mergeCell ref="Q11:R11"/>
    <mergeCell ref="J12:L12"/>
    <mergeCell ref="J10:M10"/>
    <mergeCell ref="N10:O10"/>
  </mergeCells>
  <pageMargins left="0.23" right="0.3" top="0.37" bottom="0.43" header="0.3" footer="0.3"/>
  <pageSetup paperSize="17" scale="66" orientation="landscape" r:id="rId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59999389629810485"/>
    <pageSetUpPr fitToPage="1"/>
  </sheetPr>
  <dimension ref="A1:T67"/>
  <sheetViews>
    <sheetView showGridLines="0" workbookViewId="0">
      <pane xSplit="1" ySplit="1" topLeftCell="B5" activePane="bottomRight" state="frozen"/>
      <selection pane="topRight" activeCell="B1" sqref="B1"/>
      <selection pane="bottomLeft" activeCell="A2" sqref="A2"/>
      <selection pane="bottomRight" activeCell="B8" sqref="B8"/>
    </sheetView>
  </sheetViews>
  <sheetFormatPr defaultRowHeight="12.75"/>
  <cols>
    <col min="1" max="1" width="18.140625" style="1164" customWidth="1"/>
    <col min="2" max="2" width="15.42578125" style="1866" customWidth="1"/>
    <col min="3" max="3" width="26.5703125" customWidth="1"/>
    <col min="4" max="4" width="18.7109375" customWidth="1"/>
    <col min="5" max="7" width="19.5703125" customWidth="1"/>
    <col min="8" max="8" width="14.140625" customWidth="1"/>
    <col min="9" max="9" width="15.85546875" customWidth="1"/>
    <col min="10" max="10" width="12.85546875" customWidth="1"/>
    <col min="11" max="11" width="10.85546875" customWidth="1"/>
    <col min="12" max="12" width="13.85546875" customWidth="1"/>
    <col min="13" max="13" width="15.85546875" customWidth="1"/>
    <col min="14" max="15" width="14" customWidth="1"/>
    <col min="16" max="17" width="16.85546875" customWidth="1"/>
    <col min="18" max="18" width="19.28515625" customWidth="1"/>
  </cols>
  <sheetData>
    <row r="1" spans="1:19" ht="56.25" customHeight="1">
      <c r="C1" s="1301"/>
      <c r="D1" s="1831" t="s">
        <v>349</v>
      </c>
      <c r="E1" s="1824" t="s">
        <v>6</v>
      </c>
      <c r="F1" s="1824">
        <v>18230482</v>
      </c>
      <c r="G1" s="1812" t="s">
        <v>5</v>
      </c>
      <c r="J1" s="555"/>
      <c r="K1" s="553"/>
      <c r="L1" s="553"/>
      <c r="M1" s="1831" t="s">
        <v>349</v>
      </c>
      <c r="N1" s="1824" t="s">
        <v>6</v>
      </c>
      <c r="O1" s="1824">
        <v>18230482</v>
      </c>
      <c r="P1" s="1812" t="s">
        <v>5</v>
      </c>
      <c r="Q1" s="553"/>
      <c r="R1" s="553"/>
    </row>
    <row r="2" spans="1:19" ht="16.5" customHeight="1" thickBot="1">
      <c r="C2" s="555"/>
      <c r="D2" s="1226"/>
      <c r="E2" s="553"/>
      <c r="F2" s="553"/>
      <c r="G2" s="553"/>
      <c r="H2" s="1576" t="s">
        <v>674</v>
      </c>
      <c r="I2" s="553"/>
      <c r="J2" s="553"/>
      <c r="K2" s="553"/>
      <c r="L2" s="553"/>
      <c r="M2" s="553"/>
      <c r="N2" s="553"/>
      <c r="O2" s="553"/>
      <c r="P2" s="553"/>
      <c r="Q2" s="553"/>
      <c r="R2" s="1869"/>
    </row>
    <row r="3" spans="1:19" ht="26.25" thickBot="1">
      <c r="A3" s="1844" t="s">
        <v>507</v>
      </c>
      <c r="B3" s="1808"/>
      <c r="E3" s="553"/>
      <c r="F3" s="553"/>
      <c r="G3" s="553"/>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2196" t="s">
        <v>24</v>
      </c>
      <c r="B4" s="1808"/>
      <c r="C4" s="558"/>
      <c r="D4" s="1455"/>
      <c r="E4" s="553"/>
      <c r="F4" s="553"/>
      <c r="G4" s="1704" t="s">
        <v>668</v>
      </c>
      <c r="H4" s="2003">
        <v>15215</v>
      </c>
      <c r="I4" s="2002">
        <v>0</v>
      </c>
      <c r="J4" s="2002">
        <v>10757</v>
      </c>
      <c r="K4" s="2002">
        <v>27280</v>
      </c>
      <c r="L4" s="2002">
        <v>0</v>
      </c>
      <c r="M4" s="2002">
        <v>2175</v>
      </c>
      <c r="N4" s="2002">
        <v>24795</v>
      </c>
      <c r="O4" s="2002">
        <v>0</v>
      </c>
      <c r="P4" s="2002">
        <v>0</v>
      </c>
      <c r="Q4" s="2002">
        <v>0</v>
      </c>
      <c r="R4" s="2000">
        <v>80222</v>
      </c>
      <c r="S4" s="1998"/>
    </row>
    <row r="5" spans="1:19" ht="15.75">
      <c r="A5" s="1823" t="s">
        <v>6</v>
      </c>
      <c r="B5" s="1823"/>
      <c r="C5" s="555"/>
      <c r="D5" s="553"/>
      <c r="E5" s="553"/>
      <c r="F5" s="553"/>
      <c r="G5" s="555">
        <v>2016</v>
      </c>
      <c r="H5" s="1582">
        <f>D15</f>
        <v>16268.87</v>
      </c>
      <c r="I5" s="1549">
        <f>D21</f>
        <v>13065</v>
      </c>
      <c r="J5" s="1549">
        <f>D27</f>
        <v>19565.691290000002</v>
      </c>
      <c r="K5" s="1549">
        <f>D34</f>
        <v>13000</v>
      </c>
      <c r="L5" s="1549">
        <f>D40</f>
        <v>0</v>
      </c>
      <c r="M5" s="1549">
        <f>D46</f>
        <v>2610</v>
      </c>
      <c r="N5" s="1549">
        <f>D52</f>
        <v>23920</v>
      </c>
      <c r="O5" s="1549">
        <f>D58</f>
        <v>0</v>
      </c>
      <c r="P5" s="1549">
        <v>0</v>
      </c>
      <c r="Q5" s="1549">
        <v>0</v>
      </c>
      <c r="R5" s="2001">
        <f>SUM(H5:Q5)</f>
        <v>88429.561290000012</v>
      </c>
      <c r="S5" s="1999"/>
    </row>
    <row r="6" spans="1:19" ht="16.5" thickBot="1">
      <c r="A6" s="1823">
        <v>18230482</v>
      </c>
      <c r="B6" s="1823"/>
      <c r="C6" s="553"/>
      <c r="D6" s="555"/>
      <c r="E6" s="553"/>
      <c r="F6" s="553"/>
      <c r="G6" s="555">
        <v>2017</v>
      </c>
      <c r="H6" s="57">
        <f>E15</f>
        <v>16675.59175</v>
      </c>
      <c r="I6" s="1990">
        <f>E21</f>
        <v>19500</v>
      </c>
      <c r="J6" s="1989">
        <f>E27</f>
        <v>24599.402390000003</v>
      </c>
      <c r="K6" s="58">
        <f>E34</f>
        <v>13000</v>
      </c>
      <c r="L6" s="58">
        <f>E40</f>
        <v>0</v>
      </c>
      <c r="M6" s="58">
        <f>E46</f>
        <v>2610</v>
      </c>
      <c r="N6" s="58">
        <f>E52</f>
        <v>23920</v>
      </c>
      <c r="O6" s="58">
        <f>E58</f>
        <v>0</v>
      </c>
      <c r="P6" s="58">
        <v>0</v>
      </c>
      <c r="Q6" s="58">
        <v>0</v>
      </c>
      <c r="R6" s="1997">
        <f>SUM(H6:Q6)</f>
        <v>100304.99414</v>
      </c>
      <c r="S6" s="1996"/>
    </row>
    <row r="7" spans="1:19" ht="16.5" thickBot="1">
      <c r="A7" s="1808" t="s">
        <v>5</v>
      </c>
      <c r="B7" s="1808"/>
      <c r="C7" s="1805"/>
      <c r="D7" s="1228"/>
      <c r="E7" s="1805"/>
      <c r="F7" s="1805"/>
      <c r="G7" s="1745" t="s">
        <v>23</v>
      </c>
      <c r="H7" s="1564">
        <f t="shared" ref="H7:Q7" si="0">SUM(H5:H6)</f>
        <v>32944.461750000002</v>
      </c>
      <c r="I7" s="1991">
        <f t="shared" si="0"/>
        <v>32565</v>
      </c>
      <c r="J7" s="1992">
        <f t="shared" si="0"/>
        <v>44165.093680000005</v>
      </c>
      <c r="K7" s="1993">
        <f>SUM(K5:K6)</f>
        <v>26000</v>
      </c>
      <c r="L7" s="1991">
        <f t="shared" si="0"/>
        <v>0</v>
      </c>
      <c r="M7" s="1992">
        <f t="shared" si="0"/>
        <v>5220</v>
      </c>
      <c r="N7" s="1991">
        <f t="shared" si="0"/>
        <v>47840</v>
      </c>
      <c r="O7" s="1992">
        <f t="shared" si="0"/>
        <v>0</v>
      </c>
      <c r="P7" s="1993">
        <f t="shared" si="0"/>
        <v>0</v>
      </c>
      <c r="Q7" s="1991">
        <f t="shared" si="0"/>
        <v>0</v>
      </c>
      <c r="R7" s="1993">
        <f>SUM(R5:R6)</f>
        <v>188734.55543000001</v>
      </c>
      <c r="S7" s="1994"/>
    </row>
    <row r="8" spans="1:19" ht="15.75">
      <c r="B8" s="1808"/>
      <c r="C8" s="1805"/>
      <c r="D8" s="1228"/>
      <c r="E8" s="1805"/>
      <c r="F8" s="1805"/>
      <c r="Q8" s="655"/>
      <c r="R8" s="25"/>
    </row>
    <row r="9" spans="1:19" s="650" customFormat="1" ht="15.75">
      <c r="A9" s="1808"/>
      <c r="B9" s="1808"/>
      <c r="C9" s="1805"/>
      <c r="D9" s="1228"/>
      <c r="E9" s="1805"/>
      <c r="F9" s="1805"/>
      <c r="Q9" s="655"/>
      <c r="R9" s="25"/>
    </row>
    <row r="10" spans="1:19">
      <c r="A10" s="1808"/>
      <c r="B10" s="1808"/>
      <c r="C10" s="1915" t="s">
        <v>329</v>
      </c>
      <c r="D10" s="1915"/>
      <c r="E10" s="1915"/>
      <c r="F10" s="1915"/>
      <c r="H10" s="553"/>
      <c r="I10" s="553"/>
      <c r="J10" s="3635"/>
      <c r="K10" s="3635"/>
      <c r="L10" s="3635"/>
      <c r="M10" s="3635"/>
      <c r="N10" s="3636"/>
      <c r="O10" s="3636"/>
      <c r="P10" s="1744"/>
      <c r="Q10" s="1744"/>
      <c r="R10" s="1744"/>
    </row>
    <row r="11" spans="1:19" ht="15.75">
      <c r="A11" s="1808"/>
      <c r="B11" s="1808"/>
      <c r="C11" s="1866"/>
      <c r="D11" s="1866"/>
      <c r="E11" s="1867"/>
      <c r="F11" s="1866"/>
      <c r="H11" s="553"/>
      <c r="I11" s="553"/>
      <c r="J11" s="3634"/>
      <c r="K11" s="3634"/>
      <c r="L11" s="3634"/>
      <c r="M11" s="3634"/>
      <c r="N11" s="3634"/>
      <c r="O11" s="3634"/>
      <c r="P11" s="3634"/>
      <c r="Q11" s="3634"/>
      <c r="R11" s="3634"/>
    </row>
    <row r="12" spans="1:19">
      <c r="C12" s="1887" t="s">
        <v>314</v>
      </c>
      <c r="D12" s="1924">
        <f>D15+D21+D27+D34+D40+D46+D52+D58</f>
        <v>88429.561290000012</v>
      </c>
      <c r="E12" s="1948">
        <f>E15+E21+E27+E34+E40+E46+E52+E58</f>
        <v>100304.99414</v>
      </c>
      <c r="F12" s="1924">
        <f>D12+E12</f>
        <v>188734.55543000001</v>
      </c>
      <c r="H12" s="553"/>
      <c r="I12" s="556"/>
      <c r="J12" s="1744"/>
      <c r="K12" s="1744"/>
      <c r="L12" s="1744"/>
      <c r="M12" s="1728"/>
      <c r="N12" s="1744"/>
      <c r="O12" s="1744"/>
      <c r="P12" s="1743"/>
      <c r="Q12" s="1727"/>
      <c r="R12" s="1727"/>
    </row>
    <row r="13" spans="1:19">
      <c r="C13" s="1947"/>
      <c r="D13" s="1866"/>
      <c r="E13" s="1787"/>
      <c r="F13" s="1866"/>
      <c r="H13" s="553"/>
      <c r="I13" s="556"/>
      <c r="J13" s="1744"/>
      <c r="K13" s="1744"/>
      <c r="L13" s="1744"/>
      <c r="M13" s="1728"/>
      <c r="N13" s="1744"/>
      <c r="O13" s="1744"/>
      <c r="P13" s="1743"/>
      <c r="Q13" s="1727"/>
      <c r="R13" s="1727"/>
    </row>
    <row r="14" spans="1:19" ht="15.75">
      <c r="C14" s="1888" t="s">
        <v>45</v>
      </c>
      <c r="D14" s="1969">
        <v>2016</v>
      </c>
      <c r="E14" s="1970">
        <v>2017</v>
      </c>
      <c r="F14" s="1950" t="s">
        <v>23</v>
      </c>
      <c r="H14" s="553"/>
      <c r="I14" s="556"/>
      <c r="J14" s="1744"/>
      <c r="K14" s="1744"/>
      <c r="L14" s="1744"/>
      <c r="M14" s="1728"/>
      <c r="N14" s="1744"/>
      <c r="O14" s="1744"/>
      <c r="P14" s="1743"/>
      <c r="Q14" s="1727"/>
      <c r="R14" s="1727"/>
    </row>
    <row r="15" spans="1:19">
      <c r="B15" s="1886" t="s">
        <v>312</v>
      </c>
      <c r="C15" s="1910" t="s">
        <v>46</v>
      </c>
      <c r="D15" s="1911">
        <f>SUM(D16:D19)</f>
        <v>16268.87</v>
      </c>
      <c r="E15" s="1926">
        <f>SUM(E16:E19)</f>
        <v>16675.59175</v>
      </c>
      <c r="F15" s="1924">
        <f t="shared" ref="F15:F61" si="1">SUM(D15:E15)</f>
        <v>32944.461750000002</v>
      </c>
      <c r="H15" s="553"/>
      <c r="I15" s="556"/>
      <c r="J15" s="1744"/>
      <c r="K15" s="1744"/>
      <c r="L15" s="1744"/>
      <c r="M15" s="1728"/>
      <c r="N15" s="1744"/>
      <c r="O15" s="1744"/>
      <c r="P15" s="1743"/>
      <c r="Q15" s="1727"/>
      <c r="R15" s="1727"/>
    </row>
    <row r="16" spans="1:19">
      <c r="B16" s="2610">
        <v>0.22</v>
      </c>
      <c r="C16" s="2197" t="s">
        <v>794</v>
      </c>
      <c r="D16" s="2201">
        <v>16268.87</v>
      </c>
      <c r="E16" s="2200">
        <f>D16*1.025</f>
        <v>16675.59175</v>
      </c>
      <c r="F16" s="1879">
        <f t="shared" si="1"/>
        <v>32944.461750000002</v>
      </c>
      <c r="H16" s="553"/>
      <c r="I16" s="556"/>
      <c r="J16" s="1744"/>
      <c r="K16" s="1744"/>
      <c r="L16" s="1744"/>
      <c r="M16" s="1728"/>
      <c r="N16" s="1744"/>
      <c r="O16" s="1744"/>
      <c r="P16" s="1743"/>
      <c r="Q16" s="1727"/>
      <c r="R16" s="1727"/>
    </row>
    <row r="17" spans="2:18">
      <c r="B17" s="1885"/>
      <c r="C17" s="2154"/>
      <c r="D17" s="1905"/>
      <c r="E17" s="1904"/>
      <c r="F17" s="1891">
        <f t="shared" si="1"/>
        <v>0</v>
      </c>
      <c r="H17" s="553"/>
      <c r="I17" s="556"/>
      <c r="J17" s="1744"/>
      <c r="K17" s="1744"/>
      <c r="L17" s="1744"/>
      <c r="M17" s="1728"/>
      <c r="N17" s="1744"/>
      <c r="O17" s="1744"/>
      <c r="P17" s="1743"/>
      <c r="Q17" s="1727"/>
      <c r="R17" s="1727"/>
    </row>
    <row r="18" spans="2:18">
      <c r="B18" s="1885"/>
      <c r="C18" s="2154"/>
      <c r="D18" s="1905"/>
      <c r="E18" s="1904"/>
      <c r="F18" s="1891">
        <f t="shared" si="1"/>
        <v>0</v>
      </c>
      <c r="H18" s="553"/>
      <c r="I18" s="556"/>
      <c r="J18" s="1744"/>
      <c r="K18" s="1744"/>
      <c r="L18" s="1744"/>
      <c r="M18" s="1728"/>
      <c r="N18" s="1744"/>
      <c r="O18" s="1744"/>
      <c r="P18" s="1743"/>
      <c r="Q18" s="1727"/>
      <c r="R18" s="1727"/>
    </row>
    <row r="19" spans="2:18">
      <c r="B19" s="1885"/>
      <c r="C19" s="2154"/>
      <c r="D19" s="1903"/>
      <c r="E19" s="1902"/>
      <c r="F19" s="1891">
        <f t="shared" si="1"/>
        <v>0</v>
      </c>
      <c r="H19" s="553"/>
      <c r="I19" s="556"/>
      <c r="J19" s="1744"/>
      <c r="K19" s="1744"/>
      <c r="L19" s="1744"/>
      <c r="M19" s="1728"/>
      <c r="N19" s="1744"/>
      <c r="O19" s="1744"/>
      <c r="P19" s="1743"/>
      <c r="Q19" s="1727"/>
      <c r="R19" s="1727"/>
    </row>
    <row r="20" spans="2:18">
      <c r="B20" s="1908">
        <f>SUM(B16:B19)</f>
        <v>0.22</v>
      </c>
      <c r="C20" s="1952"/>
      <c r="D20" s="1954"/>
      <c r="E20" s="1955"/>
      <c r="F20" s="1957"/>
      <c r="H20" s="553"/>
      <c r="I20" s="556"/>
      <c r="J20" s="1744"/>
      <c r="K20" s="1744"/>
      <c r="L20" s="1744"/>
      <c r="M20" s="1728"/>
      <c r="N20" s="1744"/>
      <c r="O20" s="1744"/>
      <c r="P20" s="1743"/>
      <c r="Q20" s="1727"/>
      <c r="R20" s="1727"/>
    </row>
    <row r="21" spans="2:18">
      <c r="C21" s="1910" t="s">
        <v>47</v>
      </c>
      <c r="D21" s="1911">
        <f>SUM(D22:D25)</f>
        <v>13065</v>
      </c>
      <c r="E21" s="1926">
        <f>SUM(E22:E25)</f>
        <v>19500</v>
      </c>
      <c r="F21" s="1924">
        <f t="shared" si="1"/>
        <v>32565</v>
      </c>
      <c r="H21" s="553"/>
      <c r="I21" s="556"/>
      <c r="J21" s="1744"/>
      <c r="K21" s="1744"/>
      <c r="L21" s="1744"/>
      <c r="M21" s="1728"/>
      <c r="N21" s="1744"/>
      <c r="O21" s="1744"/>
      <c r="P21" s="1743"/>
      <c r="Q21" s="1727"/>
      <c r="R21" s="1727"/>
    </row>
    <row r="22" spans="2:18">
      <c r="C22" s="2197" t="s">
        <v>872</v>
      </c>
      <c r="D22" s="2202">
        <v>4355</v>
      </c>
      <c r="E22" s="2203">
        <v>6500</v>
      </c>
      <c r="F22" s="1879">
        <f t="shared" si="1"/>
        <v>10855</v>
      </c>
      <c r="H22" s="554"/>
      <c r="I22" s="556"/>
      <c r="J22" s="1744"/>
      <c r="K22" s="1744"/>
      <c r="L22" s="1744"/>
      <c r="M22" s="1728"/>
      <c r="N22" s="1744"/>
      <c r="O22" s="1744"/>
      <c r="P22" s="1743"/>
      <c r="Q22" s="1727"/>
      <c r="R22" s="1727"/>
    </row>
    <row r="23" spans="2:18">
      <c r="C23" s="2197" t="s">
        <v>873</v>
      </c>
      <c r="D23" s="2202">
        <v>8710</v>
      </c>
      <c r="E23" s="2203">
        <v>13000</v>
      </c>
      <c r="F23" s="1891">
        <f t="shared" si="1"/>
        <v>21710</v>
      </c>
      <c r="H23" s="553"/>
      <c r="I23" s="556"/>
      <c r="J23" s="1744"/>
      <c r="K23" s="1744"/>
      <c r="L23" s="1744"/>
      <c r="M23" s="1728"/>
      <c r="N23" s="1744"/>
      <c r="O23" s="1744"/>
      <c r="P23" s="1743"/>
      <c r="Q23" s="1727"/>
      <c r="R23" s="1727"/>
    </row>
    <row r="24" spans="2:18">
      <c r="C24" s="1876"/>
      <c r="D24" s="1898"/>
      <c r="E24" s="1897"/>
      <c r="F24" s="1891">
        <f t="shared" si="1"/>
        <v>0</v>
      </c>
      <c r="H24" s="553"/>
      <c r="I24" s="556"/>
      <c r="J24" s="1744"/>
      <c r="K24" s="1744"/>
      <c r="L24" s="1744"/>
      <c r="M24" s="1728"/>
      <c r="N24" s="1744"/>
      <c r="O24" s="1744"/>
      <c r="P24" s="1743"/>
      <c r="Q24" s="1727"/>
      <c r="R24" s="1727"/>
    </row>
    <row r="25" spans="2:18">
      <c r="C25" s="1876"/>
      <c r="D25" s="1896"/>
      <c r="E25" s="1899"/>
      <c r="F25" s="1891">
        <f t="shared" si="1"/>
        <v>0</v>
      </c>
      <c r="H25" s="553"/>
      <c r="I25" s="556"/>
      <c r="J25" s="1744"/>
      <c r="K25" s="1744"/>
      <c r="L25" s="1744"/>
      <c r="M25" s="1728"/>
      <c r="N25" s="1744"/>
      <c r="O25" s="1744"/>
      <c r="P25" s="1743"/>
      <c r="Q25" s="1727"/>
      <c r="R25" s="1727"/>
    </row>
    <row r="26" spans="2:18">
      <c r="C26" s="1877"/>
      <c r="D26" s="1892"/>
      <c r="E26" s="1884"/>
      <c r="F26" s="1892"/>
      <c r="H26" s="553"/>
      <c r="I26" s="556"/>
      <c r="J26" s="1744"/>
      <c r="K26" s="1744"/>
      <c r="L26" s="1744"/>
      <c r="M26" s="1728"/>
      <c r="N26" s="1744"/>
      <c r="O26" s="1744"/>
      <c r="P26" s="1743"/>
      <c r="Q26" s="1727"/>
      <c r="R26" s="1727"/>
    </row>
    <row r="27" spans="2:18">
      <c r="C27" s="1910" t="s">
        <v>48</v>
      </c>
      <c r="D27" s="1911">
        <f>SUM(D29:D32)</f>
        <v>19565.691290000002</v>
      </c>
      <c r="E27" s="1926">
        <f>SUM(E29:E32)</f>
        <v>24599.402390000003</v>
      </c>
      <c r="F27" s="1924">
        <f t="shared" si="1"/>
        <v>44165.093680000005</v>
      </c>
      <c r="H27" s="553"/>
      <c r="I27" s="556"/>
      <c r="J27" s="1744"/>
      <c r="K27" s="1744"/>
      <c r="L27" s="1744"/>
      <c r="M27" s="1728"/>
      <c r="N27" s="1744"/>
      <c r="O27" s="1744"/>
      <c r="P27" s="1743"/>
      <c r="Q27" s="1727"/>
      <c r="R27" s="1727"/>
    </row>
    <row r="28" spans="2:18">
      <c r="C28" s="1909" t="s">
        <v>315</v>
      </c>
      <c r="D28" s="1912">
        <v>0.66700000000000004</v>
      </c>
      <c r="E28" s="1913">
        <v>0.68</v>
      </c>
      <c r="F28" s="1949"/>
      <c r="H28" s="553"/>
      <c r="I28" s="556"/>
      <c r="J28" s="1744"/>
      <c r="K28" s="1744"/>
      <c r="L28" s="1744"/>
      <c r="M28" s="1728"/>
      <c r="N28" s="1744"/>
      <c r="O28" s="1744"/>
      <c r="P28" s="1743"/>
      <c r="Q28" s="1727"/>
      <c r="R28" s="1727"/>
    </row>
    <row r="29" spans="2:18">
      <c r="C29" s="1876" t="s">
        <v>778</v>
      </c>
      <c r="D29" s="1971">
        <f>D15*D28</f>
        <v>10851.336290000001</v>
      </c>
      <c r="E29" s="1972">
        <f>E15*E28</f>
        <v>11339.402390000001</v>
      </c>
      <c r="F29" s="1891">
        <f t="shared" si="1"/>
        <v>22190.738680000002</v>
      </c>
      <c r="H29" s="553"/>
      <c r="I29" s="556"/>
      <c r="J29" s="1744"/>
      <c r="K29" s="1744"/>
      <c r="L29" s="1744"/>
      <c r="M29" s="1728"/>
      <c r="N29" s="1744"/>
      <c r="O29" s="1744"/>
      <c r="P29" s="1743"/>
      <c r="Q29" s="1727"/>
      <c r="R29" s="1727"/>
    </row>
    <row r="30" spans="2:18">
      <c r="C30" s="1876" t="s">
        <v>779</v>
      </c>
      <c r="D30" s="1973">
        <f>D21*D28</f>
        <v>8714.3550000000014</v>
      </c>
      <c r="E30" s="1972">
        <f>E21*E28</f>
        <v>13260.000000000002</v>
      </c>
      <c r="F30" s="1891">
        <f t="shared" si="1"/>
        <v>21974.355000000003</v>
      </c>
      <c r="H30" s="553"/>
      <c r="I30" s="556"/>
      <c r="J30" s="1744"/>
      <c r="K30" s="1744"/>
      <c r="L30" s="1744"/>
      <c r="M30" s="1728"/>
      <c r="N30" s="1744"/>
      <c r="O30" s="1744"/>
      <c r="P30" s="1743"/>
      <c r="Q30" s="1727"/>
      <c r="R30" s="1727"/>
    </row>
    <row r="31" spans="2:18">
      <c r="C31" s="1901"/>
      <c r="D31" s="1898"/>
      <c r="E31" s="1897"/>
      <c r="F31" s="1889">
        <f t="shared" si="1"/>
        <v>0</v>
      </c>
      <c r="H31" s="553"/>
      <c r="I31" s="556"/>
      <c r="J31" s="1744"/>
      <c r="K31" s="1744"/>
      <c r="L31" s="1744"/>
      <c r="M31" s="1728"/>
      <c r="N31" s="1744"/>
      <c r="O31" s="1744"/>
      <c r="P31" s="1743"/>
      <c r="Q31" s="1727"/>
      <c r="R31" s="1727"/>
    </row>
    <row r="32" spans="2:18">
      <c r="C32" s="1901"/>
      <c r="D32" s="1896"/>
      <c r="E32" s="1899"/>
      <c r="F32" s="1890">
        <f t="shared" si="1"/>
        <v>0</v>
      </c>
      <c r="H32" s="553"/>
      <c r="I32" s="556"/>
      <c r="J32" s="1744"/>
      <c r="K32" s="1744"/>
      <c r="L32" s="1744"/>
      <c r="M32" s="1728"/>
      <c r="N32" s="1744"/>
      <c r="O32" s="1744"/>
      <c r="P32" s="1743"/>
      <c r="Q32" s="1727"/>
      <c r="R32" s="1727"/>
    </row>
    <row r="33" spans="1:18">
      <c r="A33" s="2177" t="s">
        <v>507</v>
      </c>
      <c r="C33" s="1952"/>
      <c r="D33" s="1958"/>
      <c r="E33" s="1955"/>
      <c r="F33" s="1958"/>
      <c r="H33" s="553"/>
      <c r="I33" s="556"/>
      <c r="J33" s="1744"/>
      <c r="K33" s="1744"/>
      <c r="L33" s="1744"/>
      <c r="M33" s="1728"/>
      <c r="N33" s="1744"/>
      <c r="O33" s="1744"/>
      <c r="P33" s="1743"/>
      <c r="Q33" s="1727"/>
      <c r="R33" s="1727"/>
    </row>
    <row r="34" spans="1:18">
      <c r="A34" s="1844" t="s">
        <v>24</v>
      </c>
      <c r="C34" s="1910" t="s">
        <v>49</v>
      </c>
      <c r="D34" s="1911">
        <f>SUM(D35:D38)</f>
        <v>13000</v>
      </c>
      <c r="E34" s="1926">
        <f>SUM(E35:E38)</f>
        <v>13000</v>
      </c>
      <c r="F34" s="1924">
        <f t="shared" si="1"/>
        <v>26000</v>
      </c>
      <c r="H34" s="553"/>
      <c r="I34" s="556"/>
      <c r="J34" s="1744"/>
      <c r="K34" s="1744"/>
      <c r="L34" s="1744"/>
      <c r="M34" s="1728"/>
      <c r="N34" s="1744"/>
      <c r="O34" s="1744"/>
      <c r="P34" s="1743"/>
      <c r="Q34" s="1727"/>
      <c r="R34" s="1727"/>
    </row>
    <row r="35" spans="1:18">
      <c r="A35" s="1823" t="s">
        <v>6</v>
      </c>
      <c r="C35" s="2197" t="s">
        <v>874</v>
      </c>
      <c r="D35" s="2202">
        <v>13000</v>
      </c>
      <c r="E35" s="2203">
        <v>13000</v>
      </c>
      <c r="F35" s="1891">
        <f t="shared" si="1"/>
        <v>26000</v>
      </c>
      <c r="H35" s="553"/>
      <c r="I35" s="556"/>
      <c r="J35" s="1744"/>
      <c r="K35" s="1744"/>
      <c r="L35" s="1744"/>
      <c r="M35" s="1728"/>
      <c r="N35" s="1744"/>
      <c r="O35" s="1744"/>
      <c r="P35" s="1743"/>
      <c r="Q35" s="1727"/>
      <c r="R35" s="1727"/>
    </row>
    <row r="36" spans="1:18">
      <c r="A36" s="1823">
        <v>18230482</v>
      </c>
      <c r="C36" s="1876"/>
      <c r="D36" s="1971"/>
      <c r="E36" s="1988"/>
      <c r="F36" s="1891">
        <f t="shared" si="1"/>
        <v>0</v>
      </c>
      <c r="H36" s="553"/>
      <c r="I36" s="556"/>
      <c r="J36" s="1744"/>
      <c r="K36" s="1744"/>
      <c r="L36" s="1744"/>
      <c r="M36" s="1728"/>
      <c r="N36" s="1744"/>
      <c r="O36" s="1744"/>
      <c r="P36" s="1743"/>
      <c r="Q36" s="1727"/>
      <c r="R36" s="1727"/>
    </row>
    <row r="37" spans="1:18">
      <c r="A37" s="1808" t="s">
        <v>5</v>
      </c>
      <c r="C37" s="1876"/>
      <c r="D37" s="1971"/>
      <c r="E37" s="1988"/>
      <c r="F37" s="1891">
        <f t="shared" si="1"/>
        <v>0</v>
      </c>
      <c r="H37" s="553"/>
      <c r="I37" s="556"/>
      <c r="J37" s="1744"/>
      <c r="K37" s="1744"/>
      <c r="L37" s="1729"/>
      <c r="M37" s="1728"/>
      <c r="N37" s="1744"/>
      <c r="O37" s="1744"/>
      <c r="P37" s="1743"/>
      <c r="Q37" s="1727"/>
      <c r="R37" s="1727"/>
    </row>
    <row r="38" spans="1:18">
      <c r="C38" s="1876"/>
      <c r="D38" s="1971"/>
      <c r="E38" s="1988"/>
      <c r="F38" s="1891">
        <f t="shared" si="1"/>
        <v>0</v>
      </c>
      <c r="H38" s="553"/>
      <c r="I38" s="556"/>
      <c r="J38" s="1744"/>
      <c r="K38" s="1744"/>
      <c r="L38" s="1729"/>
      <c r="M38" s="1728"/>
      <c r="N38" s="1744"/>
      <c r="O38" s="1744"/>
      <c r="P38" s="1743"/>
      <c r="Q38" s="1727"/>
      <c r="R38" s="1727"/>
    </row>
    <row r="39" spans="1:18">
      <c r="C39" s="1952"/>
      <c r="D39" s="1958"/>
      <c r="E39" s="1955"/>
      <c r="F39" s="1958"/>
      <c r="H39" s="553"/>
      <c r="I39" s="556"/>
      <c r="J39" s="1744"/>
      <c r="K39" s="1744"/>
      <c r="L39" s="1729"/>
      <c r="M39" s="1728"/>
      <c r="N39" s="1744"/>
      <c r="O39" s="1744"/>
      <c r="P39" s="1743"/>
      <c r="Q39" s="1727"/>
      <c r="R39" s="1727"/>
    </row>
    <row r="40" spans="1:18">
      <c r="C40" s="2106" t="s">
        <v>506</v>
      </c>
      <c r="D40" s="1911">
        <f>SUM(D41:D44)</f>
        <v>0</v>
      </c>
      <c r="E40" s="1926">
        <f>SUM(E41:E44)</f>
        <v>0</v>
      </c>
      <c r="F40" s="1924">
        <f t="shared" si="1"/>
        <v>0</v>
      </c>
      <c r="H40" s="553"/>
      <c r="I40" s="556"/>
      <c r="J40" s="1744"/>
      <c r="K40" s="1744"/>
      <c r="L40" s="1729"/>
      <c r="M40" s="1728"/>
      <c r="N40" s="1744"/>
      <c r="O40" s="1744"/>
      <c r="P40" s="1743"/>
      <c r="Q40" s="1727"/>
      <c r="R40" s="1727"/>
    </row>
    <row r="41" spans="1:18">
      <c r="C41" s="1876"/>
      <c r="D41" s="1971"/>
      <c r="E41" s="1988"/>
      <c r="F41" s="1891">
        <f t="shared" si="1"/>
        <v>0</v>
      </c>
      <c r="H41" s="553"/>
      <c r="I41" s="556"/>
      <c r="J41" s="1744"/>
      <c r="K41" s="1744"/>
      <c r="L41" s="1729"/>
      <c r="M41" s="1728"/>
      <c r="N41" s="1744"/>
      <c r="O41" s="1744"/>
      <c r="P41" s="1743"/>
      <c r="Q41" s="1727"/>
      <c r="R41" s="1727"/>
    </row>
    <row r="42" spans="1:18">
      <c r="C42" s="1876"/>
      <c r="D42" s="1971"/>
      <c r="E42" s="1988"/>
      <c r="F42" s="1891">
        <f t="shared" si="1"/>
        <v>0</v>
      </c>
      <c r="H42" s="553"/>
      <c r="I42" s="556"/>
      <c r="J42" s="1744"/>
      <c r="K42" s="1744"/>
      <c r="L42" s="1729"/>
      <c r="M42" s="1728"/>
      <c r="N42" s="1744"/>
      <c r="O42" s="1744"/>
      <c r="P42" s="1743"/>
      <c r="Q42" s="1727"/>
      <c r="R42" s="1727"/>
    </row>
    <row r="43" spans="1:18">
      <c r="C43" s="1876"/>
      <c r="D43" s="1971"/>
      <c r="E43" s="1988"/>
      <c r="F43" s="1891">
        <f t="shared" si="1"/>
        <v>0</v>
      </c>
      <c r="H43" s="553"/>
      <c r="I43" s="556"/>
      <c r="J43" s="1744"/>
      <c r="K43" s="1744"/>
      <c r="L43" s="1729"/>
      <c r="M43" s="1728"/>
      <c r="N43" s="1744"/>
      <c r="O43" s="1744"/>
      <c r="P43" s="1743"/>
      <c r="Q43" s="1727"/>
      <c r="R43" s="1727"/>
    </row>
    <row r="44" spans="1:18">
      <c r="C44" s="1876"/>
      <c r="D44" s="1971"/>
      <c r="E44" s="1988"/>
      <c r="F44" s="1891">
        <f t="shared" si="1"/>
        <v>0</v>
      </c>
      <c r="H44" s="553"/>
      <c r="I44" s="556"/>
      <c r="J44" s="1744"/>
      <c r="K44" s="1744"/>
      <c r="L44" s="1729"/>
      <c r="M44" s="1728"/>
      <c r="N44" s="1744"/>
      <c r="O44" s="1744"/>
      <c r="P44" s="1743"/>
      <c r="Q44" s="1727"/>
      <c r="R44" s="1727"/>
    </row>
    <row r="45" spans="1:18">
      <c r="C45" s="1952"/>
      <c r="D45" s="1958"/>
      <c r="E45" s="1955"/>
      <c r="F45" s="1958"/>
      <c r="H45" s="553"/>
      <c r="I45" s="556"/>
      <c r="J45" s="1744"/>
      <c r="K45" s="1744"/>
      <c r="L45" s="1729"/>
      <c r="M45" s="1728"/>
      <c r="N45" s="1744"/>
      <c r="O45" s="1744"/>
      <c r="P45" s="1743"/>
      <c r="Q45" s="1727"/>
      <c r="R45" s="1727"/>
    </row>
    <row r="46" spans="1:18">
      <c r="C46" s="1910" t="s">
        <v>50</v>
      </c>
      <c r="D46" s="1911">
        <f>SUM(D47:D50)</f>
        <v>2610</v>
      </c>
      <c r="E46" s="1926">
        <f>SUM(E47:E50)</f>
        <v>2610</v>
      </c>
      <c r="F46" s="1924">
        <f t="shared" si="1"/>
        <v>5220</v>
      </c>
      <c r="H46" s="553"/>
      <c r="I46" s="556"/>
      <c r="J46" s="1744"/>
      <c r="K46" s="1744"/>
      <c r="L46" s="1729"/>
      <c r="M46" s="1728"/>
      <c r="N46" s="1744"/>
      <c r="O46" s="1744"/>
      <c r="P46" s="1743"/>
      <c r="Q46" s="1727"/>
      <c r="R46" s="1727"/>
    </row>
    <row r="47" spans="1:18">
      <c r="C47" s="2197" t="s">
        <v>875</v>
      </c>
      <c r="D47" s="2202">
        <v>1740</v>
      </c>
      <c r="E47" s="2203">
        <v>1740</v>
      </c>
      <c r="F47" s="1891">
        <f t="shared" si="1"/>
        <v>3480</v>
      </c>
      <c r="H47" s="553"/>
      <c r="I47" s="556"/>
      <c r="J47" s="1744"/>
      <c r="K47" s="1744"/>
      <c r="L47" s="1729"/>
      <c r="M47" s="1728"/>
      <c r="N47" s="1744"/>
      <c r="O47" s="1744"/>
      <c r="P47" s="1743"/>
      <c r="Q47" s="1727"/>
      <c r="R47" s="1727"/>
    </row>
    <row r="48" spans="1:18">
      <c r="C48" s="2197" t="s">
        <v>876</v>
      </c>
      <c r="D48" s="2202">
        <v>870</v>
      </c>
      <c r="E48" s="2203">
        <v>870</v>
      </c>
      <c r="F48" s="1891">
        <f t="shared" si="1"/>
        <v>1740</v>
      </c>
      <c r="H48" s="553"/>
      <c r="I48" s="556"/>
      <c r="J48" s="1744"/>
      <c r="K48" s="1744"/>
      <c r="L48" s="1729"/>
      <c r="M48" s="1728"/>
      <c r="N48" s="1744"/>
      <c r="O48" s="1744"/>
      <c r="P48" s="1743"/>
      <c r="Q48" s="1727"/>
      <c r="R48" s="1727"/>
    </row>
    <row r="49" spans="3:20">
      <c r="C49" s="1876"/>
      <c r="D49" s="1971"/>
      <c r="E49" s="1988"/>
      <c r="F49" s="1891">
        <f t="shared" si="1"/>
        <v>0</v>
      </c>
      <c r="H49" s="553"/>
      <c r="I49" s="553"/>
      <c r="J49" s="1744"/>
      <c r="K49" s="1744"/>
      <c r="L49" s="1744"/>
      <c r="M49" s="1728"/>
      <c r="N49" s="1744"/>
      <c r="O49" s="1744"/>
      <c r="P49" s="1743"/>
      <c r="Q49" s="1727"/>
      <c r="R49" s="1727"/>
      <c r="S49" s="553"/>
      <c r="T49" s="553"/>
    </row>
    <row r="50" spans="3:20">
      <c r="C50" s="1876"/>
      <c r="D50" s="1971"/>
      <c r="E50" s="1988"/>
      <c r="F50" s="1891">
        <f t="shared" si="1"/>
        <v>0</v>
      </c>
      <c r="H50" s="553"/>
      <c r="I50" s="553"/>
      <c r="J50" s="1744"/>
      <c r="K50" s="1744"/>
      <c r="L50" s="1744"/>
      <c r="M50" s="1728"/>
      <c r="N50" s="1744"/>
      <c r="O50" s="1744"/>
      <c r="P50" s="1743"/>
      <c r="Q50" s="1727"/>
      <c r="R50" s="1727"/>
      <c r="S50" s="553"/>
      <c r="T50" s="553"/>
    </row>
    <row r="51" spans="3:20">
      <c r="C51" s="1952"/>
      <c r="D51" s="1958"/>
      <c r="E51" s="1955"/>
      <c r="F51" s="1958"/>
      <c r="H51" s="553"/>
      <c r="I51" s="553"/>
      <c r="J51" s="1744"/>
      <c r="K51" s="1744"/>
      <c r="L51" s="1744"/>
      <c r="M51" s="1728"/>
      <c r="N51" s="1744"/>
      <c r="O51" s="1744"/>
      <c r="P51" s="1743"/>
      <c r="Q51" s="1727"/>
      <c r="R51" s="1727"/>
      <c r="S51" s="553"/>
      <c r="T51" s="553"/>
    </row>
    <row r="52" spans="3:20">
      <c r="C52" s="1910" t="s">
        <v>51</v>
      </c>
      <c r="D52" s="1911">
        <f>SUM(D53:D57)</f>
        <v>23920</v>
      </c>
      <c r="E52" s="1926">
        <f>SUM(E53:E57)</f>
        <v>23920</v>
      </c>
      <c r="F52" s="1924">
        <f>SUM(D52:E52)</f>
        <v>47840</v>
      </c>
      <c r="H52" s="557"/>
      <c r="I52" s="553"/>
      <c r="J52" s="1744"/>
      <c r="K52" s="1744"/>
      <c r="L52" s="1744"/>
      <c r="M52" s="1728"/>
      <c r="N52" s="1744"/>
      <c r="O52" s="1744"/>
      <c r="P52" s="1743"/>
      <c r="Q52" s="1727"/>
      <c r="R52" s="1727"/>
      <c r="S52" s="553"/>
      <c r="T52" s="553"/>
    </row>
    <row r="53" spans="3:20">
      <c r="C53" s="2197" t="s">
        <v>877</v>
      </c>
      <c r="D53" s="2202">
        <v>8700</v>
      </c>
      <c r="E53" s="2163">
        <v>8700</v>
      </c>
      <c r="F53" s="1891">
        <f t="shared" si="1"/>
        <v>17400</v>
      </c>
      <c r="H53" s="553"/>
      <c r="I53" s="553"/>
      <c r="J53" s="1744"/>
      <c r="K53" s="1744"/>
      <c r="L53" s="1744"/>
      <c r="M53" s="1728"/>
      <c r="N53" s="1744"/>
      <c r="O53" s="1744"/>
      <c r="P53" s="1743"/>
      <c r="Q53" s="1727"/>
      <c r="R53" s="1727"/>
      <c r="S53" s="553"/>
      <c r="T53" s="553"/>
    </row>
    <row r="54" spans="3:20">
      <c r="C54" s="2197" t="s">
        <v>878</v>
      </c>
      <c r="D54" s="2202">
        <v>4350</v>
      </c>
      <c r="E54" s="2163">
        <v>4350</v>
      </c>
      <c r="F54" s="1891">
        <f t="shared" si="1"/>
        <v>8700</v>
      </c>
      <c r="H54" s="553"/>
      <c r="I54" s="553"/>
      <c r="J54" s="1744"/>
      <c r="K54" s="1744"/>
      <c r="L54" s="1744"/>
      <c r="M54" s="1744"/>
      <c r="N54" s="1744"/>
      <c r="O54" s="1744"/>
      <c r="P54" s="1744"/>
      <c r="Q54" s="1746"/>
      <c r="R54" s="1746"/>
      <c r="S54" s="553"/>
      <c r="T54" s="553"/>
    </row>
    <row r="55" spans="3:20">
      <c r="C55" s="2197" t="s">
        <v>879</v>
      </c>
      <c r="D55" s="2202">
        <v>870</v>
      </c>
      <c r="E55" s="2163">
        <v>870</v>
      </c>
      <c r="F55" s="1891">
        <f t="shared" si="1"/>
        <v>1740</v>
      </c>
      <c r="H55" s="553"/>
      <c r="I55" s="553"/>
      <c r="J55" s="553"/>
      <c r="K55" s="553"/>
      <c r="L55" s="553"/>
      <c r="M55" s="553"/>
      <c r="N55" s="553"/>
      <c r="O55" s="553"/>
      <c r="P55" s="553"/>
      <c r="Q55" s="553"/>
      <c r="R55" s="553"/>
      <c r="S55" s="553"/>
      <c r="T55" s="553"/>
    </row>
    <row r="56" spans="3:20">
      <c r="C56" s="2197" t="s">
        <v>880</v>
      </c>
      <c r="D56" s="2202">
        <v>10000</v>
      </c>
      <c r="E56" s="2163">
        <v>10000</v>
      </c>
      <c r="F56" s="1891">
        <f t="shared" si="1"/>
        <v>20000</v>
      </c>
      <c r="H56" s="553"/>
      <c r="I56" s="553"/>
      <c r="J56" s="553"/>
      <c r="K56" s="553"/>
      <c r="L56" s="553"/>
      <c r="M56" s="553"/>
      <c r="N56" s="553"/>
      <c r="O56" s="553"/>
      <c r="P56" s="553"/>
      <c r="Q56" s="553"/>
      <c r="R56" s="553"/>
      <c r="S56" s="553"/>
      <c r="T56" s="553"/>
    </row>
    <row r="57" spans="3:20">
      <c r="C57" s="1952"/>
      <c r="D57" s="1958"/>
      <c r="E57" s="1955"/>
      <c r="F57" s="1958"/>
      <c r="H57" s="1739"/>
      <c r="I57" s="1738"/>
      <c r="J57" s="553"/>
      <c r="K57" s="553"/>
      <c r="L57" s="553"/>
      <c r="M57" s="553"/>
      <c r="N57" s="553"/>
      <c r="O57" s="553"/>
      <c r="P57" s="553"/>
      <c r="Q57" s="553"/>
      <c r="R57" s="553"/>
      <c r="S57" s="553"/>
      <c r="T57" s="553"/>
    </row>
    <row r="58" spans="3:20">
      <c r="C58" s="1910" t="s">
        <v>52</v>
      </c>
      <c r="D58" s="1911">
        <f>SUM(D59:D61)</f>
        <v>0</v>
      </c>
      <c r="E58" s="1926">
        <f>SUM(E59:E61)</f>
        <v>0</v>
      </c>
      <c r="F58" s="1924">
        <f t="shared" si="1"/>
        <v>0</v>
      </c>
      <c r="G58" s="553"/>
      <c r="H58" s="1224"/>
      <c r="I58" s="1224"/>
      <c r="J58" s="1227"/>
      <c r="K58" s="1227"/>
      <c r="L58" s="1227"/>
      <c r="M58" s="553"/>
      <c r="N58" s="553"/>
      <c r="O58" s="553"/>
      <c r="P58" s="553"/>
      <c r="Q58" s="553"/>
      <c r="R58" s="553"/>
      <c r="S58" s="553"/>
      <c r="T58" s="553"/>
    </row>
    <row r="59" spans="3:20">
      <c r="C59" s="1876"/>
      <c r="D59" s="1971"/>
      <c r="E59" s="1988"/>
      <c r="F59" s="1891">
        <f t="shared" si="1"/>
        <v>0</v>
      </c>
    </row>
    <row r="60" spans="3:20">
      <c r="C60" s="1876"/>
      <c r="D60" s="1971"/>
      <c r="E60" s="1988"/>
      <c r="F60" s="1891">
        <f t="shared" si="1"/>
        <v>0</v>
      </c>
    </row>
    <row r="61" spans="3:20">
      <c r="C61" s="1876"/>
      <c r="D61" s="1971"/>
      <c r="E61" s="1988"/>
      <c r="F61" s="1890">
        <f t="shared" si="1"/>
        <v>0</v>
      </c>
    </row>
    <row r="62" spans="3:20">
      <c r="C62" s="1876"/>
      <c r="D62" s="1971"/>
      <c r="E62" s="1988"/>
      <c r="F62" s="1891"/>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5" activePane="bottomRight" state="frozen"/>
      <selection pane="bottomRight" activeCell="J23" sqref="J23"/>
      <pageMargins left="0.2" right="0.31" top="0.35" bottom="0.46" header="0.3" footer="0.3"/>
      <pageSetup paperSize="17" scale="69" orientation="landscape" r:id="rId1"/>
    </customSheetView>
    <customSheetView guid="{D9EFFE19-D14B-4C6F-BDF4-FF696F73968D}" showGridLines="0" fitToPage="1">
      <pane xSplit="1" ySplit="1" topLeftCell="B2" activePane="bottomRight" state="frozen"/>
      <selection pane="bottomRight" activeCell="G61" sqref="G61"/>
      <pageMargins left="0.2" right="0.31" top="0.35" bottom="0.46" header="0.3" footer="0.3"/>
      <pageSetup paperSize="17" scale="69" orientation="landscape" r:id="rId2"/>
    </customSheetView>
  </customSheetViews>
  <mergeCells count="5">
    <mergeCell ref="J11:M11"/>
    <mergeCell ref="N11:P11"/>
    <mergeCell ref="Q11:R11"/>
    <mergeCell ref="J10:M10"/>
    <mergeCell ref="N10:O10"/>
  </mergeCells>
  <pageMargins left="0.2" right="0.31" top="0.35" bottom="0.46" header="0.3" footer="0.3"/>
  <pageSetup paperSize="17" scale="69" orientation="landscape" r:id="rId3"/>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7" tint="0.59999389629810485"/>
    <pageSetUpPr fitToPage="1"/>
  </sheetPr>
  <dimension ref="A1:T67"/>
  <sheetViews>
    <sheetView showGridLines="0" workbookViewId="0">
      <pane xSplit="1" ySplit="1" topLeftCell="B26" activePane="bottomRight" state="frozen"/>
      <selection pane="topRight" activeCell="B1" sqref="B1"/>
      <selection pane="bottomLeft" activeCell="A2" sqref="A2"/>
      <selection pane="bottomRight"/>
    </sheetView>
  </sheetViews>
  <sheetFormatPr defaultRowHeight="12.75"/>
  <cols>
    <col min="1" max="1" width="18.85546875" style="1164" customWidth="1"/>
    <col min="2" max="2" width="16.28515625" style="1866" customWidth="1"/>
    <col min="3" max="3" width="28.140625" customWidth="1"/>
    <col min="4" max="4" width="18.7109375" customWidth="1"/>
    <col min="5" max="7" width="18.42578125" customWidth="1"/>
    <col min="8" max="8" width="14.7109375" customWidth="1"/>
    <col min="9" max="9" width="15.85546875" customWidth="1"/>
    <col min="11" max="11" width="10.5703125" customWidth="1"/>
    <col min="12" max="12" width="15.140625" customWidth="1"/>
    <col min="13" max="13" width="14.42578125" customWidth="1"/>
    <col min="14" max="14" width="11.28515625" customWidth="1"/>
    <col min="15" max="15" width="13.5703125" customWidth="1"/>
    <col min="16" max="16" width="15.28515625" customWidth="1"/>
    <col min="17" max="17" width="11.140625" customWidth="1"/>
    <col min="18" max="18" width="13.28515625" customWidth="1"/>
  </cols>
  <sheetData>
    <row r="1" spans="1:19" ht="57" customHeight="1">
      <c r="C1" s="1301"/>
      <c r="D1" s="2232" t="s">
        <v>348</v>
      </c>
      <c r="E1" s="1812" t="s">
        <v>268</v>
      </c>
      <c r="F1" s="1824" t="s">
        <v>6</v>
      </c>
      <c r="G1" s="1824">
        <v>18230621</v>
      </c>
      <c r="H1" s="1812" t="s">
        <v>5</v>
      </c>
      <c r="J1" s="561"/>
      <c r="K1" s="559"/>
      <c r="L1" s="559"/>
      <c r="M1" s="2232" t="s">
        <v>346</v>
      </c>
      <c r="N1" s="1812" t="s">
        <v>268</v>
      </c>
      <c r="O1" s="1824" t="s">
        <v>6</v>
      </c>
      <c r="P1" s="1824">
        <v>18230621</v>
      </c>
      <c r="Q1" s="1812" t="s">
        <v>5</v>
      </c>
      <c r="R1" s="559"/>
    </row>
    <row r="2" spans="1:19" ht="16.5" customHeight="1" thickBot="1">
      <c r="C2" s="561"/>
      <c r="D2" s="1456"/>
      <c r="E2" s="559"/>
      <c r="F2" s="559"/>
      <c r="G2" s="559"/>
      <c r="H2" s="1576" t="s">
        <v>674</v>
      </c>
      <c r="I2" s="559"/>
      <c r="J2" s="559"/>
      <c r="K2" s="559"/>
      <c r="L2" s="559"/>
      <c r="M2" s="559"/>
      <c r="N2" s="559"/>
      <c r="O2" s="559"/>
      <c r="P2" s="559"/>
      <c r="Q2" s="559"/>
      <c r="R2" s="1869"/>
    </row>
    <row r="3" spans="1:19" ht="26.25" thickBot="1">
      <c r="A3" s="2233" t="s">
        <v>346</v>
      </c>
      <c r="B3" s="1823"/>
      <c r="E3" s="559"/>
      <c r="F3" s="559"/>
      <c r="G3" s="559"/>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808" t="s">
        <v>268</v>
      </c>
      <c r="B4" s="1808"/>
      <c r="C4" s="565"/>
      <c r="E4" s="1454"/>
      <c r="F4" s="1454"/>
      <c r="G4" s="1704" t="s">
        <v>668</v>
      </c>
      <c r="H4" s="2003">
        <v>36640</v>
      </c>
      <c r="I4" s="2002">
        <v>0</v>
      </c>
      <c r="J4" s="2002">
        <v>25905</v>
      </c>
      <c r="K4" s="2002">
        <v>0</v>
      </c>
      <c r="L4" s="2002">
        <v>840</v>
      </c>
      <c r="M4" s="2002">
        <v>8800</v>
      </c>
      <c r="N4" s="2002">
        <v>8950</v>
      </c>
      <c r="O4" s="2002">
        <v>0</v>
      </c>
      <c r="P4" s="2002">
        <v>0</v>
      </c>
      <c r="Q4" s="2002">
        <v>0</v>
      </c>
      <c r="R4" s="2000">
        <v>81135</v>
      </c>
      <c r="S4" s="1998"/>
    </row>
    <row r="5" spans="1:19" ht="15.75">
      <c r="A5" s="1823" t="s">
        <v>6</v>
      </c>
      <c r="B5" s="1823"/>
      <c r="C5" s="561"/>
      <c r="D5" s="559"/>
      <c r="E5" s="559"/>
      <c r="F5" s="559"/>
      <c r="G5" s="561">
        <v>2016</v>
      </c>
      <c r="H5" s="1582">
        <f>D15</f>
        <v>0</v>
      </c>
      <c r="I5" s="1549">
        <f>D21</f>
        <v>0</v>
      </c>
      <c r="J5" s="1549">
        <f>D27</f>
        <v>0</v>
      </c>
      <c r="K5" s="1549">
        <f>D34</f>
        <v>0</v>
      </c>
      <c r="L5" s="1549">
        <f>D40</f>
        <v>0</v>
      </c>
      <c r="M5" s="1549">
        <f>D46</f>
        <v>8800</v>
      </c>
      <c r="N5" s="1549">
        <f>D52</f>
        <v>0</v>
      </c>
      <c r="O5" s="1549">
        <f>D58</f>
        <v>0</v>
      </c>
      <c r="P5" s="1549">
        <v>0</v>
      </c>
      <c r="Q5" s="1549">
        <v>0</v>
      </c>
      <c r="R5" s="2001">
        <f>SUM(H5:Q5)</f>
        <v>8800</v>
      </c>
      <c r="S5" s="1999"/>
    </row>
    <row r="6" spans="1:19" ht="16.5" thickBot="1">
      <c r="A6" s="1823">
        <v>18230621</v>
      </c>
      <c r="B6" s="1823"/>
      <c r="C6" s="559"/>
      <c r="D6" s="561"/>
      <c r="E6" s="559"/>
      <c r="F6" s="559"/>
      <c r="G6" s="561">
        <v>2017</v>
      </c>
      <c r="H6" s="57">
        <f>E15</f>
        <v>0</v>
      </c>
      <c r="I6" s="1990">
        <f>E21</f>
        <v>0</v>
      </c>
      <c r="J6" s="1989">
        <f>E27</f>
        <v>0</v>
      </c>
      <c r="K6" s="58">
        <f>E34</f>
        <v>0</v>
      </c>
      <c r="L6" s="58">
        <f>E40</f>
        <v>0</v>
      </c>
      <c r="M6" s="58">
        <f>E46</f>
        <v>8800</v>
      </c>
      <c r="N6" s="58">
        <f>E52</f>
        <v>0</v>
      </c>
      <c r="O6" s="58">
        <f>E58</f>
        <v>0</v>
      </c>
      <c r="P6" s="58">
        <v>0</v>
      </c>
      <c r="Q6" s="58">
        <v>0</v>
      </c>
      <c r="R6" s="1997">
        <f>SUM(H6:Q6)</f>
        <v>8800</v>
      </c>
      <c r="S6" s="1996"/>
    </row>
    <row r="7" spans="1:19" ht="16.5" thickBot="1">
      <c r="A7" s="1808" t="s">
        <v>5</v>
      </c>
      <c r="B7" s="1823"/>
      <c r="C7" s="1805"/>
      <c r="D7" s="1228"/>
      <c r="E7" s="1805"/>
      <c r="F7" s="1805"/>
      <c r="G7" s="1751" t="s">
        <v>23</v>
      </c>
      <c r="H7" s="1564">
        <f>SUM(H5:H6)</f>
        <v>0</v>
      </c>
      <c r="I7" s="1991">
        <f t="shared" ref="I7:Q7" si="0">SUM(I5:I6)</f>
        <v>0</v>
      </c>
      <c r="J7" s="1992">
        <f t="shared" si="0"/>
        <v>0</v>
      </c>
      <c r="K7" s="1993">
        <f t="shared" si="0"/>
        <v>0</v>
      </c>
      <c r="L7" s="1991">
        <f t="shared" si="0"/>
        <v>0</v>
      </c>
      <c r="M7" s="1992">
        <f t="shared" si="0"/>
        <v>17600</v>
      </c>
      <c r="N7" s="1991">
        <f>SUM(N5:N6)</f>
        <v>0</v>
      </c>
      <c r="O7" s="1992">
        <f t="shared" si="0"/>
        <v>0</v>
      </c>
      <c r="P7" s="1993">
        <f t="shared" si="0"/>
        <v>0</v>
      </c>
      <c r="Q7" s="1991">
        <f t="shared" si="0"/>
        <v>0</v>
      </c>
      <c r="R7" s="1993">
        <f>SUM(R5:R6)</f>
        <v>17600</v>
      </c>
      <c r="S7" s="1994"/>
    </row>
    <row r="8" spans="1:19" ht="15.75">
      <c r="B8" s="1823"/>
      <c r="C8" s="1805"/>
      <c r="D8" s="1228"/>
      <c r="E8" s="1805"/>
      <c r="F8" s="1805"/>
    </row>
    <row r="9" spans="1:19" ht="15.75">
      <c r="A9" s="1808"/>
      <c r="B9" s="1823"/>
      <c r="C9" s="1805"/>
      <c r="D9" s="1228"/>
      <c r="E9" s="1805"/>
      <c r="F9" s="1805"/>
      <c r="H9" s="559"/>
      <c r="I9" s="559"/>
      <c r="J9" s="3635"/>
      <c r="K9" s="3635"/>
      <c r="L9" s="3635"/>
      <c r="M9" s="3635"/>
      <c r="N9" s="3636"/>
      <c r="O9" s="3636"/>
      <c r="P9" s="1750"/>
      <c r="Q9" s="1750"/>
      <c r="R9" s="1750"/>
    </row>
    <row r="10" spans="1:19" ht="15.75">
      <c r="A10" s="1808"/>
      <c r="B10" s="1808"/>
      <c r="C10" s="1915" t="s">
        <v>329</v>
      </c>
      <c r="D10" s="1915"/>
      <c r="E10" s="1915"/>
      <c r="F10" s="1915"/>
      <c r="H10" s="559"/>
      <c r="I10" s="559"/>
      <c r="J10" s="3634"/>
      <c r="K10" s="3634"/>
      <c r="L10" s="3634"/>
      <c r="M10" s="3634"/>
      <c r="N10" s="3634"/>
      <c r="O10" s="3634"/>
      <c r="P10" s="3634"/>
      <c r="Q10" s="3634"/>
      <c r="R10" s="3634"/>
    </row>
    <row r="11" spans="1:19" ht="15.75">
      <c r="A11" s="1808"/>
      <c r="B11" s="1808"/>
      <c r="C11" s="1866"/>
      <c r="D11" s="1866"/>
      <c r="E11" s="1867"/>
      <c r="F11" s="1866"/>
      <c r="H11" s="559"/>
      <c r="I11" s="562"/>
      <c r="J11" s="3634"/>
      <c r="K11" s="3634"/>
      <c r="L11" s="3634"/>
      <c r="M11" s="1754"/>
      <c r="N11" s="1755"/>
      <c r="O11" s="1755"/>
      <c r="P11" s="1755"/>
      <c r="Q11" s="1755"/>
      <c r="R11" s="1755"/>
    </row>
    <row r="12" spans="1:19">
      <c r="A12" s="1808"/>
      <c r="B12" s="1808"/>
      <c r="C12" s="1887" t="s">
        <v>314</v>
      </c>
      <c r="D12" s="1924">
        <f>D15+D21+D27+D34+D40+D46+D52+D58</f>
        <v>8800</v>
      </c>
      <c r="E12" s="1948">
        <f>E15+E21+E27+E34+E40+E46+E52+E58</f>
        <v>8800</v>
      </c>
      <c r="F12" s="1924">
        <f>D12+E12</f>
        <v>17600</v>
      </c>
      <c r="H12" s="559"/>
      <c r="I12" s="563"/>
      <c r="J12" s="1750"/>
      <c r="K12" s="1750"/>
      <c r="L12" s="1750"/>
      <c r="M12" s="1728"/>
      <c r="N12" s="1750"/>
      <c r="O12" s="1750"/>
      <c r="P12" s="1749"/>
      <c r="Q12" s="1727"/>
      <c r="R12" s="1727"/>
    </row>
    <row r="13" spans="1:19">
      <c r="B13" s="1808"/>
      <c r="C13" s="1947"/>
      <c r="D13" s="1866"/>
      <c r="E13" s="1787"/>
      <c r="F13" s="1866"/>
      <c r="H13" s="559"/>
      <c r="I13" s="563"/>
      <c r="J13" s="1750"/>
      <c r="K13" s="1750"/>
      <c r="L13" s="1750"/>
      <c r="M13" s="1728"/>
      <c r="N13" s="1750"/>
      <c r="O13" s="1750"/>
      <c r="P13" s="1749"/>
      <c r="Q13" s="1727"/>
      <c r="R13" s="1727"/>
    </row>
    <row r="14" spans="1:19" ht="15.75">
      <c r="B14" s="1808"/>
      <c r="C14" s="1888" t="s">
        <v>45</v>
      </c>
      <c r="D14" s="1969">
        <v>2016</v>
      </c>
      <c r="E14" s="1970">
        <v>2017</v>
      </c>
      <c r="F14" s="1950" t="s">
        <v>23</v>
      </c>
      <c r="H14" s="559"/>
      <c r="I14" s="563"/>
      <c r="J14" s="1750"/>
      <c r="K14" s="1750"/>
      <c r="L14" s="1750"/>
      <c r="M14" s="1728"/>
      <c r="N14" s="1750"/>
      <c r="O14" s="1750"/>
      <c r="P14" s="1749"/>
      <c r="Q14" s="1727"/>
      <c r="R14" s="1727"/>
    </row>
    <row r="15" spans="1:19">
      <c r="B15" s="1886" t="s">
        <v>312</v>
      </c>
      <c r="C15" s="1910" t="s">
        <v>46</v>
      </c>
      <c r="D15" s="1911">
        <f>SUM(D16:D19)</f>
        <v>0</v>
      </c>
      <c r="E15" s="1926">
        <f>SUM(E16:E19)</f>
        <v>0</v>
      </c>
      <c r="F15" s="1924">
        <f t="shared" ref="F15:F21" si="1">SUM(D15:E15)</f>
        <v>0</v>
      </c>
      <c r="H15" s="559"/>
      <c r="I15" s="563"/>
      <c r="J15" s="1750"/>
      <c r="K15" s="1750"/>
      <c r="L15" s="1750"/>
      <c r="M15" s="1728"/>
      <c r="N15" s="1750"/>
      <c r="O15" s="1750"/>
      <c r="P15" s="1749"/>
      <c r="Q15" s="1727"/>
      <c r="R15" s="1727"/>
    </row>
    <row r="16" spans="1:19">
      <c r="B16" s="2610"/>
      <c r="C16" s="2197"/>
      <c r="D16" s="2201"/>
      <c r="E16" s="2200"/>
      <c r="F16" s="1879">
        <f t="shared" si="1"/>
        <v>0</v>
      </c>
      <c r="H16" s="559"/>
      <c r="I16" s="563"/>
      <c r="J16" s="1750"/>
      <c r="K16" s="1750"/>
      <c r="L16" s="1750"/>
      <c r="M16" s="1728"/>
      <c r="N16" s="1750"/>
      <c r="O16" s="1750"/>
      <c r="P16" s="1749"/>
      <c r="Q16" s="1727"/>
      <c r="R16" s="1727"/>
    </row>
    <row r="17" spans="2:18">
      <c r="B17" s="2610"/>
      <c r="C17" s="2197"/>
      <c r="D17" s="2199"/>
      <c r="E17" s="2198"/>
      <c r="F17" s="1891">
        <f t="shared" si="1"/>
        <v>0</v>
      </c>
      <c r="H17" s="559"/>
      <c r="I17" s="563"/>
      <c r="J17" s="1750"/>
      <c r="K17" s="1750"/>
      <c r="L17" s="1750"/>
      <c r="M17" s="1728"/>
      <c r="N17" s="1750"/>
      <c r="O17" s="1750"/>
      <c r="P17" s="1749"/>
      <c r="Q17" s="1727"/>
      <c r="R17" s="1727"/>
    </row>
    <row r="18" spans="2:18">
      <c r="B18" s="2610"/>
      <c r="C18" s="2197"/>
      <c r="D18" s="2199"/>
      <c r="E18" s="2198"/>
      <c r="F18" s="1891">
        <f t="shared" si="1"/>
        <v>0</v>
      </c>
      <c r="H18" s="559"/>
      <c r="I18" s="563"/>
      <c r="J18" s="1750"/>
      <c r="K18" s="1750"/>
      <c r="L18" s="1750"/>
      <c r="M18" s="1728"/>
      <c r="N18" s="1750"/>
      <c r="O18" s="1750"/>
      <c r="P18" s="1749"/>
      <c r="Q18" s="1727"/>
      <c r="R18" s="1727"/>
    </row>
    <row r="19" spans="2:18">
      <c r="B19" s="1885"/>
      <c r="C19" s="1876"/>
      <c r="D19" s="1903"/>
      <c r="E19" s="1902"/>
      <c r="F19" s="1891">
        <f t="shared" si="1"/>
        <v>0</v>
      </c>
      <c r="H19" s="559"/>
      <c r="I19" s="563"/>
      <c r="J19" s="1750"/>
      <c r="K19" s="1750"/>
      <c r="L19" s="1750"/>
      <c r="M19" s="1728"/>
      <c r="N19" s="1750"/>
      <c r="O19" s="1750"/>
      <c r="P19" s="1749"/>
      <c r="Q19" s="1727"/>
      <c r="R19" s="1727"/>
    </row>
    <row r="20" spans="2:18">
      <c r="B20" s="1908">
        <f>SUM(B16:B19)</f>
        <v>0</v>
      </c>
      <c r="C20" s="1952"/>
      <c r="D20" s="1954"/>
      <c r="E20" s="1955"/>
      <c r="F20" s="1957"/>
      <c r="H20" s="559"/>
      <c r="I20" s="563"/>
      <c r="J20" s="1750"/>
      <c r="K20" s="1750"/>
      <c r="L20" s="1750"/>
      <c r="M20" s="1728"/>
      <c r="N20" s="1750"/>
      <c r="O20" s="1750"/>
      <c r="P20" s="1749"/>
      <c r="Q20" s="1727"/>
      <c r="R20" s="1727"/>
    </row>
    <row r="21" spans="2:18">
      <c r="C21" s="1910" t="s">
        <v>47</v>
      </c>
      <c r="D21" s="2183">
        <f>SUM(D22:D25)</f>
        <v>0</v>
      </c>
      <c r="E21" s="2184">
        <f>SUM(E22:E25)</f>
        <v>0</v>
      </c>
      <c r="F21" s="1924">
        <f t="shared" si="1"/>
        <v>0</v>
      </c>
      <c r="H21" s="559"/>
      <c r="I21" s="563"/>
      <c r="J21" s="1750"/>
      <c r="K21" s="1750"/>
      <c r="L21" s="1750"/>
      <c r="M21" s="1728"/>
      <c r="N21" s="1750"/>
      <c r="O21" s="1750"/>
      <c r="P21" s="1749"/>
      <c r="Q21" s="1727"/>
      <c r="R21" s="1727"/>
    </row>
    <row r="22" spans="2:18">
      <c r="C22" s="2197"/>
      <c r="D22" s="2201"/>
      <c r="E22" s="2200"/>
      <c r="F22" s="1879">
        <v>0</v>
      </c>
      <c r="H22" s="560"/>
      <c r="I22" s="563"/>
      <c r="J22" s="1750"/>
      <c r="K22" s="1750"/>
      <c r="L22" s="1750"/>
      <c r="M22" s="1728"/>
      <c r="N22" s="1750"/>
      <c r="O22" s="1750"/>
      <c r="P22" s="1749"/>
      <c r="Q22" s="1727"/>
      <c r="R22" s="1727"/>
    </row>
    <row r="23" spans="2:18">
      <c r="C23" s="2197"/>
      <c r="D23" s="2201"/>
      <c r="E23" s="2200"/>
      <c r="F23" s="1891">
        <v>0</v>
      </c>
      <c r="H23" s="559"/>
      <c r="I23" s="563"/>
      <c r="J23" s="1750"/>
      <c r="K23" s="1750"/>
      <c r="L23" s="1750"/>
      <c r="M23" s="1728"/>
      <c r="N23" s="1750"/>
      <c r="O23" s="1750"/>
      <c r="P23" s="1749"/>
      <c r="Q23" s="1727"/>
      <c r="R23" s="1727"/>
    </row>
    <row r="24" spans="2:18">
      <c r="C24" s="1876"/>
      <c r="D24" s="1898"/>
      <c r="E24" s="1897"/>
      <c r="F24" s="1891">
        <v>0</v>
      </c>
      <c r="H24" s="559"/>
      <c r="I24" s="563"/>
      <c r="J24" s="1750"/>
      <c r="K24" s="1750"/>
      <c r="L24" s="1750"/>
      <c r="M24" s="1728"/>
      <c r="N24" s="1750"/>
      <c r="O24" s="1750"/>
      <c r="P24" s="1749"/>
      <c r="Q24" s="1727"/>
      <c r="R24" s="1727"/>
    </row>
    <row r="25" spans="2:18">
      <c r="C25" s="1876"/>
      <c r="D25" s="1896"/>
      <c r="E25" s="1899"/>
      <c r="F25" s="1891">
        <v>0</v>
      </c>
      <c r="H25" s="559"/>
      <c r="I25" s="563"/>
      <c r="J25" s="1750"/>
      <c r="K25" s="1750"/>
      <c r="L25" s="1750"/>
      <c r="M25" s="1728"/>
      <c r="N25" s="1750"/>
      <c r="O25" s="1750"/>
      <c r="P25" s="1749"/>
      <c r="Q25" s="1727"/>
      <c r="R25" s="1727"/>
    </row>
    <row r="26" spans="2:18">
      <c r="C26" s="1877"/>
      <c r="D26" s="1892"/>
      <c r="E26" s="1884"/>
      <c r="F26" s="1892"/>
      <c r="H26" s="559"/>
      <c r="I26" s="563"/>
      <c r="J26" s="1750"/>
      <c r="K26" s="1750"/>
      <c r="L26" s="1750"/>
      <c r="M26" s="1728"/>
      <c r="N26" s="1750"/>
      <c r="O26" s="1750"/>
      <c r="P26" s="1749"/>
      <c r="Q26" s="1727"/>
      <c r="R26" s="1727"/>
    </row>
    <row r="27" spans="2:18">
      <c r="C27" s="1910" t="s">
        <v>48</v>
      </c>
      <c r="D27" s="2127">
        <f>SUM(D29:D32)</f>
        <v>0</v>
      </c>
      <c r="E27" s="1926">
        <f>SUM(E29:E32)</f>
        <v>0</v>
      </c>
      <c r="F27" s="1924">
        <f>SUM(F29:F32)</f>
        <v>0</v>
      </c>
      <c r="H27" s="559"/>
      <c r="I27" s="563"/>
      <c r="J27" s="1750"/>
      <c r="K27" s="1750"/>
      <c r="L27" s="1750"/>
      <c r="M27" s="1728"/>
      <c r="N27" s="1750"/>
      <c r="O27" s="1750"/>
      <c r="P27" s="1749"/>
      <c r="Q27" s="1727"/>
      <c r="R27" s="1727"/>
    </row>
    <row r="28" spans="2:18">
      <c r="C28" s="1909" t="s">
        <v>315</v>
      </c>
      <c r="D28" s="1912">
        <v>0.66700000000000004</v>
      </c>
      <c r="E28" s="1913">
        <v>0.68</v>
      </c>
      <c r="F28" s="1949"/>
      <c r="H28" s="559"/>
      <c r="I28" s="563"/>
      <c r="J28" s="1750"/>
      <c r="K28" s="1750"/>
      <c r="L28" s="1750"/>
      <c r="M28" s="1728"/>
      <c r="N28" s="1750"/>
      <c r="O28" s="1750"/>
      <c r="P28" s="1749"/>
      <c r="Q28" s="1727"/>
      <c r="R28" s="1727"/>
    </row>
    <row r="29" spans="2:18">
      <c r="C29" s="1876" t="s">
        <v>778</v>
      </c>
      <c r="D29" s="1971">
        <f>D15*D28</f>
        <v>0</v>
      </c>
      <c r="E29" s="1972">
        <f>E15*E28</f>
        <v>0</v>
      </c>
      <c r="F29" s="1891">
        <f>SUM(D29:E29)</f>
        <v>0</v>
      </c>
      <c r="H29" s="559"/>
      <c r="I29" s="563"/>
      <c r="J29" s="1750"/>
      <c r="K29" s="1750"/>
      <c r="L29" s="1750"/>
      <c r="M29" s="1728"/>
      <c r="N29" s="1750"/>
      <c r="O29" s="1750"/>
      <c r="P29" s="1749"/>
      <c r="Q29" s="1727"/>
      <c r="R29" s="1727"/>
    </row>
    <row r="30" spans="2:18">
      <c r="C30" s="1876" t="s">
        <v>779</v>
      </c>
      <c r="D30" s="1973">
        <f>D21*D28</f>
        <v>0</v>
      </c>
      <c r="E30" s="1972">
        <f>E21*E28</f>
        <v>0</v>
      </c>
      <c r="F30" s="1891">
        <v>0</v>
      </c>
      <c r="H30" s="559"/>
      <c r="I30" s="563"/>
      <c r="J30" s="1750"/>
      <c r="K30" s="1750"/>
      <c r="L30" s="1750"/>
      <c r="M30" s="1728"/>
      <c r="N30" s="1750"/>
      <c r="O30" s="1750"/>
      <c r="P30" s="1749"/>
      <c r="Q30" s="1727"/>
      <c r="R30" s="1727"/>
    </row>
    <row r="31" spans="2:18">
      <c r="C31" s="1901"/>
      <c r="D31" s="1898"/>
      <c r="E31" s="1897"/>
      <c r="F31" s="1889"/>
      <c r="H31" s="559"/>
      <c r="I31" s="563"/>
      <c r="J31" s="1750"/>
      <c r="K31" s="1750"/>
      <c r="L31" s="1750"/>
      <c r="M31" s="1728"/>
      <c r="N31" s="1750"/>
      <c r="O31" s="1750"/>
      <c r="P31" s="1749"/>
      <c r="Q31" s="1727"/>
      <c r="R31" s="1727"/>
    </row>
    <row r="32" spans="2:18">
      <c r="C32" s="1901"/>
      <c r="D32" s="1896"/>
      <c r="E32" s="1899"/>
      <c r="F32" s="1890"/>
      <c r="H32" s="559"/>
      <c r="I32" s="563"/>
      <c r="J32" s="1750"/>
      <c r="K32" s="1750"/>
      <c r="L32" s="1750"/>
      <c r="M32" s="1728"/>
      <c r="N32" s="1750"/>
      <c r="O32" s="1750"/>
      <c r="P32" s="1749"/>
      <c r="Q32" s="1727"/>
      <c r="R32" s="1727"/>
    </row>
    <row r="33" spans="1:18">
      <c r="C33" s="1952"/>
      <c r="D33" s="1958"/>
      <c r="E33" s="1955"/>
      <c r="F33" s="1958"/>
      <c r="H33" s="559"/>
      <c r="I33" s="563"/>
      <c r="J33" s="1750"/>
      <c r="K33" s="1750"/>
      <c r="L33" s="1750"/>
      <c r="M33" s="1728"/>
      <c r="N33" s="1750"/>
      <c r="O33" s="1750"/>
      <c r="P33" s="1749"/>
      <c r="Q33" s="1727"/>
      <c r="R33" s="1727"/>
    </row>
    <row r="34" spans="1:18">
      <c r="A34" s="2233" t="s">
        <v>507</v>
      </c>
      <c r="C34" s="1910" t="s">
        <v>49</v>
      </c>
      <c r="D34" s="2183">
        <f>SUM(D35:D38)</f>
        <v>0</v>
      </c>
      <c r="E34" s="2184">
        <f>SUM(E35:E38)</f>
        <v>0</v>
      </c>
      <c r="F34" s="1924">
        <f>SUM(D34:E34)</f>
        <v>0</v>
      </c>
      <c r="H34" s="559"/>
      <c r="I34" s="563"/>
      <c r="J34" s="1750"/>
      <c r="K34" s="1750"/>
      <c r="L34" s="1750"/>
      <c r="M34" s="1728"/>
      <c r="N34" s="1750"/>
      <c r="O34" s="1750"/>
      <c r="P34" s="1749"/>
      <c r="Q34" s="1727"/>
      <c r="R34" s="1727"/>
    </row>
    <row r="35" spans="1:18">
      <c r="A35" s="2193" t="s">
        <v>205</v>
      </c>
      <c r="C35" s="2197"/>
      <c r="D35" s="2202"/>
      <c r="E35" s="2203"/>
      <c r="F35" s="1891">
        <v>0</v>
      </c>
      <c r="H35" s="559"/>
      <c r="I35" s="563"/>
      <c r="J35" s="1750"/>
      <c r="K35" s="1750"/>
      <c r="L35" s="1750"/>
      <c r="M35" s="1728"/>
      <c r="N35" s="1750"/>
      <c r="O35" s="1750"/>
      <c r="P35" s="1749"/>
      <c r="Q35" s="1727"/>
      <c r="R35" s="1727"/>
    </row>
    <row r="36" spans="1:18">
      <c r="A36" s="1808" t="s">
        <v>268</v>
      </c>
      <c r="C36" s="2197"/>
      <c r="D36" s="2202"/>
      <c r="E36" s="2203"/>
      <c r="F36" s="1891">
        <v>0</v>
      </c>
      <c r="H36" s="559"/>
      <c r="I36" s="563"/>
      <c r="J36" s="1750"/>
      <c r="K36" s="1750"/>
      <c r="L36" s="1750"/>
      <c r="M36" s="1728"/>
      <c r="N36" s="1750"/>
      <c r="O36" s="1750"/>
      <c r="P36" s="1749"/>
      <c r="Q36" s="1727"/>
      <c r="R36" s="1727"/>
    </row>
    <row r="37" spans="1:18">
      <c r="A37" s="1823" t="s">
        <v>6</v>
      </c>
      <c r="C37" s="2197"/>
      <c r="D37" s="2202"/>
      <c r="E37" s="2203"/>
      <c r="F37" s="1891">
        <v>0</v>
      </c>
      <c r="H37" s="559"/>
      <c r="I37" s="563"/>
      <c r="J37" s="1750"/>
      <c r="K37" s="1750"/>
      <c r="L37" s="1729"/>
      <c r="M37" s="1728"/>
      <c r="N37" s="1750"/>
      <c r="O37" s="1750"/>
      <c r="P37" s="1749"/>
      <c r="Q37" s="1727"/>
      <c r="R37" s="1727"/>
    </row>
    <row r="38" spans="1:18">
      <c r="A38" s="1823">
        <v>18230621</v>
      </c>
      <c r="C38" s="1876"/>
      <c r="D38" s="1971"/>
      <c r="E38" s="1988"/>
      <c r="F38" s="1891">
        <v>0</v>
      </c>
      <c r="H38" s="559"/>
      <c r="I38" s="563"/>
      <c r="J38" s="1750"/>
      <c r="K38" s="1750"/>
      <c r="L38" s="1729"/>
      <c r="M38" s="1728"/>
      <c r="N38" s="1750"/>
      <c r="O38" s="1750"/>
      <c r="P38" s="1749"/>
      <c r="Q38" s="1727"/>
      <c r="R38" s="1727"/>
    </row>
    <row r="39" spans="1:18">
      <c r="A39" s="1808" t="s">
        <v>5</v>
      </c>
      <c r="C39" s="1952"/>
      <c r="D39" s="1958"/>
      <c r="E39" s="1955"/>
      <c r="F39" s="1958"/>
      <c r="H39" s="559"/>
      <c r="I39" s="563"/>
      <c r="J39" s="1750"/>
      <c r="K39" s="1750"/>
      <c r="L39" s="1729"/>
      <c r="M39" s="1728"/>
      <c r="N39" s="1750"/>
      <c r="O39" s="1750"/>
      <c r="P39" s="1749"/>
      <c r="Q39" s="1727"/>
      <c r="R39" s="1727"/>
    </row>
    <row r="40" spans="1:18">
      <c r="C40" s="2106" t="s">
        <v>506</v>
      </c>
      <c r="D40" s="1911">
        <f>SUM(D41:D44)</f>
        <v>0</v>
      </c>
      <c r="E40" s="1926">
        <f>SUM(E41:E44)</f>
        <v>0</v>
      </c>
      <c r="F40" s="1924">
        <f>SUM(D40:E40)</f>
        <v>0</v>
      </c>
      <c r="H40" s="559"/>
      <c r="I40" s="563"/>
      <c r="J40" s="1750"/>
      <c r="K40" s="1750"/>
      <c r="L40" s="1729"/>
      <c r="M40" s="1728"/>
      <c r="N40" s="1750"/>
      <c r="O40" s="1750"/>
      <c r="P40" s="1749"/>
      <c r="Q40" s="1727"/>
      <c r="R40" s="1727"/>
    </row>
    <row r="41" spans="1:18">
      <c r="C41" s="2197"/>
      <c r="D41" s="2202"/>
      <c r="E41" s="2203"/>
      <c r="F41" s="1891">
        <f>SUM(D41:E41)</f>
        <v>0</v>
      </c>
      <c r="H41" s="559"/>
      <c r="I41" s="563"/>
      <c r="J41" s="1750"/>
      <c r="K41" s="1750"/>
      <c r="L41" s="1729"/>
      <c r="M41" s="1728"/>
      <c r="N41" s="1750"/>
      <c r="O41" s="1750"/>
      <c r="P41" s="1749"/>
      <c r="Q41" s="1727"/>
      <c r="R41" s="1727"/>
    </row>
    <row r="42" spans="1:18">
      <c r="C42" s="2197"/>
      <c r="D42" s="2202"/>
      <c r="E42" s="2203"/>
      <c r="F42" s="1891">
        <v>0</v>
      </c>
      <c r="H42" s="559"/>
      <c r="I42" s="563"/>
      <c r="J42" s="1750"/>
      <c r="K42" s="1750"/>
      <c r="L42" s="1729"/>
      <c r="M42" s="1728"/>
      <c r="N42" s="1750"/>
      <c r="O42" s="1750"/>
      <c r="P42" s="1749"/>
      <c r="Q42" s="1727"/>
      <c r="R42" s="1727"/>
    </row>
    <row r="43" spans="1:18">
      <c r="C43" s="2197"/>
      <c r="D43" s="2202"/>
      <c r="E43" s="2203"/>
      <c r="F43" s="1891">
        <v>0</v>
      </c>
      <c r="H43" s="559"/>
      <c r="I43" s="563"/>
      <c r="J43" s="1750"/>
      <c r="K43" s="1750"/>
      <c r="L43" s="1729"/>
      <c r="M43" s="1728"/>
      <c r="N43" s="1750"/>
      <c r="O43" s="1750"/>
      <c r="P43" s="1749"/>
      <c r="Q43" s="1727"/>
      <c r="R43" s="1727"/>
    </row>
    <row r="44" spans="1:18">
      <c r="C44" s="1876"/>
      <c r="D44" s="1971"/>
      <c r="E44" s="1988"/>
      <c r="F44" s="1891">
        <v>0</v>
      </c>
      <c r="H44" s="559"/>
      <c r="I44" s="563"/>
      <c r="J44" s="1750"/>
      <c r="K44" s="1750"/>
      <c r="L44" s="1729"/>
      <c r="M44" s="1728"/>
      <c r="N44" s="1750"/>
      <c r="O44" s="1750"/>
      <c r="P44" s="1749"/>
      <c r="Q44" s="1727"/>
      <c r="R44" s="1727"/>
    </row>
    <row r="45" spans="1:18">
      <c r="C45" s="1952"/>
      <c r="D45" s="1958"/>
      <c r="E45" s="1955"/>
      <c r="F45" s="1958"/>
      <c r="H45" s="559"/>
      <c r="I45" s="563"/>
      <c r="J45" s="1750"/>
      <c r="K45" s="1750"/>
      <c r="L45" s="1729"/>
      <c r="M45" s="1728"/>
      <c r="N45" s="1750"/>
      <c r="O45" s="1750"/>
      <c r="P45" s="1749"/>
      <c r="Q45" s="1727"/>
      <c r="R45" s="1727"/>
    </row>
    <row r="46" spans="1:18">
      <c r="C46" s="1910" t="s">
        <v>50</v>
      </c>
      <c r="D46" s="1911">
        <f>SUM(D47:D50)</f>
        <v>8800</v>
      </c>
      <c r="E46" s="1926">
        <f>SUM(E47:E50)</f>
        <v>8800</v>
      </c>
      <c r="F46" s="1924">
        <f>SUM(D46:E46)</f>
        <v>17600</v>
      </c>
      <c r="H46" s="559"/>
      <c r="I46" s="563"/>
      <c r="J46" s="1750"/>
      <c r="K46" s="1750"/>
      <c r="L46" s="1729"/>
      <c r="M46" s="1728"/>
      <c r="N46" s="1750"/>
      <c r="O46" s="1750"/>
      <c r="P46" s="1749"/>
      <c r="Q46" s="1727"/>
      <c r="R46" s="1727"/>
    </row>
    <row r="47" spans="1:18">
      <c r="C47" s="2197" t="s">
        <v>869</v>
      </c>
      <c r="D47" s="2203">
        <v>8800</v>
      </c>
      <c r="E47" s="2203">
        <v>8800</v>
      </c>
      <c r="F47" s="1891">
        <f>SUM(D47:E47)</f>
        <v>17600</v>
      </c>
      <c r="H47" s="559"/>
      <c r="I47" s="563"/>
      <c r="J47" s="1750"/>
      <c r="K47" s="1750"/>
      <c r="L47" s="1729"/>
      <c r="M47" s="1728"/>
      <c r="N47" s="1750"/>
      <c r="O47" s="1750"/>
      <c r="P47" s="1749"/>
      <c r="Q47" s="1727"/>
      <c r="R47" s="1727"/>
    </row>
    <row r="48" spans="1:18">
      <c r="C48" s="2197"/>
      <c r="D48" s="2202"/>
      <c r="E48" s="2203"/>
      <c r="F48" s="1891">
        <f>SUM(D48:E48)</f>
        <v>0</v>
      </c>
      <c r="H48" s="559"/>
      <c r="I48" s="563"/>
      <c r="J48" s="1750"/>
      <c r="K48" s="1750"/>
      <c r="L48" s="1729"/>
      <c r="M48" s="1728"/>
      <c r="N48" s="1750"/>
      <c r="O48" s="1750"/>
      <c r="P48" s="1749"/>
      <c r="Q48" s="1727"/>
      <c r="R48" s="1727"/>
    </row>
    <row r="49" spans="3:20">
      <c r="C49" s="1876"/>
      <c r="D49" s="1971"/>
      <c r="E49" s="1988"/>
      <c r="F49" s="1891">
        <v>0</v>
      </c>
      <c r="H49" s="559"/>
      <c r="I49" s="559"/>
      <c r="J49" s="1750"/>
      <c r="K49" s="1750"/>
      <c r="L49" s="1750"/>
      <c r="M49" s="1728"/>
      <c r="N49" s="1750"/>
      <c r="O49" s="1750"/>
      <c r="P49" s="1749"/>
      <c r="Q49" s="1727"/>
      <c r="R49" s="1727"/>
      <c r="S49" s="559"/>
      <c r="T49" s="559"/>
    </row>
    <row r="50" spans="3:20">
      <c r="C50" s="1876"/>
      <c r="D50" s="1971"/>
      <c r="E50" s="1988"/>
      <c r="F50" s="1891">
        <v>0</v>
      </c>
      <c r="H50" s="559"/>
      <c r="I50" s="559"/>
      <c r="J50" s="1750"/>
      <c r="K50" s="1750"/>
      <c r="L50" s="1750"/>
      <c r="M50" s="1728"/>
      <c r="N50" s="1750"/>
      <c r="O50" s="1750"/>
      <c r="P50" s="1749"/>
      <c r="Q50" s="1727"/>
      <c r="R50" s="1727"/>
      <c r="S50" s="559"/>
      <c r="T50" s="559"/>
    </row>
    <row r="51" spans="3:20">
      <c r="C51" s="1952"/>
      <c r="D51" s="1958"/>
      <c r="E51" s="1955"/>
      <c r="F51" s="1958"/>
      <c r="H51" s="559"/>
      <c r="I51" s="559"/>
      <c r="J51" s="1750"/>
      <c r="K51" s="1750"/>
      <c r="L51" s="1750"/>
      <c r="M51" s="1728"/>
      <c r="N51" s="1750"/>
      <c r="O51" s="1750"/>
      <c r="P51" s="1749"/>
      <c r="Q51" s="1727"/>
      <c r="R51" s="1727"/>
      <c r="S51" s="559"/>
      <c r="T51" s="559"/>
    </row>
    <row r="52" spans="3:20">
      <c r="C52" s="1910" t="s">
        <v>51</v>
      </c>
      <c r="D52" s="1911">
        <f>SUM(D53:D56)</f>
        <v>0</v>
      </c>
      <c r="E52" s="1926">
        <f>SUM(E53:E56)</f>
        <v>0</v>
      </c>
      <c r="F52" s="1924">
        <f>SUM(D52:E52)</f>
        <v>0</v>
      </c>
      <c r="H52" s="564"/>
      <c r="I52" s="559"/>
      <c r="J52" s="1750"/>
      <c r="K52" s="1750"/>
      <c r="L52" s="1750"/>
      <c r="M52" s="1728"/>
      <c r="N52" s="1750"/>
      <c r="O52" s="1750"/>
      <c r="P52" s="1749"/>
      <c r="Q52" s="1727"/>
      <c r="R52" s="1727"/>
      <c r="S52" s="559"/>
      <c r="T52" s="559"/>
    </row>
    <row r="53" spans="3:20">
      <c r="C53" s="2197"/>
      <c r="D53" s="2202"/>
      <c r="E53" s="2163"/>
      <c r="F53" s="1891">
        <f>SUM(D53:E53)</f>
        <v>0</v>
      </c>
      <c r="H53" s="559"/>
      <c r="I53" s="559"/>
      <c r="J53" s="1750"/>
      <c r="K53" s="1750"/>
      <c r="L53" s="1750"/>
      <c r="M53" s="1728"/>
      <c r="N53" s="1750"/>
      <c r="O53" s="1750"/>
      <c r="P53" s="1749"/>
      <c r="Q53" s="1727"/>
      <c r="R53" s="1727"/>
      <c r="S53" s="559"/>
      <c r="T53" s="559"/>
    </row>
    <row r="54" spans="3:20">
      <c r="C54" s="2197"/>
      <c r="D54" s="2202"/>
      <c r="E54" s="2163"/>
      <c r="F54" s="1891">
        <f>SUM(D54:E54)</f>
        <v>0</v>
      </c>
      <c r="H54" s="559"/>
      <c r="I54" s="559"/>
      <c r="J54" s="1750"/>
      <c r="K54" s="1750"/>
      <c r="L54" s="1750"/>
      <c r="M54" s="1750"/>
      <c r="N54" s="1750"/>
      <c r="O54" s="1750"/>
      <c r="P54" s="1750"/>
      <c r="Q54" s="1756"/>
      <c r="R54" s="1756"/>
      <c r="S54" s="559"/>
      <c r="T54" s="559"/>
    </row>
    <row r="55" spans="3:20">
      <c r="C55" s="2197"/>
      <c r="D55" s="2202"/>
      <c r="E55" s="2163"/>
      <c r="F55" s="2191">
        <f>SUM(D55:E55)</f>
        <v>0</v>
      </c>
      <c r="H55" s="559"/>
      <c r="I55" s="559"/>
      <c r="J55" s="559"/>
      <c r="K55" s="559"/>
      <c r="L55" s="559"/>
      <c r="M55" s="559"/>
      <c r="N55" s="559"/>
      <c r="O55" s="559"/>
      <c r="P55" s="559"/>
      <c r="Q55" s="559"/>
      <c r="R55" s="559"/>
      <c r="S55" s="559"/>
      <c r="T55" s="559"/>
    </row>
    <row r="56" spans="3:20">
      <c r="C56" s="1876"/>
      <c r="D56" s="1971"/>
      <c r="E56" s="1972"/>
      <c r="F56" s="1891">
        <v>0</v>
      </c>
      <c r="H56" s="559"/>
      <c r="I56" s="559"/>
      <c r="J56" s="559"/>
      <c r="K56" s="559"/>
      <c r="L56" s="559"/>
      <c r="M56" s="559"/>
      <c r="N56" s="559"/>
      <c r="O56" s="559"/>
      <c r="P56" s="559"/>
      <c r="Q56" s="559"/>
      <c r="R56" s="559"/>
      <c r="S56" s="559"/>
      <c r="T56" s="559"/>
    </row>
    <row r="57" spans="3:20">
      <c r="C57" s="1952"/>
      <c r="D57" s="1958"/>
      <c r="E57" s="1955"/>
      <c r="F57" s="1958"/>
      <c r="H57" s="1753"/>
      <c r="I57" s="1752"/>
      <c r="J57" s="559"/>
      <c r="K57" s="559"/>
      <c r="L57" s="559"/>
      <c r="M57" s="559"/>
      <c r="N57" s="559"/>
      <c r="O57" s="559"/>
      <c r="P57" s="559"/>
      <c r="Q57" s="559"/>
      <c r="R57" s="559"/>
      <c r="S57" s="559"/>
      <c r="T57" s="559"/>
    </row>
    <row r="58" spans="3:20">
      <c r="C58" s="1910" t="s">
        <v>52</v>
      </c>
      <c r="D58" s="1911">
        <f>SUM(D59:D62)</f>
        <v>0</v>
      </c>
      <c r="E58" s="1926">
        <f>SUM(E59:E62)</f>
        <v>0</v>
      </c>
      <c r="F58" s="1924">
        <f>SUM(D58:E58)</f>
        <v>0</v>
      </c>
      <c r="G58" s="559"/>
      <c r="H58" s="559"/>
      <c r="I58" s="559"/>
      <c r="J58" s="559"/>
      <c r="K58" s="559"/>
      <c r="L58" s="559"/>
      <c r="M58" s="559"/>
      <c r="N58" s="559"/>
      <c r="O58" s="559"/>
      <c r="P58" s="559"/>
      <c r="Q58" s="559"/>
      <c r="R58" s="559"/>
      <c r="S58" s="559"/>
      <c r="T58" s="559"/>
    </row>
    <row r="59" spans="3:20">
      <c r="C59" s="1876"/>
      <c r="D59" s="1971"/>
      <c r="E59" s="1988"/>
      <c r="F59" s="1891">
        <f>SUM(D59:E59)</f>
        <v>0</v>
      </c>
    </row>
    <row r="60" spans="3:20">
      <c r="C60" s="1876"/>
      <c r="D60" s="1971"/>
      <c r="E60" s="1988"/>
      <c r="F60" s="1891">
        <v>0</v>
      </c>
    </row>
    <row r="61" spans="3:20">
      <c r="C61" s="1876"/>
      <c r="D61" s="1971"/>
      <c r="E61" s="1988"/>
      <c r="F61" s="1890">
        <v>0</v>
      </c>
    </row>
    <row r="62" spans="3:20">
      <c r="C62" s="1876"/>
      <c r="D62" s="1971"/>
      <c r="E62" s="1988"/>
      <c r="F62" s="189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B16" sqref="B16:B19"/>
      <pageMargins left="0.2" right="0.18" top="0.38" bottom="0.36" header="0.3" footer="0.3"/>
      <pageSetup paperSize="17" scale="74" orientation="landscape" r:id="rId1"/>
    </customSheetView>
    <customSheetView guid="{D9EFFE19-D14B-4C6F-BDF4-FF696F73968D}" showGridLines="0" fitToPage="1">
      <pane xSplit="1" ySplit="1" topLeftCell="B2" activePane="bottomRight" state="frozen"/>
      <selection pane="bottomRight" activeCell="I7" sqref="I7"/>
      <pageMargins left="0.2" right="0.18" top="0.38" bottom="0.36" header="0.3" footer="0.3"/>
      <pageSetup paperSize="17" scale="74" orientation="landscape" r:id="rId2"/>
    </customSheetView>
  </customSheetViews>
  <mergeCells count="6">
    <mergeCell ref="J10:M10"/>
    <mergeCell ref="N10:P10"/>
    <mergeCell ref="Q10:R10"/>
    <mergeCell ref="J11:L11"/>
    <mergeCell ref="J9:M9"/>
    <mergeCell ref="N9:O9"/>
  </mergeCells>
  <pageMargins left="0.2" right="0.18" top="0.38" bottom="0.36" header="0.3" footer="0.3"/>
  <pageSetup paperSize="17" scale="74" orientation="landscape" r:id="rId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7" tint="-0.249977111117893"/>
  </sheetPr>
  <dimension ref="A1:C6"/>
  <sheetViews>
    <sheetView showGridLines="0" workbookViewId="0">
      <selection activeCell="I26" sqref="I26"/>
    </sheetView>
  </sheetViews>
  <sheetFormatPr defaultRowHeight="12.75"/>
  <sheetData>
    <row r="1" spans="1:3">
      <c r="A1" t="s">
        <v>2</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selection activeCell="D29" sqref="D29"/>
      <pageMargins left="0.7" right="0.7" top="0.75" bottom="0.75" header="0.3" footer="0.3"/>
      <pageSetup orientation="portrait" r:id="rId1"/>
    </customSheetView>
    <customSheetView guid="{D9EFFE19-D14B-4C6F-BDF4-FF696F73968D}" showGridLines="0">
      <selection activeCell="D29" sqref="D29"/>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7" tint="0.39997558519241921"/>
    <pageSetUpPr fitToPage="1"/>
  </sheetPr>
  <dimension ref="A1:S70"/>
  <sheetViews>
    <sheetView showGridLines="0" workbookViewId="0">
      <pane xSplit="1" ySplit="1" topLeftCell="B8" activePane="bottomRight" state="frozen"/>
      <selection pane="topRight" activeCell="B1" sqref="B1"/>
      <selection pane="bottomLeft" activeCell="A2" sqref="A2"/>
      <selection pane="bottomRight"/>
    </sheetView>
  </sheetViews>
  <sheetFormatPr defaultRowHeight="12.75"/>
  <cols>
    <col min="1" max="1" width="18.140625" customWidth="1"/>
    <col min="2" max="2" width="16" style="1866" customWidth="1"/>
    <col min="3" max="3" width="34.28515625" customWidth="1"/>
    <col min="4" max="4" width="18.85546875" style="1" customWidth="1"/>
    <col min="5" max="5" width="18.85546875" style="2" customWidth="1"/>
    <col min="6" max="10" width="18.85546875" customWidth="1"/>
    <col min="11" max="11" width="17.5703125" customWidth="1"/>
    <col min="12" max="12" width="20.28515625" customWidth="1"/>
    <col min="13" max="13" width="24.42578125" customWidth="1"/>
    <col min="14" max="14" width="19.42578125" customWidth="1"/>
    <col min="15" max="15" width="14.7109375" customWidth="1"/>
    <col min="16" max="16" width="22.5703125" bestFit="1" customWidth="1"/>
    <col min="17" max="17" width="16.5703125" customWidth="1"/>
    <col min="18" max="18" width="10.85546875" bestFit="1" customWidth="1"/>
  </cols>
  <sheetData>
    <row r="1" spans="1:19" ht="60" customHeight="1">
      <c r="D1" s="1831" t="s">
        <v>1738</v>
      </c>
      <c r="E1" s="1977" t="s">
        <v>25</v>
      </c>
      <c r="F1" s="1880">
        <v>18230408</v>
      </c>
      <c r="G1" s="1977" t="s">
        <v>5</v>
      </c>
      <c r="M1" s="1831" t="s">
        <v>1738</v>
      </c>
      <c r="N1" s="1977" t="s">
        <v>25</v>
      </c>
      <c r="O1" s="1880">
        <v>18230408</v>
      </c>
      <c r="P1" s="1977" t="s">
        <v>5</v>
      </c>
    </row>
    <row r="2" spans="1:19" ht="19.5" customHeight="1" thickBot="1">
      <c r="D2" s="39"/>
      <c r="E2" s="1800"/>
      <c r="F2" s="1800"/>
      <c r="G2" s="1805"/>
      <c r="H2" s="1576" t="s">
        <v>674</v>
      </c>
      <c r="I2" s="1805"/>
      <c r="J2" s="1805"/>
      <c r="K2" s="1805"/>
      <c r="L2" s="1805"/>
      <c r="M2" s="1805"/>
      <c r="N2" s="1805"/>
      <c r="O2" s="1805"/>
      <c r="P2" s="1805"/>
      <c r="Q2" s="1805"/>
    </row>
    <row r="3" spans="1:19" ht="26.25" thickBot="1">
      <c r="A3" s="1831" t="s">
        <v>1738</v>
      </c>
      <c r="B3" s="1844"/>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6.5" customHeight="1">
      <c r="A4" s="1976" t="s">
        <v>25</v>
      </c>
      <c r="B4" s="1808"/>
      <c r="C4" s="1759"/>
      <c r="D4" s="1731"/>
      <c r="E4" s="1731"/>
      <c r="F4" s="1731"/>
      <c r="G4" s="1804" t="s">
        <v>668</v>
      </c>
      <c r="H4" s="2003">
        <v>0</v>
      </c>
      <c r="I4" s="2002">
        <v>0</v>
      </c>
      <c r="J4" s="2002">
        <v>0</v>
      </c>
      <c r="K4" s="2002">
        <v>0</v>
      </c>
      <c r="L4" s="2002">
        <v>0</v>
      </c>
      <c r="M4" s="2002">
        <v>562455</v>
      </c>
      <c r="N4" s="2002">
        <v>0</v>
      </c>
      <c r="O4" s="2002">
        <v>0</v>
      </c>
      <c r="P4" s="2002"/>
      <c r="Q4" s="2002"/>
      <c r="R4" s="2002">
        <v>562455</v>
      </c>
      <c r="S4" s="1998"/>
    </row>
    <row r="5" spans="1:19" ht="15.75">
      <c r="A5" s="1880">
        <v>18230408</v>
      </c>
      <c r="B5" s="1808"/>
      <c r="C5" s="1759"/>
      <c r="D5" s="1759"/>
      <c r="E5" s="1761"/>
      <c r="F5" s="1761"/>
      <c r="G5" s="1228">
        <v>2016</v>
      </c>
      <c r="H5" s="1582">
        <f>D15</f>
        <v>0</v>
      </c>
      <c r="I5" s="1549">
        <f>D21</f>
        <v>0</v>
      </c>
      <c r="J5" s="1549">
        <f>D27</f>
        <v>0</v>
      </c>
      <c r="K5" s="1549">
        <f>D34</f>
        <v>0</v>
      </c>
      <c r="L5" s="1549">
        <f>D40</f>
        <v>0</v>
      </c>
      <c r="M5" s="1549">
        <f>D46</f>
        <v>588990</v>
      </c>
      <c r="N5" s="1549">
        <f>D53</f>
        <v>0</v>
      </c>
      <c r="O5" s="1549">
        <f>D59</f>
        <v>0</v>
      </c>
      <c r="P5" s="1549">
        <v>0</v>
      </c>
      <c r="Q5" s="1549"/>
      <c r="R5" s="1549">
        <f>SUM(H5:P5)</f>
        <v>588990</v>
      </c>
      <c r="S5" s="1999"/>
    </row>
    <row r="6" spans="1:19" ht="16.5" thickBot="1">
      <c r="A6" s="1976" t="s">
        <v>5</v>
      </c>
      <c r="B6" s="1880"/>
      <c r="C6" s="1714"/>
      <c r="D6" s="1759"/>
      <c r="E6" s="1761"/>
      <c r="F6" s="1761"/>
      <c r="G6" s="1228">
        <v>2017</v>
      </c>
      <c r="H6" s="57">
        <f>E15</f>
        <v>0</v>
      </c>
      <c r="I6" s="1990">
        <f>E21</f>
        <v>0</v>
      </c>
      <c r="J6" s="1989">
        <f>E27</f>
        <v>0</v>
      </c>
      <c r="K6" s="58">
        <f>E34</f>
        <v>0</v>
      </c>
      <c r="L6" s="58">
        <f>E40</f>
        <v>0</v>
      </c>
      <c r="M6" s="58">
        <f>E46</f>
        <v>588990</v>
      </c>
      <c r="N6" s="58">
        <f>E53</f>
        <v>0</v>
      </c>
      <c r="O6" s="58">
        <f>E59</f>
        <v>0</v>
      </c>
      <c r="P6" s="58">
        <v>0</v>
      </c>
      <c r="Q6" s="58"/>
      <c r="R6" s="58">
        <f>SUM(H6:P6)</f>
        <v>588990</v>
      </c>
      <c r="S6" s="1996"/>
    </row>
    <row r="7" spans="1:19" s="18" customFormat="1" ht="16.5" thickBot="1">
      <c r="B7" s="1819"/>
      <c r="C7" s="1760"/>
      <c r="D7" s="1760"/>
      <c r="E7" s="1760"/>
      <c r="F7" s="1760"/>
      <c r="G7" s="1751" t="s">
        <v>23</v>
      </c>
      <c r="H7" s="1564">
        <f>SUM(H5:H6)</f>
        <v>0</v>
      </c>
      <c r="I7" s="1991">
        <f t="shared" ref="I7:P7" si="0">SUM(I5:I6)</f>
        <v>0</v>
      </c>
      <c r="J7" s="1992">
        <f t="shared" si="0"/>
        <v>0</v>
      </c>
      <c r="K7" s="1993">
        <f t="shared" si="0"/>
        <v>0</v>
      </c>
      <c r="L7" s="1991">
        <f t="shared" si="0"/>
        <v>0</v>
      </c>
      <c r="M7" s="1992">
        <f t="shared" si="0"/>
        <v>1177980</v>
      </c>
      <c r="N7" s="1991">
        <f t="shared" si="0"/>
        <v>0</v>
      </c>
      <c r="O7" s="1992">
        <f t="shared" si="0"/>
        <v>0</v>
      </c>
      <c r="P7" s="1993">
        <f t="shared" si="0"/>
        <v>0</v>
      </c>
      <c r="Q7" s="1993"/>
      <c r="R7" s="1991">
        <f>SUM(R5:R6)</f>
        <v>1177980</v>
      </c>
      <c r="S7" s="1994"/>
    </row>
    <row r="8" spans="1:19" s="18" customFormat="1">
      <c r="B8" s="1808"/>
      <c r="C8" s="1760"/>
      <c r="D8" s="1760"/>
      <c r="E8" s="1731"/>
      <c r="F8" s="1715"/>
      <c r="G8"/>
      <c r="H8"/>
      <c r="I8"/>
      <c r="J8"/>
      <c r="K8"/>
      <c r="L8"/>
      <c r="M8"/>
      <c r="O8"/>
      <c r="P8" s="21" t="s">
        <v>20</v>
      </c>
    </row>
    <row r="9" spans="1:19" s="18" customFormat="1">
      <c r="A9" s="1819"/>
      <c r="B9" s="1819"/>
      <c r="C9" s="1760"/>
      <c r="D9" s="1760"/>
      <c r="E9" s="1731"/>
      <c r="F9" s="1715"/>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22"/>
      <c r="C12" s="1887" t="s">
        <v>314</v>
      </c>
      <c r="D12" s="1924">
        <f>D15+D21+D27+D34+D40+D46+D53+D59</f>
        <v>588990</v>
      </c>
      <c r="E12" s="1948">
        <f>E15+E21+E27+E34+E40+E46+E53+E59</f>
        <v>588990</v>
      </c>
      <c r="F12" s="1924">
        <f>D12+E12</f>
        <v>1177980</v>
      </c>
    </row>
    <row r="13" spans="1:19" ht="15" customHeight="1">
      <c r="A13" s="21"/>
      <c r="B13" s="1865"/>
      <c r="C13" s="1947"/>
      <c r="D13" s="1866"/>
      <c r="E13" s="1787"/>
      <c r="F13" s="1866"/>
      <c r="G13" s="1297"/>
      <c r="H13" s="1297"/>
    </row>
    <row r="14" spans="1:19" s="18" customFormat="1" ht="15" customHeight="1">
      <c r="A14" s="29"/>
      <c r="B14" s="1863"/>
      <c r="C14" s="1888" t="s">
        <v>45</v>
      </c>
      <c r="D14" s="1969">
        <v>2016</v>
      </c>
      <c r="E14" s="1970">
        <v>2017</v>
      </c>
      <c r="F14" s="1950" t="s">
        <v>23</v>
      </c>
      <c r="G14" s="30"/>
      <c r="H14" s="30"/>
    </row>
    <row r="15" spans="1:19" s="18" customFormat="1" ht="15" customHeight="1">
      <c r="A15" s="29"/>
      <c r="B15" s="1886" t="s">
        <v>312</v>
      </c>
      <c r="C15" s="1910" t="s">
        <v>46</v>
      </c>
      <c r="D15" s="1911">
        <f>SUM(D16:D19)</f>
        <v>0</v>
      </c>
      <c r="E15" s="1926">
        <f>SUM(E16:E19)</f>
        <v>0</v>
      </c>
      <c r="F15" s="1924">
        <f t="shared" ref="F15:F21" si="1">SUM(D15:E15)</f>
        <v>0</v>
      </c>
      <c r="G15" s="30"/>
      <c r="H15" s="30"/>
    </row>
    <row r="16" spans="1:19" ht="15" customHeight="1">
      <c r="A16" s="21"/>
      <c r="B16" s="1885"/>
      <c r="C16" s="2154"/>
      <c r="D16" s="1907"/>
      <c r="E16" s="1906"/>
      <c r="F16" s="1879">
        <f t="shared" si="1"/>
        <v>0</v>
      </c>
    </row>
    <row r="17" spans="1:15" ht="15" customHeight="1">
      <c r="A17" s="21"/>
      <c r="B17" s="1885"/>
      <c r="C17" s="2154"/>
      <c r="D17" s="1905"/>
      <c r="E17" s="1904"/>
      <c r="F17" s="1891">
        <f t="shared" si="1"/>
        <v>0</v>
      </c>
    </row>
    <row r="18" spans="1:15" ht="15" customHeight="1">
      <c r="A18" s="21"/>
      <c r="B18" s="1885"/>
      <c r="C18" s="2154"/>
      <c r="D18" s="1905"/>
      <c r="E18" s="1904"/>
      <c r="F18" s="1891">
        <f t="shared" si="1"/>
        <v>0</v>
      </c>
    </row>
    <row r="19" spans="1:15" ht="15" customHeight="1">
      <c r="A19" s="21"/>
      <c r="B19" s="1885"/>
      <c r="C19" s="2154"/>
      <c r="D19" s="1903"/>
      <c r="E19" s="1902"/>
      <c r="F19" s="1891">
        <f t="shared" si="1"/>
        <v>0</v>
      </c>
    </row>
    <row r="20" spans="1:15" ht="15" customHeight="1">
      <c r="A20" s="21"/>
      <c r="B20" s="1908">
        <f>SUM(B16:B19)</f>
        <v>0</v>
      </c>
      <c r="C20" s="1952"/>
      <c r="D20" s="1954"/>
      <c r="E20" s="1955"/>
      <c r="F20" s="1957"/>
    </row>
    <row r="21" spans="1:15" ht="15" customHeight="1">
      <c r="A21" s="21"/>
      <c r="B21" s="1865"/>
      <c r="C21" s="1910" t="s">
        <v>47</v>
      </c>
      <c r="D21" s="1911">
        <v>0</v>
      </c>
      <c r="E21" s="1926">
        <v>0</v>
      </c>
      <c r="F21" s="1924">
        <f t="shared" si="1"/>
        <v>0</v>
      </c>
      <c r="G21" s="34" t="s">
        <v>7</v>
      </c>
      <c r="N21" s="24"/>
      <c r="O21" s="25"/>
    </row>
    <row r="22" spans="1:15" ht="15" customHeight="1">
      <c r="A22" s="21"/>
      <c r="B22" s="1865"/>
      <c r="C22" s="1876"/>
      <c r="D22" s="1907"/>
      <c r="E22" s="1906"/>
      <c r="F22" s="1879">
        <v>0</v>
      </c>
      <c r="G22" s="35"/>
      <c r="N22" s="24"/>
      <c r="O22" s="25"/>
    </row>
    <row r="23" spans="1:15" ht="15" customHeight="1">
      <c r="A23" s="21"/>
      <c r="B23" s="1865"/>
      <c r="C23" s="1876"/>
      <c r="D23" s="1900"/>
      <c r="E23" s="1899"/>
      <c r="F23" s="1891">
        <v>0</v>
      </c>
    </row>
    <row r="24" spans="1:15" ht="15" customHeight="1">
      <c r="A24" s="21"/>
      <c r="B24" s="1865"/>
      <c r="C24" s="1876"/>
      <c r="D24" s="1898"/>
      <c r="E24" s="1897"/>
      <c r="F24" s="1891">
        <v>0</v>
      </c>
    </row>
    <row r="25" spans="1:15" s="18" customFormat="1" ht="15" customHeight="1">
      <c r="A25" s="29"/>
      <c r="B25" s="1863"/>
      <c r="C25" s="1876"/>
      <c r="D25" s="1896"/>
      <c r="E25" s="1899"/>
      <c r="F25" s="1891">
        <v>0</v>
      </c>
    </row>
    <row r="26" spans="1:15" ht="15" customHeight="1">
      <c r="A26" s="21"/>
      <c r="B26" s="1865"/>
      <c r="C26" s="1877"/>
      <c r="D26" s="1892"/>
      <c r="E26" s="1884"/>
      <c r="F26" s="1892"/>
    </row>
    <row r="27" spans="1:15" s="18" customFormat="1" ht="15" customHeight="1">
      <c r="A27" s="29"/>
      <c r="B27" s="1863"/>
      <c r="C27" s="1910" t="s">
        <v>48</v>
      </c>
      <c r="D27" s="2127">
        <f>SUM(D29:D32)</f>
        <v>0</v>
      </c>
      <c r="E27" s="2128">
        <f>SUM(E29:E32)</f>
        <v>0</v>
      </c>
      <c r="F27" s="1924">
        <f>SUM(F28:F31)</f>
        <v>0</v>
      </c>
    </row>
    <row r="28" spans="1:15" ht="15" customHeight="1">
      <c r="A28" s="21"/>
      <c r="B28" s="1865"/>
      <c r="C28" s="1909" t="s">
        <v>315</v>
      </c>
      <c r="D28" s="1912">
        <v>0.66700000000000004</v>
      </c>
      <c r="E28" s="1913">
        <v>0.68</v>
      </c>
      <c r="F28" s="1949"/>
    </row>
    <row r="29" spans="1:15" ht="15" customHeight="1">
      <c r="A29" s="21"/>
      <c r="B29" s="1865"/>
      <c r="C29" s="1876" t="s">
        <v>778</v>
      </c>
      <c r="D29" s="1971">
        <f>D15*D28</f>
        <v>0</v>
      </c>
      <c r="E29" s="1972">
        <f>E15*E28</f>
        <v>0</v>
      </c>
      <c r="F29" s="1891">
        <v>0</v>
      </c>
    </row>
    <row r="30" spans="1:15" ht="15" customHeight="1">
      <c r="A30" s="21"/>
      <c r="B30" s="1865"/>
      <c r="C30" s="1876" t="s">
        <v>779</v>
      </c>
      <c r="D30" s="1973">
        <f>D21*D28</f>
        <v>0</v>
      </c>
      <c r="E30" s="1972">
        <f>E21*E28</f>
        <v>0</v>
      </c>
      <c r="F30" s="1891"/>
    </row>
    <row r="31" spans="1:15" ht="15" customHeight="1">
      <c r="A31" s="21"/>
      <c r="B31" s="1865"/>
      <c r="C31" s="1901"/>
      <c r="D31" s="1898"/>
      <c r="E31" s="1897"/>
      <c r="F31" s="1889"/>
    </row>
    <row r="32" spans="1:15" ht="15" customHeight="1">
      <c r="A32" s="21"/>
      <c r="B32" s="1865"/>
      <c r="C32" s="1901"/>
      <c r="D32" s="1896"/>
      <c r="E32" s="1899"/>
      <c r="F32" s="1890"/>
    </row>
    <row r="33" spans="1:7" s="1862" customFormat="1" ht="15" customHeight="1">
      <c r="A33" s="1863"/>
      <c r="B33" s="1863"/>
      <c r="C33" s="1952"/>
      <c r="D33" s="1958"/>
      <c r="E33" s="1955"/>
      <c r="F33" s="1958"/>
    </row>
    <row r="34" spans="1:7" ht="24" customHeight="1">
      <c r="A34" s="1831" t="s">
        <v>1738</v>
      </c>
      <c r="B34" s="1865"/>
      <c r="C34" s="1910" t="s">
        <v>49</v>
      </c>
      <c r="D34" s="1911">
        <v>0</v>
      </c>
      <c r="E34" s="1926">
        <v>0</v>
      </c>
      <c r="F34" s="1924">
        <f>SUM(D34:E34)</f>
        <v>0</v>
      </c>
    </row>
    <row r="35" spans="1:7" ht="15" customHeight="1">
      <c r="A35" s="1976" t="s">
        <v>25</v>
      </c>
      <c r="B35" s="1801"/>
      <c r="C35" s="1876"/>
      <c r="D35" s="1971"/>
      <c r="E35" s="1988"/>
      <c r="F35" s="1891">
        <v>0</v>
      </c>
      <c r="G35" s="38"/>
    </row>
    <row r="36" spans="1:7" ht="15" customHeight="1">
      <c r="A36" s="1880">
        <v>18230408</v>
      </c>
      <c r="B36" s="1865"/>
      <c r="C36" s="1876"/>
      <c r="D36" s="1971"/>
      <c r="E36" s="1988"/>
      <c r="F36" s="1891">
        <v>0</v>
      </c>
    </row>
    <row r="37" spans="1:7" s="18" customFormat="1" ht="15" customHeight="1">
      <c r="A37" s="1976" t="s">
        <v>5</v>
      </c>
      <c r="B37" s="1863"/>
      <c r="C37" s="1876"/>
      <c r="D37" s="1971"/>
      <c r="E37" s="1988"/>
      <c r="F37" s="1891">
        <v>0</v>
      </c>
    </row>
    <row r="38" spans="1:7" ht="15" customHeight="1">
      <c r="A38" s="21"/>
      <c r="B38" s="1865"/>
      <c r="C38" s="1876"/>
      <c r="D38" s="1971"/>
      <c r="E38" s="1988"/>
      <c r="F38" s="1891">
        <v>0</v>
      </c>
    </row>
    <row r="39" spans="1:7" s="1862" customFormat="1" ht="15" customHeight="1">
      <c r="A39" s="1863"/>
      <c r="B39" s="1863"/>
      <c r="C39" s="1952"/>
      <c r="D39" s="1958"/>
      <c r="E39" s="1955"/>
      <c r="F39" s="1958"/>
    </row>
    <row r="40" spans="1:7" ht="15" customHeight="1">
      <c r="A40" s="21"/>
      <c r="B40" s="1865"/>
      <c r="C40" s="2106" t="s">
        <v>506</v>
      </c>
      <c r="D40" s="1911">
        <f>SUM(D41:D44)</f>
        <v>0</v>
      </c>
      <c r="E40" s="1926">
        <f>SUM(E41:E44)</f>
        <v>0</v>
      </c>
      <c r="F40" s="1924">
        <f>SUM(D40:E40)</f>
        <v>0</v>
      </c>
    </row>
    <row r="41" spans="1:7" ht="15" customHeight="1">
      <c r="A41" s="21"/>
      <c r="B41" s="1865"/>
      <c r="C41" s="2154"/>
      <c r="D41" s="1971"/>
      <c r="E41" s="1988"/>
      <c r="F41" s="1891">
        <f>SUM(D41:E41)</f>
        <v>0</v>
      </c>
    </row>
    <row r="42" spans="1:7" ht="15" customHeight="1">
      <c r="A42" s="21"/>
      <c r="B42" s="1865"/>
      <c r="C42" s="1876"/>
      <c r="D42" s="1971"/>
      <c r="E42" s="1988"/>
      <c r="F42" s="1891">
        <v>0</v>
      </c>
    </row>
    <row r="43" spans="1:7" s="1862" customFormat="1" ht="15" customHeight="1">
      <c r="A43" s="1863"/>
      <c r="B43" s="1863"/>
      <c r="C43" s="1876"/>
      <c r="D43" s="1971"/>
      <c r="E43" s="1988"/>
      <c r="F43" s="1891">
        <v>0</v>
      </c>
    </row>
    <row r="44" spans="1:7" s="1862" customFormat="1" ht="15" customHeight="1">
      <c r="A44" s="1863"/>
      <c r="B44" s="1863"/>
      <c r="C44" s="1876"/>
      <c r="D44" s="1971"/>
      <c r="E44" s="1988"/>
      <c r="F44" s="1891">
        <v>0</v>
      </c>
    </row>
    <row r="45" spans="1:7" s="1862" customFormat="1" ht="15" customHeight="1">
      <c r="A45" s="1863"/>
      <c r="B45" s="1863"/>
      <c r="C45" s="1952"/>
      <c r="D45" s="1958"/>
      <c r="E45" s="1955"/>
      <c r="F45" s="1958"/>
    </row>
    <row r="46" spans="1:7" s="1862" customFormat="1" ht="15" customHeight="1">
      <c r="A46" s="1863"/>
      <c r="B46" s="1863"/>
      <c r="C46" s="1910" t="s">
        <v>50</v>
      </c>
      <c r="D46" s="2015">
        <f>SUM(D47:D51)</f>
        <v>588990</v>
      </c>
      <c r="E46" s="2016">
        <f>SUM(E47:E51)</f>
        <v>588990</v>
      </c>
      <c r="F46" s="1924">
        <f>SUM(D46:E46)</f>
        <v>1177980</v>
      </c>
      <c r="G46" s="1841"/>
    </row>
    <row r="47" spans="1:7" s="1862" customFormat="1" ht="15" customHeight="1">
      <c r="A47" s="1863"/>
      <c r="B47" s="1863"/>
      <c r="C47" s="2197" t="s">
        <v>828</v>
      </c>
      <c r="D47" s="2202">
        <v>87000</v>
      </c>
      <c r="E47" s="2203">
        <v>87000</v>
      </c>
      <c r="F47" s="1891">
        <f>D47+E47</f>
        <v>174000</v>
      </c>
      <c r="G47" s="1861"/>
    </row>
    <row r="48" spans="1:7" s="2140" customFormat="1" ht="15" customHeight="1">
      <c r="A48" s="2119"/>
      <c r="B48" s="2119"/>
      <c r="C48" s="2197" t="s">
        <v>829</v>
      </c>
      <c r="D48" s="2202">
        <v>87000</v>
      </c>
      <c r="E48" s="2203">
        <v>87000</v>
      </c>
      <c r="F48" s="2122">
        <f>D48+E48</f>
        <v>174000</v>
      </c>
      <c r="G48" s="2141"/>
    </row>
    <row r="49" spans="1:7" s="2177" customFormat="1" ht="15" customHeight="1">
      <c r="A49" s="2178"/>
      <c r="B49" s="2178"/>
      <c r="C49" s="2197" t="s">
        <v>830</v>
      </c>
      <c r="D49" s="2202">
        <v>388890</v>
      </c>
      <c r="E49" s="2203">
        <v>388890</v>
      </c>
      <c r="F49" s="2191"/>
      <c r="G49" s="2193"/>
    </row>
    <row r="50" spans="1:7" ht="15" customHeight="1">
      <c r="A50" s="21"/>
      <c r="B50" s="1865"/>
      <c r="C50" s="2197" t="s">
        <v>214</v>
      </c>
      <c r="D50" s="2202">
        <v>17400</v>
      </c>
      <c r="E50" s="2203">
        <v>17400</v>
      </c>
      <c r="F50" s="2122">
        <f>D50+E50</f>
        <v>34800</v>
      </c>
    </row>
    <row r="51" spans="1:7" ht="15" customHeight="1">
      <c r="A51" s="21"/>
      <c r="B51" s="1865"/>
      <c r="C51" s="2197" t="s">
        <v>215</v>
      </c>
      <c r="D51" s="2202">
        <v>8700</v>
      </c>
      <c r="E51" s="2203">
        <v>8700</v>
      </c>
      <c r="F51" s="2122">
        <f>D51+E51</f>
        <v>17400</v>
      </c>
    </row>
    <row r="52" spans="1:7" s="1862" customFormat="1" ht="15" customHeight="1">
      <c r="A52" s="1863"/>
      <c r="B52" s="1863"/>
      <c r="C52" s="1952"/>
      <c r="D52" s="1958"/>
      <c r="E52" s="1955"/>
      <c r="F52" s="1958"/>
    </row>
    <row r="53" spans="1:7" ht="15" customHeight="1">
      <c r="A53" s="21"/>
      <c r="B53" s="1865"/>
      <c r="C53" s="1910" t="s">
        <v>51</v>
      </c>
      <c r="D53" s="1911">
        <f>SUM(D54:D57)</f>
        <v>0</v>
      </c>
      <c r="E53" s="1926">
        <f>SUM(E54:E57)</f>
        <v>0</v>
      </c>
      <c r="F53" s="1924">
        <f>SUM(D53:E53)</f>
        <v>0</v>
      </c>
    </row>
    <row r="54" spans="1:7" ht="15" customHeight="1">
      <c r="A54" s="21"/>
      <c r="B54" s="1865"/>
      <c r="C54" s="2154"/>
      <c r="D54" s="1971"/>
      <c r="E54" s="1972"/>
      <c r="F54" s="1891">
        <f>SUM(D54:E54)</f>
        <v>0</v>
      </c>
    </row>
    <row r="55" spans="1:7" ht="15" customHeight="1">
      <c r="A55" s="21"/>
      <c r="B55" s="1865"/>
      <c r="C55" s="2154"/>
      <c r="D55" s="1971"/>
      <c r="E55" s="1972"/>
      <c r="F55" s="1891">
        <f>SUM(D55:E55)</f>
        <v>0</v>
      </c>
    </row>
    <row r="56" spans="1:7" ht="15" customHeight="1">
      <c r="A56" s="21"/>
      <c r="B56" s="1865"/>
      <c r="C56" s="1876"/>
      <c r="D56" s="1971"/>
      <c r="E56" s="1972"/>
      <c r="F56" s="1891">
        <v>0</v>
      </c>
    </row>
    <row r="57" spans="1:7" ht="15" customHeight="1">
      <c r="A57" s="21"/>
      <c r="B57" s="1865"/>
      <c r="C57" s="1876"/>
      <c r="D57" s="1971"/>
      <c r="E57" s="1972"/>
      <c r="F57" s="1891">
        <v>0</v>
      </c>
    </row>
    <row r="58" spans="1:7" s="1862" customFormat="1" ht="15" customHeight="1">
      <c r="A58" s="1863"/>
      <c r="B58" s="1863"/>
      <c r="C58" s="1952"/>
      <c r="D58" s="1958"/>
      <c r="E58" s="1955"/>
      <c r="F58" s="1958"/>
    </row>
    <row r="59" spans="1:7" ht="15" customHeight="1">
      <c r="A59" s="21"/>
      <c r="B59" s="1865"/>
      <c r="C59" s="1910" t="s">
        <v>52</v>
      </c>
      <c r="D59" s="2183">
        <f>SUM(D60:D65)</f>
        <v>0</v>
      </c>
      <c r="E59" s="2184">
        <f>SUM(E60:E65)</f>
        <v>0</v>
      </c>
      <c r="F59" s="1924">
        <f>SUM(D59:E59)</f>
        <v>0</v>
      </c>
    </row>
    <row r="60" spans="1:7" ht="15" customHeight="1">
      <c r="A60" s="21"/>
      <c r="B60" s="1865"/>
      <c r="C60" s="2197" t="s">
        <v>213</v>
      </c>
      <c r="D60" s="1971"/>
      <c r="E60" s="1988"/>
      <c r="F60" s="1891">
        <f>D60+E60</f>
        <v>0</v>
      </c>
    </row>
    <row r="61" spans="1:7" ht="15" customHeight="1">
      <c r="A61" s="21"/>
      <c r="B61" s="1865"/>
      <c r="C61" s="2197" t="s">
        <v>216</v>
      </c>
      <c r="D61" s="1971"/>
      <c r="E61" s="1988"/>
      <c r="F61" s="1891">
        <f>D61+E61</f>
        <v>0</v>
      </c>
    </row>
    <row r="62" spans="1:7" s="2177" customFormat="1" ht="15" customHeight="1">
      <c r="A62" s="2178"/>
      <c r="B62" s="2178"/>
      <c r="C62" s="2197" t="s">
        <v>757</v>
      </c>
      <c r="D62" s="2202"/>
      <c r="E62" s="2203"/>
      <c r="F62" s="2191">
        <f t="shared" ref="F62:F65" si="2">D62+E62</f>
        <v>0</v>
      </c>
    </row>
    <row r="63" spans="1:7" s="2177" customFormat="1" ht="15" customHeight="1">
      <c r="A63" s="2178"/>
      <c r="B63" s="2178"/>
      <c r="C63" s="2197" t="s">
        <v>214</v>
      </c>
      <c r="D63" s="2202"/>
      <c r="E63" s="2203"/>
      <c r="F63" s="2191">
        <f t="shared" si="2"/>
        <v>0</v>
      </c>
    </row>
    <row r="64" spans="1:7" ht="15" customHeight="1">
      <c r="A64" s="21"/>
      <c r="B64" s="1865"/>
      <c r="C64" s="2197" t="s">
        <v>215</v>
      </c>
      <c r="D64" s="1971"/>
      <c r="E64" s="1988"/>
      <c r="F64" s="2191">
        <f t="shared" si="2"/>
        <v>0</v>
      </c>
    </row>
    <row r="65" spans="1:7" ht="15" customHeight="1">
      <c r="A65" s="21"/>
      <c r="B65" s="1865"/>
      <c r="C65" s="2197" t="s">
        <v>750</v>
      </c>
      <c r="D65" s="1971"/>
      <c r="E65" s="1988"/>
      <c r="F65" s="2191">
        <f t="shared" si="2"/>
        <v>0</v>
      </c>
      <c r="G65" t="s">
        <v>751</v>
      </c>
    </row>
    <row r="66" spans="1:7">
      <c r="C66" s="1952"/>
      <c r="D66" s="1958"/>
      <c r="E66" s="1955"/>
      <c r="F66" s="1958"/>
    </row>
    <row r="67" spans="1:7">
      <c r="C67" s="1910"/>
      <c r="D67" s="1911"/>
      <c r="E67" s="1926"/>
      <c r="F67" s="1924"/>
    </row>
    <row r="68" spans="1:7">
      <c r="C68" s="1967"/>
      <c r="D68" s="1961"/>
      <c r="E68" s="1962"/>
      <c r="F68" s="1966"/>
    </row>
    <row r="69" spans="1:7">
      <c r="C69" s="1968"/>
      <c r="D69" s="1963"/>
      <c r="E69" s="1964"/>
      <c r="F69" s="1965"/>
    </row>
    <row r="70" spans="1:7">
      <c r="C70" s="1959"/>
      <c r="D70" s="1971"/>
      <c r="E70" s="1971"/>
      <c r="F70" s="1956"/>
    </row>
  </sheetData>
  <customSheetViews>
    <customSheetView guid="{074EB09C-6289-46D7-9513-012B68BCA7BF}"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1"/>
    </customSheetView>
    <customSheetView guid="{D9EFFE19-D14B-4C6F-BDF4-FF696F73968D}"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2"/>
    </customSheetView>
  </customSheetViews>
  <pageMargins left="0.25" right="0.36" top="0.35" bottom="0.39" header="0.3" footer="0.28999999999999998"/>
  <pageSetup paperSize="17" scale="60" orientation="landscape" r:id="rId3"/>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tint="-0.249977111117893"/>
  </sheetPr>
  <dimension ref="B1:V112"/>
  <sheetViews>
    <sheetView zoomScaleNormal="100" workbookViewId="0">
      <pane xSplit="8" ySplit="5" topLeftCell="I34" activePane="bottomRight" state="frozen"/>
      <selection pane="topRight" activeCell="I1" sqref="I1"/>
      <selection pane="bottomLeft" activeCell="A6" sqref="A6"/>
      <selection pane="bottomRight"/>
    </sheetView>
  </sheetViews>
  <sheetFormatPr defaultColWidth="10.7109375" defaultRowHeight="12.75"/>
  <cols>
    <col min="1" max="1" width="3.28515625" customWidth="1"/>
    <col min="2" max="2" width="18.85546875" style="9" customWidth="1"/>
    <col min="3" max="3" width="9.42578125" customWidth="1"/>
    <col min="4" max="4" width="15.28515625" style="2177" customWidth="1"/>
    <col min="5" max="5" width="3.42578125" customWidth="1"/>
    <col min="6" max="6" width="3.42578125" style="2007" customWidth="1"/>
    <col min="7" max="7" width="31.85546875" style="2007" customWidth="1"/>
    <col min="8" max="8" width="21.5703125" customWidth="1"/>
    <col min="9" max="19" width="15.85546875" style="23" customWidth="1"/>
    <col min="20" max="20" width="15.7109375" style="600" customWidth="1"/>
    <col min="21" max="21" width="2" customWidth="1"/>
    <col min="22" max="22" width="50.85546875" customWidth="1"/>
  </cols>
  <sheetData>
    <row r="1" spans="2:22">
      <c r="I1" s="3369">
        <v>5</v>
      </c>
      <c r="J1" s="3369">
        <v>6</v>
      </c>
      <c r="K1" s="3369">
        <v>7</v>
      </c>
      <c r="L1" s="3369">
        <v>8</v>
      </c>
      <c r="M1" s="3369">
        <v>9</v>
      </c>
      <c r="N1" s="3369">
        <v>10</v>
      </c>
      <c r="O1" s="3369">
        <v>11</v>
      </c>
      <c r="P1" s="3369">
        <v>12</v>
      </c>
      <c r="Q1" s="3369">
        <v>13</v>
      </c>
      <c r="R1" s="3369">
        <v>14</v>
      </c>
      <c r="S1" s="3369">
        <v>15</v>
      </c>
      <c r="T1" s="3370">
        <v>16</v>
      </c>
    </row>
    <row r="2" spans="2:22" ht="18">
      <c r="C2" s="551" t="s">
        <v>647</v>
      </c>
      <c r="D2" s="551"/>
    </row>
    <row r="3" spans="2:22" ht="15">
      <c r="C3" s="552" t="s">
        <v>172</v>
      </c>
      <c r="D3" s="552"/>
      <c r="H3" s="1451"/>
      <c r="I3" s="2728" t="s">
        <v>623</v>
      </c>
      <c r="J3" s="2727"/>
    </row>
    <row r="4" spans="2:22" ht="36.75" customHeight="1" thickBot="1">
      <c r="G4" s="2140"/>
      <c r="H4" s="67"/>
      <c r="I4" s="2012" t="s">
        <v>45</v>
      </c>
    </row>
    <row r="5" spans="2:22" s="2192" customFormat="1" ht="36" thickBot="1">
      <c r="B5" s="1844" t="s">
        <v>366</v>
      </c>
      <c r="C5" s="2192" t="s">
        <v>79</v>
      </c>
      <c r="E5" s="3593" t="s">
        <v>728</v>
      </c>
      <c r="F5" s="3593"/>
      <c r="G5" s="3593"/>
      <c r="H5" s="2192" t="s">
        <v>253</v>
      </c>
      <c r="I5" s="2309" t="s">
        <v>8</v>
      </c>
      <c r="J5" s="2310" t="s">
        <v>9</v>
      </c>
      <c r="K5" s="2310" t="s">
        <v>10</v>
      </c>
      <c r="L5" s="2310" t="s">
        <v>11</v>
      </c>
      <c r="M5" s="2310" t="s">
        <v>504</v>
      </c>
      <c r="N5" s="2310" t="s">
        <v>12</v>
      </c>
      <c r="O5" s="2310" t="s">
        <v>13</v>
      </c>
      <c r="P5" s="2310" t="s">
        <v>14</v>
      </c>
      <c r="Q5" s="2310" t="s">
        <v>38</v>
      </c>
      <c r="R5" s="2310" t="s">
        <v>39</v>
      </c>
      <c r="S5" s="2311" t="s">
        <v>16</v>
      </c>
      <c r="T5" s="1873" t="s">
        <v>173</v>
      </c>
      <c r="V5" s="2312" t="s">
        <v>174</v>
      </c>
    </row>
    <row r="6" spans="2:22">
      <c r="C6" t="s">
        <v>78</v>
      </c>
      <c r="H6" s="650"/>
      <c r="I6" s="654"/>
      <c r="J6" s="654"/>
      <c r="K6" s="654"/>
      <c r="L6" s="654"/>
      <c r="M6" s="654"/>
      <c r="N6" s="654"/>
      <c r="O6" s="654"/>
      <c r="P6" s="654"/>
      <c r="Q6" s="654"/>
      <c r="R6" s="654"/>
      <c r="S6" s="654"/>
    </row>
    <row r="7" spans="2:22">
      <c r="B7" s="2259" t="s">
        <v>367</v>
      </c>
      <c r="C7" t="s">
        <v>67</v>
      </c>
      <c r="E7" s="619" t="s">
        <v>175</v>
      </c>
      <c r="H7" s="1340">
        <v>18230611</v>
      </c>
      <c r="I7" s="654">
        <f>VLOOKUP($E7,'2016 Sector View Elect'!$E$7:$T$95,I$1,FALSE)+VLOOKUP($E7, '2017 Sector View Elect'!$E$7:$T$95,I$1,FALSE)</f>
        <v>258666.14899999998</v>
      </c>
      <c r="J7" s="2142">
        <f>VLOOKUP($E7,'2016 Sector View Elect'!$E$7:$T$95,J$1,FALSE)+VLOOKUP($E7, '2017 Sector View Elect'!$E$7:$T$95,J$1,FALSE)</f>
        <v>28800</v>
      </c>
      <c r="K7" s="2142">
        <f>VLOOKUP($E7,'2016 Sector View Elect'!$E$7:$T$95,K$1,FALSE)+VLOOKUP($E7, '2017 Sector View Elect'!$E$7:$T$95,K$1,FALSE)</f>
        <v>193629.207223</v>
      </c>
      <c r="L7" s="2142">
        <f>VLOOKUP($E7,'2016 Sector View Elect'!$E$7:$T$95,L$1,FALSE)+VLOOKUP($E7, '2017 Sector View Elect'!$E$7:$T$95,L$1,FALSE)</f>
        <v>90000</v>
      </c>
      <c r="M7" s="2142">
        <f>VLOOKUP($E7,'2016 Sector View Elect'!$E$7:$T$95,M$1,FALSE)+VLOOKUP($E7, '2017 Sector View Elect'!$E$7:$T$95,M$1,FALSE)</f>
        <v>8000</v>
      </c>
      <c r="N7" s="2142">
        <f>VLOOKUP($E7,'2016 Sector View Elect'!$E$7:$T$95,N$1,FALSE)+VLOOKUP($E7, '2017 Sector View Elect'!$E$7:$T$95,N$1,FALSE)</f>
        <v>31500</v>
      </c>
      <c r="O7" s="2142">
        <f>VLOOKUP($E7,'2016 Sector View Elect'!$E$7:$T$95,O$1,FALSE)+VLOOKUP($E7, '2017 Sector View Elect'!$E$7:$T$95,O$1,FALSE)</f>
        <v>2000</v>
      </c>
      <c r="P7" s="2142">
        <f>VLOOKUP($E7,'2016 Sector View Elect'!$E$7:$T$95,P$1,FALSE)+VLOOKUP($E7, '2017 Sector View Elect'!$E$7:$T$95,P$1,FALSE)</f>
        <v>2000</v>
      </c>
      <c r="Q7" s="2142">
        <f>VLOOKUP($E7,'2016 Sector View Elect'!$E$7:$T$95,Q$1,FALSE)+VLOOKUP($E7, '2017 Sector View Elect'!$E$7:$T$95,Q$1,FALSE)</f>
        <v>6147368.0319999997</v>
      </c>
      <c r="R7" s="2142">
        <f>VLOOKUP($E7,'2016 Sector View Elect'!$E$7:$T$95,R$1,FALSE)+VLOOKUP($E7, '2017 Sector View Elect'!$E$7:$T$95,R$1,FALSE)</f>
        <v>0</v>
      </c>
      <c r="S7" s="2142">
        <f>VLOOKUP($E7,'2016 Sector View Elect'!$E$7:$T$95,S$1,FALSE)+VLOOKUP($E7, '2017 Sector View Elect'!$E$7:$T$95,S$1,FALSE)</f>
        <v>6761963.3882229999</v>
      </c>
      <c r="T7" s="2144">
        <f>VLOOKUP($E7,'2016 Sector View Elect'!$E$7:$T$95,T$1,FALSE)+VLOOKUP($E7, '2017 Sector View Elect'!$E$7:$T$95,T$1,FALSE)</f>
        <v>3120692.12</v>
      </c>
    </row>
    <row r="8" spans="2:22">
      <c r="B8" s="2259" t="s">
        <v>368</v>
      </c>
      <c r="C8" t="s">
        <v>66</v>
      </c>
      <c r="E8" s="2177" t="s">
        <v>1656</v>
      </c>
      <c r="H8" s="1340">
        <v>18230625</v>
      </c>
      <c r="I8" s="2142">
        <f>VLOOKUP($E8,'2016 Sector View Elect'!$E$7:$T$95,I$1,FALSE)+VLOOKUP($E8, '2017 Sector View Elect'!$E$7:$T$95,I$1,FALSE)</f>
        <v>100942.39</v>
      </c>
      <c r="J8" s="2142">
        <f>VLOOKUP($E8,'2016 Sector View Elect'!$E$7:$T$95,J$1,FALSE)+VLOOKUP($E8, '2017 Sector View Elect'!$E$7:$T$95,J$1,FALSE)</f>
        <v>44572.28</v>
      </c>
      <c r="K8" s="2142">
        <f>VLOOKUP($E8,'2016 Sector View Elect'!$E$7:$T$95,K$1,FALSE)+VLOOKUP($E8, '2017 Sector View Elect'!$E$7:$T$95,K$1,FALSE)</f>
        <v>98015.808730000004</v>
      </c>
      <c r="L8" s="2142">
        <f>VLOOKUP($E8,'2016 Sector View Elect'!$E$7:$T$95,L$1,FALSE)+VLOOKUP($E8, '2017 Sector View Elect'!$E$7:$T$95,L$1,FALSE)</f>
        <v>268400</v>
      </c>
      <c r="M8" s="2142">
        <f>VLOOKUP($E8,'2016 Sector View Elect'!$E$7:$T$95,M$1,FALSE)+VLOOKUP($E8, '2017 Sector View Elect'!$E$7:$T$95,M$1,FALSE)</f>
        <v>6000</v>
      </c>
      <c r="N8" s="2142">
        <f>VLOOKUP($E8,'2016 Sector View Elect'!$E$7:$T$95,N$1,FALSE)+VLOOKUP($E8, '2017 Sector View Elect'!$E$7:$T$95,N$1,FALSE)</f>
        <v>130000</v>
      </c>
      <c r="O8" s="2142">
        <f>VLOOKUP($E8,'2016 Sector View Elect'!$E$7:$T$95,O$1,FALSE)+VLOOKUP($E8, '2017 Sector View Elect'!$E$7:$T$95,O$1,FALSE)</f>
        <v>2000</v>
      </c>
      <c r="P8" s="2142">
        <f>VLOOKUP($E8,'2016 Sector View Elect'!$E$7:$T$95,P$1,FALSE)+VLOOKUP($E8, '2017 Sector View Elect'!$E$7:$T$95,P$1,FALSE)</f>
        <v>4000</v>
      </c>
      <c r="Q8" s="2142">
        <f>VLOOKUP($E8,'2016 Sector View Elect'!$E$7:$T$95,Q$1,FALSE)+VLOOKUP($E8, '2017 Sector View Elect'!$E$7:$T$95,Q$1,FALSE)</f>
        <v>3734976</v>
      </c>
      <c r="R8" s="2142">
        <f>VLOOKUP($E8,'2016 Sector View Elect'!$E$7:$T$95,R$1,FALSE)+VLOOKUP($E8, '2017 Sector View Elect'!$E$7:$T$95,R$1,FALSE)</f>
        <v>0</v>
      </c>
      <c r="S8" s="2142">
        <f>VLOOKUP($E8,'2016 Sector View Elect'!$E$7:$T$95,S$1,FALSE)+VLOOKUP($E8, '2017 Sector View Elect'!$E$7:$T$95,S$1,FALSE)</f>
        <v>4388906.4787300006</v>
      </c>
      <c r="T8" s="2144">
        <f>VLOOKUP($E8,'2016 Sector View Elect'!$E$7:$T$95,T$1,FALSE)+VLOOKUP($E8, '2017 Sector View Elect'!$E$7:$T$95,T$1,FALSE)</f>
        <v>6846404</v>
      </c>
    </row>
    <row r="9" spans="2:22">
      <c r="B9" s="2259" t="s">
        <v>369</v>
      </c>
      <c r="C9" t="s">
        <v>66</v>
      </c>
      <c r="E9" s="2177" t="s">
        <v>296</v>
      </c>
      <c r="H9" s="1340">
        <v>18230626</v>
      </c>
      <c r="I9" s="2142">
        <f>VLOOKUP($E9,'2016 Sector View Elect'!$E$7:$T$95,I$1,FALSE)+VLOOKUP($E9, '2017 Sector View Elect'!$E$7:$T$95,I$1,FALSE)</f>
        <v>25694.43</v>
      </c>
      <c r="J9" s="2142">
        <f>VLOOKUP($E9,'2016 Sector View Elect'!$E$7:$T$95,J$1,FALSE)+VLOOKUP($E9, '2017 Sector View Elect'!$E$7:$T$95,J$1,FALSE)</f>
        <v>12156.075000000001</v>
      </c>
      <c r="K9" s="2142">
        <f>VLOOKUP($E9,'2016 Sector View Elect'!$E$7:$T$95,K$1,FALSE)+VLOOKUP($E9, '2017 Sector View Elect'!$E$7:$T$95,K$1,FALSE)</f>
        <v>25495.352859999999</v>
      </c>
      <c r="L9" s="2142">
        <f>VLOOKUP($E9,'2016 Sector View Elect'!$E$7:$T$95,L$1,FALSE)+VLOOKUP($E9, '2017 Sector View Elect'!$E$7:$T$95,L$1,FALSE)</f>
        <v>157500</v>
      </c>
      <c r="M9" s="2142">
        <f>VLOOKUP($E9,'2016 Sector View Elect'!$E$7:$T$95,M$1,FALSE)+VLOOKUP($E9, '2017 Sector View Elect'!$E$7:$T$95,M$1,FALSE)</f>
        <v>2400</v>
      </c>
      <c r="N9" s="2142">
        <f>VLOOKUP($E9,'2016 Sector View Elect'!$E$7:$T$95,N$1,FALSE)+VLOOKUP($E9, '2017 Sector View Elect'!$E$7:$T$95,N$1,FALSE)</f>
        <v>0</v>
      </c>
      <c r="O9" s="2142">
        <f>VLOOKUP($E9,'2016 Sector View Elect'!$E$7:$T$95,O$1,FALSE)+VLOOKUP($E9, '2017 Sector View Elect'!$E$7:$T$95,O$1,FALSE)</f>
        <v>10000</v>
      </c>
      <c r="P9" s="2142">
        <f>VLOOKUP($E9,'2016 Sector View Elect'!$E$7:$T$95,P$1,FALSE)+VLOOKUP($E9, '2017 Sector View Elect'!$E$7:$T$95,P$1,FALSE)</f>
        <v>4800</v>
      </c>
      <c r="Q9" s="2142">
        <f>VLOOKUP($E9,'2016 Sector View Elect'!$E$7:$T$95,Q$1,FALSE)+VLOOKUP($E9, '2017 Sector View Elect'!$E$7:$T$95,Q$1,FALSE)</f>
        <v>580000</v>
      </c>
      <c r="R9" s="2142">
        <f>VLOOKUP($E9,'2016 Sector View Elect'!$E$7:$T$95,R$1,FALSE)+VLOOKUP($E9, '2017 Sector View Elect'!$E$7:$T$95,R$1,FALSE)</f>
        <v>0</v>
      </c>
      <c r="S9" s="2142">
        <f>VLOOKUP($E9,'2016 Sector View Elect'!$E$7:$T$95,S$1,FALSE)+VLOOKUP($E9, '2017 Sector View Elect'!$E$7:$T$95,S$1,FALSE)</f>
        <v>818045.85786000011</v>
      </c>
      <c r="T9" s="2144">
        <f>VLOOKUP($E9,'2016 Sector View Elect'!$E$7:$T$95,T$1,FALSE)+VLOOKUP($E9, '2017 Sector View Elect'!$E$7:$T$95,T$1,FALSE)</f>
        <v>1142600</v>
      </c>
    </row>
    <row r="10" spans="2:22">
      <c r="B10" s="2259" t="s">
        <v>370</v>
      </c>
      <c r="C10" t="s">
        <v>66</v>
      </c>
      <c r="E10" s="2177" t="s">
        <v>303</v>
      </c>
      <c r="H10" s="1340">
        <v>18230627</v>
      </c>
      <c r="I10" s="2142">
        <f>VLOOKUP($E10,'2016 Sector View Elect'!$E$7:$T$95,I$1,FALSE)+VLOOKUP($E10, '2017 Sector View Elect'!$E$7:$T$95,I$1,FALSE)</f>
        <v>110119.20000000001</v>
      </c>
      <c r="J10" s="2142">
        <f>VLOOKUP($E10,'2016 Sector View Elect'!$E$7:$T$95,J$1,FALSE)+VLOOKUP($E10, '2017 Sector View Elect'!$E$7:$T$95,J$1,FALSE)</f>
        <v>48624.3</v>
      </c>
      <c r="K10" s="2142">
        <f>VLOOKUP($E10,'2016 Sector View Elect'!$E$7:$T$95,K$1,FALSE)+VLOOKUP($E10, '2017 Sector View Elect'!$E$7:$T$95,K$1,FALSE)</f>
        <v>106926.4866</v>
      </c>
      <c r="L10" s="2142">
        <f>VLOOKUP($E10,'2016 Sector View Elect'!$E$7:$T$95,L$1,FALSE)+VLOOKUP($E10, '2017 Sector View Elect'!$E$7:$T$95,L$1,FALSE)</f>
        <v>301090</v>
      </c>
      <c r="M10" s="2142">
        <f>VLOOKUP($E10,'2016 Sector View Elect'!$E$7:$T$95,M$1,FALSE)+VLOOKUP($E10, '2017 Sector View Elect'!$E$7:$T$95,M$1,FALSE)</f>
        <v>10604</v>
      </c>
      <c r="N10" s="2142">
        <f>VLOOKUP($E10,'2016 Sector View Elect'!$E$7:$T$95,N$1,FALSE)+VLOOKUP($E10, '2017 Sector View Elect'!$E$7:$T$95,N$1,FALSE)</f>
        <v>170000</v>
      </c>
      <c r="O10" s="2142">
        <f>VLOOKUP($E10,'2016 Sector View Elect'!$E$7:$T$95,O$1,FALSE)+VLOOKUP($E10, '2017 Sector View Elect'!$E$7:$T$95,O$1,FALSE)</f>
        <v>0</v>
      </c>
      <c r="P10" s="2142">
        <f>VLOOKUP($E10,'2016 Sector View Elect'!$E$7:$T$95,P$1,FALSE)+VLOOKUP($E10, '2017 Sector View Elect'!$E$7:$T$95,P$1,FALSE)</f>
        <v>0</v>
      </c>
      <c r="Q10" s="2142">
        <f>VLOOKUP($E10,'2016 Sector View Elect'!$E$7:$T$95,Q$1,FALSE)+VLOOKUP($E10, '2017 Sector View Elect'!$E$7:$T$95,Q$1,FALSE)</f>
        <v>1814095.9999999998</v>
      </c>
      <c r="R10" s="2142">
        <f>VLOOKUP($E10,'2016 Sector View Elect'!$E$7:$T$95,R$1,FALSE)+VLOOKUP($E10, '2017 Sector View Elect'!$E$7:$T$95,R$1,FALSE)</f>
        <v>0</v>
      </c>
      <c r="S10" s="2142">
        <f>VLOOKUP($E10,'2016 Sector View Elect'!$E$7:$T$95,S$1,FALSE)+VLOOKUP($E10, '2017 Sector View Elect'!$E$7:$T$95,S$1,FALSE)</f>
        <v>2561459.9865999995</v>
      </c>
      <c r="T10" s="2144">
        <f>VLOOKUP($E10,'2016 Sector View Elect'!$E$7:$T$95,T$1,FALSE)+VLOOKUP($E10, '2017 Sector View Elect'!$E$7:$T$95,T$1,FALSE)</f>
        <v>6442772.7599999998</v>
      </c>
    </row>
    <row r="11" spans="2:22">
      <c r="B11" s="2259" t="s">
        <v>371</v>
      </c>
      <c r="C11" t="s">
        <v>66</v>
      </c>
      <c r="E11" s="2177" t="s">
        <v>302</v>
      </c>
      <c r="H11" s="1340">
        <v>18230628</v>
      </c>
      <c r="I11" s="2142">
        <f>VLOOKUP($E11,'2016 Sector View Elect'!$E$7:$T$95,I$1,FALSE)+VLOOKUP($E11, '2017 Sector View Elect'!$E$7:$T$95,I$1,FALSE)</f>
        <v>112158.24</v>
      </c>
      <c r="J11" s="2142">
        <f>VLOOKUP($E11,'2016 Sector View Elect'!$E$7:$T$95,J$1,FALSE)+VLOOKUP($E11, '2017 Sector View Elect'!$E$7:$T$95,J$1,FALSE)</f>
        <v>44572.274999999994</v>
      </c>
      <c r="K11" s="2142">
        <f>VLOOKUP($E11,'2016 Sector View Elect'!$E$7:$T$95,K$1,FALSE)+VLOOKUP($E11, '2017 Sector View Elect'!$E$7:$T$95,K$1,FALSE)</f>
        <v>105570.58036000001</v>
      </c>
      <c r="L11" s="2142">
        <f>VLOOKUP($E11,'2016 Sector View Elect'!$E$7:$T$95,L$1,FALSE)+VLOOKUP($E11, '2017 Sector View Elect'!$E$7:$T$95,L$1,FALSE)</f>
        <v>456000</v>
      </c>
      <c r="M11" s="2142">
        <f>VLOOKUP($E11,'2016 Sector View Elect'!$E$7:$T$95,M$1,FALSE)+VLOOKUP($E11, '2017 Sector View Elect'!$E$7:$T$95,M$1,FALSE)</f>
        <v>14400</v>
      </c>
      <c r="N11" s="2142">
        <f>VLOOKUP($E11,'2016 Sector View Elect'!$E$7:$T$95,N$1,FALSE)+VLOOKUP($E11, '2017 Sector View Elect'!$E$7:$T$95,N$1,FALSE)</f>
        <v>0</v>
      </c>
      <c r="O11" s="2142">
        <f>VLOOKUP($E11,'2016 Sector View Elect'!$E$7:$T$95,O$1,FALSE)+VLOOKUP($E11, '2017 Sector View Elect'!$E$7:$T$95,O$1,FALSE)</f>
        <v>34400</v>
      </c>
      <c r="P11" s="2142">
        <f>VLOOKUP($E11,'2016 Sector View Elect'!$E$7:$T$95,P$1,FALSE)+VLOOKUP($E11, '2017 Sector View Elect'!$E$7:$T$95,P$1,FALSE)</f>
        <v>8000</v>
      </c>
      <c r="Q11" s="2142">
        <f>VLOOKUP($E11,'2016 Sector View Elect'!$E$7:$T$95,Q$1,FALSE)+VLOOKUP($E11, '2017 Sector View Elect'!$E$7:$T$95,Q$1,FALSE)</f>
        <v>7444000</v>
      </c>
      <c r="R11" s="2142">
        <f>VLOOKUP($E11,'2016 Sector View Elect'!$E$7:$T$95,R$1,FALSE)+VLOOKUP($E11, '2017 Sector View Elect'!$E$7:$T$95,R$1,FALSE)</f>
        <v>0</v>
      </c>
      <c r="S11" s="2142">
        <f>VLOOKUP($E11,'2016 Sector View Elect'!$E$7:$T$95,S$1,FALSE)+VLOOKUP($E11, '2017 Sector View Elect'!$E$7:$T$95,S$1,FALSE)</f>
        <v>8219101.0953599997</v>
      </c>
      <c r="T11" s="2144">
        <f>VLOOKUP($E11,'2016 Sector View Elect'!$E$7:$T$95,T$1,FALSE)+VLOOKUP($E11, '2017 Sector View Elect'!$E$7:$T$95,T$1,FALSE)</f>
        <v>14567380</v>
      </c>
    </row>
    <row r="12" spans="2:22">
      <c r="B12" s="2259" t="s">
        <v>372</v>
      </c>
      <c r="C12" t="s">
        <v>66</v>
      </c>
      <c r="E12" s="1164" t="s">
        <v>68</v>
      </c>
      <c r="H12" s="1340">
        <v>18230434</v>
      </c>
      <c r="I12" s="2142">
        <f>VLOOKUP($E12,'2016 Sector View Elect'!$E$7:$T$95,I$1,FALSE)+VLOOKUP($E12, '2017 Sector View Elect'!$E$7:$T$95,I$1,FALSE)</f>
        <v>210147.84</v>
      </c>
      <c r="J12" s="2142">
        <f>VLOOKUP($E12,'2016 Sector View Elect'!$E$7:$T$95,J$1,FALSE)+VLOOKUP($E12, '2017 Sector View Elect'!$E$7:$T$95,J$1,FALSE)</f>
        <v>81000</v>
      </c>
      <c r="K12" s="2142">
        <f>VLOOKUP($E12,'2016 Sector View Elect'!$E$7:$T$95,K$1,FALSE)+VLOOKUP($E12, '2017 Sector View Elect'!$E$7:$T$95,K$1,FALSE)</f>
        <v>196111.43072</v>
      </c>
      <c r="L12" s="2142">
        <f>VLOOKUP($E12,'2016 Sector View Elect'!$E$7:$T$95,L$1,FALSE)+VLOOKUP($E12, '2017 Sector View Elect'!$E$7:$T$95,L$1,FALSE)</f>
        <v>777738.73</v>
      </c>
      <c r="M12" s="2142">
        <f>VLOOKUP($E12,'2016 Sector View Elect'!$E$7:$T$95,M$1,FALSE)+VLOOKUP($E12, '2017 Sector View Elect'!$E$7:$T$95,M$1,FALSE)</f>
        <v>12000</v>
      </c>
      <c r="N12" s="2142">
        <f>VLOOKUP($E12,'2016 Sector View Elect'!$E$7:$T$95,N$1,FALSE)+VLOOKUP($E12, '2017 Sector View Elect'!$E$7:$T$95,N$1,FALSE)</f>
        <v>1100000</v>
      </c>
      <c r="O12" s="2142">
        <f>VLOOKUP($E12,'2016 Sector View Elect'!$E$7:$T$95,O$1,FALSE)+VLOOKUP($E12, '2017 Sector View Elect'!$E$7:$T$95,O$1,FALSE)</f>
        <v>56000</v>
      </c>
      <c r="P12" s="2142">
        <f>VLOOKUP($E12,'2016 Sector View Elect'!$E$7:$T$95,P$1,FALSE)+VLOOKUP($E12, '2017 Sector View Elect'!$E$7:$T$95,P$1,FALSE)</f>
        <v>15000</v>
      </c>
      <c r="Q12" s="2142">
        <f>VLOOKUP($E12,'2016 Sector View Elect'!$E$7:$T$95,Q$1,FALSE)+VLOOKUP($E12, '2017 Sector View Elect'!$E$7:$T$95,Q$1,FALSE)</f>
        <v>9145530</v>
      </c>
      <c r="R12" s="2142">
        <f>VLOOKUP($E12,'2016 Sector View Elect'!$E$7:$T$95,R$1,FALSE)+VLOOKUP($E12, '2017 Sector View Elect'!$E$7:$T$95,R$1,FALSE)</f>
        <v>0</v>
      </c>
      <c r="S12" s="2142">
        <f>VLOOKUP($E12,'2016 Sector View Elect'!$E$7:$T$95,S$1,FALSE)+VLOOKUP($E12, '2017 Sector View Elect'!$E$7:$T$95,S$1,FALSE)</f>
        <v>11593528.00072</v>
      </c>
      <c r="T12" s="2144">
        <f>VLOOKUP($E12,'2016 Sector View Elect'!$E$7:$T$95,T$1,FALSE)+VLOOKUP($E12, '2017 Sector View Elect'!$E$7:$T$95,T$1,FALSE)</f>
        <v>20581000</v>
      </c>
    </row>
    <row r="13" spans="2:22">
      <c r="B13" s="2259" t="s">
        <v>373</v>
      </c>
      <c r="C13" t="s">
        <v>66</v>
      </c>
      <c r="E13" s="2177" t="s">
        <v>293</v>
      </c>
      <c r="H13" s="1340">
        <v>18230435</v>
      </c>
      <c r="I13" s="2142">
        <f>VLOOKUP($E13,'2016 Sector View Elect'!$E$7:$T$95,I$1,FALSE)+VLOOKUP($E13, '2017 Sector View Elect'!$E$7:$T$95,I$1,FALSE)</f>
        <v>65665.200000000012</v>
      </c>
      <c r="J13" s="2142">
        <f>VLOOKUP($E13,'2016 Sector View Elect'!$E$7:$T$95,J$1,FALSE)+VLOOKUP($E13, '2017 Sector View Elect'!$E$7:$T$95,J$1,FALSE)</f>
        <v>9720</v>
      </c>
      <c r="K13" s="2142">
        <f>VLOOKUP($E13,'2016 Sector View Elect'!$E$7:$T$95,K$1,FALSE)+VLOOKUP($E13, '2017 Sector View Elect'!$E$7:$T$95,K$1,FALSE)</f>
        <v>50777.942100000007</v>
      </c>
      <c r="L13" s="2142">
        <f>VLOOKUP($E13,'2016 Sector View Elect'!$E$7:$T$95,L$1,FALSE)+VLOOKUP($E13, '2017 Sector View Elect'!$E$7:$T$95,L$1,FALSE)</f>
        <v>167981.86</v>
      </c>
      <c r="M13" s="2142">
        <f>VLOOKUP($E13,'2016 Sector View Elect'!$E$7:$T$95,M$1,FALSE)+VLOOKUP($E13, '2017 Sector View Elect'!$E$7:$T$95,M$1,FALSE)</f>
        <v>2000</v>
      </c>
      <c r="N13" s="2142">
        <f>VLOOKUP($E13,'2016 Sector View Elect'!$E$7:$T$95,N$1,FALSE)+VLOOKUP($E13, '2017 Sector View Elect'!$E$7:$T$95,N$1,FALSE)</f>
        <v>80000</v>
      </c>
      <c r="O13" s="2142">
        <f>VLOOKUP($E13,'2016 Sector View Elect'!$E$7:$T$95,O$1,FALSE)+VLOOKUP($E13, '2017 Sector View Elect'!$E$7:$T$95,O$1,FALSE)</f>
        <v>2000</v>
      </c>
      <c r="P13" s="2142">
        <f>VLOOKUP($E13,'2016 Sector View Elect'!$E$7:$T$95,P$1,FALSE)+VLOOKUP($E13, '2017 Sector View Elect'!$E$7:$T$95,P$1,FALSE)</f>
        <v>1000</v>
      </c>
      <c r="Q13" s="2142">
        <f>VLOOKUP($E13,'2016 Sector View Elect'!$E$7:$T$95,Q$1,FALSE)+VLOOKUP($E13, '2017 Sector View Elect'!$E$7:$T$95,Q$1,FALSE)</f>
        <v>929150</v>
      </c>
      <c r="R13" s="2142">
        <f>VLOOKUP($E13,'2016 Sector View Elect'!$E$7:$T$95,R$1,FALSE)+VLOOKUP($E13, '2017 Sector View Elect'!$E$7:$T$95,R$1,FALSE)</f>
        <v>0</v>
      </c>
      <c r="S13" s="2142">
        <f>VLOOKUP($E13,'2016 Sector View Elect'!$E$7:$T$95,S$1,FALSE)+VLOOKUP($E13, '2017 Sector View Elect'!$E$7:$T$95,S$1,FALSE)</f>
        <v>1308295.0021000002</v>
      </c>
      <c r="T13" s="2144">
        <f>VLOOKUP($E13,'2016 Sector View Elect'!$E$7:$T$95,T$1,FALSE)+VLOOKUP($E13, '2017 Sector View Elect'!$E$7:$T$95,T$1,FALSE)</f>
        <v>9580476</v>
      </c>
    </row>
    <row r="14" spans="2:22">
      <c r="B14" s="2259" t="s">
        <v>374</v>
      </c>
      <c r="C14" t="s">
        <v>66</v>
      </c>
      <c r="E14" t="s">
        <v>80</v>
      </c>
      <c r="H14" s="1340">
        <v>18230440</v>
      </c>
      <c r="I14" s="2142">
        <f>VLOOKUP($E14,'2016 Sector View Elect'!$E$7:$T$95,I$1,FALSE)+VLOOKUP($E14, '2017 Sector View Elect'!$E$7:$T$95,I$1,FALSE)</f>
        <v>440814.75750000001</v>
      </c>
      <c r="J14" s="2142">
        <f>VLOOKUP($E14,'2016 Sector View Elect'!$E$7:$T$95,J$1,FALSE)+VLOOKUP($E14, '2017 Sector View Elect'!$E$7:$T$95,J$1,FALSE)</f>
        <v>210600</v>
      </c>
      <c r="K14" s="2142">
        <f>VLOOKUP($E14,'2016 Sector View Elect'!$E$7:$T$95,K$1,FALSE)+VLOOKUP($E14, '2017 Sector View Elect'!$E$7:$T$95,K$1,FALSE)</f>
        <v>438780.11320000002</v>
      </c>
      <c r="L14" s="2142">
        <f>VLOOKUP($E14,'2016 Sector View Elect'!$E$7:$T$95,L$1,FALSE)+VLOOKUP($E14, '2017 Sector View Elect'!$E$7:$T$95,L$1,FALSE)</f>
        <v>3695012.14</v>
      </c>
      <c r="M14" s="2142">
        <f>VLOOKUP($E14,'2016 Sector View Elect'!$E$7:$T$95,M$1,FALSE)+VLOOKUP($E14, '2017 Sector View Elect'!$E$7:$T$95,M$1,FALSE)</f>
        <v>22000</v>
      </c>
      <c r="N14" s="2142">
        <f>VLOOKUP($E14,'2016 Sector View Elect'!$E$7:$T$95,N$1,FALSE)+VLOOKUP($E14, '2017 Sector View Elect'!$E$7:$T$95,N$1,FALSE)</f>
        <v>3100000</v>
      </c>
      <c r="O14" s="2142">
        <f>VLOOKUP($E14,'2016 Sector View Elect'!$E$7:$T$95,O$1,FALSE)+VLOOKUP($E14, '2017 Sector View Elect'!$E$7:$T$95,O$1,FALSE)</f>
        <v>16500</v>
      </c>
      <c r="P14" s="2142">
        <f>VLOOKUP($E14,'2016 Sector View Elect'!$E$7:$T$95,P$1,FALSE)+VLOOKUP($E14, '2017 Sector View Elect'!$E$7:$T$95,P$1,FALSE)</f>
        <v>40000</v>
      </c>
      <c r="Q14" s="2142">
        <f>VLOOKUP($E14,'2016 Sector View Elect'!$E$7:$T$95,Q$1,FALSE)+VLOOKUP($E14, '2017 Sector View Elect'!$E$7:$T$95,Q$1,FALSE)</f>
        <v>20670750</v>
      </c>
      <c r="R14" s="2142">
        <f>VLOOKUP($E14,'2016 Sector View Elect'!$E$7:$T$95,R$1,FALSE)+VLOOKUP($E14, '2017 Sector View Elect'!$E$7:$T$95,R$1,FALSE)</f>
        <v>0</v>
      </c>
      <c r="S14" s="2142">
        <f>VLOOKUP($E14,'2016 Sector View Elect'!$E$7:$T$95,S$1,FALSE)+VLOOKUP($E14, '2017 Sector View Elect'!$E$7:$T$95,S$1,FALSE)</f>
        <v>28634457.010700002</v>
      </c>
      <c r="T14" s="2144">
        <f>VLOOKUP($E14,'2016 Sector View Elect'!$E$7:$T$95,T$1,FALSE)+VLOOKUP($E14, '2017 Sector View Elect'!$E$7:$T$95,T$1,FALSE)</f>
        <v>142069430</v>
      </c>
    </row>
    <row r="15" spans="2:22" s="2177" customFormat="1">
      <c r="B15" s="2259" t="s">
        <v>583</v>
      </c>
      <c r="C15" s="2177" t="s">
        <v>66</v>
      </c>
      <c r="E15" s="2177" t="s">
        <v>292</v>
      </c>
      <c r="H15" s="2263">
        <v>18230634</v>
      </c>
      <c r="I15" s="2142">
        <f>VLOOKUP($E15,'2016 Sector View Elect'!$E$7:$T$95,I$1,FALSE)+VLOOKUP($E15, '2017 Sector View Elect'!$E$7:$T$95,I$1,FALSE)</f>
        <v>78918.760000000009</v>
      </c>
      <c r="J15" s="2142">
        <f>VLOOKUP($E15,'2016 Sector View Elect'!$E$7:$T$95,J$1,FALSE)+VLOOKUP($E15, '2017 Sector View Elect'!$E$7:$T$95,J$1,FALSE)</f>
        <v>3241.62</v>
      </c>
      <c r="K15" s="2142">
        <f>VLOOKUP($E15,'2016 Sector View Elect'!$E$7:$T$95,K$1,FALSE)+VLOOKUP($E15, '2017 Sector View Elect'!$E$7:$T$95,K$1,FALSE)</f>
        <v>55341.609530000002</v>
      </c>
      <c r="L15" s="2142">
        <f>VLOOKUP($E15,'2016 Sector View Elect'!$E$7:$T$95,L$1,FALSE)+VLOOKUP($E15, '2017 Sector View Elect'!$E$7:$T$95,L$1,FALSE)</f>
        <v>50000</v>
      </c>
      <c r="M15" s="2142">
        <f>VLOOKUP($E15,'2016 Sector View Elect'!$E$7:$T$95,M$1,FALSE)+VLOOKUP($E15, '2017 Sector View Elect'!$E$7:$T$95,M$1,FALSE)</f>
        <v>804</v>
      </c>
      <c r="N15" s="2142">
        <f>VLOOKUP($E15,'2016 Sector View Elect'!$E$7:$T$95,N$1,FALSE)+VLOOKUP($E15, '2017 Sector View Elect'!$E$7:$T$95,N$1,FALSE)</f>
        <v>250000</v>
      </c>
      <c r="O15" s="2142">
        <f>VLOOKUP($E15,'2016 Sector View Elect'!$E$7:$T$95,O$1,FALSE)+VLOOKUP($E15, '2017 Sector View Elect'!$E$7:$T$95,O$1,FALSE)</f>
        <v>1050</v>
      </c>
      <c r="P15" s="2142">
        <f>VLOOKUP($E15,'2016 Sector View Elect'!$E$7:$T$95,P$1,FALSE)+VLOOKUP($E15, '2017 Sector View Elect'!$E$7:$T$95,P$1,FALSE)</f>
        <v>1200</v>
      </c>
      <c r="Q15" s="2142">
        <f>VLOOKUP($E15,'2016 Sector View Elect'!$E$7:$T$95,Q$1,FALSE)+VLOOKUP($E15, '2017 Sector View Elect'!$E$7:$T$95,Q$1,FALSE)</f>
        <v>2407375</v>
      </c>
      <c r="R15" s="2142">
        <f>VLOOKUP($E15,'2016 Sector View Elect'!$E$7:$T$95,R$1,FALSE)+VLOOKUP($E15, '2017 Sector View Elect'!$E$7:$T$95,R$1,FALSE)</f>
        <v>0</v>
      </c>
      <c r="S15" s="2142">
        <f>VLOOKUP($E15,'2016 Sector View Elect'!$E$7:$T$95,S$1,FALSE)+VLOOKUP($E15, '2017 Sector View Elect'!$E$7:$T$95,S$1,FALSE)</f>
        <v>2847930.9895299999</v>
      </c>
      <c r="T15" s="2144">
        <f>VLOOKUP($E15,'2016 Sector View Elect'!$E$7:$T$95,T$1,FALSE)+VLOOKUP($E15, '2017 Sector View Elect'!$E$7:$T$95,T$1,FALSE)</f>
        <v>5837525</v>
      </c>
    </row>
    <row r="16" spans="2:22">
      <c r="B16" s="2259" t="s">
        <v>375</v>
      </c>
      <c r="C16" s="1866" t="s">
        <v>66</v>
      </c>
      <c r="E16" s="2177" t="s">
        <v>290</v>
      </c>
      <c r="H16" s="1340">
        <v>18230461</v>
      </c>
      <c r="I16" s="2142">
        <f>VLOOKUP($E16,'2016 Sector View Elect'!$E$7:$T$95,I$1,FALSE)+VLOOKUP($E16, '2017 Sector View Elect'!$E$7:$T$95,I$1,FALSE)</f>
        <v>7412.75</v>
      </c>
      <c r="J16" s="2142">
        <f>VLOOKUP($E16,'2016 Sector View Elect'!$E$7:$T$95,J$1,FALSE)+VLOOKUP($E16, '2017 Sector View Elect'!$E$7:$T$95,J$1,FALSE)</f>
        <v>0</v>
      </c>
      <c r="K16" s="2142">
        <f>VLOOKUP($E16,'2016 Sector View Elect'!$E$7:$T$95,K$1,FALSE)+VLOOKUP($E16, '2017 Sector View Elect'!$E$7:$T$95,K$1,FALSE)</f>
        <v>4944.3042500000001</v>
      </c>
      <c r="L16" s="2142">
        <f>VLOOKUP($E16,'2016 Sector View Elect'!$E$7:$T$95,L$1,FALSE)+VLOOKUP($E16, '2017 Sector View Elect'!$E$7:$T$95,L$1,FALSE)</f>
        <v>15381.33</v>
      </c>
      <c r="M16" s="2142">
        <f>VLOOKUP($E16,'2016 Sector View Elect'!$E$7:$T$95,M$1,FALSE)+VLOOKUP($E16, '2017 Sector View Elect'!$E$7:$T$95,M$1,FALSE)</f>
        <v>500</v>
      </c>
      <c r="N16" s="2142">
        <f>VLOOKUP($E16,'2016 Sector View Elect'!$E$7:$T$95,N$1,FALSE)+VLOOKUP($E16, '2017 Sector View Elect'!$E$7:$T$95,N$1,FALSE)</f>
        <v>100250</v>
      </c>
      <c r="O16" s="2142">
        <f>VLOOKUP($E16,'2016 Sector View Elect'!$E$7:$T$95,O$1,FALSE)+VLOOKUP($E16, '2017 Sector View Elect'!$E$7:$T$95,O$1,FALSE)</f>
        <v>250</v>
      </c>
      <c r="P16" s="2142">
        <f>VLOOKUP($E16,'2016 Sector View Elect'!$E$7:$T$95,P$1,FALSE)+VLOOKUP($E16, '2017 Sector View Elect'!$E$7:$T$95,P$1,FALSE)</f>
        <v>250</v>
      </c>
      <c r="Q16" s="2142">
        <f>VLOOKUP($E16,'2016 Sector View Elect'!$E$7:$T$95,Q$1,FALSE)+VLOOKUP($E16, '2017 Sector View Elect'!$E$7:$T$95,Q$1,FALSE)</f>
        <v>100232.37</v>
      </c>
      <c r="R16" s="2142">
        <f>VLOOKUP($E16,'2016 Sector View Elect'!$E$7:$T$95,R$1,FALSE)+VLOOKUP($E16, '2017 Sector View Elect'!$E$7:$T$95,R$1,FALSE)</f>
        <v>0</v>
      </c>
      <c r="S16" s="2142">
        <f>VLOOKUP($E16,'2016 Sector View Elect'!$E$7:$T$95,S$1,FALSE)+VLOOKUP($E16, '2017 Sector View Elect'!$E$7:$T$95,S$1,FALSE)</f>
        <v>229220.75425</v>
      </c>
      <c r="T16" s="2144">
        <f>VLOOKUP($E16,'2016 Sector View Elect'!$E$7:$T$95,T$1,FALSE)+VLOOKUP($E16, '2017 Sector View Elect'!$E$7:$T$95,T$1,FALSE)</f>
        <v>5722290</v>
      </c>
    </row>
    <row r="17" spans="2:20" s="2177" customFormat="1">
      <c r="B17" s="2872" t="s">
        <v>1611</v>
      </c>
      <c r="C17" s="2177" t="s">
        <v>66</v>
      </c>
      <c r="E17" s="2177" t="s">
        <v>1083</v>
      </c>
      <c r="H17" s="3116" t="s">
        <v>1494</v>
      </c>
      <c r="I17" s="2142">
        <f>VLOOKUP($E17,'2016 Sector View Elect'!$E$7:$T$95,I$1,FALSE)+VLOOKUP($E17, '2017 Sector View Elect'!$E$7:$T$95,I$1,FALSE)</f>
        <v>46908.11</v>
      </c>
      <c r="J17" s="2142">
        <f>VLOOKUP($E17,'2016 Sector View Elect'!$E$7:$T$95,J$1,FALSE)+VLOOKUP($E17, '2017 Sector View Elect'!$E$7:$T$95,J$1,FALSE)</f>
        <v>5063</v>
      </c>
      <c r="K17" s="2142">
        <f>VLOOKUP($E17,'2016 Sector View Elect'!$E$7:$T$95,K$1,FALSE)+VLOOKUP($E17, '2017 Sector View Elect'!$E$7:$T$95,K$1,FALSE)</f>
        <v>35006.7163</v>
      </c>
      <c r="L17" s="2142">
        <f>VLOOKUP($E17,'2016 Sector View Elect'!$E$7:$T$95,L$1,FALSE)+VLOOKUP($E17, '2017 Sector View Elect'!$E$7:$T$95,L$1,FALSE)</f>
        <v>82742.17</v>
      </c>
      <c r="M17" s="2142">
        <f>VLOOKUP($E17,'2016 Sector View Elect'!$E$7:$T$95,M$1,FALSE)+VLOOKUP($E17, '2017 Sector View Elect'!$E$7:$T$95,M$1,FALSE)</f>
        <v>1000</v>
      </c>
      <c r="N17" s="2142">
        <f>VLOOKUP($E17,'2016 Sector View Elect'!$E$7:$T$95,N$1,FALSE)+VLOOKUP($E17, '2017 Sector View Elect'!$E$7:$T$95,N$1,FALSE)</f>
        <v>140000</v>
      </c>
      <c r="O17" s="2142">
        <f>VLOOKUP($E17,'2016 Sector View Elect'!$E$7:$T$95,O$1,FALSE)+VLOOKUP($E17, '2017 Sector View Elect'!$E$7:$T$95,O$1,FALSE)</f>
        <v>1000</v>
      </c>
      <c r="P17" s="2142">
        <f>VLOOKUP($E17,'2016 Sector View Elect'!$E$7:$T$95,P$1,FALSE)+VLOOKUP($E17, '2017 Sector View Elect'!$E$7:$T$95,P$1,FALSE)</f>
        <v>1000</v>
      </c>
      <c r="Q17" s="2142">
        <f>VLOOKUP($E17,'2016 Sector View Elect'!$E$7:$T$95,Q$1,FALSE)+VLOOKUP($E17, '2017 Sector View Elect'!$E$7:$T$95,Q$1,FALSE)</f>
        <v>300000</v>
      </c>
      <c r="R17" s="2142">
        <f>VLOOKUP($E17,'2016 Sector View Elect'!$E$7:$T$95,R$1,FALSE)+VLOOKUP($E17, '2017 Sector View Elect'!$E$7:$T$95,R$1,FALSE)</f>
        <v>0</v>
      </c>
      <c r="S17" s="2142">
        <f>VLOOKUP($E17,'2016 Sector View Elect'!$E$7:$T$95,S$1,FALSE)+VLOOKUP($E17, '2017 Sector View Elect'!$E$7:$T$95,S$1,FALSE)</f>
        <v>612719.9963</v>
      </c>
      <c r="T17" s="2144">
        <f>VLOOKUP($E17,'2016 Sector View Elect'!$E$7:$T$95,T$1,FALSE)+VLOOKUP($E17, '2017 Sector View Elect'!$E$7:$T$95,T$1,FALSE)</f>
        <v>1696000</v>
      </c>
    </row>
    <row r="18" spans="2:20">
      <c r="B18" s="2259" t="s">
        <v>376</v>
      </c>
      <c r="C18" t="s">
        <v>71</v>
      </c>
      <c r="D18" s="2828" t="s">
        <v>591</v>
      </c>
      <c r="E18" s="2177" t="s">
        <v>189</v>
      </c>
      <c r="H18" s="1340">
        <v>18230405</v>
      </c>
      <c r="I18" s="2142">
        <f>VLOOKUP($E18,'2016 Sector View Elect'!$E$7:$T$95,I$1,FALSE)+VLOOKUP($E18, '2017 Sector View Elect'!$E$7:$T$95,I$1,FALSE)</f>
        <v>27000</v>
      </c>
      <c r="J18" s="2142">
        <f>VLOOKUP($E18,'2016 Sector View Elect'!$E$7:$T$95,J$1,FALSE)+VLOOKUP($E18, '2017 Sector View Elect'!$E$7:$T$95,J$1,FALSE)</f>
        <v>21968.400000000001</v>
      </c>
      <c r="K18" s="2142">
        <f>VLOOKUP($E18,'2016 Sector View Elect'!$E$7:$T$95,K$1,FALSE)+VLOOKUP($E18, '2017 Sector View Elect'!$E$7:$T$95,K$1,FALSE)</f>
        <v>32980.217400000001</v>
      </c>
      <c r="L18" s="2142">
        <f>VLOOKUP($E18,'2016 Sector View Elect'!$E$7:$T$95,L$1,FALSE)+VLOOKUP($E18, '2017 Sector View Elect'!$E$7:$T$95,L$1,FALSE)</f>
        <v>52000</v>
      </c>
      <c r="M18" s="2142">
        <f>VLOOKUP($E18,'2016 Sector View Elect'!$E$7:$T$95,M$1,FALSE)+VLOOKUP($E18, '2017 Sector View Elect'!$E$7:$T$95,M$1,FALSE)</f>
        <v>2000</v>
      </c>
      <c r="N18" s="2142">
        <f>VLOOKUP($E18,'2016 Sector View Elect'!$E$7:$T$95,N$1,FALSE)+VLOOKUP($E18, '2017 Sector View Elect'!$E$7:$T$95,N$1,FALSE)</f>
        <v>5000</v>
      </c>
      <c r="O18" s="2142">
        <f>VLOOKUP($E18,'2016 Sector View Elect'!$E$7:$T$95,O$1,FALSE)+VLOOKUP($E18, '2017 Sector View Elect'!$E$7:$T$95,O$1,FALSE)</f>
        <v>4000</v>
      </c>
      <c r="P18" s="2142">
        <f>VLOOKUP($E18,'2016 Sector View Elect'!$E$7:$T$95,P$1,FALSE)+VLOOKUP($E18, '2017 Sector View Elect'!$E$7:$T$95,P$1,FALSE)</f>
        <v>0</v>
      </c>
      <c r="Q18" s="2142">
        <f>VLOOKUP($E18,'2016 Sector View Elect'!$E$7:$T$95,Q$1,FALSE)+VLOOKUP($E18, '2017 Sector View Elect'!$E$7:$T$95,Q$1,FALSE)</f>
        <v>0</v>
      </c>
      <c r="R18" s="2142">
        <f>VLOOKUP($E18,'2016 Sector View Elect'!$E$7:$T$95,R$1,FALSE)+VLOOKUP($E18, '2017 Sector View Elect'!$E$7:$T$95,R$1,FALSE)</f>
        <v>0</v>
      </c>
      <c r="S18" s="2142">
        <f>VLOOKUP($E18,'2016 Sector View Elect'!$E$7:$T$95,S$1,FALSE)+VLOOKUP($E18, '2017 Sector View Elect'!$E$7:$T$95,S$1,FALSE)</f>
        <v>144948.61739999999</v>
      </c>
      <c r="T18" s="2144">
        <f>VLOOKUP($E18,'2016 Sector View Elect'!$E$7:$T$95,T$1,FALSE)+VLOOKUP($E18, '2017 Sector View Elect'!$E$7:$T$95,T$1,FALSE)</f>
        <v>0</v>
      </c>
    </row>
    <row r="19" spans="2:20">
      <c r="B19" s="2259" t="s">
        <v>377</v>
      </c>
      <c r="C19" t="s">
        <v>71</v>
      </c>
      <c r="D19" s="2828" t="s">
        <v>591</v>
      </c>
      <c r="E19" s="2177" t="s">
        <v>288</v>
      </c>
      <c r="H19" s="1340">
        <v>18230433</v>
      </c>
      <c r="I19" s="2142">
        <f>VLOOKUP($E19,'2016 Sector View Elect'!$E$7:$T$95,I$1,FALSE)+VLOOKUP($E19, '2017 Sector View Elect'!$E$7:$T$95,I$1,FALSE)</f>
        <v>0</v>
      </c>
      <c r="J19" s="2142">
        <f>VLOOKUP($E19,'2016 Sector View Elect'!$E$7:$T$95,J$1,FALSE)+VLOOKUP($E19, '2017 Sector View Elect'!$E$7:$T$95,J$1,FALSE)</f>
        <v>0</v>
      </c>
      <c r="K19" s="2142">
        <f>VLOOKUP($E19,'2016 Sector View Elect'!$E$7:$T$95,K$1,FALSE)+VLOOKUP($E19, '2017 Sector View Elect'!$E$7:$T$95,K$1,FALSE)</f>
        <v>0</v>
      </c>
      <c r="L19" s="2142">
        <f>VLOOKUP($E19,'2016 Sector View Elect'!$E$7:$T$95,L$1,FALSE)+VLOOKUP($E19, '2017 Sector View Elect'!$E$7:$T$95,L$1,FALSE)</f>
        <v>0</v>
      </c>
      <c r="M19" s="2142">
        <f>VLOOKUP($E19,'2016 Sector View Elect'!$E$7:$T$95,M$1,FALSE)+VLOOKUP($E19, '2017 Sector View Elect'!$E$7:$T$95,M$1,FALSE)</f>
        <v>0</v>
      </c>
      <c r="N19" s="2142">
        <f>VLOOKUP($E19,'2016 Sector View Elect'!$E$7:$T$95,N$1,FALSE)+VLOOKUP($E19, '2017 Sector View Elect'!$E$7:$T$95,N$1,FALSE)</f>
        <v>0</v>
      </c>
      <c r="O19" s="2142">
        <f>VLOOKUP($E19,'2016 Sector View Elect'!$E$7:$T$95,O$1,FALSE)+VLOOKUP($E19, '2017 Sector View Elect'!$E$7:$T$95,O$1,FALSE)</f>
        <v>0</v>
      </c>
      <c r="P19" s="2142">
        <f>VLOOKUP($E19,'2016 Sector View Elect'!$E$7:$T$95,P$1,FALSE)+VLOOKUP($E19, '2017 Sector View Elect'!$E$7:$T$95,P$1,FALSE)</f>
        <v>0</v>
      </c>
      <c r="Q19" s="2142">
        <f>VLOOKUP($E19,'2016 Sector View Elect'!$E$7:$T$95,Q$1,FALSE)+VLOOKUP($E19, '2017 Sector View Elect'!$E$7:$T$95,Q$1,FALSE)</f>
        <v>0</v>
      </c>
      <c r="R19" s="2142">
        <f>VLOOKUP($E19,'2016 Sector View Elect'!$E$7:$T$95,R$1,FALSE)+VLOOKUP($E19, '2017 Sector View Elect'!$E$7:$T$95,R$1,FALSE)</f>
        <v>0</v>
      </c>
      <c r="S19" s="2142">
        <f>VLOOKUP($E19,'2016 Sector View Elect'!$E$7:$T$95,S$1,FALSE)+VLOOKUP($E19, '2017 Sector View Elect'!$E$7:$T$95,S$1,FALSE)</f>
        <v>0</v>
      </c>
      <c r="T19" s="2144">
        <f>VLOOKUP($E19,'2016 Sector View Elect'!$E$7:$T$95,T$1,FALSE)+VLOOKUP($E19, '2017 Sector View Elect'!$E$7:$T$95,T$1,FALSE)</f>
        <v>0</v>
      </c>
    </row>
    <row r="20" spans="2:20">
      <c r="B20" s="2259" t="s">
        <v>378</v>
      </c>
      <c r="C20" t="s">
        <v>72</v>
      </c>
      <c r="D20" s="2829"/>
      <c r="E20" t="s">
        <v>73</v>
      </c>
      <c r="H20" s="1340">
        <v>18230612</v>
      </c>
      <c r="I20" s="2142">
        <f>VLOOKUP($E20,'2016 Sector View Elect'!$E$7:$T$95,I$1,FALSE)+VLOOKUP($E20, '2017 Sector View Elect'!$E$7:$T$95,I$1,FALSE)</f>
        <v>100942.6</v>
      </c>
      <c r="J20" s="2142">
        <f>VLOOKUP($E20,'2016 Sector View Elect'!$E$7:$T$95,J$1,FALSE)+VLOOKUP($E20, '2017 Sector View Elect'!$E$7:$T$95,J$1,FALSE)</f>
        <v>32416.199999999997</v>
      </c>
      <c r="K20" s="2142">
        <f>VLOOKUP($E20,'2016 Sector View Elect'!$E$7:$T$95,K$1,FALSE)+VLOOKUP($E20, '2017 Sector View Elect'!$E$7:$T$95,K$1,FALSE)</f>
        <v>89827.854050000009</v>
      </c>
      <c r="L20" s="2142">
        <f>VLOOKUP($E20,'2016 Sector View Elect'!$E$7:$T$95,L$1,FALSE)+VLOOKUP($E20, '2017 Sector View Elect'!$E$7:$T$95,L$1,FALSE)</f>
        <v>170000</v>
      </c>
      <c r="M20" s="2142">
        <f>VLOOKUP($E20,'2016 Sector View Elect'!$E$7:$T$95,M$1,FALSE)+VLOOKUP($E20, '2017 Sector View Elect'!$E$7:$T$95,M$1,FALSE)</f>
        <v>4000</v>
      </c>
      <c r="N20" s="2142">
        <f>VLOOKUP($E20,'2016 Sector View Elect'!$E$7:$T$95,N$1,FALSE)+VLOOKUP($E20, '2017 Sector View Elect'!$E$7:$T$95,N$1,FALSE)</f>
        <v>4000</v>
      </c>
      <c r="O20" s="2142">
        <f>VLOOKUP($E20,'2016 Sector View Elect'!$E$7:$T$95,O$1,FALSE)+VLOOKUP($E20, '2017 Sector View Elect'!$E$7:$T$95,O$1,FALSE)</f>
        <v>2000</v>
      </c>
      <c r="P20" s="2142">
        <f>VLOOKUP($E20,'2016 Sector View Elect'!$E$7:$T$95,P$1,FALSE)+VLOOKUP($E20, '2017 Sector View Elect'!$E$7:$T$95,P$1,FALSE)</f>
        <v>6000</v>
      </c>
      <c r="Q20" s="2142">
        <f>VLOOKUP($E20,'2016 Sector View Elect'!$E$7:$T$95,Q$1,FALSE)+VLOOKUP($E20, '2017 Sector View Elect'!$E$7:$T$95,Q$1,FALSE)</f>
        <v>1261000</v>
      </c>
      <c r="R20" s="2142">
        <f>VLOOKUP($E20,'2016 Sector View Elect'!$E$7:$T$95,R$1,FALSE)+VLOOKUP($E20, '2017 Sector View Elect'!$E$7:$T$95,R$1,FALSE)</f>
        <v>0</v>
      </c>
      <c r="S20" s="2142">
        <f>VLOOKUP($E20,'2016 Sector View Elect'!$E$7:$T$95,S$1,FALSE)+VLOOKUP($E20, '2017 Sector View Elect'!$E$7:$T$95,S$1,FALSE)</f>
        <v>1670186.65405</v>
      </c>
      <c r="T20" s="2144">
        <f>VLOOKUP($E20,'2016 Sector View Elect'!$E$7:$T$95,T$1,FALSE)+VLOOKUP($E20, '2017 Sector View Elect'!$E$7:$T$95,T$1,FALSE)</f>
        <v>3793400</v>
      </c>
    </row>
    <row r="21" spans="2:20">
      <c r="B21" s="2259" t="s">
        <v>379</v>
      </c>
      <c r="C21" t="s">
        <v>74</v>
      </c>
      <c r="D21" s="2829"/>
      <c r="E21" s="2177" t="s">
        <v>350</v>
      </c>
      <c r="H21" s="1340">
        <v>18230407</v>
      </c>
      <c r="I21" s="2142">
        <f>VLOOKUP($E21,'2016 Sector View Elect'!$E$7:$T$95,I$1,FALSE)+VLOOKUP($E21, '2017 Sector View Elect'!$E$7:$T$95,I$1,FALSE)</f>
        <v>389496.9</v>
      </c>
      <c r="J21" s="2142">
        <f>VLOOKUP($E21,'2016 Sector View Elect'!$E$7:$T$95,J$1,FALSE)+VLOOKUP($E21, '2017 Sector View Elect'!$E$7:$T$95,J$1,FALSE)</f>
        <v>80000</v>
      </c>
      <c r="K21" s="2142">
        <f>VLOOKUP($E21,'2016 Sector View Elect'!$E$7:$T$95,K$1,FALSE)+VLOOKUP($E21, '2017 Sector View Elect'!$E$7:$T$95,K$1,FALSE)</f>
        <v>316237.41870000004</v>
      </c>
      <c r="L21" s="2142">
        <f>VLOOKUP($E21,'2016 Sector View Elect'!$E$7:$T$95,L$1,FALSE)+VLOOKUP($E21, '2017 Sector View Elect'!$E$7:$T$95,L$1,FALSE)</f>
        <v>150000</v>
      </c>
      <c r="M21" s="2142">
        <f>VLOOKUP($E21,'2016 Sector View Elect'!$E$7:$T$95,M$1,FALSE)+VLOOKUP($E21, '2017 Sector View Elect'!$E$7:$T$95,M$1,FALSE)</f>
        <v>8000</v>
      </c>
      <c r="N21" s="2142">
        <f>VLOOKUP($E21,'2016 Sector View Elect'!$E$7:$T$95,N$1,FALSE)+VLOOKUP($E21, '2017 Sector View Elect'!$E$7:$T$95,N$1,FALSE)</f>
        <v>2300000</v>
      </c>
      <c r="O21" s="2142">
        <f>VLOOKUP($E21,'2016 Sector View Elect'!$E$7:$T$95,O$1,FALSE)+VLOOKUP($E21, '2017 Sector View Elect'!$E$7:$T$95,O$1,FALSE)</f>
        <v>2000</v>
      </c>
      <c r="P21" s="2142">
        <f>VLOOKUP($E21,'2016 Sector View Elect'!$E$7:$T$95,P$1,FALSE)+VLOOKUP($E21, '2017 Sector View Elect'!$E$7:$T$95,P$1,FALSE)</f>
        <v>2000</v>
      </c>
      <c r="Q21" s="2142">
        <f>VLOOKUP($E21,'2016 Sector View Elect'!$E$7:$T$95,Q$1,FALSE)+VLOOKUP($E21, '2017 Sector View Elect'!$E$7:$T$95,Q$1,FALSE)</f>
        <v>16679364</v>
      </c>
      <c r="R21" s="2142">
        <f>VLOOKUP($E21,'2016 Sector View Elect'!$E$7:$T$95,R$1,FALSE)+VLOOKUP($E21, '2017 Sector View Elect'!$E$7:$T$95,R$1,FALSE)</f>
        <v>0</v>
      </c>
      <c r="S21" s="2142">
        <f>VLOOKUP($E21,'2016 Sector View Elect'!$E$7:$T$95,S$1,FALSE)+VLOOKUP($E21, '2017 Sector View Elect'!$E$7:$T$95,S$1,FALSE)</f>
        <v>19927098.318700001</v>
      </c>
      <c r="T21" s="2144">
        <f>VLOOKUP($E21,'2016 Sector View Elect'!$E$7:$T$95,T$1,FALSE)+VLOOKUP($E21, '2017 Sector View Elect'!$E$7:$T$95,T$1,FALSE)</f>
        <v>36286248</v>
      </c>
    </row>
    <row r="22" spans="2:20">
      <c r="B22" s="2259" t="s">
        <v>380</v>
      </c>
      <c r="C22" t="s">
        <v>75</v>
      </c>
      <c r="D22" s="2828" t="s">
        <v>591</v>
      </c>
      <c r="E22" s="2177" t="s">
        <v>298</v>
      </c>
      <c r="H22" s="1340">
        <v>18230486</v>
      </c>
      <c r="I22" s="2142">
        <f>VLOOKUP($E22,'2016 Sector View Elect'!$E$7:$T$95,I$1,FALSE)+VLOOKUP($E22, '2017 Sector View Elect'!$E$7:$T$95,I$1,FALSE)</f>
        <v>358062</v>
      </c>
      <c r="J22" s="2142">
        <f>VLOOKUP($E22,'2016 Sector View Elect'!$E$7:$T$95,J$1,FALSE)+VLOOKUP($E22, '2017 Sector View Elect'!$E$7:$T$95,J$1,FALSE)</f>
        <v>24000</v>
      </c>
      <c r="K22" s="2142">
        <f>VLOOKUP($E22,'2016 Sector View Elect'!$E$7:$T$95,K$1,FALSE)+VLOOKUP($E22, '2017 Sector View Elect'!$E$7:$T$95,K$1,FALSE)</f>
        <v>257318.75700000001</v>
      </c>
      <c r="L22" s="2142">
        <f>VLOOKUP($E22,'2016 Sector View Elect'!$E$7:$T$95,L$1,FALSE)+VLOOKUP($E22, '2017 Sector View Elect'!$E$7:$T$95,L$1,FALSE)</f>
        <v>60000</v>
      </c>
      <c r="M22" s="2142">
        <f>VLOOKUP($E22,'2016 Sector View Elect'!$E$7:$T$95,M$1,FALSE)+VLOOKUP($E22, '2017 Sector View Elect'!$E$7:$T$95,M$1,FALSE)</f>
        <v>8000</v>
      </c>
      <c r="N22" s="2142">
        <f>VLOOKUP($E22,'2016 Sector View Elect'!$E$7:$T$95,N$1,FALSE)+VLOOKUP($E22, '2017 Sector View Elect'!$E$7:$T$95,N$1,FALSE)</f>
        <v>0</v>
      </c>
      <c r="O22" s="2142">
        <f>VLOOKUP($E22,'2016 Sector View Elect'!$E$7:$T$95,O$1,FALSE)+VLOOKUP($E22, '2017 Sector View Elect'!$E$7:$T$95,O$1,FALSE)</f>
        <v>1000</v>
      </c>
      <c r="P22" s="2142">
        <f>VLOOKUP($E22,'2016 Sector View Elect'!$E$7:$T$95,P$1,FALSE)+VLOOKUP($E22, '2017 Sector View Elect'!$E$7:$T$95,P$1,FALSE)</f>
        <v>1000</v>
      </c>
      <c r="Q22" s="2142">
        <f>VLOOKUP($E22,'2016 Sector View Elect'!$E$7:$T$95,Q$1,FALSE)+VLOOKUP($E22, '2017 Sector View Elect'!$E$7:$T$95,Q$1,FALSE)</f>
        <v>732909.48</v>
      </c>
      <c r="R22" s="2142">
        <f>VLOOKUP($E22,'2016 Sector View Elect'!$E$7:$T$95,R$1,FALSE)+VLOOKUP($E22, '2017 Sector View Elect'!$E$7:$T$95,R$1,FALSE)</f>
        <v>0</v>
      </c>
      <c r="S22" s="2142">
        <f>VLOOKUP($E22,'2016 Sector View Elect'!$E$7:$T$95,S$1,FALSE)+VLOOKUP($E22, '2017 Sector View Elect'!$E$7:$T$95,S$1,FALSE)</f>
        <v>1442290.2370000002</v>
      </c>
      <c r="T22" s="2144">
        <f>VLOOKUP($E22,'2016 Sector View Elect'!$E$7:$T$95,T$1,FALSE)+VLOOKUP($E22, '2017 Sector View Elect'!$E$7:$T$95,T$1,FALSE)</f>
        <v>4000000.1576</v>
      </c>
    </row>
    <row r="23" spans="2:20" s="2064" customFormat="1">
      <c r="B23" s="2011"/>
      <c r="F23" s="2010"/>
      <c r="H23" s="2010" t="s">
        <v>648</v>
      </c>
      <c r="I23" s="2762">
        <f t="shared" ref="I23:T23" si="0">SUM(I7:I22)</f>
        <v>2332949.3265000004</v>
      </c>
      <c r="J23" s="2763">
        <f t="shared" si="0"/>
        <v>646734.15</v>
      </c>
      <c r="K23" s="2763">
        <f t="shared" si="0"/>
        <v>2006963.7990229998</v>
      </c>
      <c r="L23" s="2763">
        <f t="shared" si="0"/>
        <v>6493846.2300000004</v>
      </c>
      <c r="M23" s="2763">
        <f t="shared" si="0"/>
        <v>101708</v>
      </c>
      <c r="N23" s="2763">
        <f t="shared" si="0"/>
        <v>7410750</v>
      </c>
      <c r="O23" s="2763">
        <f t="shared" si="0"/>
        <v>134200</v>
      </c>
      <c r="P23" s="2763">
        <f t="shared" si="0"/>
        <v>86250</v>
      </c>
      <c r="Q23" s="2763">
        <f t="shared" si="0"/>
        <v>71946750.881999999</v>
      </c>
      <c r="R23" s="2763">
        <f t="shared" si="0"/>
        <v>0</v>
      </c>
      <c r="S23" s="2764">
        <f t="shared" si="0"/>
        <v>91160152.387523025</v>
      </c>
      <c r="T23" s="2013">
        <f t="shared" si="0"/>
        <v>261686218.03759998</v>
      </c>
    </row>
    <row r="24" spans="2:20" s="2177" customFormat="1">
      <c r="B24" s="2193"/>
      <c r="H24" s="2005"/>
      <c r="I24" s="2142"/>
      <c r="J24" s="2142"/>
      <c r="K24" s="2142"/>
      <c r="L24" s="2142"/>
      <c r="M24" s="2142"/>
      <c r="N24" s="2142"/>
      <c r="O24" s="2142"/>
      <c r="P24" s="2142"/>
      <c r="Q24" s="3208">
        <f>Q23/S23</f>
        <v>0.78923464910582208</v>
      </c>
      <c r="R24" s="2142"/>
      <c r="S24" s="2142"/>
      <c r="T24" s="2144"/>
    </row>
    <row r="25" spans="2:20" s="2765" customFormat="1" ht="11.25">
      <c r="B25" s="2259"/>
      <c r="H25" s="2766" t="s">
        <v>649</v>
      </c>
      <c r="I25" s="2767">
        <v>2720808.62</v>
      </c>
      <c r="J25" s="2768">
        <v>1006380.5</v>
      </c>
      <c r="K25" s="2768">
        <v>2586833.54128</v>
      </c>
      <c r="L25" s="2768">
        <v>6073085</v>
      </c>
      <c r="M25" s="2768">
        <v>115148.52</v>
      </c>
      <c r="N25" s="2768">
        <v>4726095.9800000004</v>
      </c>
      <c r="O25" s="2768">
        <v>148465.91999999998</v>
      </c>
      <c r="P25" s="2768">
        <v>208501.42</v>
      </c>
      <c r="Q25" s="2768">
        <v>74133155.913500011</v>
      </c>
      <c r="R25" s="2768">
        <v>0</v>
      </c>
      <c r="S25" s="2768">
        <v>91718500</v>
      </c>
      <c r="T25" s="3371">
        <v>263930000</v>
      </c>
    </row>
    <row r="26" spans="2:20">
      <c r="H26" s="650"/>
      <c r="I26" s="654"/>
      <c r="J26" s="654"/>
      <c r="K26" s="654"/>
      <c r="L26" s="654"/>
      <c r="M26" s="654"/>
      <c r="N26" s="654"/>
      <c r="O26" s="654"/>
      <c r="P26" s="654"/>
      <c r="Q26" s="654"/>
      <c r="R26" s="654"/>
      <c r="S26" s="654"/>
    </row>
    <row r="27" spans="2:20">
      <c r="C27" t="s">
        <v>140</v>
      </c>
      <c r="H27" s="650"/>
      <c r="I27" s="654"/>
      <c r="J27" s="654"/>
      <c r="K27" s="654"/>
      <c r="L27" s="654"/>
      <c r="M27" s="654"/>
      <c r="N27" s="654"/>
      <c r="O27" s="654"/>
      <c r="P27" s="654"/>
      <c r="Q27" s="654"/>
      <c r="R27" s="654"/>
      <c r="S27" s="654"/>
    </row>
    <row r="28" spans="2:20">
      <c r="B28" s="2259" t="s">
        <v>381</v>
      </c>
      <c r="C28" s="1164" t="s">
        <v>194</v>
      </c>
      <c r="E28" t="s">
        <v>146</v>
      </c>
      <c r="H28" s="1340">
        <v>18230711</v>
      </c>
      <c r="I28" s="2142">
        <f>VLOOKUP($E28,'2016 Sector View Elect'!$E$7:$T$95,I$1,FALSE)+VLOOKUP($E28, '2017 Sector View Elect'!$E$7:$T$95,I$1,FALSE)</f>
        <v>959171.88535723253</v>
      </c>
      <c r="J28" s="2142">
        <f>VLOOKUP($E28,'2016 Sector View Elect'!$E$7:$T$95,J$1,FALSE)+VLOOKUP($E28, '2017 Sector View Elect'!$E$7:$T$95,J$1,FALSE)</f>
        <v>22961.48</v>
      </c>
      <c r="K28" s="2142">
        <f>VLOOKUP($E28,'2016 Sector View Elect'!$E$7:$T$95,K$1,FALSE)+VLOOKUP($E28, '2017 Sector View Elect'!$E$7:$T$95,K$1,FALSE)</f>
        <v>661469.26478809607</v>
      </c>
      <c r="L28" s="2142">
        <f>VLOOKUP($E28,'2016 Sector View Elect'!$E$7:$T$95,L$1,FALSE)+VLOOKUP($E28, '2017 Sector View Elect'!$E$7:$T$95,L$1,FALSE)</f>
        <v>0</v>
      </c>
      <c r="M28" s="2142">
        <f>VLOOKUP($E28,'2016 Sector View Elect'!$E$7:$T$95,M$1,FALSE)+VLOOKUP($E28, '2017 Sector View Elect'!$E$7:$T$95,M$1,FALSE)</f>
        <v>50000</v>
      </c>
      <c r="N28" s="2142">
        <f>VLOOKUP($E28,'2016 Sector View Elect'!$E$7:$T$95,N$1,FALSE)+VLOOKUP($E28, '2017 Sector View Elect'!$E$7:$T$95,N$1,FALSE)</f>
        <v>2510000</v>
      </c>
      <c r="O28" s="2142">
        <f>VLOOKUP($E28,'2016 Sector View Elect'!$E$7:$T$95,O$1,FALSE)+VLOOKUP($E28, '2017 Sector View Elect'!$E$7:$T$95,O$1,FALSE)</f>
        <v>17000</v>
      </c>
      <c r="P28" s="2142">
        <f>VLOOKUP($E28,'2016 Sector View Elect'!$E$7:$T$95,P$1,FALSE)+VLOOKUP($E28, '2017 Sector View Elect'!$E$7:$T$95,P$1,FALSE)</f>
        <v>0</v>
      </c>
      <c r="Q28" s="2142">
        <f>VLOOKUP($E28,'2016 Sector View Elect'!$E$7:$T$95,Q$1,FALSE)+VLOOKUP($E28, '2017 Sector View Elect'!$E$7:$T$95,Q$1,FALSE)</f>
        <v>11500000</v>
      </c>
      <c r="R28" s="2142">
        <f>VLOOKUP($E28,'2016 Sector View Elect'!$E$7:$T$95,R$1,FALSE)+VLOOKUP($E28, '2017 Sector View Elect'!$E$7:$T$95,R$1,FALSE)</f>
        <v>0</v>
      </c>
      <c r="S28" s="2142">
        <f>VLOOKUP($E28,'2016 Sector View Elect'!$E$7:$T$95,S$1,FALSE)+VLOOKUP($E28, '2017 Sector View Elect'!$E$7:$T$95,S$1,FALSE)</f>
        <v>15720602.63014533</v>
      </c>
      <c r="T28" s="2144">
        <f>VLOOKUP($E28,'2016 Sector View Elect'!$E$7:$T$95,T$1,FALSE)+VLOOKUP($E28, '2017 Sector View Elect'!$E$7:$T$95,T$1,FALSE)</f>
        <v>53000000</v>
      </c>
    </row>
    <row r="29" spans="2:20" s="1761" customFormat="1">
      <c r="B29" s="2259" t="s">
        <v>735</v>
      </c>
      <c r="C29" s="1761" t="s">
        <v>194</v>
      </c>
      <c r="E29" s="1761" t="s">
        <v>698</v>
      </c>
      <c r="H29" s="3212">
        <v>18230724</v>
      </c>
      <c r="I29" s="2142">
        <f>VLOOKUP($E29,'2016 Sector View Elect'!$E$7:$T$95,I$1,FALSE)+VLOOKUP($E29, '2017 Sector View Elect'!$E$7:$T$95,I$1,FALSE)</f>
        <v>3000000</v>
      </c>
      <c r="J29" s="2142">
        <f>VLOOKUP($E29,'2016 Sector View Elect'!$E$7:$T$95,J$1,FALSE)+VLOOKUP($E29, '2017 Sector View Elect'!$E$7:$T$95,J$1,FALSE)</f>
        <v>33783.1</v>
      </c>
      <c r="K29" s="2142">
        <f>VLOOKUP($E29,'2016 Sector View Elect'!$E$7:$T$95,K$1,FALSE)+VLOOKUP($E29, '2017 Sector View Elect'!$E$7:$T$95,K$1,FALSE)</f>
        <v>2020500</v>
      </c>
      <c r="L29" s="2142">
        <f>VLOOKUP($E29,'2016 Sector View Elect'!$E$7:$T$95,L$1,FALSE)+VLOOKUP($E29, '2017 Sector View Elect'!$E$7:$T$95,L$1,FALSE)</f>
        <v>71570</v>
      </c>
      <c r="M29" s="2142">
        <f>VLOOKUP($E29,'2016 Sector View Elect'!$E$7:$T$95,M$1,FALSE)+VLOOKUP($E29, '2017 Sector View Elect'!$E$7:$T$95,M$1,FALSE)</f>
        <v>144724</v>
      </c>
      <c r="N29" s="2142">
        <f>VLOOKUP($E29,'2016 Sector View Elect'!$E$7:$T$95,N$1,FALSE)+VLOOKUP($E29, '2017 Sector View Elect'!$E$7:$T$95,N$1,FALSE)</f>
        <v>80000</v>
      </c>
      <c r="O29" s="2142">
        <f>VLOOKUP($E29,'2016 Sector View Elect'!$E$7:$T$95,O$1,FALSE)+VLOOKUP($E29, '2017 Sector View Elect'!$E$7:$T$95,O$1,FALSE)</f>
        <v>40386</v>
      </c>
      <c r="P29" s="2142">
        <f>VLOOKUP($E29,'2016 Sector View Elect'!$E$7:$T$95,P$1,FALSE)+VLOOKUP($E29, '2017 Sector View Elect'!$E$7:$T$95,P$1,FALSE)</f>
        <v>24000</v>
      </c>
      <c r="Q29" s="2142">
        <f>VLOOKUP($E29,'2016 Sector View Elect'!$E$7:$T$95,Q$1,FALSE)+VLOOKUP($E29, '2017 Sector View Elect'!$E$7:$T$95,Q$1,FALSE)</f>
        <v>16080000</v>
      </c>
      <c r="R29" s="2142">
        <f>VLOOKUP($E29,'2016 Sector View Elect'!$E$7:$T$95,R$1,FALSE)+VLOOKUP($E29, '2017 Sector View Elect'!$E$7:$T$95,R$1,FALSE)</f>
        <v>0</v>
      </c>
      <c r="S29" s="2142">
        <f>VLOOKUP($E29,'2016 Sector View Elect'!$E$7:$T$95,S$1,FALSE)+VLOOKUP($E29, '2017 Sector View Elect'!$E$7:$T$95,S$1,FALSE)</f>
        <v>21494963.100000001</v>
      </c>
      <c r="T29" s="2144">
        <f>VLOOKUP($E29,'2016 Sector View Elect'!$E$7:$T$95,T$1,FALSE)+VLOOKUP($E29, '2017 Sector View Elect'!$E$7:$T$95,T$1,FALSE)</f>
        <v>80600000</v>
      </c>
    </row>
    <row r="30" spans="2:20">
      <c r="B30" s="2259" t="s">
        <v>382</v>
      </c>
      <c r="C30" t="s">
        <v>141</v>
      </c>
      <c r="E30" t="s">
        <v>147</v>
      </c>
      <c r="H30" s="1340">
        <v>18230715</v>
      </c>
      <c r="I30" s="1605">
        <f>VLOOKUP($E30,'2016 Sector View Elect'!$E$7:$T$95,I$1,FALSE)+VLOOKUP($E30, '2017 Sector View Elect'!$E$7:$T$95,I$1,FALSE)</f>
        <v>302400</v>
      </c>
      <c r="J30" s="1605">
        <f>VLOOKUP($E30,'2016 Sector View Elect'!$E$7:$T$95,J$1,FALSE)+VLOOKUP($E30, '2017 Sector View Elect'!$E$7:$T$95,J$1,FALSE)</f>
        <v>24012</v>
      </c>
      <c r="K30" s="1605">
        <f>VLOOKUP($E30,'2016 Sector View Elect'!$E$7:$T$95,K$1,FALSE)+VLOOKUP($E30, '2017 Sector View Elect'!$E$7:$T$95,K$1,FALSE)</f>
        <v>203572.8</v>
      </c>
      <c r="L30" s="1605">
        <f>VLOOKUP($E30,'2016 Sector View Elect'!$E$7:$T$95,L$1,FALSE)+VLOOKUP($E30, '2017 Sector View Elect'!$E$7:$T$95,L$1,FALSE)</f>
        <v>46000</v>
      </c>
      <c r="M30" s="1605">
        <f>VLOOKUP($E30,'2016 Sector View Elect'!$E$7:$T$95,M$1,FALSE)+VLOOKUP($E30, '2017 Sector View Elect'!$E$7:$T$95,M$1,FALSE)</f>
        <v>7000</v>
      </c>
      <c r="N30" s="1605">
        <f>VLOOKUP($E30,'2016 Sector View Elect'!$E$7:$T$95,N$1,FALSE)+VLOOKUP($E30, '2017 Sector View Elect'!$E$7:$T$95,N$1,FALSE)</f>
        <v>230000</v>
      </c>
      <c r="O30" s="1605">
        <f>VLOOKUP($E30,'2016 Sector View Elect'!$E$7:$T$95,O$1,FALSE)+VLOOKUP($E30, '2017 Sector View Elect'!$E$7:$T$95,O$1,FALSE)</f>
        <v>8000</v>
      </c>
      <c r="P30" s="1605">
        <f>VLOOKUP($E30,'2016 Sector View Elect'!$E$7:$T$95,P$1,FALSE)+VLOOKUP($E30, '2017 Sector View Elect'!$E$7:$T$95,P$1,FALSE)</f>
        <v>9000</v>
      </c>
      <c r="Q30" s="1605">
        <f>VLOOKUP($E30,'2016 Sector View Elect'!$E$7:$T$95,Q$1,FALSE)+VLOOKUP($E30, '2017 Sector View Elect'!$E$7:$T$95,Q$1,FALSE)</f>
        <v>3850000</v>
      </c>
      <c r="R30" s="1605">
        <f>VLOOKUP($E30,'2016 Sector View Elect'!$E$7:$T$95,R$1,FALSE)+VLOOKUP($E30, '2017 Sector View Elect'!$E$7:$T$95,R$1,FALSE)</f>
        <v>0</v>
      </c>
      <c r="S30" s="2142">
        <f>VLOOKUP($E30,'2016 Sector View Elect'!$E$7:$T$95,S$1,FALSE)+VLOOKUP($E30, '2017 Sector View Elect'!$E$7:$T$95,S$1,FALSE)</f>
        <v>4679984.8</v>
      </c>
      <c r="T30" s="2144">
        <f>VLOOKUP($E30,'2016 Sector View Elect'!$E$7:$T$95,T$1,FALSE)+VLOOKUP($E30, '2017 Sector View Elect'!$E$7:$T$95,T$1,FALSE)</f>
        <v>17089465</v>
      </c>
    </row>
    <row r="31" spans="2:20">
      <c r="E31" t="s">
        <v>748</v>
      </c>
      <c r="I31" s="23">
        <f>VLOOKUP($E31,'2016 Sector View Elect'!$E$7:$T$95,I$1,FALSE)+VLOOKUP($E31, '2017 Sector View Elect'!$E$7:$T$95,I$1,FALSE)</f>
        <v>871678.05</v>
      </c>
      <c r="J31" s="2142">
        <f>VLOOKUP($E31,'2016 Sector View Elect'!$E$7:$T$95,J$1,FALSE)+VLOOKUP($E31, '2017 Sector View Elect'!$E$7:$T$95,J$1,FALSE)</f>
        <v>1350.6799999999998</v>
      </c>
      <c r="K31" s="2142">
        <f>VLOOKUP($E31,'2016 Sector View Elect'!$E$7:$T$95,K$1,FALSE)+VLOOKUP($E31, '2017 Sector View Elect'!$E$7:$T$95,K$1,FALSE)</f>
        <v>587902.19754000008</v>
      </c>
      <c r="L31" s="2142">
        <f>VLOOKUP($E31,'2016 Sector View Elect'!$E$7:$T$95,L$1,FALSE)+VLOOKUP($E31, '2017 Sector View Elect'!$E$7:$T$95,L$1,FALSE)</f>
        <v>20000</v>
      </c>
      <c r="M31" s="2142">
        <f>VLOOKUP($E31,'2016 Sector View Elect'!$E$7:$T$95,M$1,FALSE)+VLOOKUP($E31, '2017 Sector View Elect'!$E$7:$T$95,M$1,FALSE)</f>
        <v>33000</v>
      </c>
      <c r="N31" s="2142">
        <f>VLOOKUP($E31,'2016 Sector View Elect'!$E$7:$T$95,N$1,FALSE)+VLOOKUP($E31, '2017 Sector View Elect'!$E$7:$T$95,N$1,FALSE)</f>
        <v>2049086</v>
      </c>
      <c r="O31" s="2142">
        <f>VLOOKUP($E31,'2016 Sector View Elect'!$E$7:$T$95,O$1,FALSE)+VLOOKUP($E31, '2017 Sector View Elect'!$E$7:$T$95,O$1,FALSE)</f>
        <v>8000</v>
      </c>
      <c r="P31" s="2142">
        <f>VLOOKUP($E31,'2016 Sector View Elect'!$E$7:$T$95,P$1,FALSE)+VLOOKUP($E31, '2017 Sector View Elect'!$E$7:$T$95,P$1,FALSE)</f>
        <v>20000</v>
      </c>
      <c r="Q31" s="2142">
        <f>VLOOKUP($E31,'2016 Sector View Elect'!$E$7:$T$95,Q$1,FALSE)+VLOOKUP($E31, '2017 Sector View Elect'!$E$7:$T$95,Q$1,FALSE)</f>
        <v>930000</v>
      </c>
      <c r="R31" s="2142">
        <f>VLOOKUP($E31,'2016 Sector View Elect'!$E$7:$T$95,R$1,FALSE)+VLOOKUP($E31, '2017 Sector View Elect'!$E$7:$T$95,R$1,FALSE)</f>
        <v>0</v>
      </c>
      <c r="S31" s="2142">
        <f>VLOOKUP($E31,'2016 Sector View Elect'!$E$7:$T$95,S$1,FALSE)+VLOOKUP($E31, '2017 Sector View Elect'!$E$7:$T$95,S$1,FALSE)</f>
        <v>4521016.9275399996</v>
      </c>
      <c r="T31" s="2144">
        <f>VLOOKUP($E31,'2016 Sector View Elect'!$E$7:$T$95,T$1,FALSE)+VLOOKUP($E31, '2017 Sector View Elect'!$E$7:$T$95,T$1,FALSE)</f>
        <v>44500000</v>
      </c>
    </row>
    <row r="32" spans="2:20" s="2822" customFormat="1">
      <c r="B32" s="2821" t="s">
        <v>383</v>
      </c>
      <c r="C32" s="2822" t="s">
        <v>142</v>
      </c>
      <c r="E32" s="3366" t="s">
        <v>542</v>
      </c>
      <c r="H32" s="2825">
        <v>18230723</v>
      </c>
      <c r="I32" s="2824">
        <f>VLOOKUP($E32,'2016 Sector View Elect'!$E$7:$T$95,I$1,FALSE)+VLOOKUP($E32, '2017 Sector View Elect'!$E$7:$T$95,I$1,FALSE)</f>
        <v>760900</v>
      </c>
      <c r="J32" s="2824">
        <f>VLOOKUP($E32,'2016 Sector View Elect'!$E$7:$T$95,J$1,FALSE)+VLOOKUP($E32, '2017 Sector View Elect'!$E$7:$T$95,J$1,FALSE)</f>
        <v>0</v>
      </c>
      <c r="K32" s="2824">
        <f>VLOOKUP($E32,'2016 Sector View Elect'!$E$7:$T$95,K$1,FALSE)+VLOOKUP($E32, '2017 Sector View Elect'!$E$7:$T$95,K$1,FALSE)</f>
        <v>512525.30000000005</v>
      </c>
      <c r="L32" s="2824">
        <f>VLOOKUP($E32,'2016 Sector View Elect'!$E$7:$T$95,L$1,FALSE)+VLOOKUP($E32, '2017 Sector View Elect'!$E$7:$T$95,L$1,FALSE)</f>
        <v>20000</v>
      </c>
      <c r="M32" s="2824">
        <f>VLOOKUP($E32,'2016 Sector View Elect'!$E$7:$T$95,M$1,FALSE)+VLOOKUP($E32, '2017 Sector View Elect'!$E$7:$T$95,M$1,FALSE)</f>
        <v>30000</v>
      </c>
      <c r="N32" s="2824">
        <f>VLOOKUP($E32,'2016 Sector View Elect'!$E$7:$T$95,N$1,FALSE)+VLOOKUP($E32, '2017 Sector View Elect'!$E$7:$T$95,N$1,FALSE)</f>
        <v>491500</v>
      </c>
      <c r="O32" s="2824">
        <f>VLOOKUP($E32,'2016 Sector View Elect'!$E$7:$T$95,O$1,FALSE)+VLOOKUP($E32, '2017 Sector View Elect'!$E$7:$T$95,O$1,FALSE)</f>
        <v>8000</v>
      </c>
      <c r="P32" s="2824">
        <f>VLOOKUP($E32,'2016 Sector View Elect'!$E$7:$T$95,P$1,FALSE)+VLOOKUP($E32, '2017 Sector View Elect'!$E$7:$T$95,P$1,FALSE)</f>
        <v>20000</v>
      </c>
      <c r="Q32" s="2824">
        <f>VLOOKUP($E32,'2016 Sector View Elect'!$E$7:$T$95,Q$1,FALSE)+VLOOKUP($E32, '2017 Sector View Elect'!$E$7:$T$95,Q$1,FALSE)</f>
        <v>930000</v>
      </c>
      <c r="R32" s="2824">
        <f>VLOOKUP($E32,'2016 Sector View Elect'!$E$7:$T$95,R$1,FALSE)+VLOOKUP($E32, '2017 Sector View Elect'!$E$7:$T$95,R$1,FALSE)</f>
        <v>0</v>
      </c>
      <c r="S32" s="2824">
        <f>VLOOKUP($E32,'2016 Sector View Elect'!$E$7:$T$95,S$1,FALSE)+VLOOKUP($E32, '2017 Sector View Elect'!$E$7:$T$95,S$1,FALSE)</f>
        <v>2772925.3</v>
      </c>
      <c r="T32" s="2826">
        <f>VLOOKUP($E32,'2016 Sector View Elect'!$E$7:$T$95,T$1,FALSE)+VLOOKUP($E32, '2017 Sector View Elect'!$E$7:$T$95,T$1,FALSE)</f>
        <v>28500000</v>
      </c>
    </row>
    <row r="33" spans="2:20" s="2822" customFormat="1">
      <c r="B33" s="2821" t="s">
        <v>1633</v>
      </c>
      <c r="C33" s="2822" t="s">
        <v>142</v>
      </c>
      <c r="E33" s="3366" t="s">
        <v>1627</v>
      </c>
      <c r="H33" s="3116" t="s">
        <v>1615</v>
      </c>
      <c r="I33" s="2824">
        <f>VLOOKUP($E33,'2016 Sector View Elect'!$E$7:$T$95,I$1,FALSE)+VLOOKUP($E33, '2017 Sector View Elect'!$E$7:$T$95,I$1,FALSE)</f>
        <v>0</v>
      </c>
      <c r="J33" s="2824">
        <f>VLOOKUP($E33,'2016 Sector View Elect'!$E$7:$T$95,J$1,FALSE)+VLOOKUP($E33, '2017 Sector View Elect'!$E$7:$T$95,J$1,FALSE)</f>
        <v>0</v>
      </c>
      <c r="K33" s="2824">
        <f>VLOOKUP($E33,'2016 Sector View Elect'!$E$7:$T$95,K$1,FALSE)+VLOOKUP($E33, '2017 Sector View Elect'!$E$7:$T$95,K$1,FALSE)</f>
        <v>0</v>
      </c>
      <c r="L33" s="2824">
        <f>VLOOKUP($E33,'2016 Sector View Elect'!$E$7:$T$95,L$1,FALSE)+VLOOKUP($E33, '2017 Sector View Elect'!$E$7:$T$95,L$1,FALSE)</f>
        <v>0</v>
      </c>
      <c r="M33" s="2824">
        <f>VLOOKUP($E33,'2016 Sector View Elect'!$E$7:$T$95,M$1,FALSE)+VLOOKUP($E33, '2017 Sector View Elect'!$E$7:$T$95,M$1,FALSE)</f>
        <v>0</v>
      </c>
      <c r="N33" s="2824">
        <f>VLOOKUP($E33,'2016 Sector View Elect'!$E$7:$T$95,N$1,FALSE)+VLOOKUP($E33, '2017 Sector View Elect'!$E$7:$T$95,N$1,FALSE)</f>
        <v>1514086</v>
      </c>
      <c r="O33" s="2824">
        <f>VLOOKUP($E33,'2016 Sector View Elect'!$E$7:$T$95,O$1,FALSE)+VLOOKUP($E33, '2017 Sector View Elect'!$E$7:$T$95,O$1,FALSE)</f>
        <v>0</v>
      </c>
      <c r="P33" s="2824">
        <f>VLOOKUP($E33,'2016 Sector View Elect'!$E$7:$T$95,P$1,FALSE)+VLOOKUP($E33, '2017 Sector View Elect'!$E$7:$T$95,P$1,FALSE)</f>
        <v>0</v>
      </c>
      <c r="Q33" s="2824">
        <f>VLOOKUP($E33,'2016 Sector View Elect'!$E$7:$T$95,Q$1,FALSE)+VLOOKUP($E33, '2017 Sector View Elect'!$E$7:$T$95,Q$1,FALSE)</f>
        <v>0</v>
      </c>
      <c r="R33" s="2824">
        <f>VLOOKUP($E33,'2016 Sector View Elect'!$E$7:$T$95,R$1,FALSE)+VLOOKUP($E33, '2017 Sector View Elect'!$E$7:$T$95,R$1,FALSE)</f>
        <v>0</v>
      </c>
      <c r="S33" s="2824">
        <f>VLOOKUP($E33,'2016 Sector View Elect'!$E$7:$T$95,S$1,FALSE)+VLOOKUP($E33, '2017 Sector View Elect'!$E$7:$T$95,S$1,FALSE)</f>
        <v>1514086</v>
      </c>
      <c r="T33" s="2826">
        <f>VLOOKUP($E33,'2016 Sector View Elect'!$E$7:$T$95,T$1,FALSE)+VLOOKUP($E33, '2017 Sector View Elect'!$E$7:$T$95,T$1,FALSE)</f>
        <v>16000000</v>
      </c>
    </row>
    <row r="34" spans="2:20" s="2822" customFormat="1">
      <c r="B34" s="2821" t="s">
        <v>1637</v>
      </c>
      <c r="E34" s="3366" t="s">
        <v>1639</v>
      </c>
      <c r="H34" s="3116" t="s">
        <v>1619</v>
      </c>
      <c r="I34" s="2824">
        <f>VLOOKUP($E34,'2016 Sector View Elect'!$E$7:$T$95,I$1,FALSE)+VLOOKUP($E34, '2017 Sector View Elect'!$E$7:$T$95,I$1,FALSE)</f>
        <v>110778.05</v>
      </c>
      <c r="J34" s="2824">
        <f>VLOOKUP($E34,'2016 Sector View Elect'!$E$7:$T$95,J$1,FALSE)+VLOOKUP($E34, '2017 Sector View Elect'!$E$7:$T$95,J$1,FALSE)</f>
        <v>1350.6799999999998</v>
      </c>
      <c r="K34" s="2824">
        <f>VLOOKUP($E34,'2016 Sector View Elect'!$E$7:$T$95,K$1,FALSE)+VLOOKUP($E34, '2017 Sector View Elect'!$E$7:$T$95,K$1,FALSE)</f>
        <v>75376.897540000005</v>
      </c>
      <c r="L34" s="2824">
        <f>VLOOKUP($E34,'2016 Sector View Elect'!$E$7:$T$95,L$1,FALSE)+VLOOKUP($E34, '2017 Sector View Elect'!$E$7:$T$95,L$1,FALSE)</f>
        <v>0</v>
      </c>
      <c r="M34" s="2824">
        <f>VLOOKUP($E34,'2016 Sector View Elect'!$E$7:$T$95,M$1,FALSE)+VLOOKUP($E34, '2017 Sector View Elect'!$E$7:$T$95,M$1,FALSE)</f>
        <v>3000</v>
      </c>
      <c r="N34" s="2824">
        <f>VLOOKUP($E34,'2016 Sector View Elect'!$E$7:$T$95,N$1,FALSE)+VLOOKUP($E34, '2017 Sector View Elect'!$E$7:$T$95,N$1,FALSE)</f>
        <v>43500</v>
      </c>
      <c r="O34" s="2824">
        <f>VLOOKUP($E34,'2016 Sector View Elect'!$E$7:$T$95,O$1,FALSE)+VLOOKUP($E34, '2017 Sector View Elect'!$E$7:$T$95,O$1,FALSE)</f>
        <v>0</v>
      </c>
      <c r="P34" s="2824">
        <f>VLOOKUP($E34,'2016 Sector View Elect'!$E$7:$T$95,P$1,FALSE)+VLOOKUP($E34, '2017 Sector View Elect'!$E$7:$T$95,P$1,FALSE)</f>
        <v>0</v>
      </c>
      <c r="Q34" s="2824">
        <f>VLOOKUP($E34,'2016 Sector View Elect'!$E$7:$T$95,Q$1,FALSE)+VLOOKUP($E34, '2017 Sector View Elect'!$E$7:$T$95,Q$1,FALSE)</f>
        <v>0</v>
      </c>
      <c r="R34" s="2824">
        <f>VLOOKUP($E34,'2016 Sector View Elect'!$E$7:$T$95,R$1,FALSE)+VLOOKUP($E34, '2017 Sector View Elect'!$E$7:$T$95,R$1,FALSE)</f>
        <v>0</v>
      </c>
      <c r="S34" s="2824">
        <f>VLOOKUP($E34,'2016 Sector View Elect'!$E$7:$T$95,S$1,FALSE)+VLOOKUP($E34, '2017 Sector View Elect'!$E$7:$T$95,S$1,FALSE)</f>
        <v>234005.62753999999</v>
      </c>
      <c r="T34" s="2826">
        <f>VLOOKUP($E34,'2016 Sector View Elect'!$E$7:$T$95,T$1,FALSE)+VLOOKUP($E34, '2017 Sector View Elect'!$E$7:$T$95,T$1,FALSE)</f>
        <v>0</v>
      </c>
    </row>
    <row r="35" spans="2:20">
      <c r="B35" s="2259"/>
      <c r="E35" t="s">
        <v>149</v>
      </c>
      <c r="H35" s="1340"/>
      <c r="I35" s="23">
        <f>VLOOKUP($E35,'2016 Sector View Elect'!$E$7:$T$95,I$1,FALSE)+VLOOKUP($E35, '2017 Sector View Elect'!$E$7:$T$95,I$1,FALSE)</f>
        <v>718828.11464276747</v>
      </c>
      <c r="J35" s="2142">
        <f>VLOOKUP($E35,'2016 Sector View Elect'!$E$7:$T$95,J$1,FALSE)+VLOOKUP($E35, '2017 Sector View Elect'!$E$7:$T$95,J$1,FALSE)</f>
        <v>0</v>
      </c>
      <c r="K35" s="2142">
        <f>VLOOKUP($E35,'2016 Sector View Elect'!$E$7:$T$95,K$1,FALSE)+VLOOKUP($E35, '2017 Sector View Elect'!$E$7:$T$95,K$1,FALSE)</f>
        <v>484130.73521190393</v>
      </c>
      <c r="L35" s="2142">
        <f>VLOOKUP($E35,'2016 Sector View Elect'!$E$7:$T$95,L$1,FALSE)+VLOOKUP($E35, '2017 Sector View Elect'!$E$7:$T$95,L$1,FALSE)</f>
        <v>0</v>
      </c>
      <c r="M35" s="2142">
        <f>VLOOKUP($E35,'2016 Sector View Elect'!$E$7:$T$95,M$1,FALSE)+VLOOKUP($E35, '2017 Sector View Elect'!$E$7:$T$95,M$1,FALSE)</f>
        <v>0</v>
      </c>
      <c r="N35" s="2142">
        <f>VLOOKUP($E35,'2016 Sector View Elect'!$E$7:$T$95,N$1,FALSE)+VLOOKUP($E35, '2017 Sector View Elect'!$E$7:$T$95,N$1,FALSE)</f>
        <v>0</v>
      </c>
      <c r="O35" s="2142">
        <f>VLOOKUP($E35,'2016 Sector View Elect'!$E$7:$T$95,O$1,FALSE)+VLOOKUP($E35, '2017 Sector View Elect'!$E$7:$T$95,O$1,FALSE)</f>
        <v>0</v>
      </c>
      <c r="P35" s="2142">
        <f>VLOOKUP($E35,'2016 Sector View Elect'!$E$7:$T$95,P$1,FALSE)+VLOOKUP($E35, '2017 Sector View Elect'!$E$7:$T$95,P$1,FALSE)</f>
        <v>0</v>
      </c>
      <c r="Q35" s="2142">
        <f>VLOOKUP($E35,'2016 Sector View Elect'!$E$7:$T$95,Q$1,FALSE)+VLOOKUP($E35, '2017 Sector View Elect'!$E$7:$T$95,Q$1,FALSE)</f>
        <v>13700229.163126156</v>
      </c>
      <c r="R35" s="2142">
        <f>VLOOKUP($E35,'2016 Sector View Elect'!$E$7:$T$95,R$1,FALSE)+VLOOKUP($E35, '2017 Sector View Elect'!$E$7:$T$95,R$1,FALSE)</f>
        <v>0</v>
      </c>
      <c r="S35" s="2142">
        <f>VLOOKUP($E35,'2016 Sector View Elect'!$E$7:$T$95,S$1,FALSE)+VLOOKUP($E35, '2017 Sector View Elect'!$E$7:$T$95,S$1,FALSE)</f>
        <v>14903188.012980826</v>
      </c>
      <c r="T35" s="2144">
        <f>VLOOKUP($E35,'2016 Sector View Elect'!$E$7:$T$95,T$1,FALSE)+VLOOKUP($E35, '2017 Sector View Elect'!$E$7:$T$95,T$1,FALSE)</f>
        <v>44608459</v>
      </c>
    </row>
    <row r="36" spans="2:20" s="2822" customFormat="1">
      <c r="B36" s="2821" t="s">
        <v>1626</v>
      </c>
      <c r="C36" s="2822" t="s">
        <v>143</v>
      </c>
      <c r="E36" s="3366" t="s">
        <v>1623</v>
      </c>
      <c r="H36" s="3116">
        <v>18230720</v>
      </c>
      <c r="I36" s="2824">
        <f>VLOOKUP($E36,'2016 Sector View Elect'!$E$7:$T$95,I$1,FALSE)+VLOOKUP($E36, '2017 Sector View Elect'!$E$7:$T$95,I$1,FALSE)</f>
        <v>194367.89503711803</v>
      </c>
      <c r="J36" s="2824">
        <f>VLOOKUP($E36,'2016 Sector View Elect'!$E$7:$T$95,J$1,FALSE)+VLOOKUP($E36, '2017 Sector View Elect'!$E$7:$T$95,J$1,FALSE)</f>
        <v>0</v>
      </c>
      <c r="K36" s="2824">
        <f>VLOOKUP($E36,'2016 Sector View Elect'!$E$7:$T$95,K$1,FALSE)+VLOOKUP($E36, '2017 Sector View Elect'!$E$7:$T$95,K$1,FALSE)</f>
        <v>130906.777307499</v>
      </c>
      <c r="L36" s="2824">
        <f>VLOOKUP($E36,'2016 Sector View Elect'!$E$7:$T$95,L$1,FALSE)+VLOOKUP($E36, '2017 Sector View Elect'!$E$7:$T$95,L$1,FALSE)</f>
        <v>0</v>
      </c>
      <c r="M36" s="2824">
        <f>VLOOKUP($E36,'2016 Sector View Elect'!$E$7:$T$95,M$1,FALSE)+VLOOKUP($E36, '2017 Sector View Elect'!$E$7:$T$95,M$1,FALSE)</f>
        <v>0</v>
      </c>
      <c r="N36" s="2824">
        <f>VLOOKUP($E36,'2016 Sector View Elect'!$E$7:$T$95,N$1,FALSE)+VLOOKUP($E36, '2017 Sector View Elect'!$E$7:$T$95,N$1,FALSE)</f>
        <v>0</v>
      </c>
      <c r="O36" s="2824">
        <f>VLOOKUP($E36,'2016 Sector View Elect'!$E$7:$T$95,O$1,FALSE)+VLOOKUP($E36, '2017 Sector View Elect'!$E$7:$T$95,O$1,FALSE)</f>
        <v>0</v>
      </c>
      <c r="P36" s="2824">
        <f>VLOOKUP($E36,'2016 Sector View Elect'!$E$7:$T$95,P$1,FALSE)+VLOOKUP($E36, '2017 Sector View Elect'!$E$7:$T$95,P$1,FALSE)</f>
        <v>0</v>
      </c>
      <c r="Q36" s="2824">
        <f>VLOOKUP($E36,'2016 Sector View Elect'!$E$7:$T$95,Q$1,FALSE)+VLOOKUP($E36, '2017 Sector View Elect'!$E$7:$T$95,Q$1,FALSE)</f>
        <v>3698555.5631261561</v>
      </c>
      <c r="R36" s="2824">
        <f>VLOOKUP($E36,'2016 Sector View Elect'!$E$7:$T$95,R$1,FALSE)+VLOOKUP($E36, '2017 Sector View Elect'!$E$7:$T$95,R$1,FALSE)</f>
        <v>0</v>
      </c>
      <c r="S36" s="2824">
        <f>VLOOKUP($E36,'2016 Sector View Elect'!$E$7:$T$95,S$1,FALSE)+VLOOKUP($E36, '2017 Sector View Elect'!$E$7:$T$95,S$1,FALSE)</f>
        <v>4023830.2354707727</v>
      </c>
      <c r="T36" s="2826">
        <f>VLOOKUP($E36,'2016 Sector View Elect'!$E$7:$T$95,T$1,FALSE)+VLOOKUP($E36, '2017 Sector View Elect'!$E$7:$T$95,T$1,FALSE)</f>
        <v>12040079</v>
      </c>
    </row>
    <row r="37" spans="2:20" s="2822" customFormat="1">
      <c r="B37" s="2821" t="s">
        <v>1625</v>
      </c>
      <c r="C37" s="2822" t="s">
        <v>143</v>
      </c>
      <c r="E37" s="3366" t="s">
        <v>1624</v>
      </c>
      <c r="H37" s="3116">
        <v>18230721</v>
      </c>
      <c r="I37" s="2824">
        <f>VLOOKUP($E37,'2016 Sector View Elect'!$E$7:$T$95,I$1,FALSE)+VLOOKUP($E37, '2017 Sector View Elect'!$E$7:$T$95,I$1,FALSE)</f>
        <v>524460.21960564947</v>
      </c>
      <c r="J37" s="2824">
        <f>VLOOKUP($E37,'2016 Sector View Elect'!$E$7:$T$95,J$1,FALSE)+VLOOKUP($E37, '2017 Sector View Elect'!$E$7:$T$95,J$1,FALSE)</f>
        <v>0</v>
      </c>
      <c r="K37" s="2824">
        <f>VLOOKUP($E37,'2016 Sector View Elect'!$E$7:$T$95,K$1,FALSE)+VLOOKUP($E37, '2017 Sector View Elect'!$E$7:$T$95,K$1,FALSE)</f>
        <v>353223.95790440496</v>
      </c>
      <c r="L37" s="2824">
        <f>VLOOKUP($E37,'2016 Sector View Elect'!$E$7:$T$95,L$1,FALSE)+VLOOKUP($E37, '2017 Sector View Elect'!$E$7:$T$95,L$1,FALSE)</f>
        <v>0</v>
      </c>
      <c r="M37" s="2824">
        <f>VLOOKUP($E37,'2016 Sector View Elect'!$E$7:$T$95,M$1,FALSE)+VLOOKUP($E37, '2017 Sector View Elect'!$E$7:$T$95,M$1,FALSE)</f>
        <v>0</v>
      </c>
      <c r="N37" s="2824">
        <f>VLOOKUP($E37,'2016 Sector View Elect'!$E$7:$T$95,N$1,FALSE)+VLOOKUP($E37, '2017 Sector View Elect'!$E$7:$T$95,N$1,FALSE)</f>
        <v>0</v>
      </c>
      <c r="O37" s="2824">
        <f>VLOOKUP($E37,'2016 Sector View Elect'!$E$7:$T$95,O$1,FALSE)+VLOOKUP($E37, '2017 Sector View Elect'!$E$7:$T$95,O$1,FALSE)</f>
        <v>0</v>
      </c>
      <c r="P37" s="2824">
        <f>VLOOKUP($E37,'2016 Sector View Elect'!$E$7:$T$95,P$1,FALSE)+VLOOKUP($E37, '2017 Sector View Elect'!$E$7:$T$95,P$1,FALSE)</f>
        <v>0</v>
      </c>
      <c r="Q37" s="2824">
        <f>VLOOKUP($E37,'2016 Sector View Elect'!$E$7:$T$95,Q$1,FALSE)+VLOOKUP($E37, '2017 Sector View Elect'!$E$7:$T$95,Q$1,FALSE)</f>
        <v>10001673.6</v>
      </c>
      <c r="R37" s="2824">
        <f>VLOOKUP($E37,'2016 Sector View Elect'!$E$7:$T$95,R$1,FALSE)+VLOOKUP($E37, '2017 Sector View Elect'!$E$7:$T$95,R$1,FALSE)</f>
        <v>0</v>
      </c>
      <c r="S37" s="2824">
        <f>VLOOKUP($E37,'2016 Sector View Elect'!$E$7:$T$95,S$1,FALSE)+VLOOKUP($E37, '2017 Sector View Elect'!$E$7:$T$95,S$1,FALSE)</f>
        <v>10879357.777510054</v>
      </c>
      <c r="T37" s="2826">
        <f>VLOOKUP($E37,'2016 Sector View Elect'!$E$7:$T$95,T$1,FALSE)+VLOOKUP($E37, '2017 Sector View Elect'!$E$7:$T$95,T$1,FALSE)</f>
        <v>32568380</v>
      </c>
    </row>
    <row r="38" spans="2:20">
      <c r="B38" s="2259" t="s">
        <v>384</v>
      </c>
      <c r="C38" t="s">
        <v>144</v>
      </c>
      <c r="E38" t="s">
        <v>150</v>
      </c>
      <c r="H38" s="1340">
        <v>18230448</v>
      </c>
      <c r="I38" s="1605">
        <f>VLOOKUP($E38,'2016 Sector View Elect'!$E$7:$T$95,I$1,FALSE)+VLOOKUP($E38, '2017 Sector View Elect'!$E$7:$T$95,I$1,FALSE)</f>
        <v>0</v>
      </c>
      <c r="J38" s="1605">
        <f>VLOOKUP($E38,'2016 Sector View Elect'!$E$7:$T$95,J$1,FALSE)+VLOOKUP($E38, '2017 Sector View Elect'!$E$7:$T$95,J$1,FALSE)</f>
        <v>0</v>
      </c>
      <c r="K38" s="1605">
        <f>VLOOKUP($E38,'2016 Sector View Elect'!$E$7:$T$95,K$1,FALSE)+VLOOKUP($E38, '2017 Sector View Elect'!$E$7:$T$95,K$1,FALSE)</f>
        <v>0</v>
      </c>
      <c r="L38" s="1605">
        <f>VLOOKUP($E38,'2016 Sector View Elect'!$E$7:$T$95,L$1,FALSE)+VLOOKUP($E38, '2017 Sector View Elect'!$E$7:$T$95,L$1,FALSE)</f>
        <v>0</v>
      </c>
      <c r="M38" s="1605">
        <f>VLOOKUP($E38,'2016 Sector View Elect'!$E$7:$T$95,M$1,FALSE)+VLOOKUP($E38, '2017 Sector View Elect'!$E$7:$T$95,M$1,FALSE)</f>
        <v>0</v>
      </c>
      <c r="N38" s="1605">
        <f>VLOOKUP($E38,'2016 Sector View Elect'!$E$7:$T$95,N$1,FALSE)+VLOOKUP($E38, '2017 Sector View Elect'!$E$7:$T$95,N$1,FALSE)</f>
        <v>0</v>
      </c>
      <c r="O38" s="1605">
        <f>VLOOKUP($E38,'2016 Sector View Elect'!$E$7:$T$95,O$1,FALSE)+VLOOKUP($E38, '2017 Sector View Elect'!$E$7:$T$95,O$1,FALSE)</f>
        <v>0</v>
      </c>
      <c r="P38" s="1605">
        <f>VLOOKUP($E38,'2016 Sector View Elect'!$E$7:$T$95,P$1,FALSE)+VLOOKUP($E38, '2017 Sector View Elect'!$E$7:$T$95,P$1,FALSE)</f>
        <v>0</v>
      </c>
      <c r="Q38" s="1605">
        <f>VLOOKUP($E38,'2016 Sector View Elect'!$E$7:$T$95,Q$1,FALSE)+VLOOKUP($E38, '2017 Sector View Elect'!$E$7:$T$95,Q$1,FALSE)</f>
        <v>0</v>
      </c>
      <c r="R38" s="1605">
        <f>VLOOKUP($E38,'2016 Sector View Elect'!$E$7:$T$95,R$1,FALSE)+VLOOKUP($E38, '2017 Sector View Elect'!$E$7:$T$95,R$1,FALSE)</f>
        <v>0</v>
      </c>
      <c r="S38" s="2142">
        <f>VLOOKUP($E38,'2016 Sector View Elect'!$E$7:$T$95,S$1,FALSE)+VLOOKUP($E38, '2017 Sector View Elect'!$E$7:$T$95,S$1,FALSE)</f>
        <v>0</v>
      </c>
      <c r="T38" s="2826">
        <f>VLOOKUP($E38,'2016 Sector View Elect'!$E$7:$T$95,T$1,FALSE)+VLOOKUP($E38, '2017 Sector View Elect'!$E$7:$T$95,T$1,FALSE)</f>
        <v>0</v>
      </c>
    </row>
    <row r="39" spans="2:20">
      <c r="B39" s="2259"/>
      <c r="C39" t="s">
        <v>145</v>
      </c>
      <c r="E39" t="s">
        <v>151</v>
      </c>
      <c r="H39" s="1340"/>
      <c r="I39" s="1605">
        <f>VLOOKUP($E39,'2016 Sector View Elect'!$E$7:$T$95,I$1,FALSE)+VLOOKUP($E39, '2017 Sector View Elect'!$E$7:$T$95,I$1,FALSE)</f>
        <v>689904.94500000007</v>
      </c>
      <c r="J39" s="2142">
        <f>VLOOKUP($E39,'2016 Sector View Elect'!$E$7:$T$95,J$1,FALSE)+VLOOKUP($E39, '2017 Sector View Elect'!$E$7:$T$95,J$1,FALSE)</f>
        <v>115085.36874999999</v>
      </c>
      <c r="K39" s="2142">
        <f>VLOOKUP($E39,'2016 Sector View Elect'!$E$7:$T$95,K$1,FALSE)+VLOOKUP($E39, '2017 Sector View Elect'!$E$7:$T$95,K$1,FALSE)</f>
        <v>542246.79668000003</v>
      </c>
      <c r="L39" s="2142">
        <f>VLOOKUP($E39,'2016 Sector View Elect'!$E$7:$T$95,L$1,FALSE)+VLOOKUP($E39, '2017 Sector View Elect'!$E$7:$T$95,L$1,FALSE)</f>
        <v>305000</v>
      </c>
      <c r="M39" s="2142">
        <f>VLOOKUP($E39,'2016 Sector View Elect'!$E$7:$T$95,M$1,FALSE)+VLOOKUP($E39, '2017 Sector View Elect'!$E$7:$T$95,M$1,FALSE)</f>
        <v>52950</v>
      </c>
      <c r="N39" s="2142">
        <f>VLOOKUP($E39,'2016 Sector View Elect'!$E$7:$T$95,N$1,FALSE)+VLOOKUP($E39, '2017 Sector View Elect'!$E$7:$T$95,N$1,FALSE)</f>
        <v>752608</v>
      </c>
      <c r="O39" s="2142">
        <f>VLOOKUP($E39,'2016 Sector View Elect'!$E$7:$T$95,O$1,FALSE)+VLOOKUP($E39, '2017 Sector View Elect'!$E$7:$T$95,O$1,FALSE)</f>
        <v>23080</v>
      </c>
      <c r="P39" s="2142">
        <f>VLOOKUP($E39,'2016 Sector View Elect'!$E$7:$T$95,P$1,FALSE)+VLOOKUP($E39, '2017 Sector View Elect'!$E$7:$T$95,P$1,FALSE)</f>
        <v>2009391</v>
      </c>
      <c r="Q39" s="2142">
        <f>VLOOKUP($E39,'2016 Sector View Elect'!$E$7:$T$95,Q$1,FALSE)+VLOOKUP($E39, '2017 Sector View Elect'!$E$7:$T$95,Q$1,FALSE)</f>
        <v>9821759.0354200006</v>
      </c>
      <c r="R39" s="2142">
        <f>VLOOKUP($E39,'2016 Sector View Elect'!$E$7:$T$95,R$1,FALSE)+VLOOKUP($E39, '2017 Sector View Elect'!$E$7:$T$95,R$1,FALSE)</f>
        <v>0</v>
      </c>
      <c r="S39" s="2142">
        <f>VLOOKUP($E39,'2016 Sector View Elect'!$E$7:$T$95,S$1,FALSE)+VLOOKUP($E39, '2017 Sector View Elect'!$E$7:$T$95,S$1,FALSE)</f>
        <v>14312025.145850001</v>
      </c>
      <c r="T39" s="2144">
        <f>VLOOKUP($E39,'2016 Sector View Elect'!$E$7:$T$95,T$1,FALSE)+VLOOKUP($E39, '2017 Sector View Elect'!$E$7:$T$95,T$1,FALSE)</f>
        <v>60305477.600000001</v>
      </c>
    </row>
    <row r="40" spans="2:20" s="2822" customFormat="1">
      <c r="B40" s="2821" t="s">
        <v>729</v>
      </c>
      <c r="C40" s="2822" t="s">
        <v>145</v>
      </c>
      <c r="E40" s="3366" t="s">
        <v>657</v>
      </c>
      <c r="H40" s="2823">
        <v>18230714</v>
      </c>
      <c r="I40" s="2824">
        <f>VLOOKUP($E40,'2016 Sector View Elect'!$E$7:$T$95,I$1,FALSE)+VLOOKUP($E40, '2017 Sector View Elect'!$E$7:$T$95,I$1,FALSE)</f>
        <v>243922.185</v>
      </c>
      <c r="J40" s="2824">
        <f>VLOOKUP($E40,'2016 Sector View Elect'!$E$7:$T$95,J$1,FALSE)+VLOOKUP($E40, '2017 Sector View Elect'!$E$7:$T$95,J$1,FALSE)</f>
        <v>40500</v>
      </c>
      <c r="K40" s="2824">
        <f>VLOOKUP($E40,'2016 Sector View Elect'!$E$7:$T$95,K$1,FALSE)+VLOOKUP($E40, '2017 Sector View Elect'!$E$7:$T$95,K$1,FALSE)</f>
        <v>191581.16560000001</v>
      </c>
      <c r="L40" s="2824">
        <f>VLOOKUP($E40,'2016 Sector View Elect'!$E$7:$T$95,L$1,FALSE)+VLOOKUP($E40, '2017 Sector View Elect'!$E$7:$T$95,L$1,FALSE)</f>
        <v>100000</v>
      </c>
      <c r="M40" s="2824">
        <f>VLOOKUP($E40,'2016 Sector View Elect'!$E$7:$T$95,M$1,FALSE)+VLOOKUP($E40, '2017 Sector View Elect'!$E$7:$T$95,M$1,FALSE)</f>
        <v>5500</v>
      </c>
      <c r="N40" s="2824">
        <f>VLOOKUP($E40,'2016 Sector View Elect'!$E$7:$T$95,N$1,FALSE)+VLOOKUP($E40, '2017 Sector View Elect'!$E$7:$T$95,N$1,FALSE)</f>
        <v>380000</v>
      </c>
      <c r="O40" s="2824">
        <f>VLOOKUP($E40,'2016 Sector View Elect'!$E$7:$T$95,O$1,FALSE)+VLOOKUP($E40, '2017 Sector View Elect'!$E$7:$T$95,O$1,FALSE)</f>
        <v>5600</v>
      </c>
      <c r="P40" s="2824">
        <f>VLOOKUP($E40,'2016 Sector View Elect'!$E$7:$T$95,P$1,FALSE)+VLOOKUP($E40, '2017 Sector View Elect'!$E$7:$T$95,P$1,FALSE)</f>
        <v>1000</v>
      </c>
      <c r="Q40" s="2824">
        <f>VLOOKUP($E40,'2016 Sector View Elect'!$E$7:$T$95,Q$1,FALSE)+VLOOKUP($E40, '2017 Sector View Elect'!$E$7:$T$95,Q$1,FALSE)</f>
        <v>1640183</v>
      </c>
      <c r="R40" s="2824">
        <f>VLOOKUP($E40,'2016 Sector View Elect'!$E$7:$T$95,R$1,FALSE)+VLOOKUP($E40, '2017 Sector View Elect'!$E$7:$T$95,R$1,FALSE)</f>
        <v>0</v>
      </c>
      <c r="S40" s="2824">
        <f>VLOOKUP($E40,'2016 Sector View Elect'!$E$7:$T$95,S$1,FALSE)+VLOOKUP($E40, '2017 Sector View Elect'!$E$7:$T$95,S$1,FALSE)</f>
        <v>2608286.3506</v>
      </c>
      <c r="T40" s="2826">
        <f>VLOOKUP($E40,'2016 Sector View Elect'!$E$7:$T$95,T$1,FALSE)+VLOOKUP($E40, '2017 Sector View Elect'!$E$7:$T$95,T$1,FALSE)</f>
        <v>19984846</v>
      </c>
    </row>
    <row r="41" spans="2:20" s="2822" customFormat="1">
      <c r="B41" s="2821" t="s">
        <v>730</v>
      </c>
      <c r="C41" s="2822" t="s">
        <v>145</v>
      </c>
      <c r="E41" s="3366" t="s">
        <v>658</v>
      </c>
      <c r="H41" s="2823">
        <v>18230716</v>
      </c>
      <c r="I41" s="2824">
        <f>VLOOKUP($E41,'2016 Sector View Elect'!$E$7:$T$95,I$1,FALSE)+VLOOKUP($E41, '2017 Sector View Elect'!$E$7:$T$95,I$1,FALSE)</f>
        <v>69742.16</v>
      </c>
      <c r="J41" s="2824">
        <f>VLOOKUP($E41,'2016 Sector View Elect'!$E$7:$T$95,J$1,FALSE)+VLOOKUP($E41, '2017 Sector View Elect'!$E$7:$T$95,J$1,FALSE)</f>
        <v>12960</v>
      </c>
      <c r="K41" s="2824">
        <f>VLOOKUP($E41,'2016 Sector View Elect'!$E$7:$T$95,K$1,FALSE)+VLOOKUP($E41, '2017 Sector View Elect'!$E$7:$T$95,K$1,FALSE)</f>
        <v>55706.54178</v>
      </c>
      <c r="L41" s="2824">
        <f>VLOOKUP($E41,'2016 Sector View Elect'!$E$7:$T$95,L$1,FALSE)+VLOOKUP($E41, '2017 Sector View Elect'!$E$7:$T$95,L$1,FALSE)</f>
        <v>30000</v>
      </c>
      <c r="M41" s="2824">
        <f>VLOOKUP($E41,'2016 Sector View Elect'!$E$7:$T$95,M$1,FALSE)+VLOOKUP($E41, '2017 Sector View Elect'!$E$7:$T$95,M$1,FALSE)</f>
        <v>10450</v>
      </c>
      <c r="N41" s="2824">
        <f>VLOOKUP($E41,'2016 Sector View Elect'!$E$7:$T$95,N$1,FALSE)+VLOOKUP($E41, '2017 Sector View Elect'!$E$7:$T$95,N$1,FALSE)</f>
        <v>2400</v>
      </c>
      <c r="O41" s="2824">
        <f>VLOOKUP($E41,'2016 Sector View Elect'!$E$7:$T$95,O$1,FALSE)+VLOOKUP($E41, '2017 Sector View Elect'!$E$7:$T$95,O$1,FALSE)</f>
        <v>480</v>
      </c>
      <c r="P41" s="2824">
        <f>VLOOKUP($E41,'2016 Sector View Elect'!$E$7:$T$95,P$1,FALSE)+VLOOKUP($E41, '2017 Sector View Elect'!$E$7:$T$95,P$1,FALSE)</f>
        <v>0</v>
      </c>
      <c r="Q41" s="2824">
        <f>VLOOKUP($E41,'2016 Sector View Elect'!$E$7:$T$95,Q$1,FALSE)+VLOOKUP($E41, '2017 Sector View Elect'!$E$7:$T$95,Q$1,FALSE)</f>
        <v>285170</v>
      </c>
      <c r="R41" s="2824">
        <f>VLOOKUP($E41,'2016 Sector View Elect'!$E$7:$T$95,R$1,FALSE)+VLOOKUP($E41, '2017 Sector View Elect'!$E$7:$T$95,R$1,FALSE)</f>
        <v>0</v>
      </c>
      <c r="S41" s="2824">
        <f>VLOOKUP($E41,'2016 Sector View Elect'!$E$7:$T$95,S$1,FALSE)+VLOOKUP($E41, '2017 Sector View Elect'!$E$7:$T$95,S$1,FALSE)</f>
        <v>466908.70178</v>
      </c>
      <c r="T41" s="2826">
        <f>VLOOKUP($E41,'2016 Sector View Elect'!$E$7:$T$95,T$1,FALSE)+VLOOKUP($E41, '2017 Sector View Elect'!$E$7:$T$95,T$1,FALSE)</f>
        <v>2124015.5999999996</v>
      </c>
    </row>
    <row r="42" spans="2:20" s="2822" customFormat="1" hidden="1">
      <c r="B42" s="2821" t="s">
        <v>731</v>
      </c>
      <c r="C42" s="2822" t="s">
        <v>145</v>
      </c>
      <c r="E42" s="3366" t="s">
        <v>659</v>
      </c>
      <c r="H42" s="2823">
        <v>18230717</v>
      </c>
      <c r="I42" s="2824">
        <f>VLOOKUP($E42,'2016 Sector View Elect'!$E$7:$T$95,I$1,FALSE)+VLOOKUP($E42, '2017 Sector View Elect'!$E$7:$T$95,I$1,FALSE)</f>
        <v>0</v>
      </c>
      <c r="J42" s="2824">
        <f>VLOOKUP($E42,'2016 Sector View Elect'!$E$7:$T$95,J$1,FALSE)+VLOOKUP($E42, '2017 Sector View Elect'!$E$7:$T$95,J$1,FALSE)</f>
        <v>0</v>
      </c>
      <c r="K42" s="2824">
        <f>VLOOKUP($E42,'2016 Sector View Elect'!$E$7:$T$95,K$1,FALSE)+VLOOKUP($E42, '2017 Sector View Elect'!$E$7:$T$95,K$1,FALSE)</f>
        <v>0</v>
      </c>
      <c r="L42" s="2824">
        <f>VLOOKUP($E42,'2016 Sector View Elect'!$E$7:$T$95,L$1,FALSE)+VLOOKUP($E42, '2017 Sector View Elect'!$E$7:$T$95,L$1,FALSE)</f>
        <v>0</v>
      </c>
      <c r="M42" s="2824">
        <f>VLOOKUP($E42,'2016 Sector View Elect'!$E$7:$T$95,M$1,FALSE)+VLOOKUP($E42, '2017 Sector View Elect'!$E$7:$T$95,M$1,FALSE)</f>
        <v>0</v>
      </c>
      <c r="N42" s="2824">
        <f>VLOOKUP($E42,'2016 Sector View Elect'!$E$7:$T$95,N$1,FALSE)+VLOOKUP($E42, '2017 Sector View Elect'!$E$7:$T$95,N$1,FALSE)</f>
        <v>0</v>
      </c>
      <c r="O42" s="2824">
        <f>VLOOKUP($E42,'2016 Sector View Elect'!$E$7:$T$95,O$1,FALSE)+VLOOKUP($E42, '2017 Sector View Elect'!$E$7:$T$95,O$1,FALSE)</f>
        <v>0</v>
      </c>
      <c r="P42" s="2824">
        <f>VLOOKUP($E42,'2016 Sector View Elect'!$E$7:$T$95,P$1,FALSE)+VLOOKUP($E42, '2017 Sector View Elect'!$E$7:$T$95,P$1,FALSE)</f>
        <v>0</v>
      </c>
      <c r="Q42" s="2824">
        <f>VLOOKUP($E42,'2016 Sector View Elect'!$E$7:$T$95,Q$1,FALSE)+VLOOKUP($E42, '2017 Sector View Elect'!$E$7:$T$95,Q$1,FALSE)</f>
        <v>0</v>
      </c>
      <c r="R42" s="2824">
        <f>VLOOKUP($E42,'2016 Sector View Elect'!$E$7:$T$95,R$1,FALSE)+VLOOKUP($E42, '2017 Sector View Elect'!$E$7:$T$95,R$1,FALSE)</f>
        <v>0</v>
      </c>
      <c r="S42" s="2824">
        <f>VLOOKUP($E42,'2016 Sector View Elect'!$E$7:$T$95,S$1,FALSE)+VLOOKUP($E42, '2017 Sector View Elect'!$E$7:$T$95,S$1,FALSE)</f>
        <v>0</v>
      </c>
      <c r="T42" s="2826">
        <f>VLOOKUP($E42,'2016 Sector View Elect'!$E$7:$T$95,T$1,FALSE)+VLOOKUP($E42, '2017 Sector View Elect'!$E$7:$T$95,T$1,FALSE)</f>
        <v>0</v>
      </c>
    </row>
    <row r="43" spans="2:20" s="2822" customFormat="1">
      <c r="B43" s="2821" t="s">
        <v>732</v>
      </c>
      <c r="C43" s="2822" t="s">
        <v>145</v>
      </c>
      <c r="E43" s="3366" t="s">
        <v>660</v>
      </c>
      <c r="H43" s="2823">
        <v>18230718</v>
      </c>
      <c r="I43" s="2824">
        <f>VLOOKUP($E43,'2016 Sector View Elect'!$E$7:$T$95,I$1,FALSE)+VLOOKUP($E43, '2017 Sector View Elect'!$E$7:$T$95,I$1,FALSE)</f>
        <v>119295.8</v>
      </c>
      <c r="J43" s="2824">
        <f>VLOOKUP($E43,'2016 Sector View Elect'!$E$7:$T$95,J$1,FALSE)+VLOOKUP($E43, '2017 Sector View Elect'!$E$7:$T$95,J$1,FALSE)</f>
        <v>8100</v>
      </c>
      <c r="K43" s="2824">
        <f>VLOOKUP($E43,'2016 Sector View Elect'!$E$7:$T$95,K$1,FALSE)+VLOOKUP($E43, '2017 Sector View Elect'!$E$7:$T$95,K$1,FALSE)</f>
        <v>85811.295150000005</v>
      </c>
      <c r="L43" s="2824">
        <f>VLOOKUP($E43,'2016 Sector View Elect'!$E$7:$T$95,L$1,FALSE)+VLOOKUP($E43, '2017 Sector View Elect'!$E$7:$T$95,L$1,FALSE)</f>
        <v>85000</v>
      </c>
      <c r="M43" s="2824">
        <f>VLOOKUP($E43,'2016 Sector View Elect'!$E$7:$T$95,M$1,FALSE)+VLOOKUP($E43, '2017 Sector View Elect'!$E$7:$T$95,M$1,FALSE)</f>
        <v>10000</v>
      </c>
      <c r="N43" s="2824">
        <f>VLOOKUP($E43,'2016 Sector View Elect'!$E$7:$T$95,N$1,FALSE)+VLOOKUP($E43, '2017 Sector View Elect'!$E$7:$T$95,N$1,FALSE)</f>
        <v>121838</v>
      </c>
      <c r="O43" s="2824">
        <f>VLOOKUP($E43,'2016 Sector View Elect'!$E$7:$T$95,O$1,FALSE)+VLOOKUP($E43, '2017 Sector View Elect'!$E$7:$T$95,O$1,FALSE)</f>
        <v>10000</v>
      </c>
      <c r="P43" s="2824">
        <f>VLOOKUP($E43,'2016 Sector View Elect'!$E$7:$T$95,P$1,FALSE)+VLOOKUP($E43, '2017 Sector View Elect'!$E$7:$T$95,P$1,FALSE)</f>
        <v>2000</v>
      </c>
      <c r="Q43" s="2824">
        <f>VLOOKUP($E43,'2016 Sector View Elect'!$E$7:$T$95,Q$1,FALSE)+VLOOKUP($E43, '2017 Sector View Elect'!$E$7:$T$95,Q$1,FALSE)</f>
        <v>1138500</v>
      </c>
      <c r="R43" s="2824">
        <f>VLOOKUP($E43,'2016 Sector View Elect'!$E$7:$T$95,R$1,FALSE)+VLOOKUP($E43, '2017 Sector View Elect'!$E$7:$T$95,R$1,FALSE)</f>
        <v>0</v>
      </c>
      <c r="S43" s="2824">
        <f>VLOOKUP($E43,'2016 Sector View Elect'!$E$7:$T$95,S$1,FALSE)+VLOOKUP($E43, '2017 Sector View Elect'!$E$7:$T$95,S$1,FALSE)</f>
        <v>1580545.09515</v>
      </c>
      <c r="T43" s="2826">
        <f>VLOOKUP($E43,'2016 Sector View Elect'!$E$7:$T$95,T$1,FALSE)+VLOOKUP($E43, '2017 Sector View Elect'!$E$7:$T$95,T$1,FALSE)</f>
        <v>6665125</v>
      </c>
    </row>
    <row r="44" spans="2:20" s="2822" customFormat="1">
      <c r="B44" s="2821" t="s">
        <v>733</v>
      </c>
      <c r="C44" s="2822" t="s">
        <v>145</v>
      </c>
      <c r="E44" s="3366" t="s">
        <v>661</v>
      </c>
      <c r="H44" s="2823">
        <v>18230722</v>
      </c>
      <c r="I44" s="2824">
        <f>VLOOKUP($E44,'2016 Sector View Elect'!$E$7:$T$95,I$1,FALSE)+VLOOKUP($E44, '2017 Sector View Elect'!$E$7:$T$95,I$1,FALSE)</f>
        <v>0</v>
      </c>
      <c r="J44" s="2824">
        <f>VLOOKUP($E44,'2016 Sector View Elect'!$E$7:$T$95,J$1,FALSE)+VLOOKUP($E44, '2017 Sector View Elect'!$E$7:$T$95,J$1,FALSE)</f>
        <v>0</v>
      </c>
      <c r="K44" s="2824">
        <f>VLOOKUP($E44,'2016 Sector View Elect'!$E$7:$T$95,K$1,FALSE)+VLOOKUP($E44, '2017 Sector View Elect'!$E$7:$T$95,K$1,FALSE)</f>
        <v>0</v>
      </c>
      <c r="L44" s="2824">
        <f>VLOOKUP($E44,'2016 Sector View Elect'!$E$7:$T$95,L$1,FALSE)+VLOOKUP($E44, '2017 Sector View Elect'!$E$7:$T$95,L$1,FALSE)</f>
        <v>0</v>
      </c>
      <c r="M44" s="2824">
        <f>VLOOKUP($E44,'2016 Sector View Elect'!$E$7:$T$95,M$1,FALSE)+VLOOKUP($E44, '2017 Sector View Elect'!$E$7:$T$95,M$1,FALSE)</f>
        <v>0</v>
      </c>
      <c r="N44" s="2824">
        <f>VLOOKUP($E44,'2016 Sector View Elect'!$E$7:$T$95,N$1,FALSE)+VLOOKUP($E44, '2017 Sector View Elect'!$E$7:$T$95,N$1,FALSE)</f>
        <v>0</v>
      </c>
      <c r="O44" s="2824">
        <f>VLOOKUP($E44,'2016 Sector View Elect'!$E$7:$T$95,O$1,FALSE)+VLOOKUP($E44, '2017 Sector View Elect'!$E$7:$T$95,O$1,FALSE)</f>
        <v>0</v>
      </c>
      <c r="P44" s="2824">
        <f>VLOOKUP($E44,'2016 Sector View Elect'!$E$7:$T$95,P$1,FALSE)+VLOOKUP($E44, '2017 Sector View Elect'!$E$7:$T$95,P$1,FALSE)</f>
        <v>0</v>
      </c>
      <c r="Q44" s="2824">
        <f>VLOOKUP($E44,'2016 Sector View Elect'!$E$7:$T$95,Q$1,FALSE)+VLOOKUP($E44, '2017 Sector View Elect'!$E$7:$T$95,Q$1,FALSE)</f>
        <v>0</v>
      </c>
      <c r="R44" s="2824">
        <f>VLOOKUP($E44,'2016 Sector View Elect'!$E$7:$T$95,R$1,FALSE)+VLOOKUP($E44, '2017 Sector View Elect'!$E$7:$T$95,R$1,FALSE)</f>
        <v>0</v>
      </c>
      <c r="S44" s="2824">
        <f>VLOOKUP($E44,'2016 Sector View Elect'!$E$7:$T$95,S$1,FALSE)+VLOOKUP($E44, '2017 Sector View Elect'!$E$7:$T$95,S$1,FALSE)</f>
        <v>0</v>
      </c>
      <c r="T44" s="2826">
        <f>VLOOKUP($E44,'2016 Sector View Elect'!$E$7:$T$95,T$1,FALSE)+VLOOKUP($E44, '2017 Sector View Elect'!$E$7:$T$95,T$1,FALSE)</f>
        <v>0</v>
      </c>
    </row>
    <row r="45" spans="2:20" s="2822" customFormat="1">
      <c r="B45" s="3117" t="s">
        <v>1613</v>
      </c>
      <c r="C45" s="3118" t="s">
        <v>145</v>
      </c>
      <c r="D45" s="3118"/>
      <c r="E45" s="3367" t="s">
        <v>1491</v>
      </c>
      <c r="G45" s="3118"/>
      <c r="H45" s="246" t="s">
        <v>1494</v>
      </c>
      <c r="I45" s="2824">
        <f>VLOOKUP($E45,'2016 Sector View Elect'!$E$7:$T$95,I$1,FALSE)+VLOOKUP($E45, '2017 Sector View Elect'!$E$7:$T$95,I$1,FALSE)</f>
        <v>40377.040000000008</v>
      </c>
      <c r="J45" s="2824">
        <f>VLOOKUP($E45,'2016 Sector View Elect'!$E$7:$T$95,J$1,FALSE)+VLOOKUP($E45, '2017 Sector View Elect'!$E$7:$T$95,J$1,FALSE)</f>
        <v>0</v>
      </c>
      <c r="K45" s="2824">
        <f>VLOOKUP($E45,'2016 Sector View Elect'!$E$7:$T$95,K$1,FALSE)+VLOOKUP($E45, '2017 Sector View Elect'!$E$7:$T$95,K$1,FALSE)</f>
        <v>27197.176820000008</v>
      </c>
      <c r="L45" s="2824">
        <f>VLOOKUP($E45,'2016 Sector View Elect'!$E$7:$T$95,L$1,FALSE)+VLOOKUP($E45, '2017 Sector View Elect'!$E$7:$T$95,L$1,FALSE)</f>
        <v>0</v>
      </c>
      <c r="M45" s="2824">
        <f>VLOOKUP($E45,'2016 Sector View Elect'!$E$7:$T$95,M$1,FALSE)+VLOOKUP($E45, '2017 Sector View Elect'!$E$7:$T$95,M$1,FALSE)</f>
        <v>0</v>
      </c>
      <c r="N45" s="2824">
        <f>VLOOKUP($E45,'2016 Sector View Elect'!$E$7:$T$95,N$1,FALSE)+VLOOKUP($E45, '2017 Sector View Elect'!$E$7:$T$95,N$1,FALSE)</f>
        <v>20370</v>
      </c>
      <c r="O45" s="2824">
        <f>VLOOKUP($E45,'2016 Sector View Elect'!$E$7:$T$95,O$1,FALSE)+VLOOKUP($E45, '2017 Sector View Elect'!$E$7:$T$95,O$1,FALSE)</f>
        <v>0</v>
      </c>
      <c r="P45" s="2824">
        <f>VLOOKUP($E45,'2016 Sector View Elect'!$E$7:$T$95,P$1,FALSE)+VLOOKUP($E45, '2017 Sector View Elect'!$E$7:$T$95,P$1,FALSE)</f>
        <v>305550</v>
      </c>
      <c r="Q45" s="2824">
        <f>VLOOKUP($E45,'2016 Sector View Elect'!$E$7:$T$95,Q$1,FALSE)+VLOOKUP($E45, '2017 Sector View Elect'!$E$7:$T$95,Q$1,FALSE)</f>
        <v>503002</v>
      </c>
      <c r="R45" s="2824">
        <f>VLOOKUP($E45,'2016 Sector View Elect'!$E$7:$T$95,R$1,FALSE)+VLOOKUP($E45, '2017 Sector View Elect'!$E$7:$T$95,R$1,FALSE)</f>
        <v>0</v>
      </c>
      <c r="S45" s="2824">
        <f>VLOOKUP($E45,'2016 Sector View Elect'!$E$7:$T$95,S$1,FALSE)+VLOOKUP($E45, '2017 Sector View Elect'!$E$7:$T$95,S$1,FALSE)</f>
        <v>896496.21681999997</v>
      </c>
      <c r="T45" s="2826">
        <f>VLOOKUP($E45,'2016 Sector View Elect'!$E$7:$T$95,T$1,FALSE)+VLOOKUP($E45, '2017 Sector View Elect'!$E$7:$T$95,T$1,FALSE)</f>
        <v>2995770</v>
      </c>
    </row>
    <row r="46" spans="2:20" s="2822" customFormat="1">
      <c r="B46" s="3117" t="s">
        <v>1612</v>
      </c>
      <c r="C46" s="3118" t="s">
        <v>145</v>
      </c>
      <c r="D46" s="3118"/>
      <c r="E46" s="3367" t="s">
        <v>1492</v>
      </c>
      <c r="G46" s="3118"/>
      <c r="H46" s="246" t="s">
        <v>1494</v>
      </c>
      <c r="I46" s="2824">
        <f>VLOOKUP($E46,'2016 Sector View Elect'!$E$7:$T$95,I$1,FALSE)+VLOOKUP($E46, '2017 Sector View Elect'!$E$7:$T$95,I$1,FALSE)</f>
        <v>55059.6</v>
      </c>
      <c r="J46" s="2824">
        <f>VLOOKUP($E46,'2016 Sector View Elect'!$E$7:$T$95,J$1,FALSE)+VLOOKUP($E46, '2017 Sector View Elect'!$E$7:$T$95,J$1,FALSE)</f>
        <v>43805.368749999994</v>
      </c>
      <c r="K46" s="2824">
        <f>VLOOKUP($E46,'2016 Sector View Elect'!$E$7:$T$95,K$1,FALSE)+VLOOKUP($E46, '2017 Sector View Elect'!$E$7:$T$95,K$1,FALSE)</f>
        <v>66614.710049999994</v>
      </c>
      <c r="L46" s="2824">
        <f>VLOOKUP($E46,'2016 Sector View Elect'!$E$7:$T$95,L$1,FALSE)+VLOOKUP($E46, '2017 Sector View Elect'!$E$7:$T$95,L$1,FALSE)</f>
        <v>20000</v>
      </c>
      <c r="M46" s="2824">
        <f>VLOOKUP($E46,'2016 Sector View Elect'!$E$7:$T$95,M$1,FALSE)+VLOOKUP($E46, '2017 Sector View Elect'!$E$7:$T$95,M$1,FALSE)</f>
        <v>20000</v>
      </c>
      <c r="N46" s="2824">
        <f>VLOOKUP($E46,'2016 Sector View Elect'!$E$7:$T$95,N$1,FALSE)+VLOOKUP($E46, '2017 Sector View Elect'!$E$7:$T$95,N$1,FALSE)</f>
        <v>120000</v>
      </c>
      <c r="O46" s="2824">
        <f>VLOOKUP($E46,'2016 Sector View Elect'!$E$7:$T$95,O$1,FALSE)+VLOOKUP($E46, '2017 Sector View Elect'!$E$7:$T$95,O$1,FALSE)</f>
        <v>2000</v>
      </c>
      <c r="P46" s="2824">
        <f>VLOOKUP($E46,'2016 Sector View Elect'!$E$7:$T$95,P$1,FALSE)+VLOOKUP($E46, '2017 Sector View Elect'!$E$7:$T$95,P$1,FALSE)</f>
        <v>480000</v>
      </c>
      <c r="Q46" s="2824">
        <f>VLOOKUP($E46,'2016 Sector View Elect'!$E$7:$T$95,Q$1,FALSE)+VLOOKUP($E46, '2017 Sector View Elect'!$E$7:$T$95,Q$1,FALSE)</f>
        <v>1492978.9354200002</v>
      </c>
      <c r="R46" s="2824">
        <f>VLOOKUP($E46,'2016 Sector View Elect'!$E$7:$T$95,R$1,FALSE)+VLOOKUP($E46, '2017 Sector View Elect'!$E$7:$T$95,R$1,FALSE)</f>
        <v>0</v>
      </c>
      <c r="S46" s="2824">
        <f>VLOOKUP($E46,'2016 Sector View Elect'!$E$7:$T$95,S$1,FALSE)+VLOOKUP($E46, '2017 Sector View Elect'!$E$7:$T$95,S$1,FALSE)</f>
        <v>2300458.6142199999</v>
      </c>
      <c r="T46" s="2826">
        <f>VLOOKUP($E46,'2016 Sector View Elect'!$E$7:$T$95,T$1,FALSE)+VLOOKUP($E46, '2017 Sector View Elect'!$E$7:$T$95,T$1,FALSE)</f>
        <v>6181881</v>
      </c>
    </row>
    <row r="47" spans="2:20" s="2822" customFormat="1">
      <c r="B47" s="2821" t="s">
        <v>734</v>
      </c>
      <c r="C47" s="2822" t="s">
        <v>145</v>
      </c>
      <c r="E47" s="3366" t="s">
        <v>553</v>
      </c>
      <c r="H47" s="2823">
        <v>18231134</v>
      </c>
      <c r="I47" s="2824">
        <f>VLOOKUP($E47,'2016 Sector View Elect'!$E$7:$T$95,I$1,FALSE)+VLOOKUP($E47, '2017 Sector View Elect'!$E$7:$T$95,I$1,FALSE)</f>
        <v>161508.16</v>
      </c>
      <c r="J47" s="2824">
        <f>VLOOKUP($E47,'2016 Sector View Elect'!$E$7:$T$95,J$1,FALSE)+VLOOKUP($E47, '2017 Sector View Elect'!$E$7:$T$95,J$1,FALSE)</f>
        <v>9720</v>
      </c>
      <c r="K47" s="2824">
        <f>VLOOKUP($E47,'2016 Sector View Elect'!$E$7:$T$95,K$1,FALSE)+VLOOKUP($E47, '2017 Sector View Elect'!$E$7:$T$95,K$1,FALSE)</f>
        <v>115335.90728000001</v>
      </c>
      <c r="L47" s="2824">
        <f>VLOOKUP($E47,'2016 Sector View Elect'!$E$7:$T$95,L$1,FALSE)+VLOOKUP($E47, '2017 Sector View Elect'!$E$7:$T$95,L$1,FALSE)</f>
        <v>70000</v>
      </c>
      <c r="M47" s="2824">
        <f>VLOOKUP($E47,'2016 Sector View Elect'!$E$7:$T$95,M$1,FALSE)+VLOOKUP($E47, '2017 Sector View Elect'!$E$7:$T$95,M$1,FALSE)</f>
        <v>7000</v>
      </c>
      <c r="N47" s="2824">
        <f>VLOOKUP($E47,'2016 Sector View Elect'!$E$7:$T$95,N$1,FALSE)+VLOOKUP($E47, '2017 Sector View Elect'!$E$7:$T$95,N$1,FALSE)</f>
        <v>108000</v>
      </c>
      <c r="O47" s="2824">
        <f>VLOOKUP($E47,'2016 Sector View Elect'!$E$7:$T$95,O$1,FALSE)+VLOOKUP($E47, '2017 Sector View Elect'!$E$7:$T$95,O$1,FALSE)</f>
        <v>5000</v>
      </c>
      <c r="P47" s="2824">
        <f>VLOOKUP($E47,'2016 Sector View Elect'!$E$7:$T$95,P$1,FALSE)+VLOOKUP($E47, '2017 Sector View Elect'!$E$7:$T$95,P$1,FALSE)</f>
        <v>1220841</v>
      </c>
      <c r="Q47" s="2824">
        <f>VLOOKUP($E47,'2016 Sector View Elect'!$E$7:$T$95,Q$1,FALSE)+VLOOKUP($E47, '2017 Sector View Elect'!$E$7:$T$95,Q$1,FALSE)</f>
        <v>4761925.1000000006</v>
      </c>
      <c r="R47" s="2824">
        <f>VLOOKUP($E47,'2016 Sector View Elect'!$E$7:$T$95,R$1,FALSE)+VLOOKUP($E47, '2017 Sector View Elect'!$E$7:$T$95,R$1,FALSE)</f>
        <v>0</v>
      </c>
      <c r="S47" s="2824">
        <f>VLOOKUP($E47,'2016 Sector View Elect'!$E$7:$T$95,S$1,FALSE)+VLOOKUP($E47, '2017 Sector View Elect'!$E$7:$T$95,S$1,FALSE)</f>
        <v>6459330.1672800006</v>
      </c>
      <c r="T47" s="2826">
        <f>VLOOKUP($E47,'2016 Sector View Elect'!$E$7:$T$95,T$1,FALSE)+VLOOKUP($E47, '2017 Sector View Elect'!$E$7:$T$95,T$1,FALSE)</f>
        <v>22353840</v>
      </c>
    </row>
    <row r="48" spans="2:20" s="2064" customFormat="1">
      <c r="B48" s="2011"/>
      <c r="F48" s="2010"/>
      <c r="H48" s="2010" t="s">
        <v>650</v>
      </c>
      <c r="I48" s="2762">
        <f>SUM(I28:I31)+I35+I38+I39</f>
        <v>6541982.9950000001</v>
      </c>
      <c r="J48" s="2762">
        <f t="shared" ref="J48:S48" si="1">SUM(J28:J31)+J35+J38+J39</f>
        <v>197192.62874999997</v>
      </c>
      <c r="K48" s="2762">
        <f t="shared" si="1"/>
        <v>4499821.7942199996</v>
      </c>
      <c r="L48" s="2762">
        <f t="shared" si="1"/>
        <v>442570</v>
      </c>
      <c r="M48" s="2762">
        <f t="shared" si="1"/>
        <v>287674</v>
      </c>
      <c r="N48" s="2762">
        <f>SUM(N28:N31)+N35+N38+N39</f>
        <v>5621694</v>
      </c>
      <c r="O48" s="2762">
        <f t="shared" si="1"/>
        <v>96466</v>
      </c>
      <c r="P48" s="2762">
        <f t="shared" si="1"/>
        <v>2062391</v>
      </c>
      <c r="Q48" s="2762">
        <f t="shared" si="1"/>
        <v>55881988.198546156</v>
      </c>
      <c r="R48" s="2762">
        <f t="shared" si="1"/>
        <v>0</v>
      </c>
      <c r="S48" s="2762">
        <f t="shared" si="1"/>
        <v>75631780.616516158</v>
      </c>
      <c r="T48" s="2013">
        <f>SUM(T28:T31)+T35+T38+T39</f>
        <v>300103401.60000002</v>
      </c>
    </row>
    <row r="49" spans="2:20" s="2177" customFormat="1">
      <c r="B49" s="2193"/>
      <c r="H49" s="2005"/>
      <c r="I49" s="2142"/>
      <c r="J49" s="2142"/>
      <c r="K49" s="2142"/>
      <c r="L49" s="2142"/>
      <c r="M49" s="2142"/>
      <c r="N49" s="2142"/>
      <c r="O49" s="2142"/>
      <c r="P49" s="2142"/>
      <c r="Q49" s="3209">
        <f>Q48/S48</f>
        <v>0.73886913335930204</v>
      </c>
      <c r="R49" s="2142"/>
      <c r="S49" s="2142"/>
      <c r="T49" s="2144"/>
    </row>
    <row r="50" spans="2:20" s="2765" customFormat="1" ht="11.25">
      <c r="B50" s="2259"/>
      <c r="H50" s="2766" t="s">
        <v>649</v>
      </c>
      <c r="I50" s="2767">
        <v>7010000</v>
      </c>
      <c r="J50" s="2768">
        <v>183600</v>
      </c>
      <c r="K50" s="2768">
        <v>4992600</v>
      </c>
      <c r="L50" s="2768">
        <v>421312</v>
      </c>
      <c r="M50" s="2768">
        <v>346390</v>
      </c>
      <c r="N50" s="2768">
        <v>6779950</v>
      </c>
      <c r="O50" s="2768">
        <v>105880</v>
      </c>
      <c r="P50" s="2768">
        <v>668129</v>
      </c>
      <c r="Q50" s="2768">
        <v>47907108.200000003</v>
      </c>
      <c r="R50" s="2768">
        <v>0</v>
      </c>
      <c r="S50" s="2768">
        <v>68414800</v>
      </c>
      <c r="T50" s="3371">
        <v>243130000</v>
      </c>
    </row>
    <row r="51" spans="2:20">
      <c r="H51" s="650"/>
      <c r="I51" s="654"/>
      <c r="J51" s="654"/>
      <c r="K51" s="654"/>
      <c r="L51" s="654"/>
      <c r="M51" s="654"/>
      <c r="N51" s="654"/>
      <c r="O51" s="654"/>
      <c r="P51" s="654"/>
      <c r="Q51" s="654"/>
      <c r="R51" s="654"/>
      <c r="S51" s="654"/>
      <c r="T51" s="2144"/>
    </row>
    <row r="52" spans="2:20" s="2177" customFormat="1">
      <c r="B52" s="2193"/>
      <c r="C52" s="2177" t="s">
        <v>77</v>
      </c>
      <c r="I52" s="2142"/>
      <c r="J52" s="2142"/>
      <c r="K52" s="2142"/>
      <c r="L52" s="2142"/>
      <c r="M52" s="2142"/>
      <c r="N52" s="2142"/>
      <c r="O52" s="2142"/>
      <c r="P52" s="2142"/>
      <c r="Q52" s="2142"/>
      <c r="R52" s="2142"/>
      <c r="S52" s="2142"/>
      <c r="T52" s="2144"/>
    </row>
    <row r="53" spans="2:20" s="2177" customFormat="1">
      <c r="B53" s="2259" t="s">
        <v>596</v>
      </c>
      <c r="C53" s="2177" t="s">
        <v>76</v>
      </c>
      <c r="E53" s="2177" t="s">
        <v>597</v>
      </c>
      <c r="H53" s="2711">
        <v>18230522</v>
      </c>
      <c r="I53" s="2142">
        <f>VLOOKUP($E53,'2016 Sector View Elect'!$E$7:$T$95,I$1,FALSE)+VLOOKUP($E53, '2017 Sector View Elect'!$E$7:$T$95,I$1,FALSE)</f>
        <v>55594.8</v>
      </c>
      <c r="J53" s="2142">
        <f>VLOOKUP($E53,'2016 Sector View Elect'!$E$7:$T$95,J$1,FALSE)+VLOOKUP($E53, '2017 Sector View Elect'!$E$7:$T$95,J$1,FALSE)</f>
        <v>8000.04</v>
      </c>
      <c r="K53" s="2142">
        <f>VLOOKUP($E53,'2016 Sector View Elect'!$E$7:$T$95,K$1,FALSE)+VLOOKUP($E53, '2017 Sector View Elect'!$E$7:$T$95,K$1,FALSE)</f>
        <v>42417.758280000009</v>
      </c>
      <c r="L53" s="2142">
        <f>VLOOKUP($E53,'2016 Sector View Elect'!$E$7:$T$95,L$1,FALSE)+VLOOKUP($E53, '2017 Sector View Elect'!$E$7:$T$95,L$1,FALSE)</f>
        <v>18827.400000000001</v>
      </c>
      <c r="M53" s="2142">
        <f>VLOOKUP($E53,'2016 Sector View Elect'!$E$7:$T$95,M$1,FALSE)+VLOOKUP($E53, '2017 Sector View Elect'!$E$7:$T$95,M$1,FALSE)</f>
        <v>4000</v>
      </c>
      <c r="N53" s="2142">
        <f>VLOOKUP($E53,'2016 Sector View Elect'!$E$7:$T$95,N$1,FALSE)+VLOOKUP($E53, '2017 Sector View Elect'!$E$7:$T$95,N$1,FALSE)</f>
        <v>422538</v>
      </c>
      <c r="O53" s="2142">
        <f>VLOOKUP($E53,'2016 Sector View Elect'!$E$7:$T$95,O$1,FALSE)+VLOOKUP($E53, '2017 Sector View Elect'!$E$7:$T$95,O$1,FALSE)</f>
        <v>1000</v>
      </c>
      <c r="P53" s="2142">
        <f>VLOOKUP($E53,'2016 Sector View Elect'!$E$7:$T$95,P$1,FALSE)+VLOOKUP($E53, '2017 Sector View Elect'!$E$7:$T$95,P$1,FALSE)</f>
        <v>2000</v>
      </c>
      <c r="Q53" s="2142">
        <f>VLOOKUP($E53,'2016 Sector View Elect'!$E$7:$T$95,Q$1,FALSE)+VLOOKUP($E53, '2017 Sector View Elect'!$E$7:$T$95,Q$1,FALSE)</f>
        <v>422521</v>
      </c>
      <c r="R53" s="2142">
        <f>VLOOKUP($E53,'2016 Sector View Elect'!$E$7:$T$95,R$1,FALSE)+VLOOKUP($E53, '2017 Sector View Elect'!$E$7:$T$95,R$1,FALSE)</f>
        <v>0</v>
      </c>
      <c r="S53" s="2142">
        <f>VLOOKUP($E53,'2016 Sector View Elect'!$E$7:$T$95,S$1,FALSE)+VLOOKUP($E53, '2017 Sector View Elect'!$E$7:$T$95,S$1,FALSE)</f>
        <v>976898.99827999994</v>
      </c>
      <c r="T53" s="2144">
        <f>VLOOKUP($E53,'2016 Sector View Elect'!$E$7:$T$95,T$1,FALSE)+VLOOKUP($E53, '2017 Sector View Elect'!$E$7:$T$95,T$1,FALSE)</f>
        <v>17346930</v>
      </c>
    </row>
    <row r="54" spans="2:20">
      <c r="B54" s="2259" t="s">
        <v>595</v>
      </c>
      <c r="C54" t="s">
        <v>76</v>
      </c>
      <c r="E54" s="2177" t="s">
        <v>621</v>
      </c>
      <c r="H54" s="1340">
        <v>18230629</v>
      </c>
      <c r="I54" s="2142">
        <f>'2016 Sector View Elect'!I51+'2017 Sector View Elect'!I51</f>
        <v>0</v>
      </c>
      <c r="J54" s="2142">
        <f>'2016 Sector View Elect'!J51+'2017 Sector View Elect'!J51</f>
        <v>0</v>
      </c>
      <c r="K54" s="2142">
        <f>'2016 Sector View Elect'!K51+'2017 Sector View Elect'!K51</f>
        <v>0</v>
      </c>
      <c r="L54" s="2142">
        <f>'2016 Sector View Elect'!L51+'2017 Sector View Elect'!L51</f>
        <v>0</v>
      </c>
      <c r="M54" s="2142">
        <f>'2016 Sector View Elect'!M51+'2017 Sector View Elect'!M51</f>
        <v>0</v>
      </c>
      <c r="N54" s="2142">
        <f>'2016 Sector View Elect'!N51+'2017 Sector View Elect'!N51</f>
        <v>0</v>
      </c>
      <c r="O54" s="2142">
        <f>'2016 Sector View Elect'!O51+'2017 Sector View Elect'!O51</f>
        <v>0</v>
      </c>
      <c r="P54" s="2142">
        <f>'2016 Sector View Elect'!P51+'2017 Sector View Elect'!P51</f>
        <v>0</v>
      </c>
      <c r="Q54" s="2142">
        <f>'2016 Sector View Elect'!Q51+'2017 Sector View Elect'!Q51</f>
        <v>0</v>
      </c>
      <c r="R54" s="2142">
        <f>'2016 Sector View Elect'!R51+'2017 Sector View Elect'!R51</f>
        <v>0</v>
      </c>
      <c r="S54" s="2142">
        <f>ROUND('2016 Sector View Elect'!S51+'2017 Sector View Elect'!S51,-2)</f>
        <v>0</v>
      </c>
      <c r="T54" s="2144">
        <f>ROUND('2016 Sector View Elect'!T51+'2017 Sector View Elect'!T51,-4)</f>
        <v>0</v>
      </c>
    </row>
    <row r="55" spans="2:20" s="2064" customFormat="1">
      <c r="B55" s="2011"/>
      <c r="F55" s="2010"/>
      <c r="H55" s="2010" t="s">
        <v>651</v>
      </c>
      <c r="I55" s="2762">
        <f>SUM(I53:I54)</f>
        <v>55594.8</v>
      </c>
      <c r="J55" s="2763">
        <f t="shared" ref="J55:R55" si="2">SUM(J53:J54)</f>
        <v>8000.04</v>
      </c>
      <c r="K55" s="2763">
        <f t="shared" si="2"/>
        <v>42417.758280000009</v>
      </c>
      <c r="L55" s="2763">
        <f t="shared" si="2"/>
        <v>18827.400000000001</v>
      </c>
      <c r="M55" s="2763">
        <f t="shared" si="2"/>
        <v>4000</v>
      </c>
      <c r="N55" s="2763">
        <f t="shared" si="2"/>
        <v>422538</v>
      </c>
      <c r="O55" s="2763">
        <f t="shared" si="2"/>
        <v>1000</v>
      </c>
      <c r="P55" s="2763">
        <f t="shared" si="2"/>
        <v>2000</v>
      </c>
      <c r="Q55" s="2763">
        <f t="shared" si="2"/>
        <v>422521</v>
      </c>
      <c r="R55" s="2763">
        <f t="shared" si="2"/>
        <v>0</v>
      </c>
      <c r="S55" s="2764">
        <f>SUM(S53:S54)</f>
        <v>976898.99827999994</v>
      </c>
      <c r="T55" s="2013">
        <f>SUM(T53:T54)</f>
        <v>17346930</v>
      </c>
    </row>
    <row r="56" spans="2:20" s="2177" customFormat="1">
      <c r="B56" s="2193"/>
      <c r="H56" s="2005"/>
      <c r="I56" s="2142"/>
      <c r="J56" s="2142"/>
      <c r="K56" s="2142"/>
      <c r="L56" s="2142"/>
      <c r="M56" s="2142"/>
      <c r="N56" s="2142"/>
      <c r="O56" s="2142"/>
      <c r="P56" s="2142"/>
      <c r="Q56" s="2142"/>
      <c r="R56" s="2142"/>
      <c r="S56" s="2142"/>
      <c r="T56" s="2144"/>
    </row>
    <row r="57" spans="2:20" s="2765" customFormat="1" ht="11.25">
      <c r="B57" s="2259"/>
      <c r="H57" s="2766" t="s">
        <v>649</v>
      </c>
      <c r="I57" s="2767">
        <v>124412.5</v>
      </c>
      <c r="J57" s="2768">
        <v>14242.5</v>
      </c>
      <c r="K57" s="2768">
        <v>96238.78</v>
      </c>
      <c r="L57" s="2768">
        <v>0</v>
      </c>
      <c r="M57" s="2768">
        <v>7560</v>
      </c>
      <c r="N57" s="2768">
        <v>1637745</v>
      </c>
      <c r="O57" s="2768">
        <v>0</v>
      </c>
      <c r="P57" s="2768">
        <v>3780</v>
      </c>
      <c r="Q57" s="2768">
        <v>986102</v>
      </c>
      <c r="R57" s="2768">
        <v>0</v>
      </c>
      <c r="S57" s="2768">
        <v>2870100</v>
      </c>
      <c r="T57" s="3371">
        <v>35330000</v>
      </c>
    </row>
    <row r="58" spans="2:20" s="2177" customFormat="1">
      <c r="B58" s="2193"/>
      <c r="I58" s="2142"/>
      <c r="J58" s="2142"/>
      <c r="K58" s="2142"/>
      <c r="L58" s="2142"/>
      <c r="M58" s="2142"/>
      <c r="N58" s="2142"/>
      <c r="O58" s="2142"/>
      <c r="P58" s="2142"/>
      <c r="Q58" s="2142"/>
      <c r="R58" s="2142"/>
      <c r="S58" s="2142"/>
      <c r="T58" s="2144"/>
    </row>
    <row r="59" spans="2:20">
      <c r="C59" t="s">
        <v>158</v>
      </c>
      <c r="H59" s="650"/>
      <c r="I59" s="654"/>
      <c r="J59" s="654"/>
      <c r="K59" s="654"/>
      <c r="L59" s="654"/>
      <c r="M59" s="654"/>
      <c r="N59" s="654"/>
      <c r="O59" s="654"/>
      <c r="P59" s="654"/>
      <c r="Q59" s="654"/>
      <c r="R59" s="654"/>
      <c r="S59" s="654"/>
      <c r="T59" s="2144"/>
    </row>
    <row r="60" spans="2:20">
      <c r="B60" s="2259" t="s">
        <v>385</v>
      </c>
      <c r="C60" t="s">
        <v>161</v>
      </c>
      <c r="E60" t="s">
        <v>159</v>
      </c>
      <c r="H60" s="1340">
        <v>18230421</v>
      </c>
      <c r="I60" s="654">
        <f>VLOOKUP($E60,'2016 Sector View Elect'!$E$7:$T$95,I$1,FALSE)+VLOOKUP($E60, '2017 Sector View Elect'!$E$7:$T$95,I$1,FALSE)</f>
        <v>0</v>
      </c>
      <c r="J60" s="1605">
        <f>VLOOKUP($E60,'2016 Sector View Elect'!$E$7:$T$95,J$1,FALSE)+VLOOKUP($E60, '2017 Sector View Elect'!$E$7:$T$95,J$1,FALSE)</f>
        <v>0</v>
      </c>
      <c r="K60" s="1605">
        <f>VLOOKUP($E60,'2016 Sector View Elect'!$E$7:$T$95,K$1,FALSE)+VLOOKUP($E60, '2017 Sector View Elect'!$E$7:$T$95,K$1,FALSE)</f>
        <v>0</v>
      </c>
      <c r="L60" s="1605">
        <f>VLOOKUP($E60,'2016 Sector View Elect'!$E$7:$T$95,L$1,FALSE)+VLOOKUP($E60, '2017 Sector View Elect'!$E$7:$T$95,L$1,FALSE)</f>
        <v>0</v>
      </c>
      <c r="M60" s="1605">
        <f>VLOOKUP($E60,'2016 Sector View Elect'!$E$7:$T$95,M$1,FALSE)+VLOOKUP($E60, '2017 Sector View Elect'!$E$7:$T$95,M$1,FALSE)</f>
        <v>0</v>
      </c>
      <c r="N60" s="1605">
        <f>VLOOKUP($E60,'2016 Sector View Elect'!$E$7:$T$95,N$1,FALSE)+VLOOKUP($E60, '2017 Sector View Elect'!$E$7:$T$95,N$1,FALSE)</f>
        <v>3120000</v>
      </c>
      <c r="O60" s="1605">
        <f>VLOOKUP($E60,'2016 Sector View Elect'!$E$7:$T$95,O$1,FALSE)+VLOOKUP($E60, '2017 Sector View Elect'!$E$7:$T$95,O$1,FALSE)</f>
        <v>0</v>
      </c>
      <c r="P60" s="1605">
        <f>VLOOKUP($E60,'2016 Sector View Elect'!$E$7:$T$95,P$1,FALSE)+VLOOKUP($E60, '2017 Sector View Elect'!$E$7:$T$95,P$1,FALSE)</f>
        <v>0</v>
      </c>
      <c r="Q60" s="1605">
        <f>VLOOKUP($E60,'2016 Sector View Elect'!$E$7:$T$95,Q$1,FALSE)+VLOOKUP($E60, '2017 Sector View Elect'!$E$7:$T$95,Q$1,FALSE)</f>
        <v>7280000</v>
      </c>
      <c r="R60" s="1605">
        <f>VLOOKUP($E60,'2016 Sector View Elect'!$E$7:$T$95,R$1,FALSE)+VLOOKUP($E60, '2017 Sector View Elect'!$E$7:$T$95,R$1,FALSE)</f>
        <v>0</v>
      </c>
      <c r="S60" s="1605">
        <f>VLOOKUP($E60,'2016 Sector View Elect'!$E$7:$T$95,S$1,FALSE)+VLOOKUP($E60, '2017 Sector View Elect'!$E$7:$T$95,S$1,FALSE)</f>
        <v>10400000</v>
      </c>
      <c r="T60" s="2144">
        <f>VLOOKUP($E60,'2016 Sector View Elect'!$E$7:$T$95,T$1,FALSE)+VLOOKUP($E60, '2017 Sector View Elect'!$E$7:$T$95,T$1,FALSE)</f>
        <v>22776000</v>
      </c>
    </row>
    <row r="61" spans="2:20">
      <c r="B61" s="2259" t="s">
        <v>386</v>
      </c>
      <c r="C61" s="2140" t="s">
        <v>331</v>
      </c>
      <c r="E61" t="s">
        <v>160</v>
      </c>
      <c r="H61" s="1340">
        <v>18230711</v>
      </c>
      <c r="I61" s="1605">
        <f>VLOOKUP($E61,'2016 Sector View Elect'!$E$7:$T$95,I$1,FALSE)+VLOOKUP($E61, '2017 Sector View Elect'!$E$7:$T$95,I$1,FALSE)</f>
        <v>0</v>
      </c>
      <c r="J61" s="1605">
        <f>VLOOKUP($E61,'2016 Sector View Elect'!$E$7:$T$95,J$1,FALSE)+VLOOKUP($E61, '2017 Sector View Elect'!$E$7:$T$95,J$1,FALSE)</f>
        <v>0</v>
      </c>
      <c r="K61" s="1605">
        <f>VLOOKUP($E61,'2016 Sector View Elect'!$E$7:$T$95,K$1,FALSE)+VLOOKUP($E61, '2017 Sector View Elect'!$E$7:$T$95,K$1,FALSE)</f>
        <v>0</v>
      </c>
      <c r="L61" s="1605">
        <f>VLOOKUP($E61,'2016 Sector View Elect'!$E$7:$T$95,L$1,FALSE)+VLOOKUP($E61, '2017 Sector View Elect'!$E$7:$T$95,L$1,FALSE)</f>
        <v>0</v>
      </c>
      <c r="M61" s="1605">
        <f>VLOOKUP($E61,'2016 Sector View Elect'!$E$7:$T$95,M$1,FALSE)+VLOOKUP($E61, '2017 Sector View Elect'!$E$7:$T$95,M$1,FALSE)</f>
        <v>0</v>
      </c>
      <c r="N61" s="1605">
        <f>VLOOKUP($E61,'2016 Sector View Elect'!$E$7:$T$95,N$1,FALSE)+VLOOKUP($E61, '2017 Sector View Elect'!$E$7:$T$95,N$1,FALSE)</f>
        <v>0</v>
      </c>
      <c r="O61" s="1605">
        <f>VLOOKUP($E61,'2016 Sector View Elect'!$E$7:$T$95,O$1,FALSE)+VLOOKUP($E61, '2017 Sector View Elect'!$E$7:$T$95,O$1,FALSE)</f>
        <v>0</v>
      </c>
      <c r="P61" s="1605">
        <f>VLOOKUP($E61,'2016 Sector View Elect'!$E$7:$T$95,P$1,FALSE)+VLOOKUP($E61, '2017 Sector View Elect'!$E$7:$T$95,P$1,FALSE)</f>
        <v>0</v>
      </c>
      <c r="Q61" s="1605">
        <f>VLOOKUP($E61,'2016 Sector View Elect'!$E$7:$T$95,Q$1,FALSE)+VLOOKUP($E61, '2017 Sector View Elect'!$E$7:$T$95,Q$1,FALSE)</f>
        <v>0</v>
      </c>
      <c r="R61" s="1605">
        <f>VLOOKUP($E61,'2016 Sector View Elect'!$E$7:$T$95,R$1,FALSE)+VLOOKUP($E61, '2017 Sector View Elect'!$E$7:$T$95,R$1,FALSE)</f>
        <v>0</v>
      </c>
      <c r="S61" s="1605">
        <f>VLOOKUP($E61,'2016 Sector View Elect'!$E$7:$T$95,S$1,FALSE)+VLOOKUP($E61, '2017 Sector View Elect'!$E$7:$T$95,S$1,FALSE)</f>
        <v>0</v>
      </c>
      <c r="T61" s="2144">
        <f>VLOOKUP($E61,'2016 Sector View Elect'!$E$7:$T$95,T$1,FALSE)+VLOOKUP($E61, '2017 Sector View Elect'!$E$7:$T$95,T$1,FALSE)</f>
        <v>3281325</v>
      </c>
    </row>
    <row r="62" spans="2:20" s="2064" customFormat="1">
      <c r="B62" s="2011"/>
      <c r="F62" s="2010"/>
      <c r="H62" s="2010" t="s">
        <v>652</v>
      </c>
      <c r="I62" s="2762">
        <f t="shared" ref="I62:T62" si="3">SUM(I60:I61)</f>
        <v>0</v>
      </c>
      <c r="J62" s="2763">
        <f t="shared" si="3"/>
        <v>0</v>
      </c>
      <c r="K62" s="2763">
        <f t="shared" si="3"/>
        <v>0</v>
      </c>
      <c r="L62" s="2763">
        <f t="shared" si="3"/>
        <v>0</v>
      </c>
      <c r="M62" s="2763">
        <f t="shared" si="3"/>
        <v>0</v>
      </c>
      <c r="N62" s="2763">
        <f t="shared" si="3"/>
        <v>3120000</v>
      </c>
      <c r="O62" s="2763">
        <f t="shared" si="3"/>
        <v>0</v>
      </c>
      <c r="P62" s="2763">
        <f t="shared" si="3"/>
        <v>0</v>
      </c>
      <c r="Q62" s="2763">
        <f t="shared" si="3"/>
        <v>7280000</v>
      </c>
      <c r="R62" s="2763">
        <f t="shared" si="3"/>
        <v>0</v>
      </c>
      <c r="S62" s="2764">
        <f t="shared" si="3"/>
        <v>10400000</v>
      </c>
      <c r="T62" s="2013">
        <f t="shared" si="3"/>
        <v>26057325</v>
      </c>
    </row>
    <row r="63" spans="2:20" s="2177" customFormat="1">
      <c r="B63" s="2193"/>
      <c r="H63" s="2005"/>
      <c r="I63" s="2142"/>
      <c r="J63" s="2142"/>
      <c r="K63" s="2142"/>
      <c r="L63" s="2142"/>
      <c r="M63" s="2142"/>
      <c r="N63" s="2142"/>
      <c r="O63" s="2142"/>
      <c r="P63" s="2142"/>
      <c r="Q63" s="2142"/>
      <c r="R63" s="2142"/>
      <c r="S63" s="2142"/>
      <c r="T63" s="2144"/>
    </row>
    <row r="64" spans="2:20" s="2765" customFormat="1" ht="11.25">
      <c r="B64" s="2259"/>
      <c r="H64" s="2766" t="s">
        <v>649</v>
      </c>
      <c r="I64" s="2767">
        <v>0</v>
      </c>
      <c r="J64" s="2768">
        <v>0</v>
      </c>
      <c r="K64" s="2768">
        <v>0</v>
      </c>
      <c r="L64" s="2768">
        <v>0</v>
      </c>
      <c r="M64" s="2768">
        <v>0</v>
      </c>
      <c r="N64" s="2768">
        <v>1771139</v>
      </c>
      <c r="O64" s="2768">
        <v>0</v>
      </c>
      <c r="P64" s="2768">
        <v>1385245</v>
      </c>
      <c r="Q64" s="2768">
        <v>7364896</v>
      </c>
      <c r="R64" s="2768">
        <v>0</v>
      </c>
      <c r="S64" s="2768">
        <v>10521300</v>
      </c>
      <c r="T64" s="3371">
        <v>54986000</v>
      </c>
    </row>
    <row r="65" spans="2:20">
      <c r="H65" s="650"/>
      <c r="I65" s="654"/>
      <c r="J65" s="654"/>
      <c r="K65" s="654"/>
      <c r="L65" s="654"/>
      <c r="M65" s="654"/>
      <c r="N65" s="654"/>
      <c r="O65" s="654"/>
      <c r="P65" s="654"/>
      <c r="Q65" s="3209">
        <f>(Q23+Q48+Q55+Q62)/(S23+S48+S55+S62)</f>
        <v>0.7606900632248742</v>
      </c>
      <c r="R65" s="3210" t="s">
        <v>1674</v>
      </c>
      <c r="S65" s="654"/>
    </row>
    <row r="66" spans="2:20">
      <c r="C66" s="2177" t="s">
        <v>335</v>
      </c>
      <c r="H66" s="650"/>
      <c r="I66" s="654"/>
      <c r="J66" s="654"/>
      <c r="K66" s="654"/>
      <c r="L66" s="654"/>
      <c r="M66" s="654"/>
      <c r="N66" s="654"/>
      <c r="O66" s="654"/>
      <c r="P66" s="654"/>
      <c r="Q66" s="654"/>
      <c r="R66" s="654"/>
      <c r="S66" s="654"/>
    </row>
    <row r="67" spans="2:20">
      <c r="B67" s="2259"/>
      <c r="C67" s="1164" t="s">
        <v>252</v>
      </c>
      <c r="E67" t="s">
        <v>163</v>
      </c>
      <c r="H67" s="2194"/>
      <c r="I67" s="654">
        <f>VLOOKUP($E67,'2016 Sector View Elect'!$E$7:$T$95,I$1,FALSE)+VLOOKUP($E67, '2017 Sector View Elect'!$E$7:$T$95,I$1,FALSE)</f>
        <v>2006345.4103999999</v>
      </c>
      <c r="J67" s="2142">
        <f>VLOOKUP($E67,'2016 Sector View Elect'!$E$7:$T$95,J$1,FALSE)+VLOOKUP($E67, '2017 Sector View Elect'!$E$7:$T$95,J$1,FALSE)</f>
        <v>37496.6</v>
      </c>
      <c r="K67" s="2142">
        <f>VLOOKUP($E67,'2016 Sector View Elect'!$E$7:$T$95,K$1,FALSE)+VLOOKUP($E67, '2017 Sector View Elect'!$E$7:$T$95,K$1,FALSE)</f>
        <v>1376732.3680439999</v>
      </c>
      <c r="L67" s="2142">
        <f>VLOOKUP($E67,'2016 Sector View Elect'!$E$7:$T$95,L$1,FALSE)+VLOOKUP($E67, '2017 Sector View Elect'!$E$7:$T$95,L$1,FALSE)</f>
        <v>44270</v>
      </c>
      <c r="M67" s="2142">
        <f>VLOOKUP($E67,'2016 Sector View Elect'!$E$7:$T$95,M$1,FALSE)+VLOOKUP($E67, '2017 Sector View Elect'!$E$7:$T$95,M$1,FALSE)</f>
        <v>105440</v>
      </c>
      <c r="N67" s="2142">
        <f>VLOOKUP($E67,'2016 Sector View Elect'!$E$7:$T$95,N$1,FALSE)+VLOOKUP($E67, '2017 Sector View Elect'!$E$7:$T$95,N$1,FALSE)</f>
        <v>176570</v>
      </c>
      <c r="O67" s="2142">
        <f>VLOOKUP($E67,'2016 Sector View Elect'!$E$7:$T$95,O$1,FALSE)+VLOOKUP($E67, '2017 Sector View Elect'!$E$7:$T$95,O$1,FALSE)</f>
        <v>63410</v>
      </c>
      <c r="P67" s="2142">
        <f>VLOOKUP($E67,'2016 Sector View Elect'!$E$7:$T$95,P$1,FALSE)+VLOOKUP($E67, '2017 Sector View Elect'!$E$7:$T$95,P$1,FALSE)</f>
        <v>2700</v>
      </c>
      <c r="Q67" s="2142">
        <f>VLOOKUP($E67,'2016 Sector View Elect'!$E$7:$T$95,Q$1,FALSE)+VLOOKUP($E67, '2017 Sector View Elect'!$E$7:$T$95,Q$1,FALSE)</f>
        <v>0</v>
      </c>
      <c r="R67" s="2142">
        <f>VLOOKUP($E67,'2016 Sector View Elect'!$E$7:$T$95,R$1,FALSE)+VLOOKUP($E67, '2017 Sector View Elect'!$E$7:$T$95,R$1,FALSE)</f>
        <v>0</v>
      </c>
      <c r="S67" s="2142">
        <f>VLOOKUP($E67,'2016 Sector View Elect'!$E$7:$T$95,S$1,FALSE)+VLOOKUP($E67, '2017 Sector View Elect'!$E$7:$T$95,S$1,FALSE)</f>
        <v>3812964.3784439997</v>
      </c>
    </row>
    <row r="68" spans="2:20" s="2822" customFormat="1">
      <c r="B68" s="2821" t="s">
        <v>387</v>
      </c>
      <c r="E68" s="3368" t="s">
        <v>203</v>
      </c>
      <c r="H68" s="2825">
        <v>18230610</v>
      </c>
      <c r="I68" s="2824">
        <f>VLOOKUP($E68,'2016 Sector View Elect'!$E$7:$T$95,I$1,FALSE)+VLOOKUP($E68, '2017 Sector View Elect'!$E$7:$T$95,I$1,FALSE)</f>
        <v>1309745.27</v>
      </c>
      <c r="J68" s="2824">
        <f>VLOOKUP($E68,'2016 Sector View Elect'!$E$7:$T$95,J$1,FALSE)+VLOOKUP($E68, '2017 Sector View Elect'!$E$7:$T$95,J$1,FALSE)</f>
        <v>0</v>
      </c>
      <c r="K68" s="2824">
        <f>VLOOKUP($E68,'2016 Sector View Elect'!$E$7:$T$95,K$1,FALSE)+VLOOKUP($E68, '2017 Sector View Elect'!$E$7:$T$95,K$1,FALSE)</f>
        <v>882218.54193999991</v>
      </c>
      <c r="L68" s="2824">
        <f>VLOOKUP($E68,'2016 Sector View Elect'!$E$7:$T$95,L$1,FALSE)+VLOOKUP($E68, '2017 Sector View Elect'!$E$7:$T$95,L$1,FALSE)</f>
        <v>0</v>
      </c>
      <c r="M68" s="2824">
        <f>VLOOKUP($E68,'2016 Sector View Elect'!$E$7:$T$95,M$1,FALSE)+VLOOKUP($E68, '2017 Sector View Elect'!$E$7:$T$95,M$1,FALSE)</f>
        <v>88000</v>
      </c>
      <c r="N68" s="2824">
        <f>VLOOKUP($E68,'2016 Sector View Elect'!$E$7:$T$95,N$1,FALSE)+VLOOKUP($E68, '2017 Sector View Elect'!$E$7:$T$95,N$1,FALSE)</f>
        <v>2000</v>
      </c>
      <c r="O68" s="2824">
        <f>VLOOKUP($E68,'2016 Sector View Elect'!$E$7:$T$95,O$1,FALSE)+VLOOKUP($E68, '2017 Sector View Elect'!$E$7:$T$95,O$1,FALSE)</f>
        <v>6000</v>
      </c>
      <c r="P68" s="2824">
        <f>VLOOKUP($E68,'2016 Sector View Elect'!$E$7:$T$95,P$1,FALSE)+VLOOKUP($E68, '2017 Sector View Elect'!$E$7:$T$95,P$1,FALSE)</f>
        <v>2700</v>
      </c>
      <c r="Q68" s="2824">
        <f>VLOOKUP($E68,'2016 Sector View Elect'!$E$7:$T$95,Q$1,FALSE)+VLOOKUP($E68, '2017 Sector View Elect'!$E$7:$T$95,Q$1,FALSE)</f>
        <v>0</v>
      </c>
      <c r="R68" s="2824">
        <f>VLOOKUP($E68,'2016 Sector View Elect'!$E$7:$T$95,R$1,FALSE)+VLOOKUP($E68, '2017 Sector View Elect'!$E$7:$T$95,R$1,FALSE)</f>
        <v>0</v>
      </c>
      <c r="S68" s="2824">
        <f>VLOOKUP($E68,'2016 Sector View Elect'!$E$7:$T$95,S$1,FALSE)+VLOOKUP($E68, '2017 Sector View Elect'!$E$7:$T$95,S$1,FALSE)</f>
        <v>2290663.8119399995</v>
      </c>
      <c r="T68" s="2824"/>
    </row>
    <row r="69" spans="2:20" s="2822" customFormat="1">
      <c r="B69" s="2821" t="s">
        <v>388</v>
      </c>
      <c r="E69" s="3368" t="s">
        <v>204</v>
      </c>
      <c r="H69" s="2825">
        <v>18230602</v>
      </c>
      <c r="I69" s="2824">
        <f>VLOOKUP($E69,'2016 Sector View Elect'!$E$7:$T$95,I$1,FALSE)+VLOOKUP($E69, '2017 Sector View Elect'!$E$7:$T$95,I$1,FALSE)</f>
        <v>663655.6786499999</v>
      </c>
      <c r="J69" s="2824">
        <f>VLOOKUP($E69,'2016 Sector View Elect'!$E$7:$T$95,J$1,FALSE)+VLOOKUP($E69, '2017 Sector View Elect'!$E$7:$T$95,J$1,FALSE)</f>
        <v>4931.6000000000004</v>
      </c>
      <c r="K69" s="2824">
        <f>VLOOKUP($E69,'2016 Sector View Elect'!$E$7:$T$95,K$1,FALSE)+VLOOKUP($E69, '2017 Sector View Elect'!$E$7:$T$95,K$1,FALSE)</f>
        <v>450348.73242400005</v>
      </c>
      <c r="L69" s="2824">
        <f>VLOOKUP($E69,'2016 Sector View Elect'!$E$7:$T$95,L$1,FALSE)+VLOOKUP($E69, '2017 Sector View Elect'!$E$7:$T$95,L$1,FALSE)</f>
        <v>18270</v>
      </c>
      <c r="M69" s="2824">
        <f>VLOOKUP($E69,'2016 Sector View Elect'!$E$7:$T$95,M$1,FALSE)+VLOOKUP($E69, '2017 Sector View Elect'!$E$7:$T$95,M$1,FALSE)</f>
        <v>17440</v>
      </c>
      <c r="N69" s="2824">
        <f>VLOOKUP($E69,'2016 Sector View Elect'!$E$7:$T$95,N$1,FALSE)+VLOOKUP($E69, '2017 Sector View Elect'!$E$7:$T$95,N$1,FALSE)</f>
        <v>151750</v>
      </c>
      <c r="O69" s="2824">
        <f>VLOOKUP($E69,'2016 Sector View Elect'!$E$7:$T$95,O$1,FALSE)+VLOOKUP($E69, '2017 Sector View Elect'!$E$7:$T$95,O$1,FALSE)</f>
        <v>9570</v>
      </c>
      <c r="P69" s="2824">
        <f>VLOOKUP($E69,'2016 Sector View Elect'!$E$7:$T$95,P$1,FALSE)+VLOOKUP($E69, '2017 Sector View Elect'!$E$7:$T$95,P$1,FALSE)</f>
        <v>0</v>
      </c>
      <c r="Q69" s="2824">
        <f>VLOOKUP($E69,'2016 Sector View Elect'!$E$7:$T$95,Q$1,FALSE)+VLOOKUP($E69, '2017 Sector View Elect'!$E$7:$T$95,Q$1,FALSE)</f>
        <v>0</v>
      </c>
      <c r="R69" s="2824">
        <f>VLOOKUP($E69,'2016 Sector View Elect'!$E$7:$T$95,R$1,FALSE)+VLOOKUP($E69, '2017 Sector View Elect'!$E$7:$T$95,R$1,FALSE)</f>
        <v>0</v>
      </c>
      <c r="S69" s="2824">
        <f>VLOOKUP($E69,'2016 Sector View Elect'!$E$7:$T$95,S$1,FALSE)+VLOOKUP($E69, '2017 Sector View Elect'!$E$7:$T$95,S$1,FALSE)</f>
        <v>1315966.011074</v>
      </c>
      <c r="T69" s="2826"/>
    </row>
    <row r="70" spans="2:20" s="2822" customFormat="1">
      <c r="B70" s="2821" t="s">
        <v>389</v>
      </c>
      <c r="E70" s="3368" t="s">
        <v>357</v>
      </c>
      <c r="H70" s="2825">
        <v>18230482</v>
      </c>
      <c r="I70" s="2824">
        <f>VLOOKUP($E70,'2016 Sector View Elect'!$E$7:$T$95,I$1,FALSE)+VLOOKUP($E70, '2017 Sector View Elect'!$E$7:$T$95,I$1,FALSE)</f>
        <v>32944.461750000002</v>
      </c>
      <c r="J70" s="2824">
        <f>VLOOKUP($E70,'2016 Sector View Elect'!$E$7:$T$95,J$1,FALSE)+VLOOKUP($E70, '2017 Sector View Elect'!$E$7:$T$95,J$1,FALSE)</f>
        <v>32565</v>
      </c>
      <c r="K70" s="2824">
        <f>VLOOKUP($E70,'2016 Sector View Elect'!$E$7:$T$95,K$1,FALSE)+VLOOKUP($E70, '2017 Sector View Elect'!$E$7:$T$95,K$1,FALSE)</f>
        <v>44165.093680000005</v>
      </c>
      <c r="L70" s="2824">
        <f>VLOOKUP($E70,'2016 Sector View Elect'!$E$7:$T$95,L$1,FALSE)+VLOOKUP($E70, '2017 Sector View Elect'!$E$7:$T$95,L$1,FALSE)</f>
        <v>26000</v>
      </c>
      <c r="M70" s="2824">
        <f>VLOOKUP($E70,'2016 Sector View Elect'!$E$7:$T$95,M$1,FALSE)+VLOOKUP($E70, '2017 Sector View Elect'!$E$7:$T$95,M$1,FALSE)</f>
        <v>0</v>
      </c>
      <c r="N70" s="2824">
        <f>VLOOKUP($E70,'2016 Sector View Elect'!$E$7:$T$95,N$1,FALSE)+VLOOKUP($E70, '2017 Sector View Elect'!$E$7:$T$95,N$1,FALSE)</f>
        <v>5220</v>
      </c>
      <c r="O70" s="2824">
        <f>VLOOKUP($E70,'2016 Sector View Elect'!$E$7:$T$95,O$1,FALSE)+VLOOKUP($E70, '2017 Sector View Elect'!$E$7:$T$95,O$1,FALSE)</f>
        <v>47840</v>
      </c>
      <c r="P70" s="2824">
        <f>VLOOKUP($E70,'2016 Sector View Elect'!$E$7:$T$95,P$1,FALSE)+VLOOKUP($E70, '2017 Sector View Elect'!$E$7:$T$95,P$1,FALSE)</f>
        <v>0</v>
      </c>
      <c r="Q70" s="2824">
        <f>VLOOKUP($E70,'2016 Sector View Elect'!$E$7:$T$95,Q$1,FALSE)+VLOOKUP($E70, '2017 Sector View Elect'!$E$7:$T$95,Q$1,FALSE)</f>
        <v>0</v>
      </c>
      <c r="R70" s="2824">
        <f>VLOOKUP($E70,'2016 Sector View Elect'!$E$7:$T$95,R$1,FALSE)+VLOOKUP($E70, '2017 Sector View Elect'!$E$7:$T$95,R$1,FALSE)</f>
        <v>0</v>
      </c>
      <c r="S70" s="2824">
        <f>VLOOKUP($E70,'2016 Sector View Elect'!$E$7:$T$95,S$1,FALSE)+VLOOKUP($E70, '2017 Sector View Elect'!$E$7:$T$95,S$1,FALSE)</f>
        <v>188734.55543000001</v>
      </c>
      <c r="T70" s="2826"/>
    </row>
    <row r="71" spans="2:20" s="2822" customFormat="1">
      <c r="B71" s="2821" t="s">
        <v>390</v>
      </c>
      <c r="C71" s="2822" t="s">
        <v>355</v>
      </c>
      <c r="E71" s="3368" t="s">
        <v>205</v>
      </c>
      <c r="H71" s="2825">
        <v>18230621</v>
      </c>
      <c r="I71" s="2824">
        <f>VLOOKUP($E71,'2016 Sector View Elect'!$E$7:$T$95,I$1,FALSE)+VLOOKUP($E71, '2017 Sector View Elect'!$E$7:$T$95,I$1,FALSE)</f>
        <v>0</v>
      </c>
      <c r="J71" s="2824">
        <f>VLOOKUP($E71,'2016 Sector View Elect'!$E$7:$T$95,J$1,FALSE)+VLOOKUP($E71, '2017 Sector View Elect'!$E$7:$T$95,J$1,FALSE)</f>
        <v>0</v>
      </c>
      <c r="K71" s="2824">
        <f>VLOOKUP($E71,'2016 Sector View Elect'!$E$7:$T$95,K$1,FALSE)+VLOOKUP($E71, '2017 Sector View Elect'!$E$7:$T$95,K$1,FALSE)</f>
        <v>0</v>
      </c>
      <c r="L71" s="2824">
        <f>VLOOKUP($E71,'2016 Sector View Elect'!$E$7:$T$95,L$1,FALSE)+VLOOKUP($E71, '2017 Sector View Elect'!$E$7:$T$95,L$1,FALSE)</f>
        <v>0</v>
      </c>
      <c r="M71" s="2824">
        <f>VLOOKUP($E71,'2016 Sector View Elect'!$E$7:$T$95,M$1,FALSE)+VLOOKUP($E71, '2017 Sector View Elect'!$E$7:$T$95,M$1,FALSE)</f>
        <v>0</v>
      </c>
      <c r="N71" s="2824">
        <f>VLOOKUP($E71,'2016 Sector View Elect'!$E$7:$T$95,N$1,FALSE)+VLOOKUP($E71, '2017 Sector View Elect'!$E$7:$T$95,N$1,FALSE)</f>
        <v>17600</v>
      </c>
      <c r="O71" s="2824">
        <f>VLOOKUP($E71,'2016 Sector View Elect'!$E$7:$T$95,O$1,FALSE)+VLOOKUP($E71, '2017 Sector View Elect'!$E$7:$T$95,O$1,FALSE)</f>
        <v>0</v>
      </c>
      <c r="P71" s="2824">
        <f>VLOOKUP($E71,'2016 Sector View Elect'!$E$7:$T$95,P$1,FALSE)+VLOOKUP($E71, '2017 Sector View Elect'!$E$7:$T$95,P$1,FALSE)</f>
        <v>0</v>
      </c>
      <c r="Q71" s="2824">
        <f>VLOOKUP($E71,'2016 Sector View Elect'!$E$7:$T$95,Q$1,FALSE)+VLOOKUP($E71, '2017 Sector View Elect'!$E$7:$T$95,Q$1,FALSE)</f>
        <v>0</v>
      </c>
      <c r="R71" s="2824">
        <f>VLOOKUP($E71,'2016 Sector View Elect'!$E$7:$T$95,R$1,FALSE)+VLOOKUP($E71, '2017 Sector View Elect'!$E$7:$T$95,R$1,FALSE)</f>
        <v>0</v>
      </c>
      <c r="S71" s="2824">
        <f>VLOOKUP($E71,'2016 Sector View Elect'!$E$7:$T$95,S$1,FALSE)+VLOOKUP($E71, '2017 Sector View Elect'!$E$7:$T$95,S$1,FALSE)</f>
        <v>17600</v>
      </c>
      <c r="T71" s="2826"/>
    </row>
    <row r="72" spans="2:20">
      <c r="B72" s="2259"/>
      <c r="C72" s="1164" t="s">
        <v>252</v>
      </c>
      <c r="E72" s="2708" t="s">
        <v>756</v>
      </c>
      <c r="H72" s="1340"/>
      <c r="I72" s="1605">
        <f>VLOOKUP($E72,'2016 Sector View Elect'!$E$7:$T$95,I$1,FALSE)+VLOOKUP($E72, '2017 Sector View Elect'!$E$7:$T$95,I$1,FALSE)</f>
        <v>491721.44</v>
      </c>
      <c r="J72" s="2142">
        <f>VLOOKUP($E72,'2016 Sector View Elect'!$E$7:$T$95,J$1,FALSE)+VLOOKUP($E72, '2017 Sector View Elect'!$E$7:$T$95,J$1,FALSE)</f>
        <v>2000</v>
      </c>
      <c r="K72" s="2142">
        <f>VLOOKUP($E72,'2016 Sector View Elect'!$E$7:$T$95,K$1,FALSE)+VLOOKUP($E72, '2017 Sector View Elect'!$E$7:$T$95,K$1,FALSE)</f>
        <v>332560.84822000004</v>
      </c>
      <c r="L72" s="2142">
        <f>VLOOKUP($E72,'2016 Sector View Elect'!$E$7:$T$95,L$1,FALSE)+VLOOKUP($E72, '2017 Sector View Elect'!$E$7:$T$95,L$1,FALSE)</f>
        <v>0</v>
      </c>
      <c r="M72" s="2142">
        <f>VLOOKUP($E72,'2016 Sector View Elect'!$E$7:$T$95,M$1,FALSE)+VLOOKUP($E72, '2017 Sector View Elect'!$E$7:$T$95,M$1,FALSE)</f>
        <v>20400</v>
      </c>
      <c r="N72" s="2142">
        <f>VLOOKUP($E72,'2016 Sector View Elect'!$E$7:$T$95,N$1,FALSE)+VLOOKUP($E72, '2017 Sector View Elect'!$E$7:$T$95,N$1,FALSE)</f>
        <v>1240620</v>
      </c>
      <c r="O72" s="2142">
        <f>VLOOKUP($E72,'2016 Sector View Elect'!$E$7:$T$95,O$1,FALSE)+VLOOKUP($E72, '2017 Sector View Elect'!$E$7:$T$95,O$1,FALSE)</f>
        <v>0</v>
      </c>
      <c r="P72" s="2142">
        <f>VLOOKUP($E72,'2016 Sector View Elect'!$E$7:$T$95,P$1,FALSE)+VLOOKUP($E72, '2017 Sector View Elect'!$E$7:$T$95,P$1,FALSE)</f>
        <v>0</v>
      </c>
      <c r="Q72" s="2142">
        <f>VLOOKUP($E72,'2016 Sector View Elect'!$E$7:$T$95,Q$1,FALSE)+VLOOKUP($E72, '2017 Sector View Elect'!$E$7:$T$95,Q$1,FALSE)</f>
        <v>0</v>
      </c>
      <c r="R72" s="2142">
        <f>VLOOKUP($E72,'2016 Sector View Elect'!$E$7:$T$95,R$1,FALSE)+VLOOKUP($E72, '2017 Sector View Elect'!$E$7:$T$95,R$1,FALSE)</f>
        <v>0</v>
      </c>
      <c r="S72" s="2142">
        <f>VLOOKUP($E72,'2016 Sector View Elect'!$E$7:$T$95,S$1,FALSE)+VLOOKUP($E72, '2017 Sector View Elect'!$E$7:$T$95,S$1,FALSE)</f>
        <v>2087302.28822</v>
      </c>
    </row>
    <row r="73" spans="2:20" s="2822" customFormat="1">
      <c r="B73" s="2821" t="s">
        <v>391</v>
      </c>
      <c r="E73" s="3366" t="s">
        <v>786</v>
      </c>
      <c r="H73" s="2825">
        <v>18230408</v>
      </c>
      <c r="I73" s="2824">
        <f>VLOOKUP($E73,'2016 Sector View Elect'!$E$7:$T$95,I$1,FALSE)+VLOOKUP($E73, '2017 Sector View Elect'!$E$7:$T$95,I$1,FALSE)</f>
        <v>0</v>
      </c>
      <c r="J73" s="2824">
        <f>VLOOKUP($E73,'2016 Sector View Elect'!$E$7:$T$95,J$1,FALSE)+VLOOKUP($E73, '2017 Sector View Elect'!$E$7:$T$95,J$1,FALSE)</f>
        <v>0</v>
      </c>
      <c r="K73" s="2824">
        <f>VLOOKUP($E73,'2016 Sector View Elect'!$E$7:$T$95,K$1,FALSE)+VLOOKUP($E73, '2017 Sector View Elect'!$E$7:$T$95,K$1,FALSE)</f>
        <v>0</v>
      </c>
      <c r="L73" s="2824">
        <f>VLOOKUP($E73,'2016 Sector View Elect'!$E$7:$T$95,L$1,FALSE)+VLOOKUP($E73, '2017 Sector View Elect'!$E$7:$T$95,L$1,FALSE)</f>
        <v>0</v>
      </c>
      <c r="M73" s="2824">
        <f>VLOOKUP($E73,'2016 Sector View Elect'!$E$7:$T$95,M$1,FALSE)+VLOOKUP($E73, '2017 Sector View Elect'!$E$7:$T$95,M$1,FALSE)</f>
        <v>0</v>
      </c>
      <c r="N73" s="2824">
        <f>VLOOKUP($E73,'2016 Sector View Elect'!$E$7:$T$95,N$1,FALSE)+VLOOKUP($E73, '2017 Sector View Elect'!$E$7:$T$95,N$1,FALSE)</f>
        <v>1177980</v>
      </c>
      <c r="O73" s="2824">
        <f>VLOOKUP($E73,'2016 Sector View Elect'!$E$7:$T$95,O$1,FALSE)+VLOOKUP($E73, '2017 Sector View Elect'!$E$7:$T$95,O$1,FALSE)</f>
        <v>0</v>
      </c>
      <c r="P73" s="2824">
        <f>VLOOKUP($E73,'2016 Sector View Elect'!$E$7:$T$95,P$1,FALSE)+VLOOKUP($E73, '2017 Sector View Elect'!$E$7:$T$95,P$1,FALSE)</f>
        <v>0</v>
      </c>
      <c r="Q73" s="2824">
        <f>VLOOKUP($E73,'2016 Sector View Elect'!$E$7:$T$95,Q$1,FALSE)+VLOOKUP($E73, '2017 Sector View Elect'!$E$7:$T$95,Q$1,FALSE)</f>
        <v>0</v>
      </c>
      <c r="R73" s="2824">
        <f>VLOOKUP($E73,'2016 Sector View Elect'!$E$7:$T$95,R$1,FALSE)+VLOOKUP($E73, '2017 Sector View Elect'!$E$7:$T$95,R$1,FALSE)</f>
        <v>0</v>
      </c>
      <c r="S73" s="2824">
        <f>VLOOKUP($E73,'2016 Sector View Elect'!$E$7:$T$95,S$1,FALSE)+VLOOKUP($E73, '2017 Sector View Elect'!$E$7:$T$95,S$1,FALSE)</f>
        <v>1177980</v>
      </c>
      <c r="T73" s="2826"/>
    </row>
    <row r="74" spans="2:20" s="2822" customFormat="1">
      <c r="B74" s="2821" t="s">
        <v>392</v>
      </c>
      <c r="E74" s="3366" t="s">
        <v>341</v>
      </c>
      <c r="H74" s="2825">
        <v>18230466</v>
      </c>
      <c r="I74" s="2824">
        <f>VLOOKUP($E74,'2016 Sector View Elect'!$E$7:$T$95,I$1,FALSE)+VLOOKUP($E74, '2017 Sector View Elect'!$E$7:$T$95,I$1,FALSE)</f>
        <v>365310</v>
      </c>
      <c r="J74" s="2824">
        <f>VLOOKUP($E74,'2016 Sector View Elect'!$E$7:$T$95,J$1,FALSE)+VLOOKUP($E74, '2017 Sector View Elect'!$E$7:$T$95,J$1,FALSE)</f>
        <v>0</v>
      </c>
      <c r="K74" s="2824">
        <f>VLOOKUP($E74,'2016 Sector View Elect'!$E$7:$T$95,K$1,FALSE)+VLOOKUP($E74, '2017 Sector View Elect'!$E$7:$T$95,K$1,FALSE)</f>
        <v>246065.6</v>
      </c>
      <c r="L74" s="2824">
        <f>VLOOKUP($E74,'2016 Sector View Elect'!$E$7:$T$95,L$1,FALSE)+VLOOKUP($E74, '2017 Sector View Elect'!$E$7:$T$95,L$1,FALSE)</f>
        <v>0</v>
      </c>
      <c r="M74" s="2824">
        <f>VLOOKUP($E74,'2016 Sector View Elect'!$E$7:$T$95,M$1,FALSE)+VLOOKUP($E74, '2017 Sector View Elect'!$E$7:$T$95,M$1,FALSE)</f>
        <v>17400</v>
      </c>
      <c r="N74" s="2824">
        <f>VLOOKUP($E74,'2016 Sector View Elect'!$E$7:$T$95,N$1,FALSE)+VLOOKUP($E74, '2017 Sector View Elect'!$E$7:$T$95,N$1,FALSE)</f>
        <v>27840</v>
      </c>
      <c r="O74" s="2824">
        <f>VLOOKUP($E74,'2016 Sector View Elect'!$E$7:$T$95,O$1,FALSE)+VLOOKUP($E74, '2017 Sector View Elect'!$E$7:$T$95,O$1,FALSE)</f>
        <v>0</v>
      </c>
      <c r="P74" s="2824">
        <f>VLOOKUP($E74,'2016 Sector View Elect'!$E$7:$T$95,P$1,FALSE)+VLOOKUP($E74, '2017 Sector View Elect'!$E$7:$T$95,P$1,FALSE)</f>
        <v>0</v>
      </c>
      <c r="Q74" s="2824">
        <f>VLOOKUP($E74,'2016 Sector View Elect'!$E$7:$T$95,Q$1,FALSE)+VLOOKUP($E74, '2017 Sector View Elect'!$E$7:$T$95,Q$1,FALSE)</f>
        <v>0</v>
      </c>
      <c r="R74" s="2824">
        <f>VLOOKUP($E74,'2016 Sector View Elect'!$E$7:$T$95,R$1,FALSE)+VLOOKUP($E74, '2017 Sector View Elect'!$E$7:$T$95,R$1,FALSE)</f>
        <v>0</v>
      </c>
      <c r="S74" s="2824">
        <f>VLOOKUP($E74,'2016 Sector View Elect'!$E$7:$T$95,S$1,FALSE)+VLOOKUP($E74, '2017 Sector View Elect'!$E$7:$T$95,S$1,FALSE)</f>
        <v>656615.6</v>
      </c>
      <c r="T74" s="2826"/>
    </row>
    <row r="75" spans="2:20" s="2822" customFormat="1">
      <c r="B75" s="2821" t="s">
        <v>1638</v>
      </c>
      <c r="E75" s="3366" t="s">
        <v>1636</v>
      </c>
      <c r="H75" s="2052">
        <v>18230411</v>
      </c>
      <c r="I75" s="2824">
        <f>VLOOKUP($E75,'2016 Sector View Elect'!$E$7:$T$95,I$1,FALSE)+VLOOKUP($E75, '2017 Sector View Elect'!$E$7:$T$95,I$1,FALSE)</f>
        <v>126411.44</v>
      </c>
      <c r="J75" s="2824">
        <f>VLOOKUP($E75,'2016 Sector View Elect'!$E$7:$T$95,J$1,FALSE)+VLOOKUP($E75, '2017 Sector View Elect'!$E$7:$T$95,J$1,FALSE)</f>
        <v>2000</v>
      </c>
      <c r="K75" s="2824">
        <f>VLOOKUP($E75,'2016 Sector View Elect'!$E$7:$T$95,K$1,FALSE)+VLOOKUP($E75, '2017 Sector View Elect'!$E$7:$T$95,K$1,FALSE)</f>
        <v>86495.248220000009</v>
      </c>
      <c r="L75" s="2824">
        <f>VLOOKUP($E75,'2016 Sector View Elect'!$E$7:$T$95,L$1,FALSE)+VLOOKUP($E75, '2017 Sector View Elect'!$E$7:$T$95,L$1,FALSE)</f>
        <v>0</v>
      </c>
      <c r="M75" s="2824">
        <f>VLOOKUP($E75,'2016 Sector View Elect'!$E$7:$T$95,M$1,FALSE)+VLOOKUP($E75, '2017 Sector View Elect'!$E$7:$T$95,M$1,FALSE)</f>
        <v>3000</v>
      </c>
      <c r="N75" s="2824">
        <f>VLOOKUP($E75,'2016 Sector View Elect'!$E$7:$T$95,N$1,FALSE)+VLOOKUP($E75, '2017 Sector View Elect'!$E$7:$T$95,N$1,FALSE)</f>
        <v>34800</v>
      </c>
      <c r="O75" s="2824">
        <f>VLOOKUP($E75,'2016 Sector View Elect'!$E$7:$T$95,O$1,FALSE)+VLOOKUP($E75, '2017 Sector View Elect'!$E$7:$T$95,O$1,FALSE)</f>
        <v>0</v>
      </c>
      <c r="P75" s="2824">
        <f>VLOOKUP($E75,'2016 Sector View Elect'!$E$7:$T$95,P$1,FALSE)+VLOOKUP($E75, '2017 Sector View Elect'!$E$7:$T$95,P$1,FALSE)</f>
        <v>0</v>
      </c>
      <c r="Q75" s="2824">
        <f>VLOOKUP($E75,'2016 Sector View Elect'!$E$7:$T$95,Q$1,FALSE)+VLOOKUP($E75, '2017 Sector View Elect'!$E$7:$T$95,Q$1,FALSE)</f>
        <v>0</v>
      </c>
      <c r="R75" s="2824">
        <f>VLOOKUP($E75,'2016 Sector View Elect'!$E$7:$T$95,R$1,FALSE)+VLOOKUP($E75, '2017 Sector View Elect'!$E$7:$T$95,R$1,FALSE)</f>
        <v>0</v>
      </c>
      <c r="S75" s="2824">
        <f>VLOOKUP($E75,'2016 Sector View Elect'!$E$7:$T$95,S$1,FALSE)+VLOOKUP($E75, '2017 Sector View Elect'!$E$7:$T$95,S$1,FALSE)</f>
        <v>252706.68822000001</v>
      </c>
      <c r="T75" s="2826"/>
    </row>
    <row r="76" spans="2:20" s="2177" customFormat="1">
      <c r="B76" s="2259" t="s">
        <v>736</v>
      </c>
      <c r="E76" s="2177" t="s">
        <v>1564</v>
      </c>
      <c r="H76" s="2263">
        <v>18230507</v>
      </c>
      <c r="I76" s="2142">
        <f>VLOOKUP($E76,'2016 Sector View Elect'!$E$7:$T$95,I$1,FALSE)+VLOOKUP($E76, '2017 Sector View Elect'!$E$7:$T$95,I$1,FALSE)</f>
        <v>774507.58199999994</v>
      </c>
      <c r="J76" s="2142">
        <f>VLOOKUP($E76,'2016 Sector View Elect'!$E$7:$T$95,J$1,FALSE)+VLOOKUP($E76, '2017 Sector View Elect'!$E$7:$T$95,J$1,FALSE)</f>
        <v>0</v>
      </c>
      <c r="K76" s="2142">
        <f>VLOOKUP($E76,'2016 Sector View Elect'!$E$7:$T$95,K$1,FALSE)+VLOOKUP($E76, '2017 Sector View Elect'!$E$7:$T$95,K$1,FALSE)</f>
        <v>521692.99927200004</v>
      </c>
      <c r="L76" s="2142">
        <f>VLOOKUP($E76,'2016 Sector View Elect'!$E$7:$T$95,L$1,FALSE)+VLOOKUP($E76, '2017 Sector View Elect'!$E$7:$T$95,L$1,FALSE)</f>
        <v>0</v>
      </c>
      <c r="M76" s="2142">
        <f>VLOOKUP($E76,'2016 Sector View Elect'!$E$7:$T$95,M$1,FALSE)+VLOOKUP($E76, '2017 Sector View Elect'!$E$7:$T$95,M$1,FALSE)</f>
        <v>36192</v>
      </c>
      <c r="N76" s="2142">
        <f>VLOOKUP($E76,'2016 Sector View Elect'!$E$7:$T$95,N$1,FALSE)+VLOOKUP($E76, '2017 Sector View Elect'!$E$7:$T$95,N$1,FALSE)</f>
        <v>0</v>
      </c>
      <c r="O76" s="2142">
        <f>VLOOKUP($E76,'2016 Sector View Elect'!$E$7:$T$95,O$1,FALSE)+VLOOKUP($E76, '2017 Sector View Elect'!$E$7:$T$95,O$1,FALSE)</f>
        <v>8700</v>
      </c>
      <c r="P76" s="2142">
        <f>VLOOKUP($E76,'2016 Sector View Elect'!$E$7:$T$95,P$1,FALSE)+VLOOKUP($E76, '2017 Sector View Elect'!$E$7:$T$95,P$1,FALSE)</f>
        <v>0</v>
      </c>
      <c r="Q76" s="2142">
        <f>VLOOKUP($E76,'2016 Sector View Elect'!$E$7:$T$95,Q$1,FALSE)+VLOOKUP($E76, '2017 Sector View Elect'!$E$7:$T$95,Q$1,FALSE)</f>
        <v>0</v>
      </c>
      <c r="R76" s="2142">
        <f>VLOOKUP($E76,'2016 Sector View Elect'!$E$7:$T$95,R$1,FALSE)+VLOOKUP($E76, '2017 Sector View Elect'!$E$7:$T$95,R$1,FALSE)</f>
        <v>0</v>
      </c>
      <c r="S76" s="2142">
        <f>VLOOKUP($E76,'2016 Sector View Elect'!$E$7:$T$95,S$1,FALSE)+VLOOKUP($E76, '2017 Sector View Elect'!$E$7:$T$95,S$1,FALSE)</f>
        <v>1341092.581272</v>
      </c>
      <c r="T76" s="2144"/>
    </row>
    <row r="77" spans="2:20" s="2177" customFormat="1">
      <c r="B77" s="2259" t="s">
        <v>400</v>
      </c>
      <c r="E77" s="2194" t="s">
        <v>636</v>
      </c>
      <c r="F77" s="2194"/>
      <c r="G77" s="2194"/>
      <c r="H77" s="1340">
        <v>18230810</v>
      </c>
      <c r="I77" s="2142">
        <f>VLOOKUP($E77,'2016 Sector View Elect'!$E$7:$T$95,I$1,FALSE)+VLOOKUP($E77, '2017 Sector View Elect'!$E$7:$T$95,I$1,FALSE)</f>
        <v>356977.16000000003</v>
      </c>
      <c r="J77" s="2142">
        <f>VLOOKUP($E77,'2016 Sector View Elect'!$E$7:$T$95,J$1,FALSE)+VLOOKUP($E77, '2017 Sector View Elect'!$E$7:$T$95,J$1,FALSE)</f>
        <v>0</v>
      </c>
      <c r="K77" s="2142">
        <f>VLOOKUP($E77,'2016 Sector View Elect'!$E$7:$T$95,K$1,FALSE)+VLOOKUP($E77, '2017 Sector View Elect'!$E$7:$T$95,K$1,FALSE)</f>
        <v>240411.37245000002</v>
      </c>
      <c r="L77" s="2142">
        <f>VLOOKUP($E77,'2016 Sector View Elect'!$E$7:$T$95,L$1,FALSE)+VLOOKUP($E77, '2017 Sector View Elect'!$E$7:$T$95,L$1,FALSE)</f>
        <v>0</v>
      </c>
      <c r="M77" s="2142">
        <f>VLOOKUP($E77,'2016 Sector View Elect'!$E$7:$T$95,M$1,FALSE)+VLOOKUP($E77, '2017 Sector View Elect'!$E$7:$T$95,M$1,FALSE)</f>
        <v>24000</v>
      </c>
      <c r="N77" s="2142">
        <f>VLOOKUP($E77,'2016 Sector View Elect'!$E$7:$T$95,N$1,FALSE)+VLOOKUP($E77, '2017 Sector View Elect'!$E$7:$T$95,N$1,FALSE)</f>
        <v>0</v>
      </c>
      <c r="O77" s="2142">
        <f>VLOOKUP($E77,'2016 Sector View Elect'!$E$7:$T$95,O$1,FALSE)+VLOOKUP($E77, '2017 Sector View Elect'!$E$7:$T$95,O$1,FALSE)</f>
        <v>0</v>
      </c>
      <c r="P77" s="2142">
        <f>VLOOKUP($E77,'2016 Sector View Elect'!$E$7:$T$95,P$1,FALSE)+VLOOKUP($E77, '2017 Sector View Elect'!$E$7:$T$95,P$1,FALSE)</f>
        <v>0</v>
      </c>
      <c r="Q77" s="2142">
        <f>VLOOKUP($E77,'2016 Sector View Elect'!$E$7:$T$95,Q$1,FALSE)+VLOOKUP($E77, '2017 Sector View Elect'!$E$7:$T$95,Q$1,FALSE)</f>
        <v>0</v>
      </c>
      <c r="R77" s="2142">
        <f>VLOOKUP($E77,'2016 Sector View Elect'!$E$7:$T$95,R$1,FALSE)+VLOOKUP($E77, '2017 Sector View Elect'!$E$7:$T$95,R$1,FALSE)</f>
        <v>0</v>
      </c>
      <c r="S77" s="2142">
        <f>VLOOKUP($E77,'2016 Sector View Elect'!$E$7:$T$95,S$1,FALSE)+VLOOKUP($E77, '2017 Sector View Elect'!$E$7:$T$95,S$1,FALSE)</f>
        <v>621388.53245000006</v>
      </c>
      <c r="T77" s="2144"/>
    </row>
    <row r="78" spans="2:20" s="2177" customFormat="1">
      <c r="B78" s="2259" t="s">
        <v>737</v>
      </c>
      <c r="E78" s="2177" t="s">
        <v>637</v>
      </c>
      <c r="H78" s="2263">
        <v>18230745</v>
      </c>
      <c r="I78" s="2142">
        <f>VLOOKUP($E78,'2016 Sector View Elect'!$E$7:$T$95,I$1,FALSE)+VLOOKUP($E78, '2017 Sector View Elect'!$E$7:$T$95,I$1,FALSE)</f>
        <v>878185.39999999991</v>
      </c>
      <c r="J78" s="2142">
        <f>VLOOKUP($E78,'2016 Sector View Elect'!$E$7:$T$95,J$1,FALSE)+VLOOKUP($E78, '2017 Sector View Elect'!$E$7:$T$95,J$1,FALSE)</f>
        <v>0</v>
      </c>
      <c r="K78" s="2142">
        <f>VLOOKUP($E78,'2016 Sector View Elect'!$E$7:$T$95,K$1,FALSE)+VLOOKUP($E78, '2017 Sector View Elect'!$E$7:$T$95,K$1,FALSE)</f>
        <v>610658.91020000004</v>
      </c>
      <c r="L78" s="2142">
        <f>VLOOKUP($E78,'2016 Sector View Elect'!$E$7:$T$95,L$1,FALSE)+VLOOKUP($E78, '2017 Sector View Elect'!$E$7:$T$95,L$1,FALSE)</f>
        <v>0</v>
      </c>
      <c r="M78" s="2142">
        <f>VLOOKUP($E78,'2016 Sector View Elect'!$E$7:$T$95,M$1,FALSE)+VLOOKUP($E78, '2017 Sector View Elect'!$E$7:$T$95,M$1,FALSE)</f>
        <v>24000</v>
      </c>
      <c r="N78" s="2142">
        <f>VLOOKUP($E78,'2016 Sector View Elect'!$E$7:$T$95,N$1,FALSE)+VLOOKUP($E78, '2017 Sector View Elect'!$E$7:$T$95,N$1,FALSE)</f>
        <v>574200</v>
      </c>
      <c r="O78" s="2142">
        <f>VLOOKUP($E78,'2016 Sector View Elect'!$E$7:$T$95,O$1,FALSE)+VLOOKUP($E78, '2017 Sector View Elect'!$E$7:$T$95,O$1,FALSE)</f>
        <v>0</v>
      </c>
      <c r="P78" s="2142">
        <f>VLOOKUP($E78,'2016 Sector View Elect'!$E$7:$T$95,P$1,FALSE)+VLOOKUP($E78, '2017 Sector View Elect'!$E$7:$T$95,P$1,FALSE)</f>
        <v>0</v>
      </c>
      <c r="Q78" s="2142">
        <f>VLOOKUP($E78,'2016 Sector View Elect'!$E$7:$T$95,Q$1,FALSE)+VLOOKUP($E78, '2017 Sector View Elect'!$E$7:$T$95,Q$1,FALSE)</f>
        <v>0</v>
      </c>
      <c r="R78" s="2142">
        <f>VLOOKUP($E78,'2016 Sector View Elect'!$E$7:$T$95,R$1,FALSE)+VLOOKUP($E78, '2017 Sector View Elect'!$E$7:$T$95,R$1,FALSE)</f>
        <v>0</v>
      </c>
      <c r="S78" s="2142">
        <f>VLOOKUP($E78,'2016 Sector View Elect'!$E$7:$T$95,S$1,FALSE)+VLOOKUP($E78, '2017 Sector View Elect'!$E$7:$T$95,S$1,FALSE)</f>
        <v>2087044.3101999999</v>
      </c>
      <c r="T78" s="2144"/>
    </row>
    <row r="79" spans="2:20">
      <c r="B79" s="2259" t="s">
        <v>393</v>
      </c>
      <c r="E79" t="s">
        <v>26</v>
      </c>
      <c r="H79" s="1340">
        <v>18230811</v>
      </c>
      <c r="I79" s="1605">
        <f>VLOOKUP($E79,'2016 Sector View Elect'!$E$7:$T$95,I$1,FALSE)+VLOOKUP($E79, '2017 Sector View Elect'!$E$7:$T$95,I$1,FALSE)</f>
        <v>814628.21849999996</v>
      </c>
      <c r="J79" s="1605">
        <f>VLOOKUP($E79,'2016 Sector View Elect'!$E$7:$T$95,J$1,FALSE)+VLOOKUP($E79, '2017 Sector View Elect'!$E$7:$T$95,J$1,FALSE)</f>
        <v>16416.099999999999</v>
      </c>
      <c r="K79" s="1605">
        <f>VLOOKUP($E79,'2016 Sector View Elect'!$E$7:$T$95,K$1,FALSE)+VLOOKUP($E79, '2017 Sector View Elect'!$E$7:$T$95,K$1,FALSE)</f>
        <v>559794.80526000005</v>
      </c>
      <c r="L79" s="1605">
        <f>VLOOKUP($E79,'2016 Sector View Elect'!$E$7:$T$95,L$1,FALSE)+VLOOKUP($E79, '2017 Sector View Elect'!$E$7:$T$95,L$1,FALSE)</f>
        <v>186135</v>
      </c>
      <c r="M79" s="1605">
        <f>VLOOKUP($E79,'2016 Sector View Elect'!$E$7:$T$95,M$1,FALSE)+VLOOKUP($E79, '2017 Sector View Elect'!$E$7:$T$95,M$1,FALSE)</f>
        <v>147030</v>
      </c>
      <c r="N79" s="1605">
        <f>VLOOKUP($E79,'2016 Sector View Elect'!$E$7:$T$95,N$1,FALSE)+VLOOKUP($E79, '2017 Sector View Elect'!$E$7:$T$95,N$1,FALSE)</f>
        <v>56550</v>
      </c>
      <c r="O79" s="1605">
        <f>VLOOKUP($E79,'2016 Sector View Elect'!$E$7:$T$95,O$1,FALSE)+VLOOKUP($E79, '2017 Sector View Elect'!$E$7:$T$95,O$1,FALSE)</f>
        <v>45230</v>
      </c>
      <c r="P79" s="1605">
        <f>VLOOKUP($E79,'2016 Sector View Elect'!$E$7:$T$95,P$1,FALSE)+VLOOKUP($E79, '2017 Sector View Elect'!$E$7:$T$95,P$1,FALSE)</f>
        <v>0</v>
      </c>
      <c r="Q79" s="1605">
        <f>VLOOKUP($E79,'2016 Sector View Elect'!$E$7:$T$95,Q$1,FALSE)+VLOOKUP($E79, '2017 Sector View Elect'!$E$7:$T$95,Q$1,FALSE)</f>
        <v>0</v>
      </c>
      <c r="R79" s="1605">
        <f>VLOOKUP($E79,'2016 Sector View Elect'!$E$7:$T$95,R$1,FALSE)+VLOOKUP($E79, '2017 Sector View Elect'!$E$7:$T$95,R$1,FALSE)</f>
        <v>0</v>
      </c>
      <c r="S79" s="1605">
        <f>VLOOKUP($E79,'2016 Sector View Elect'!$E$7:$T$95,S$1,FALSE)+VLOOKUP($E79, '2017 Sector View Elect'!$E$7:$T$95,S$1,FALSE)</f>
        <v>1825784.1237599999</v>
      </c>
    </row>
    <row r="80" spans="2:20">
      <c r="B80" s="2259" t="s">
        <v>394</v>
      </c>
      <c r="E80" s="18" t="s">
        <v>164</v>
      </c>
      <c r="F80" s="1862"/>
      <c r="G80" s="1862"/>
      <c r="H80" s="1340">
        <v>18230730</v>
      </c>
      <c r="I80" s="1605">
        <f>VLOOKUP($E80,'2016 Sector View Elect'!$E$7:$T$95,I$1,FALSE)+VLOOKUP($E80, '2017 Sector View Elect'!$E$7:$T$95,I$1,FALSE)</f>
        <v>0</v>
      </c>
      <c r="J80" s="1605">
        <f>VLOOKUP($E80,'2016 Sector View Elect'!$E$7:$T$95,J$1,FALSE)+VLOOKUP($E80, '2017 Sector View Elect'!$E$7:$T$95,J$1,FALSE)</f>
        <v>0</v>
      </c>
      <c r="K80" s="1605">
        <f>VLOOKUP($E80,'2016 Sector View Elect'!$E$7:$T$95,K$1,FALSE)+VLOOKUP($E80, '2017 Sector View Elect'!$E$7:$T$95,K$1,FALSE)</f>
        <v>0</v>
      </c>
      <c r="L80" s="1605">
        <f>VLOOKUP($E80,'2016 Sector View Elect'!$E$7:$T$95,L$1,FALSE)+VLOOKUP($E80, '2017 Sector View Elect'!$E$7:$T$95,L$1,FALSE)</f>
        <v>0</v>
      </c>
      <c r="M80" s="1605">
        <f>VLOOKUP($E80,'2016 Sector View Elect'!$E$7:$T$95,M$1,FALSE)+VLOOKUP($E80, '2017 Sector View Elect'!$E$7:$T$95,M$1,FALSE)</f>
        <v>0</v>
      </c>
      <c r="N80" s="1605">
        <f>VLOOKUP($E80,'2016 Sector View Elect'!$E$7:$T$95,N$1,FALSE)+VLOOKUP($E80, '2017 Sector View Elect'!$E$7:$T$95,N$1,FALSE)</f>
        <v>113100</v>
      </c>
      <c r="O80" s="1605">
        <f>VLOOKUP($E80,'2016 Sector View Elect'!$E$7:$T$95,O$1,FALSE)+VLOOKUP($E80, '2017 Sector View Elect'!$E$7:$T$95,O$1,FALSE)</f>
        <v>0</v>
      </c>
      <c r="P80" s="1605">
        <f>VLOOKUP($E80,'2016 Sector View Elect'!$E$7:$T$95,P$1,FALSE)+VLOOKUP($E80, '2017 Sector View Elect'!$E$7:$T$95,P$1,FALSE)</f>
        <v>122222</v>
      </c>
      <c r="Q80" s="1605">
        <f>VLOOKUP($E80,'2016 Sector View Elect'!$E$7:$T$95,Q$1,FALSE)+VLOOKUP($E80, '2017 Sector View Elect'!$E$7:$T$95,Q$1,FALSE)</f>
        <v>0</v>
      </c>
      <c r="R80" s="1605">
        <f>VLOOKUP($E80,'2016 Sector View Elect'!$E$7:$T$95,R$1,FALSE)+VLOOKUP($E80, '2017 Sector View Elect'!$E$7:$T$95,R$1,FALSE)</f>
        <v>0</v>
      </c>
      <c r="S80" s="1605">
        <f>VLOOKUP($E80,'2016 Sector View Elect'!$E$7:$T$95,S$1,FALSE)+VLOOKUP($E80, '2017 Sector View Elect'!$E$7:$T$95,S$1,FALSE)</f>
        <v>235322</v>
      </c>
    </row>
    <row r="81" spans="2:20" s="2177" customFormat="1">
      <c r="B81" s="2259" t="s">
        <v>738</v>
      </c>
      <c r="E81" s="2194" t="s">
        <v>662</v>
      </c>
      <c r="F81" s="2194"/>
      <c r="G81" s="2194"/>
      <c r="H81" s="246">
        <v>18230746</v>
      </c>
      <c r="I81" s="2142">
        <f>VLOOKUP($E81,'2016 Sector View Elect'!$E$7:$T$95,I$1,FALSE)+VLOOKUP($E81, '2017 Sector View Elect'!$E$7:$T$95,I$1,FALSE)</f>
        <v>304326.38</v>
      </c>
      <c r="J81" s="2142">
        <f>VLOOKUP($E81,'2016 Sector View Elect'!$E$7:$T$95,J$1,FALSE)+VLOOKUP($E81, '2017 Sector View Elect'!$E$7:$T$95,J$1,FALSE)</f>
        <v>8100</v>
      </c>
      <c r="K81" s="2142">
        <f>VLOOKUP($E81,'2016 Sector View Elect'!$E$7:$T$95,K$1,FALSE)+VLOOKUP($E81, '2017 Sector View Elect'!$E$7:$T$95,K$1,FALSE)</f>
        <v>210444.41696</v>
      </c>
      <c r="L81" s="2142">
        <f>VLOOKUP($E81,'2016 Sector View Elect'!$E$7:$T$95,L$1,FALSE)+VLOOKUP($E81, '2017 Sector View Elect'!$E$7:$T$95,L$1,FALSE)</f>
        <v>28000</v>
      </c>
      <c r="M81" s="2142">
        <f>VLOOKUP($E81,'2016 Sector View Elect'!$E$7:$T$95,M$1,FALSE)+VLOOKUP($E81, '2017 Sector View Elect'!$E$7:$T$95,M$1,FALSE)</f>
        <v>10000</v>
      </c>
      <c r="N81" s="2142">
        <f>VLOOKUP($E81,'2016 Sector View Elect'!$E$7:$T$95,N$1,FALSE)+VLOOKUP($E81, '2017 Sector View Elect'!$E$7:$T$95,N$1,FALSE)</f>
        <v>32000</v>
      </c>
      <c r="O81" s="2142">
        <f>VLOOKUP($E81,'2016 Sector View Elect'!$E$7:$T$95,O$1,FALSE)+VLOOKUP($E81, '2017 Sector View Elect'!$E$7:$T$95,O$1,FALSE)</f>
        <v>3000</v>
      </c>
      <c r="P81" s="2142">
        <f>VLOOKUP($E81,'2016 Sector View Elect'!$E$7:$T$95,P$1,FALSE)+VLOOKUP($E81, '2017 Sector View Elect'!$E$7:$T$95,P$1,FALSE)</f>
        <v>0</v>
      </c>
      <c r="Q81" s="2142">
        <f>VLOOKUP($E81,'2016 Sector View Elect'!$E$7:$T$95,Q$1,FALSE)+VLOOKUP($E81, '2017 Sector View Elect'!$E$7:$T$95,Q$1,FALSE)</f>
        <v>0</v>
      </c>
      <c r="R81" s="2142">
        <f>VLOOKUP($E81,'2016 Sector View Elect'!$E$7:$T$95,R$1,FALSE)+VLOOKUP($E81, '2017 Sector View Elect'!$E$7:$T$95,R$1,FALSE)</f>
        <v>-623570.92000000004</v>
      </c>
      <c r="S81" s="2142">
        <f>VLOOKUP($E81,'2016 Sector View Elect'!$E$7:$T$95,S$1,FALSE)+VLOOKUP($E81, '2017 Sector View Elect'!$E$7:$T$95,S$1,FALSE)</f>
        <v>-27700.123040000035</v>
      </c>
      <c r="T81" s="2144"/>
    </row>
    <row r="82" spans="2:20" s="2064" customFormat="1">
      <c r="B82" s="2011"/>
      <c r="F82" s="2010"/>
      <c r="H82" s="2010" t="s">
        <v>653</v>
      </c>
      <c r="I82" s="2762">
        <f t="shared" ref="I82:S82" si="4">I67+I72+SUM(I76:I81)</f>
        <v>5626691.5909000002</v>
      </c>
      <c r="J82" s="2762">
        <f t="shared" si="4"/>
        <v>64012.7</v>
      </c>
      <c r="K82" s="2762">
        <f t="shared" si="4"/>
        <v>3852295.7204059996</v>
      </c>
      <c r="L82" s="2762">
        <f t="shared" si="4"/>
        <v>258405</v>
      </c>
      <c r="M82" s="2762">
        <f t="shared" si="4"/>
        <v>367062</v>
      </c>
      <c r="N82" s="2762">
        <f t="shared" si="4"/>
        <v>2193040</v>
      </c>
      <c r="O82" s="2762">
        <f t="shared" si="4"/>
        <v>120340</v>
      </c>
      <c r="P82" s="2762">
        <f t="shared" si="4"/>
        <v>124922</v>
      </c>
      <c r="Q82" s="2762">
        <f t="shared" si="4"/>
        <v>0</v>
      </c>
      <c r="R82" s="2762">
        <f t="shared" si="4"/>
        <v>-623570.92000000004</v>
      </c>
      <c r="S82" s="2762">
        <f t="shared" si="4"/>
        <v>11983198.091306001</v>
      </c>
      <c r="T82" s="2013"/>
    </row>
    <row r="83" spans="2:20" s="2177" customFormat="1">
      <c r="B83" s="2193"/>
      <c r="H83" s="2005"/>
      <c r="I83" s="2142"/>
      <c r="J83" s="2142"/>
      <c r="K83" s="2142"/>
      <c r="L83" s="2142"/>
      <c r="M83" s="2142"/>
      <c r="N83" s="2142"/>
      <c r="O83" s="2142"/>
      <c r="P83" s="2142"/>
      <c r="Q83" s="2142"/>
      <c r="R83" s="2142"/>
      <c r="S83" s="2142"/>
      <c r="T83" s="2144"/>
    </row>
    <row r="84" spans="2:20" s="2765" customFormat="1" ht="11.25">
      <c r="B84" s="2259"/>
      <c r="H84" s="2766" t="s">
        <v>649</v>
      </c>
      <c r="I84" s="2767">
        <v>2522355.46</v>
      </c>
      <c r="J84" s="2768">
        <v>0</v>
      </c>
      <c r="K84" s="2768">
        <v>1750590.3318399999</v>
      </c>
      <c r="L84" s="2768">
        <v>162440</v>
      </c>
      <c r="M84" s="2768">
        <v>186931.16</v>
      </c>
      <c r="N84" s="2768">
        <v>1806611</v>
      </c>
      <c r="O84" s="2768">
        <v>204842</v>
      </c>
      <c r="P84" s="2768">
        <v>111066</v>
      </c>
      <c r="Q84" s="2768">
        <v>0</v>
      </c>
      <c r="R84" s="2768">
        <v>0</v>
      </c>
      <c r="S84" s="2769">
        <v>6745000</v>
      </c>
      <c r="T84" s="2770"/>
    </row>
    <row r="85" spans="2:20">
      <c r="H85" s="2004"/>
      <c r="I85" s="654"/>
      <c r="J85" s="654"/>
      <c r="K85" s="654"/>
      <c r="L85" s="654"/>
      <c r="M85" s="654"/>
      <c r="N85" s="654"/>
      <c r="O85" s="654"/>
      <c r="P85" s="654"/>
      <c r="Q85" s="654"/>
      <c r="R85" s="654"/>
      <c r="S85" s="654"/>
    </row>
    <row r="86" spans="2:20">
      <c r="C86" s="2177" t="s">
        <v>334</v>
      </c>
      <c r="H86" s="599"/>
      <c r="I86" s="654"/>
      <c r="J86" s="654"/>
      <c r="K86" s="654"/>
      <c r="L86" s="654"/>
      <c r="M86" s="654"/>
      <c r="N86" s="654"/>
      <c r="O86" s="654"/>
      <c r="P86" s="654"/>
      <c r="Q86" s="654"/>
      <c r="R86" s="654"/>
      <c r="S86" s="654"/>
    </row>
    <row r="87" spans="2:20">
      <c r="B87" s="2259" t="s">
        <v>395</v>
      </c>
      <c r="E87" t="s">
        <v>27</v>
      </c>
      <c r="H87" s="1340">
        <v>18230809</v>
      </c>
      <c r="I87" s="654">
        <f>VLOOKUP($E87,'2016 Sector View Elect'!$E$7:$T$95,I$1,FALSE)+VLOOKUP($E87, '2017 Sector View Elect'!$E$7:$T$95,I$1,FALSE)</f>
        <v>185382.28999999998</v>
      </c>
      <c r="J87" s="1605">
        <f>VLOOKUP($E87,'2016 Sector View Elect'!$E$7:$T$95,J$1,FALSE)+VLOOKUP($E87, '2017 Sector View Elect'!$E$7:$T$95,J$1,FALSE)</f>
        <v>0</v>
      </c>
      <c r="K87" s="1605">
        <f>VLOOKUP($E87,'2016 Sector View Elect'!$E$7:$T$95,K$1,FALSE)+VLOOKUP($E87, '2017 Sector View Elect'!$E$7:$T$95,K$1,FALSE)</f>
        <v>124869.84893000001</v>
      </c>
      <c r="L87" s="1605">
        <f>VLOOKUP($E87,'2016 Sector View Elect'!$E$7:$T$95,L$1,FALSE)+VLOOKUP($E87, '2017 Sector View Elect'!$E$7:$T$95,L$1,FALSE)</f>
        <v>0</v>
      </c>
      <c r="M87" s="1605">
        <f>VLOOKUP($E87,'2016 Sector View Elect'!$E$7:$T$95,M$1,FALSE)+VLOOKUP($E87, '2017 Sector View Elect'!$E$7:$T$95,M$1,FALSE)</f>
        <v>2088</v>
      </c>
      <c r="N87" s="1605">
        <f>VLOOKUP($E87,'2016 Sector View Elect'!$E$7:$T$95,N$1,FALSE)+VLOOKUP($E87, '2017 Sector View Elect'!$E$7:$T$95,N$1,FALSE)</f>
        <v>304500</v>
      </c>
      <c r="O87" s="1605">
        <f>VLOOKUP($E87,'2016 Sector View Elect'!$E$7:$T$95,O$1,FALSE)+VLOOKUP($E87, '2017 Sector View Elect'!$E$7:$T$95,O$1,FALSE)</f>
        <v>0</v>
      </c>
      <c r="P87" s="1605">
        <f>VLOOKUP($E87,'2016 Sector View Elect'!$E$7:$T$95,P$1,FALSE)+VLOOKUP($E87, '2017 Sector View Elect'!$E$7:$T$95,P$1,FALSE)</f>
        <v>0</v>
      </c>
      <c r="Q87" s="1605">
        <f>VLOOKUP($E87,'2016 Sector View Elect'!$E$7:$T$95,Q$1,FALSE)+VLOOKUP($E87, '2017 Sector View Elect'!$E$7:$T$95,Q$1,FALSE)</f>
        <v>0</v>
      </c>
      <c r="R87" s="1605">
        <f>VLOOKUP($E87,'2016 Sector View Elect'!$E$7:$T$95,R$1,FALSE)+VLOOKUP($E87, '2017 Sector View Elect'!$E$7:$T$95,R$1,FALSE)</f>
        <v>0</v>
      </c>
      <c r="S87" s="1605">
        <f>VLOOKUP($E87,'2016 Sector View Elect'!$E$7:$T$95,S$1,FALSE)+VLOOKUP($E87, '2017 Sector View Elect'!$E$7:$T$95,S$1,FALSE)</f>
        <v>616840.13893000002</v>
      </c>
    </row>
    <row r="88" spans="2:20">
      <c r="B88" s="2259" t="s">
        <v>396</v>
      </c>
      <c r="E88" t="s">
        <v>32</v>
      </c>
      <c r="H88" s="1340">
        <v>18230469</v>
      </c>
      <c r="I88" s="1605">
        <f>VLOOKUP($E88,'2016 Sector View Elect'!$E$7:$T$95,I$1,FALSE)+VLOOKUP($E88, '2017 Sector View Elect'!$E$7:$T$95,I$1,FALSE)</f>
        <v>169932.14</v>
      </c>
      <c r="J88" s="1605">
        <f>VLOOKUP($E88,'2016 Sector View Elect'!$E$7:$T$95,J$1,FALSE)+VLOOKUP($E88, '2017 Sector View Elect'!$E$7:$T$95,J$1,FALSE)</f>
        <v>0</v>
      </c>
      <c r="K88" s="1605">
        <f>VLOOKUP($E88,'2016 Sector View Elect'!$E$7:$T$95,K$1,FALSE)+VLOOKUP($E88, '2017 Sector View Elect'!$E$7:$T$95,K$1,FALSE)</f>
        <v>114462.93108000001</v>
      </c>
      <c r="L88" s="1605">
        <f>VLOOKUP($E88,'2016 Sector View Elect'!$E$7:$T$95,L$1,FALSE)+VLOOKUP($E88, '2017 Sector View Elect'!$E$7:$T$95,L$1,FALSE)</f>
        <v>0</v>
      </c>
      <c r="M88" s="1605">
        <f>VLOOKUP($E88,'2016 Sector View Elect'!$E$7:$T$95,M$1,FALSE)+VLOOKUP($E88, '2017 Sector View Elect'!$E$7:$T$95,M$1,FALSE)</f>
        <v>2088</v>
      </c>
      <c r="N88" s="1605">
        <f>VLOOKUP($E88,'2016 Sector View Elect'!$E$7:$T$95,N$1,FALSE)+VLOOKUP($E88, '2017 Sector View Elect'!$E$7:$T$95,N$1,FALSE)</f>
        <v>0</v>
      </c>
      <c r="O88" s="1605">
        <f>VLOOKUP($E88,'2016 Sector View Elect'!$E$7:$T$95,O$1,FALSE)+VLOOKUP($E88, '2017 Sector View Elect'!$E$7:$T$95,O$1,FALSE)</f>
        <v>0</v>
      </c>
      <c r="P88" s="1605">
        <f>VLOOKUP($E88,'2016 Sector View Elect'!$E$7:$T$95,P$1,FALSE)+VLOOKUP($E88, '2017 Sector View Elect'!$E$7:$T$95,P$1,FALSE)</f>
        <v>0</v>
      </c>
      <c r="Q88" s="1605">
        <f>VLOOKUP($E88,'2016 Sector View Elect'!$E$7:$T$95,Q$1,FALSE)+VLOOKUP($E88, '2017 Sector View Elect'!$E$7:$T$95,Q$1,FALSE)</f>
        <v>0</v>
      </c>
      <c r="R88" s="1605">
        <f>VLOOKUP($E88,'2016 Sector View Elect'!$E$7:$T$95,R$1,FALSE)+VLOOKUP($E88, '2017 Sector View Elect'!$E$7:$T$95,R$1,FALSE)</f>
        <v>0</v>
      </c>
      <c r="S88" s="1605">
        <f>VLOOKUP($E88,'2016 Sector View Elect'!$E$7:$T$95,S$1,FALSE)+VLOOKUP($E88, '2017 Sector View Elect'!$E$7:$T$95,S$1,FALSE)</f>
        <v>286483.07108000002</v>
      </c>
    </row>
    <row r="89" spans="2:20">
      <c r="B89" s="2259" t="s">
        <v>397</v>
      </c>
      <c r="E89" s="2177" t="s">
        <v>356</v>
      </c>
      <c r="H89" s="1340">
        <v>18230437</v>
      </c>
      <c r="I89" s="1605">
        <f>VLOOKUP($E89,'2016 Sector View Elect'!$E$7:$T$95,I$1,FALSE)+VLOOKUP($E89, '2017 Sector View Elect'!$E$7:$T$95,I$1,FALSE)</f>
        <v>297295.31</v>
      </c>
      <c r="J89" s="1605">
        <f>VLOOKUP($E89,'2016 Sector View Elect'!$E$7:$T$95,J$1,FALSE)+VLOOKUP($E89, '2017 Sector View Elect'!$E$7:$T$95,J$1,FALSE)</f>
        <v>0</v>
      </c>
      <c r="K89" s="1605">
        <f>VLOOKUP($E89,'2016 Sector View Elect'!$E$7:$T$95,K$1,FALSE)+VLOOKUP($E89, '2017 Sector View Elect'!$E$7:$T$95,K$1,FALSE)</f>
        <v>200252.24830000001</v>
      </c>
      <c r="L89" s="1605">
        <f>VLOOKUP($E89,'2016 Sector View Elect'!$E$7:$T$95,L$1,FALSE)+VLOOKUP($E89, '2017 Sector View Elect'!$E$7:$T$95,L$1,FALSE)</f>
        <v>0</v>
      </c>
      <c r="M89" s="1605">
        <f>VLOOKUP($E89,'2016 Sector View Elect'!$E$7:$T$95,M$1,FALSE)+VLOOKUP($E89, '2017 Sector View Elect'!$E$7:$T$95,M$1,FALSE)</f>
        <v>8508.6</v>
      </c>
      <c r="N89" s="1605">
        <f>VLOOKUP($E89,'2016 Sector View Elect'!$E$7:$T$95,N$1,FALSE)+VLOOKUP($E89, '2017 Sector View Elect'!$E$7:$T$95,N$1,FALSE)</f>
        <v>63915.854999999996</v>
      </c>
      <c r="O89" s="1605">
        <f>VLOOKUP($E89,'2016 Sector View Elect'!$E$7:$T$95,O$1,FALSE)+VLOOKUP($E89, '2017 Sector View Elect'!$E$7:$T$95,O$1,FALSE)</f>
        <v>2697</v>
      </c>
      <c r="P89" s="1605">
        <f>VLOOKUP($E89,'2016 Sector View Elect'!$E$7:$T$95,P$1,FALSE)+VLOOKUP($E89, '2017 Sector View Elect'!$E$7:$T$95,P$1,FALSE)</f>
        <v>0</v>
      </c>
      <c r="Q89" s="1605">
        <f>VLOOKUP($E89,'2016 Sector View Elect'!$E$7:$T$95,Q$1,FALSE)+VLOOKUP($E89, '2017 Sector View Elect'!$E$7:$T$95,Q$1,FALSE)</f>
        <v>0</v>
      </c>
      <c r="R89" s="1605">
        <f>VLOOKUP($E89,'2016 Sector View Elect'!$E$7:$T$95,R$1,FALSE)+VLOOKUP($E89, '2017 Sector View Elect'!$E$7:$T$95,R$1,FALSE)</f>
        <v>0</v>
      </c>
      <c r="S89" s="1605">
        <f>VLOOKUP($E89,'2016 Sector View Elect'!$E$7:$T$95,S$1,FALSE)+VLOOKUP($E89, '2017 Sector View Elect'!$E$7:$T$95,S$1,FALSE)</f>
        <v>572669.01329999999</v>
      </c>
    </row>
    <row r="90" spans="2:20">
      <c r="B90" s="2259" t="s">
        <v>398</v>
      </c>
      <c r="E90" t="s">
        <v>28</v>
      </c>
      <c r="H90" s="1340">
        <v>18230802</v>
      </c>
      <c r="I90" s="1605">
        <f>VLOOKUP($E90,'2016 Sector View Elect'!$E$7:$T$95,I$1,FALSE)+VLOOKUP($E90, '2017 Sector View Elect'!$E$7:$T$95,I$1,FALSE)</f>
        <v>317749.23</v>
      </c>
      <c r="J90" s="1605">
        <f>VLOOKUP($E90,'2016 Sector View Elect'!$E$7:$T$95,J$1,FALSE)+VLOOKUP($E90, '2017 Sector View Elect'!$E$7:$T$95,J$1,FALSE)</f>
        <v>0</v>
      </c>
      <c r="K90" s="1605">
        <f>VLOOKUP($E90,'2016 Sector View Elect'!$E$7:$T$95,K$1,FALSE)+VLOOKUP($E90, '2017 Sector View Elect'!$E$7:$T$95,K$1,FALSE)</f>
        <v>214029.92356</v>
      </c>
      <c r="L90" s="1605">
        <f>VLOOKUP($E90,'2016 Sector View Elect'!$E$7:$T$95,L$1,FALSE)+VLOOKUP($E90, '2017 Sector View Elect'!$E$7:$T$95,L$1,FALSE)</f>
        <v>0</v>
      </c>
      <c r="M90" s="1605">
        <f>VLOOKUP($E90,'2016 Sector View Elect'!$E$7:$T$95,M$1,FALSE)+VLOOKUP($E90, '2017 Sector View Elect'!$E$7:$T$95,M$1,FALSE)</f>
        <v>2001</v>
      </c>
      <c r="N90" s="1605">
        <f>VLOOKUP($E90,'2016 Sector View Elect'!$E$7:$T$95,N$1,FALSE)+VLOOKUP($E90, '2017 Sector View Elect'!$E$7:$T$95,N$1,FALSE)</f>
        <v>3088500</v>
      </c>
      <c r="O90" s="1605">
        <f>VLOOKUP($E90,'2016 Sector View Elect'!$E$7:$T$95,O$1,FALSE)+VLOOKUP($E90, '2017 Sector View Elect'!$E$7:$T$95,O$1,FALSE)</f>
        <v>0</v>
      </c>
      <c r="P90" s="1605">
        <f>VLOOKUP($E90,'2016 Sector View Elect'!$E$7:$T$95,P$1,FALSE)+VLOOKUP($E90, '2017 Sector View Elect'!$E$7:$T$95,P$1,FALSE)</f>
        <v>7830</v>
      </c>
      <c r="Q90" s="1605">
        <f>VLOOKUP($E90,'2016 Sector View Elect'!$E$7:$T$95,Q$1,FALSE)+VLOOKUP($E90, '2017 Sector View Elect'!$E$7:$T$95,Q$1,FALSE)</f>
        <v>0</v>
      </c>
      <c r="R90" s="1605">
        <f>VLOOKUP($E90,'2016 Sector View Elect'!$E$7:$T$95,R$1,FALSE)+VLOOKUP($E90, '2017 Sector View Elect'!$E$7:$T$95,R$1,FALSE)</f>
        <v>0</v>
      </c>
      <c r="S90" s="1605">
        <f>VLOOKUP($E90,'2016 Sector View Elect'!$E$7:$T$95,S$1,FALSE)+VLOOKUP($E90, '2017 Sector View Elect'!$E$7:$T$95,S$1,FALSE)</f>
        <v>3630110.15356</v>
      </c>
    </row>
    <row r="91" spans="2:20" s="2177" customFormat="1">
      <c r="B91" s="2259" t="s">
        <v>437</v>
      </c>
      <c r="E91" s="2177" t="s">
        <v>438</v>
      </c>
      <c r="H91" s="2263">
        <v>18230624</v>
      </c>
      <c r="I91" s="2142">
        <f>VLOOKUP($E91,'2016 Sector View Elect'!$E$7:$T$95,I$1,FALSE)+VLOOKUP($E91, '2017 Sector View Elect'!$E$7:$T$95,I$1,FALSE)</f>
        <v>0</v>
      </c>
      <c r="J91" s="2142">
        <f>VLOOKUP($E91,'2016 Sector View Elect'!$E$7:$T$95,J$1,FALSE)+VLOOKUP($E91, '2017 Sector View Elect'!$E$7:$T$95,J$1,FALSE)</f>
        <v>0</v>
      </c>
      <c r="K91" s="2142">
        <f>VLOOKUP($E91,'2016 Sector View Elect'!$E$7:$T$95,K$1,FALSE)+VLOOKUP($E91, '2017 Sector View Elect'!$E$7:$T$95,K$1,FALSE)</f>
        <v>0</v>
      </c>
      <c r="L91" s="2142">
        <f>VLOOKUP($E91,'2016 Sector View Elect'!$E$7:$T$95,L$1,FALSE)+VLOOKUP($E91, '2017 Sector View Elect'!$E$7:$T$95,L$1,FALSE)</f>
        <v>0</v>
      </c>
      <c r="M91" s="2142">
        <f>VLOOKUP($E91,'2016 Sector View Elect'!$E$7:$T$95,M$1,FALSE)+VLOOKUP($E91, '2017 Sector View Elect'!$E$7:$T$95,M$1,FALSE)</f>
        <v>0</v>
      </c>
      <c r="N91" s="2142">
        <f>VLOOKUP($E91,'2016 Sector View Elect'!$E$7:$T$95,N$1,FALSE)+VLOOKUP($E91, '2017 Sector View Elect'!$E$7:$T$95,N$1,FALSE)</f>
        <v>170000</v>
      </c>
      <c r="O91" s="2142">
        <f>VLOOKUP($E91,'2016 Sector View Elect'!$E$7:$T$95,O$1,FALSE)+VLOOKUP($E91, '2017 Sector View Elect'!$E$7:$T$95,O$1,FALSE)</f>
        <v>0</v>
      </c>
      <c r="P91" s="2142">
        <f>VLOOKUP($E91,'2016 Sector View Elect'!$E$7:$T$95,P$1,FALSE)+VLOOKUP($E91, '2017 Sector View Elect'!$E$7:$T$95,P$1,FALSE)</f>
        <v>0</v>
      </c>
      <c r="Q91" s="2142">
        <f>VLOOKUP($E91,'2016 Sector View Elect'!$E$7:$T$95,Q$1,FALSE)+VLOOKUP($E91, '2017 Sector View Elect'!$E$7:$T$95,Q$1,FALSE)</f>
        <v>0</v>
      </c>
      <c r="R91" s="2142">
        <f>VLOOKUP($E91,'2016 Sector View Elect'!$E$7:$T$95,R$1,FALSE)+VLOOKUP($E91, '2017 Sector View Elect'!$E$7:$T$95,R$1,FALSE)</f>
        <v>0</v>
      </c>
      <c r="S91" s="2142">
        <f>VLOOKUP($E91,'2016 Sector View Elect'!$E$7:$T$95,S$1,FALSE)+VLOOKUP($E91, '2017 Sector View Elect'!$E$7:$T$95,S$1,FALSE)</f>
        <v>170000</v>
      </c>
      <c r="T91" s="2144"/>
    </row>
    <row r="92" spans="2:20" s="2140" customFormat="1">
      <c r="B92" s="2259" t="s">
        <v>399</v>
      </c>
      <c r="D92" s="2177"/>
      <c r="E92" s="2140" t="s">
        <v>267</v>
      </c>
      <c r="H92" s="2143">
        <v>18230418</v>
      </c>
      <c r="I92" s="2142">
        <f>VLOOKUP($E92,'2016 Sector View Elect'!$E$7:$T$95,I$1,FALSE)+VLOOKUP($E92, '2017 Sector View Elect'!$E$7:$T$95,I$1,FALSE)</f>
        <v>387253.79099999997</v>
      </c>
      <c r="J92" s="2142">
        <f>VLOOKUP($E92,'2016 Sector View Elect'!$E$7:$T$95,J$1,FALSE)+VLOOKUP($E92, '2017 Sector View Elect'!$E$7:$T$95,J$1,FALSE)</f>
        <v>0</v>
      </c>
      <c r="K92" s="2142">
        <f>VLOOKUP($E92,'2016 Sector View Elect'!$E$7:$T$95,K$1,FALSE)+VLOOKUP($E92, '2017 Sector View Elect'!$E$7:$T$95,K$1,FALSE)</f>
        <v>260846.49963600002</v>
      </c>
      <c r="L92" s="2142">
        <f>VLOOKUP($E92,'2016 Sector View Elect'!$E$7:$T$95,L$1,FALSE)+VLOOKUP($E92, '2017 Sector View Elect'!$E$7:$T$95,L$1,FALSE)</f>
        <v>0</v>
      </c>
      <c r="M92" s="2142">
        <f>VLOOKUP($E92,'2016 Sector View Elect'!$E$7:$T$95,M$1,FALSE)+VLOOKUP($E92, '2017 Sector View Elect'!$E$7:$T$95,M$1,FALSE)</f>
        <v>17052</v>
      </c>
      <c r="N92" s="2142">
        <f>VLOOKUP($E92,'2016 Sector View Elect'!$E$7:$T$95,N$1,FALSE)+VLOOKUP($E92, '2017 Sector View Elect'!$E$7:$T$95,N$1,FALSE)</f>
        <v>156600</v>
      </c>
      <c r="O92" s="2142">
        <f>VLOOKUP($E92,'2016 Sector View Elect'!$E$7:$T$95,O$1,FALSE)+VLOOKUP($E92, '2017 Sector View Elect'!$E$7:$T$95,O$1,FALSE)</f>
        <v>9570</v>
      </c>
      <c r="P92" s="2142">
        <f>VLOOKUP($E92,'2016 Sector View Elect'!$E$7:$T$95,P$1,FALSE)+VLOOKUP($E92, '2017 Sector View Elect'!$E$7:$T$95,P$1,FALSE)</f>
        <v>0</v>
      </c>
      <c r="Q92" s="2142">
        <f>VLOOKUP($E92,'2016 Sector View Elect'!$E$7:$T$95,Q$1,FALSE)+VLOOKUP($E92, '2017 Sector View Elect'!$E$7:$T$95,Q$1,FALSE)</f>
        <v>0</v>
      </c>
      <c r="R92" s="2142">
        <f>VLOOKUP($E92,'2016 Sector View Elect'!$E$7:$T$95,R$1,FALSE)+VLOOKUP($E92, '2017 Sector View Elect'!$E$7:$T$95,R$1,FALSE)</f>
        <v>0</v>
      </c>
      <c r="S92" s="2142">
        <f>VLOOKUP($E92,'2016 Sector View Elect'!$E$7:$T$95,S$1,FALSE)+VLOOKUP($E92, '2017 Sector View Elect'!$E$7:$T$95,S$1,FALSE)</f>
        <v>831322.29063599999</v>
      </c>
      <c r="T92" s="2144"/>
    </row>
    <row r="93" spans="2:20" s="2064" customFormat="1">
      <c r="B93" s="2011"/>
      <c r="F93" s="2010"/>
      <c r="H93" s="2010" t="s">
        <v>654</v>
      </c>
      <c r="I93" s="2762">
        <f t="shared" ref="I93:S93" si="5">SUM(I87:I92)</f>
        <v>1357612.7609999999</v>
      </c>
      <c r="J93" s="2763">
        <f t="shared" si="5"/>
        <v>0</v>
      </c>
      <c r="K93" s="2763">
        <f t="shared" si="5"/>
        <v>914461.45150600001</v>
      </c>
      <c r="L93" s="2763">
        <f t="shared" si="5"/>
        <v>0</v>
      </c>
      <c r="M93" s="2763">
        <f t="shared" si="5"/>
        <v>31737.599999999999</v>
      </c>
      <c r="N93" s="2763">
        <f t="shared" si="5"/>
        <v>3783515.855</v>
      </c>
      <c r="O93" s="2763">
        <f t="shared" si="5"/>
        <v>12267</v>
      </c>
      <c r="P93" s="2763">
        <f t="shared" si="5"/>
        <v>7830</v>
      </c>
      <c r="Q93" s="2763">
        <f t="shared" si="5"/>
        <v>0</v>
      </c>
      <c r="R93" s="2763">
        <f t="shared" si="5"/>
        <v>0</v>
      </c>
      <c r="S93" s="2764">
        <f t="shared" si="5"/>
        <v>6107424.667506</v>
      </c>
      <c r="T93" s="2013"/>
    </row>
    <row r="94" spans="2:20" s="2177" customFormat="1">
      <c r="B94" s="2193"/>
      <c r="H94" s="2005"/>
      <c r="I94" s="2142"/>
      <c r="J94" s="2142"/>
      <c r="K94" s="2142"/>
      <c r="L94" s="2142"/>
      <c r="M94" s="2142"/>
      <c r="N94" s="2142"/>
      <c r="O94" s="2142"/>
      <c r="P94" s="2142"/>
      <c r="Q94" s="2142"/>
      <c r="R94" s="2142"/>
      <c r="S94" s="2142"/>
      <c r="T94" s="2144"/>
    </row>
    <row r="95" spans="2:20" s="2765" customFormat="1" ht="11.25">
      <c r="B95" s="2259"/>
      <c r="H95" s="2766" t="s">
        <v>649</v>
      </c>
      <c r="I95" s="2767">
        <v>2083762.3299999998</v>
      </c>
      <c r="J95" s="2768">
        <v>0</v>
      </c>
      <c r="K95" s="2768">
        <v>1446193.6009199999</v>
      </c>
      <c r="L95" s="2768">
        <v>0</v>
      </c>
      <c r="M95" s="2768">
        <v>78810</v>
      </c>
      <c r="N95" s="2768">
        <v>3359473.7800000003</v>
      </c>
      <c r="O95" s="2768">
        <v>407494</v>
      </c>
      <c r="P95" s="2768">
        <v>0</v>
      </c>
      <c r="Q95" s="2768">
        <v>0</v>
      </c>
      <c r="R95" s="2768">
        <v>0</v>
      </c>
      <c r="S95" s="2769">
        <v>7375800</v>
      </c>
      <c r="T95" s="2770"/>
    </row>
    <row r="96" spans="2:20">
      <c r="H96" s="2004"/>
      <c r="I96" s="654"/>
      <c r="J96" s="654"/>
      <c r="K96" s="654"/>
      <c r="L96" s="654"/>
      <c r="M96" s="654"/>
      <c r="N96" s="654"/>
      <c r="O96" s="654"/>
      <c r="P96" s="654"/>
      <c r="Q96" s="3209">
        <f>(Q23+Q48+Q55+Q62)/(S23+S48+S55+S62+S82+S93)</f>
        <v>0.69057187713836377</v>
      </c>
      <c r="R96" s="3210" t="s">
        <v>1675</v>
      </c>
      <c r="S96" s="654"/>
    </row>
    <row r="97" spans="2:20">
      <c r="C97" t="s">
        <v>168</v>
      </c>
      <c r="H97" s="599"/>
      <c r="I97" s="654"/>
      <c r="J97" s="654"/>
      <c r="K97" s="654"/>
      <c r="L97" s="654"/>
      <c r="M97" s="654"/>
      <c r="N97" s="654"/>
      <c r="O97" s="654"/>
      <c r="P97" s="654"/>
      <c r="Q97" s="654"/>
      <c r="R97" s="654"/>
      <c r="S97" s="654"/>
    </row>
    <row r="98" spans="2:20">
      <c r="B98" s="2259" t="s">
        <v>401</v>
      </c>
      <c r="C98" s="2177" t="s">
        <v>209</v>
      </c>
      <c r="E98" t="s">
        <v>3</v>
      </c>
      <c r="H98" s="1340">
        <v>18230128</v>
      </c>
      <c r="I98" s="654">
        <f>VLOOKUP($E98,'2016 Sector View Elect'!$E$7:$T$95,I$1,FALSE)+VLOOKUP($E98, '2017 Sector View Elect'!$E$7:$T$95,I$1,FALSE)</f>
        <v>473906.46</v>
      </c>
      <c r="J98" s="1605">
        <f>VLOOKUP($E98,'2016 Sector View Elect'!$E$7:$T$95,J$1,FALSE)+VLOOKUP($E98, '2017 Sector View Elect'!$E$7:$T$95,J$1,FALSE)</f>
        <v>0</v>
      </c>
      <c r="K98" s="1605">
        <f>VLOOKUP($E98,'2016 Sector View Elect'!$E$7:$T$95,K$1,FALSE)+VLOOKUP($E98, '2017 Sector View Elect'!$E$7:$T$95,K$1,FALSE)</f>
        <v>319214.03049000003</v>
      </c>
      <c r="L98" s="1605">
        <f>VLOOKUP($E98,'2016 Sector View Elect'!$E$7:$T$95,L$1,FALSE)+VLOOKUP($E98, '2017 Sector View Elect'!$E$7:$T$95,L$1,FALSE)</f>
        <v>0</v>
      </c>
      <c r="M98" s="1605">
        <f>VLOOKUP($E98,'2016 Sector View Elect'!$E$7:$T$95,M$1,FALSE)+VLOOKUP($E98, '2017 Sector View Elect'!$E$7:$T$95,M$1,FALSE)</f>
        <v>23560</v>
      </c>
      <c r="N98" s="1605">
        <f>VLOOKUP($E98,'2016 Sector View Elect'!$E$7:$T$95,N$1,FALSE)+VLOOKUP($E98, '2017 Sector View Elect'!$E$7:$T$95,N$1,FALSE)</f>
        <v>90000</v>
      </c>
      <c r="O98" s="1605">
        <f>VLOOKUP($E98,'2016 Sector View Elect'!$E$7:$T$95,O$1,FALSE)+VLOOKUP($E98, '2017 Sector View Elect'!$E$7:$T$95,O$1,FALSE)</f>
        <v>10000</v>
      </c>
      <c r="P98" s="1605">
        <f>VLOOKUP($E98,'2016 Sector View Elect'!$E$7:$T$95,P$1,FALSE)+VLOOKUP($E98, '2017 Sector View Elect'!$E$7:$T$95,P$1,FALSE)</f>
        <v>955000</v>
      </c>
      <c r="Q98" s="1605">
        <f>VLOOKUP($E98,'2016 Sector View Elect'!$E$7:$T$95,Q$1,FALSE)+VLOOKUP($E98, '2017 Sector View Elect'!$E$7:$T$95,Q$1,FALSE)</f>
        <v>0</v>
      </c>
      <c r="R98" s="1605">
        <f>VLOOKUP($E98,'2016 Sector View Elect'!$E$7:$T$95,R$1,FALSE)+VLOOKUP($E98, '2017 Sector View Elect'!$E$7:$T$95,R$1,FALSE)</f>
        <v>0</v>
      </c>
      <c r="S98" s="1605">
        <f>VLOOKUP($E98,'2016 Sector View Elect'!$E$7:$T$95,S$1,FALSE)+VLOOKUP($E98, '2017 Sector View Elect'!$E$7:$T$95,S$1,FALSE)</f>
        <v>1871680.49049</v>
      </c>
    </row>
    <row r="99" spans="2:20" s="2177" customFormat="1">
      <c r="B99" s="2259" t="s">
        <v>739</v>
      </c>
      <c r="C99" s="2177" t="s">
        <v>210</v>
      </c>
      <c r="E99" s="2177" t="s">
        <v>641</v>
      </c>
      <c r="H99" s="1340">
        <v>18230613</v>
      </c>
      <c r="I99" s="2142">
        <f>VLOOKUP($E99,'2016 Sector View Elect'!$E$7:$T$95,I$1,FALSE)+VLOOKUP($E99, '2017 Sector View Elect'!$E$7:$T$95,I$1,FALSE)</f>
        <v>127748.7</v>
      </c>
      <c r="J99" s="2142">
        <f>VLOOKUP($E99,'2016 Sector View Elect'!$E$7:$T$95,J$1,FALSE)+VLOOKUP($E99, '2017 Sector View Elect'!$E$7:$T$95,J$1,FALSE)</f>
        <v>14400</v>
      </c>
      <c r="K99" s="2142">
        <f>VLOOKUP($E99,'2016 Sector View Elect'!$E$7:$T$95,K$1,FALSE)+VLOOKUP($E99, '2017 Sector View Elect'!$E$7:$T$95,K$1,FALSE)</f>
        <v>94813.1829</v>
      </c>
      <c r="L99" s="2142">
        <f>VLOOKUP($E99,'2016 Sector View Elect'!$E$7:$T$95,L$1,FALSE)+VLOOKUP($E99, '2017 Sector View Elect'!$E$7:$T$95,L$1,FALSE)</f>
        <v>0</v>
      </c>
      <c r="M99" s="2142">
        <f>VLOOKUP($E99,'2016 Sector View Elect'!$E$7:$T$95,M$1,FALSE)+VLOOKUP($E99, '2017 Sector View Elect'!$E$7:$T$95,M$1,FALSE)</f>
        <v>12000</v>
      </c>
      <c r="N99" s="2142">
        <f>VLOOKUP($E99,'2016 Sector View Elect'!$E$7:$T$95,N$1,FALSE)+VLOOKUP($E99, '2017 Sector View Elect'!$E$7:$T$95,N$1,FALSE)</f>
        <v>192220</v>
      </c>
      <c r="O99" s="2142">
        <f>VLOOKUP($E99,'2016 Sector View Elect'!$E$7:$T$95,O$1,FALSE)+VLOOKUP($E99, '2017 Sector View Elect'!$E$7:$T$95,O$1,FALSE)</f>
        <v>0</v>
      </c>
      <c r="P99" s="2142">
        <f>VLOOKUP($E99,'2016 Sector View Elect'!$E$7:$T$95,P$1,FALSE)+VLOOKUP($E99, '2017 Sector View Elect'!$E$7:$T$95,P$1,FALSE)</f>
        <v>0</v>
      </c>
      <c r="Q99" s="2142">
        <f>VLOOKUP($E99,'2016 Sector View Elect'!$E$7:$T$95,Q$1,FALSE)+VLOOKUP($E99, '2017 Sector View Elect'!$E$7:$T$95,Q$1,FALSE)</f>
        <v>412500</v>
      </c>
      <c r="R99" s="2142">
        <f>VLOOKUP($E99,'2016 Sector View Elect'!$E$7:$T$95,R$1,FALSE)+VLOOKUP($E99, '2017 Sector View Elect'!$E$7:$T$95,R$1,FALSE)</f>
        <v>0</v>
      </c>
      <c r="S99" s="2142">
        <f>VLOOKUP($E99,'2016 Sector View Elect'!$E$7:$T$95,S$1,FALSE)+VLOOKUP($E99, '2017 Sector View Elect'!$E$7:$T$95,S$1,FALSE)</f>
        <v>853681.88290000008</v>
      </c>
      <c r="T99" s="2144"/>
    </row>
    <row r="100" spans="2:20" s="2064" customFormat="1">
      <c r="B100" s="2011"/>
      <c r="F100" s="2010"/>
      <c r="H100" s="2010" t="s">
        <v>655</v>
      </c>
      <c r="I100" s="2762">
        <f t="shared" ref="I100:S100" si="6">SUM(I98:I99)</f>
        <v>601655.16</v>
      </c>
      <c r="J100" s="2763">
        <f t="shared" si="6"/>
        <v>14400</v>
      </c>
      <c r="K100" s="2763">
        <f t="shared" si="6"/>
        <v>414027.21339000005</v>
      </c>
      <c r="L100" s="2763">
        <f t="shared" si="6"/>
        <v>0</v>
      </c>
      <c r="M100" s="2763">
        <f t="shared" si="6"/>
        <v>35560</v>
      </c>
      <c r="N100" s="2763">
        <f t="shared" si="6"/>
        <v>282220</v>
      </c>
      <c r="O100" s="2763">
        <f t="shared" si="6"/>
        <v>10000</v>
      </c>
      <c r="P100" s="2763">
        <f t="shared" si="6"/>
        <v>955000</v>
      </c>
      <c r="Q100" s="2763">
        <f t="shared" si="6"/>
        <v>412500</v>
      </c>
      <c r="R100" s="2763">
        <f t="shared" si="6"/>
        <v>0</v>
      </c>
      <c r="S100" s="2764">
        <f t="shared" si="6"/>
        <v>2725362.3733900003</v>
      </c>
      <c r="T100" s="2013"/>
    </row>
    <row r="101" spans="2:20" s="2177" customFormat="1">
      <c r="B101" s="2193"/>
      <c r="H101" s="2005"/>
      <c r="I101" s="2142"/>
      <c r="J101" s="2142"/>
      <c r="K101" s="2142"/>
      <c r="L101" s="2142"/>
      <c r="M101" s="2142"/>
      <c r="N101" s="2142"/>
      <c r="O101" s="2142"/>
      <c r="P101" s="2142"/>
      <c r="Q101" s="2142"/>
      <c r="R101" s="2142"/>
      <c r="S101" s="2142"/>
      <c r="T101" s="2144"/>
    </row>
    <row r="102" spans="2:20" s="2765" customFormat="1" ht="11.25">
      <c r="B102" s="2259"/>
      <c r="H102" s="2766" t="s">
        <v>649</v>
      </c>
      <c r="I102" s="2767">
        <v>418431.98646749998</v>
      </c>
      <c r="J102" s="2768">
        <v>0</v>
      </c>
      <c r="K102" s="2768">
        <v>290445.81965237996</v>
      </c>
      <c r="L102" s="2768">
        <v>0</v>
      </c>
      <c r="M102" s="2768">
        <v>24640</v>
      </c>
      <c r="N102" s="2768">
        <v>0</v>
      </c>
      <c r="O102" s="2768">
        <v>16500</v>
      </c>
      <c r="P102" s="2768">
        <v>66800</v>
      </c>
      <c r="Q102" s="2768">
        <v>0</v>
      </c>
      <c r="R102" s="2768">
        <v>0</v>
      </c>
      <c r="S102" s="2769">
        <v>816800</v>
      </c>
      <c r="T102" s="2770"/>
    </row>
    <row r="103" spans="2:20" s="2765" customFormat="1" ht="11.25">
      <c r="B103" s="2259"/>
      <c r="H103" s="2766"/>
      <c r="I103" s="2771"/>
      <c r="J103" s="2771"/>
      <c r="K103" s="2771"/>
      <c r="L103" s="2771"/>
      <c r="M103" s="2771"/>
      <c r="N103" s="2771"/>
      <c r="O103" s="2771"/>
      <c r="P103" s="2771"/>
      <c r="Q103" s="2771"/>
      <c r="R103" s="2771"/>
      <c r="S103" s="2771"/>
      <c r="T103" s="2770"/>
    </row>
    <row r="104" spans="2:20">
      <c r="H104" s="650"/>
      <c r="I104" s="654"/>
      <c r="J104" s="654"/>
      <c r="K104" s="654"/>
      <c r="L104" s="654"/>
      <c r="M104" s="654"/>
      <c r="N104" s="654"/>
      <c r="O104" s="654"/>
      <c r="P104" s="654"/>
      <c r="Q104" s="654"/>
      <c r="R104" s="654"/>
      <c r="S104" s="654"/>
    </row>
    <row r="105" spans="2:20" s="2064" customFormat="1">
      <c r="B105" s="2011"/>
      <c r="F105" s="2010"/>
      <c r="H105" s="2010" t="s">
        <v>656</v>
      </c>
      <c r="I105" s="2762">
        <f>I23+I48+I55+I62+I82+I93+I100</f>
        <v>16516486.633400001</v>
      </c>
      <c r="J105" s="2763">
        <f t="shared" ref="J105:S105" si="7">J23+J48+J55+J62+J82+J93+J100</f>
        <v>930339.51875000005</v>
      </c>
      <c r="K105" s="2763">
        <f t="shared" si="7"/>
        <v>11729987.736824999</v>
      </c>
      <c r="L105" s="2763">
        <f t="shared" si="7"/>
        <v>7213648.6300000008</v>
      </c>
      <c r="M105" s="2763">
        <f t="shared" si="7"/>
        <v>827741.6</v>
      </c>
      <c r="N105" s="2763">
        <f t="shared" si="7"/>
        <v>22833757.855</v>
      </c>
      <c r="O105" s="2763">
        <f t="shared" si="7"/>
        <v>374273</v>
      </c>
      <c r="P105" s="2763">
        <f t="shared" si="7"/>
        <v>3238393</v>
      </c>
      <c r="Q105" s="2763">
        <f t="shared" si="7"/>
        <v>135943760.08054614</v>
      </c>
      <c r="R105" s="2763">
        <f t="shared" si="7"/>
        <v>-623570.92000000004</v>
      </c>
      <c r="S105" s="2764">
        <f t="shared" si="7"/>
        <v>198984817.13452116</v>
      </c>
      <c r="T105" s="2013">
        <f>T23+T48+T55+T62+T82+T93+T100</f>
        <v>605193874.63759995</v>
      </c>
    </row>
    <row r="106" spans="2:20" s="2177" customFormat="1">
      <c r="B106" s="2193"/>
      <c r="H106" s="2005"/>
      <c r="I106" s="2142"/>
      <c r="J106" s="2142"/>
      <c r="K106" s="2142"/>
      <c r="L106" s="2142"/>
      <c r="M106" s="2142"/>
      <c r="N106" s="2142"/>
      <c r="O106" s="2142"/>
      <c r="P106" s="2142"/>
      <c r="Q106" s="2142"/>
      <c r="R106" s="2142"/>
      <c r="S106" s="2142"/>
      <c r="T106" s="605">
        <f>T105/1000/8760</f>
        <v>69.086058748584463</v>
      </c>
    </row>
    <row r="107" spans="2:20" s="2765" customFormat="1" ht="11.25">
      <c r="B107" s="2259"/>
      <c r="H107" s="2766" t="s">
        <v>649</v>
      </c>
      <c r="I107" s="2767">
        <v>14879770.896467501</v>
      </c>
      <c r="J107" s="2768">
        <v>1204223</v>
      </c>
      <c r="K107" s="2768">
        <v>11162902.07369238</v>
      </c>
      <c r="L107" s="2768">
        <v>6656837</v>
      </c>
      <c r="M107" s="2768">
        <v>759479.68</v>
      </c>
      <c r="N107" s="2768">
        <v>20081014.760000002</v>
      </c>
      <c r="O107" s="2768">
        <v>883181.91999999993</v>
      </c>
      <c r="P107" s="2768">
        <v>2443521.42</v>
      </c>
      <c r="Q107" s="2768">
        <v>130391262.11350001</v>
      </c>
      <c r="R107" s="2768">
        <v>0</v>
      </c>
      <c r="S107" s="2769">
        <v>188462300</v>
      </c>
      <c r="T107" s="2770">
        <v>585790000</v>
      </c>
    </row>
    <row r="108" spans="2:20">
      <c r="H108" s="650"/>
      <c r="I108" s="654"/>
      <c r="J108" s="654"/>
      <c r="K108" s="654"/>
      <c r="L108" s="654"/>
      <c r="M108" s="654"/>
      <c r="N108" s="654"/>
      <c r="O108" s="654"/>
      <c r="P108" s="654"/>
      <c r="Q108" s="654"/>
      <c r="R108" s="654"/>
      <c r="S108" s="654"/>
    </row>
    <row r="109" spans="2:20" s="2316" customFormat="1" ht="202.5">
      <c r="B109" s="2315"/>
      <c r="F109" s="2317"/>
      <c r="G109" s="2321" t="s">
        <v>519</v>
      </c>
      <c r="H109" s="701" t="s">
        <v>217</v>
      </c>
      <c r="I109" s="2319" t="s">
        <v>496</v>
      </c>
      <c r="J109" s="2319" t="s">
        <v>494</v>
      </c>
      <c r="K109" s="2320" t="s">
        <v>497</v>
      </c>
      <c r="L109" s="2319" t="s">
        <v>495</v>
      </c>
      <c r="M109" s="2319" t="s">
        <v>498</v>
      </c>
      <c r="N109" s="2319" t="s">
        <v>499</v>
      </c>
      <c r="O109" s="2319" t="s">
        <v>500</v>
      </c>
      <c r="P109" s="2319" t="s">
        <v>501</v>
      </c>
      <c r="Q109" s="2319" t="s">
        <v>502</v>
      </c>
      <c r="R109" s="2319" t="s">
        <v>218</v>
      </c>
      <c r="S109" s="702"/>
      <c r="T109" s="2318"/>
    </row>
    <row r="112" spans="2:20">
      <c r="O112" s="703"/>
    </row>
  </sheetData>
  <customSheetViews>
    <customSheetView guid="{074EB09C-6289-46D7-9513-012B68BCA7BF}" hiddenRows="1">
      <pane xSplit="8" ySplit="5" topLeftCell="R10" activePane="bottomRight" state="frozen"/>
      <selection pane="bottomRight"/>
      <pageMargins left="0.23" right="0.25" top="0.36" bottom="0.4" header="0.3" footer="0.3"/>
      <pageSetup paperSize="17" scale="52" orientation="landscape" r:id="rId1"/>
    </customSheetView>
    <customSheetView guid="{D9EFFE19-D14B-4C6F-BDF4-FF696F73968D}" hiddenRows="1">
      <pane xSplit="7" ySplit="5" topLeftCell="H43" activePane="bottomRight" state="frozen"/>
      <selection pane="bottomRight"/>
      <pageMargins left="0.23" right="0.25" top="0.36" bottom="0.4" header="0.3" footer="0.3"/>
      <pageSetup paperSize="17" scale="52" orientation="landscape" r:id="rId2"/>
    </customSheetView>
  </customSheetViews>
  <mergeCells count="1">
    <mergeCell ref="E5:G5"/>
  </mergeCells>
  <hyperlinks>
    <hyperlink ref="H7" location="' LowIncWx Detail_REM E201_Elec'!A1" display="' LowIncWx Detail_REM E201_Elec'!A1"/>
    <hyperlink ref="H8" location="'HmEnrgAsmt Detail_REM_E214 Elec'!A1" display="'HmEnrgAsm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54" location="'BEM Pilots E249 Elec'!A1" display="'BEM Pilots E249 Elec'!A1"/>
    <hyperlink ref="H28" location="'CI Retr Detail_BEM E250 Elec'!A1" display="'CI Retr Detail_BEM E250 Elec'!A1"/>
    <hyperlink ref="H30" location="'CI NC Detail_BEM E251 Elec'!A1" display="'CI NC Detail_BEM E251 Elec'!A1"/>
    <hyperlink ref="H32" location="'RCM Detail_BEM E253 Elec'!A1" display="'RCM Detail_BEM E253 Elec'!A1"/>
    <hyperlink ref="H35" location="'LPSD_Detail_BEM E258 Elec'!A1" display="'LPSD_Detail_BEM E258 Elec'!A1"/>
    <hyperlink ref="H38" location="'TechEval Detail_BEM E261 Elec'!A1" display="'TechEval Detail_BEM E261 Elec'!A1"/>
    <hyperlink ref="H73" location="'CustOnline Detail_PSWE_Elec'!A1" display="'CustOnline Detail_PSWE_Elec'!A1"/>
    <hyperlink ref="H74" location="'Mkt Intgn Detail_PSWE_Elec'!A1" display="'Mkt Intgn Detail_PSWE_Elec'!A1"/>
    <hyperlink ref="H79" location="'EEC Detail_PS_Elec'!A1" display="'EEC Detail_PS_Elec'!A1"/>
    <hyperlink ref="H80" location="'TradeAlly Detail_PS_ Elec'!A1" display="'TradeAlly Detail_PS_ Elec'!A1"/>
    <hyperlink ref="H89" location="'Mktg Resch Detail_PS_ Elec'!A1" display="'Mktg Resch Detail_PS_ Elec'!A1"/>
    <hyperlink ref="H87" location="'SuppCrv Detail_R&amp;C_Elec'!A1" display="'SuppCrv Detail_R&amp;C_Elec'!A1"/>
    <hyperlink ref="H88" location="'Strat Plan Detail_R&amp;C_Elec'!A1" display="'Strat Plan Detail_R&amp;C_Elec'!A1"/>
    <hyperlink ref="H90" location="'Eval Detail_R&amp;C_Elec'!A1" display="'Eval Detail_R&amp;C_Elec'!A1"/>
    <hyperlink ref="H98" location="'Net Mtr Details_Oth Elec E150'!A1" display="'Net Mtr Details_Oth Elec E150'!A1"/>
    <hyperlink ref="H99" location="'ElecVehcl Chg Inctv_E195 Elect'!A1" display="'ElecVehcl Chg Inctv_E195 Elect'!A1"/>
    <hyperlink ref="H68" location="'Engy Adv Detail_PSCE  Elec'!A1" display="'Engy Adv Detail_PSCE  Elec'!A1"/>
    <hyperlink ref="H70" location="'Brochures Detail_PSCE Elec'!A1" display="'Brochures Detail_PSCE Elec'!A1"/>
    <hyperlink ref="H71" location="'Educatn Detail_PSCE E202 Elec'!A1" display="'Educatn Detail_PSCE E202 Elec'!A1"/>
    <hyperlink ref="H69" location="'Events Detail_PSCE Elec'!A1" display="'Events Detail_PSCE Elec'!A1"/>
    <hyperlink ref="H61" location="'T&amp;D Detail_Reg E292 elec'!A1" display="'T&amp;D Detail_Reg E292 elec'!A1"/>
    <hyperlink ref="H60" location="'NEEA Detail_E254 elec'!A1" display="'NEEA Detail_E254 elec'!A1"/>
    <hyperlink ref="H75" location="'ABS Detail_PSWE_Elec'!A1" display="'ABS Detail_PSWE_Elec'!A1"/>
    <hyperlink ref="H92" location="'Verifctn Team Detail Elec'!A1" display="'Verifctn Team Detail Elec'!A1"/>
    <hyperlink ref="H91" location="'BECAR Detail_R&amp;C Elec'!A1" display="18230tbd"/>
    <hyperlink ref="H15" location="'MHDS Detail_REM_E214 Elec.'!A1" display="'MHDS Detail_REM_E214 Elec.'!A1"/>
    <hyperlink ref="H53" location="'REM Pilots E249 Elec'!A1" display="18230nnn"/>
    <hyperlink ref="H77" location="'Progs Supp Detail_PS_ Elec'!A1" display="'Progs Supp Detail_PS_ Elec'!A1"/>
    <hyperlink ref="H29" location="'BusLgtGrants_BEM E250 Elect'!A1" display="'BusLgtGrants_BEM E250 Elect'!A1"/>
    <hyperlink ref="H40" location="'Comm Lgt Mkdn_E262 Elect'!A1" display="'Comm Lgt Mkdn_E262 Elect'!A1"/>
    <hyperlink ref="H41" location="'Comm Kit-Laund_E262 Elect'!A1" display="'Comm Kit-Laund_E262 Elect'!A1"/>
    <hyperlink ref="H42" location="'Comm DI_E262 Elect'!A1" display="'Comm DI_E262 Elect'!A1"/>
    <hyperlink ref="H43" location="'Comm HVAC_E262 Elect'!A1" display="'Comm HVAC_E262 Elect'!A1"/>
    <hyperlink ref="H44" location="'Comm ExpLgt_E262 Elect'!A1" display="'Comm ExpLgt_E262 Elect'!A1"/>
    <hyperlink ref="H47" location="'Sm Bus DI_E262 Elect'!A1" display="'Sm Bus DI_E262 Elect'!A1"/>
    <hyperlink ref="H76" location="'Rebt Procg Detail_Elect'!A1" display="'Rebt Procg Detail_Elect'!A1"/>
    <hyperlink ref="H78" location="'Data &amp; Systm Svcs_Elect'!A1" display="'Data &amp; Systm Svcs_Elect'!A1"/>
    <hyperlink ref="H81" location="CAN_Elect!A1" display="CAN_Elect!A1"/>
    <hyperlink ref="H17" location="'Web Tstat Detail_REM E214 Elec'!A1" display="1823xxxx"/>
    <hyperlink ref="H46" location="'Lodging DI_E262 Elec'!A1" display="1823xxxx"/>
    <hyperlink ref="H45" location="'Sm Agr DI_E262 Elect'!A1" display="1823xxxx"/>
    <hyperlink ref="H34" location="'ResAcctSW Detail_PSWE_Elec'!A1" display="1823yyyy"/>
    <hyperlink ref="H36" location="LPSD_Detail_449_Elec!A1" display="LPSD_Detail_449_Elec!A1"/>
    <hyperlink ref="H37" location="'LPSD_Detail_Non-449 Elec'!A1" display="'LPSD_Detail_Non-449 Elec'!A1"/>
    <hyperlink ref="H33" location="'RCM B-U-S Detail_E253 Elec'!A1" display="1823nnnn"/>
  </hyperlinks>
  <pageMargins left="0.23" right="0.25" top="0.36" bottom="0.4" header="0.3" footer="0.3"/>
  <pageSetup paperSize="3" scale="52" orientation="landscape" r:id="rId3"/>
  <ignoredErrors>
    <ignoredError sqref="I7:T61 I67:S92 I98:S99 T105" emptyCellReference="1"/>
  </ignoredErrors>
  <drawing r:id="rId4"/>
  <legacyDrawing r:id="rId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7" tint="0.39997558519241921"/>
  </sheetPr>
  <dimension ref="A1:S67"/>
  <sheetViews>
    <sheetView showGridLines="0" workbookViewId="0">
      <pane xSplit="1" ySplit="1" topLeftCell="B2" activePane="bottomRight" state="frozen"/>
      <selection pane="topRight" activeCell="B1" sqref="B1"/>
      <selection pane="bottomLeft" activeCell="A2" sqref="A2"/>
      <selection pane="bottomRight" activeCell="C5" sqref="C5"/>
    </sheetView>
  </sheetViews>
  <sheetFormatPr defaultRowHeight="12.75"/>
  <cols>
    <col min="1" max="1" width="18.42578125" customWidth="1"/>
    <col min="2" max="2" width="16" style="1866" customWidth="1"/>
    <col min="3" max="3" width="29.85546875" customWidth="1"/>
    <col min="4" max="4" width="19.28515625" style="1" customWidth="1"/>
    <col min="5" max="5" width="19.28515625" style="2" customWidth="1"/>
    <col min="6" max="10" width="18.85546875" customWidth="1"/>
    <col min="11" max="11" width="17.5703125" customWidth="1"/>
    <col min="12" max="12" width="20.42578125" customWidth="1"/>
    <col min="13" max="13" width="24.42578125" customWidth="1"/>
    <col min="14" max="14" width="19.42578125" customWidth="1"/>
    <col min="15" max="15" width="14.140625" customWidth="1"/>
    <col min="16" max="16" width="22.5703125" bestFit="1" customWidth="1"/>
    <col min="17" max="17" width="20.140625" customWidth="1"/>
    <col min="18" max="18" width="10.85546875" bestFit="1" customWidth="1"/>
  </cols>
  <sheetData>
    <row r="1" spans="1:19" ht="55.5" customHeight="1">
      <c r="D1" s="1812" t="s">
        <v>29</v>
      </c>
      <c r="E1" s="1977" t="s">
        <v>25</v>
      </c>
      <c r="F1" s="1880">
        <v>18230466</v>
      </c>
      <c r="G1" s="1977" t="s">
        <v>5</v>
      </c>
      <c r="M1" s="1812" t="s">
        <v>29</v>
      </c>
      <c r="N1" s="1977" t="s">
        <v>25</v>
      </c>
      <c r="O1" s="1880">
        <v>18230466</v>
      </c>
      <c r="P1" s="1977" t="s">
        <v>5</v>
      </c>
    </row>
    <row r="2" spans="1:19" ht="17.25" customHeight="1" thickBot="1">
      <c r="D2" s="39"/>
      <c r="E2" s="1614"/>
      <c r="F2" s="1614"/>
      <c r="G2" s="1227"/>
      <c r="H2" s="1576" t="s">
        <v>674</v>
      </c>
      <c r="I2" s="1805"/>
      <c r="J2" s="1805"/>
      <c r="K2" s="1805"/>
      <c r="L2" s="1805"/>
      <c r="M2" s="1805"/>
      <c r="N2" s="1805"/>
      <c r="O2" s="1805"/>
      <c r="P2" s="1805"/>
      <c r="Q2" s="1805"/>
    </row>
    <row r="3" spans="1:19" ht="26.25" thickBot="1">
      <c r="A3" s="1844" t="s">
        <v>341</v>
      </c>
      <c r="B3" s="1808"/>
      <c r="D3" s="1731"/>
      <c r="E3" s="1731"/>
      <c r="F3" s="1731"/>
      <c r="G3" s="1805"/>
      <c r="H3" s="1577" t="s">
        <v>8</v>
      </c>
      <c r="I3" s="1538" t="s">
        <v>9</v>
      </c>
      <c r="J3" s="1538" t="s">
        <v>10</v>
      </c>
      <c r="K3" s="1538" t="s">
        <v>11</v>
      </c>
      <c r="L3" s="2037" t="s">
        <v>504</v>
      </c>
      <c r="M3" s="1538" t="s">
        <v>12</v>
      </c>
      <c r="N3" s="1538" t="s">
        <v>13</v>
      </c>
      <c r="O3" s="1538" t="s">
        <v>14</v>
      </c>
      <c r="P3" s="1538" t="s">
        <v>15</v>
      </c>
      <c r="Q3" s="1995"/>
      <c r="R3" s="1538" t="s">
        <v>16</v>
      </c>
      <c r="S3" s="1995"/>
    </row>
    <row r="4" spans="1:19" ht="15.75">
      <c r="A4" s="1976" t="s">
        <v>25</v>
      </c>
      <c r="B4" s="1808"/>
      <c r="C4" s="1759"/>
      <c r="D4" s="1731"/>
      <c r="E4" s="1731"/>
      <c r="F4" s="1731"/>
      <c r="G4" s="1804" t="s">
        <v>668</v>
      </c>
      <c r="H4" s="2003">
        <v>140385</v>
      </c>
      <c r="I4" s="2002">
        <v>0</v>
      </c>
      <c r="J4" s="2002">
        <v>99252</v>
      </c>
      <c r="K4" s="2002">
        <v>0</v>
      </c>
      <c r="L4" s="2002">
        <v>0</v>
      </c>
      <c r="M4" s="2002">
        <v>59160</v>
      </c>
      <c r="N4" s="2002">
        <v>0</v>
      </c>
      <c r="O4" s="2002">
        <v>0</v>
      </c>
      <c r="P4" s="2002">
        <v>0</v>
      </c>
      <c r="Q4" s="1998"/>
      <c r="R4" s="2002">
        <v>298797</v>
      </c>
      <c r="S4" s="1998"/>
    </row>
    <row r="5" spans="1:19" ht="15.75">
      <c r="A5" s="1880">
        <v>18230466</v>
      </c>
      <c r="B5" s="1808"/>
      <c r="C5" s="1759"/>
      <c r="D5" s="1759"/>
      <c r="E5" s="1761"/>
      <c r="F5" s="1761"/>
      <c r="G5" s="1228">
        <v>2016</v>
      </c>
      <c r="H5" s="1582">
        <f>D15</f>
        <v>180400</v>
      </c>
      <c r="I5" s="1549">
        <f>D21</f>
        <v>0</v>
      </c>
      <c r="J5" s="1549">
        <f>D27</f>
        <v>120326.8</v>
      </c>
      <c r="K5" s="1549">
        <f>D34</f>
        <v>0</v>
      </c>
      <c r="L5" s="1549">
        <f>D40</f>
        <v>8700</v>
      </c>
      <c r="M5" s="1549">
        <f>D46</f>
        <v>13920</v>
      </c>
      <c r="N5" s="1549">
        <f>D52</f>
        <v>0</v>
      </c>
      <c r="O5" s="1549">
        <f>D58</f>
        <v>0</v>
      </c>
      <c r="P5" s="1549">
        <v>0</v>
      </c>
      <c r="Q5" s="1999"/>
      <c r="R5" s="1549">
        <f>SUM(H5:P5)</f>
        <v>323346.8</v>
      </c>
      <c r="S5" s="1999"/>
    </row>
    <row r="6" spans="1:19" ht="16.5" thickBot="1">
      <c r="A6" s="1976" t="s">
        <v>5</v>
      </c>
      <c r="B6" s="1880"/>
      <c r="C6" s="1714"/>
      <c r="D6" s="1759"/>
      <c r="E6" s="1761"/>
      <c r="F6" s="1761"/>
      <c r="G6" s="1228">
        <v>2017</v>
      </c>
      <c r="H6" s="57">
        <f>E15</f>
        <v>184910</v>
      </c>
      <c r="I6" s="1990">
        <f>E21</f>
        <v>0</v>
      </c>
      <c r="J6" s="1989">
        <f>E27</f>
        <v>125738.8</v>
      </c>
      <c r="K6" s="58">
        <f>E34</f>
        <v>0</v>
      </c>
      <c r="L6" s="58">
        <f>E40</f>
        <v>8700</v>
      </c>
      <c r="M6" s="58">
        <f>E46</f>
        <v>13920</v>
      </c>
      <c r="N6" s="58">
        <f>E52</f>
        <v>0</v>
      </c>
      <c r="O6" s="58">
        <f>E58</f>
        <v>0</v>
      </c>
      <c r="P6" s="58">
        <v>0</v>
      </c>
      <c r="Q6" s="1996"/>
      <c r="R6" s="58">
        <f>SUM(H6:P6)</f>
        <v>333268.8</v>
      </c>
      <c r="S6" s="1996"/>
    </row>
    <row r="7" spans="1:19" s="18" customFormat="1" ht="16.5" thickBot="1">
      <c r="B7" s="1819"/>
      <c r="C7" s="1760"/>
      <c r="D7" s="1760"/>
      <c r="E7" s="1760"/>
      <c r="F7" s="1760"/>
      <c r="G7" s="1751" t="s">
        <v>23</v>
      </c>
      <c r="H7" s="1564">
        <f>SUM(H5:H6)</f>
        <v>365310</v>
      </c>
      <c r="I7" s="1991">
        <f t="shared" ref="I7:P7" si="0">SUM(I5:I6)</f>
        <v>0</v>
      </c>
      <c r="J7" s="1992">
        <f t="shared" si="0"/>
        <v>246065.6</v>
      </c>
      <c r="K7" s="1993">
        <f t="shared" si="0"/>
        <v>0</v>
      </c>
      <c r="L7" s="1991">
        <f t="shared" si="0"/>
        <v>17400</v>
      </c>
      <c r="M7" s="1992">
        <f t="shared" si="0"/>
        <v>27840</v>
      </c>
      <c r="N7" s="1991">
        <f t="shared" si="0"/>
        <v>0</v>
      </c>
      <c r="O7" s="1992">
        <f t="shared" si="0"/>
        <v>0</v>
      </c>
      <c r="P7" s="1993">
        <f t="shared" si="0"/>
        <v>0</v>
      </c>
      <c r="Q7" s="1994"/>
      <c r="R7" s="1991">
        <f>SUM(R5:R6)</f>
        <v>656615.6</v>
      </c>
      <c r="S7" s="1994"/>
    </row>
    <row r="8" spans="1:19" s="18" customFormat="1">
      <c r="B8" s="1808"/>
      <c r="C8" s="1760"/>
      <c r="D8" s="1760"/>
      <c r="E8" s="1731"/>
      <c r="F8" s="1715"/>
      <c r="G8"/>
      <c r="H8"/>
      <c r="I8"/>
      <c r="J8"/>
      <c r="K8"/>
      <c r="L8"/>
      <c r="M8"/>
      <c r="O8"/>
      <c r="P8" s="21" t="s">
        <v>20</v>
      </c>
    </row>
    <row r="9" spans="1:19" s="18" customFormat="1">
      <c r="A9" s="1819"/>
      <c r="B9" s="1819"/>
      <c r="C9" s="1760"/>
      <c r="D9" s="1760"/>
      <c r="E9" s="1731"/>
      <c r="F9" s="1715"/>
      <c r="G9"/>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B12" s="1865"/>
      <c r="C12" s="1887" t="s">
        <v>314</v>
      </c>
      <c r="D12" s="1924">
        <f>D15+D21+D27+D34+D40+D46+D52+D58</f>
        <v>323346.8</v>
      </c>
      <c r="E12" s="1948">
        <f>E15+E21+E27+E34+E40+E46+E52+E58</f>
        <v>333268.8</v>
      </c>
      <c r="F12" s="1924">
        <f>D12+E12</f>
        <v>656615.6</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SUM(D16:D19)</f>
        <v>180400</v>
      </c>
      <c r="E15" s="1926">
        <f>SUM(E16:E19)</f>
        <v>184910</v>
      </c>
      <c r="F15" s="1924">
        <f t="shared" ref="F15:F21" si="1">SUM(D15:E15)</f>
        <v>365310</v>
      </c>
      <c r="G15" s="30"/>
      <c r="H15" s="30"/>
    </row>
    <row r="16" spans="1:19" ht="13.5" customHeight="1">
      <c r="A16" s="21"/>
      <c r="B16" s="2610">
        <v>1</v>
      </c>
      <c r="C16" s="2197" t="s">
        <v>831</v>
      </c>
      <c r="D16" s="2201">
        <v>82000</v>
      </c>
      <c r="E16" s="2200">
        <v>84050</v>
      </c>
      <c r="F16" s="1879">
        <f t="shared" si="1"/>
        <v>166050</v>
      </c>
    </row>
    <row r="17" spans="1:7" ht="13.5" customHeight="1">
      <c r="A17" s="21"/>
      <c r="B17" s="2610">
        <v>1.2</v>
      </c>
      <c r="C17" s="2197" t="s">
        <v>1644</v>
      </c>
      <c r="D17" s="2199">
        <v>98400</v>
      </c>
      <c r="E17" s="2198">
        <v>100860</v>
      </c>
      <c r="F17" s="1891">
        <f t="shared" si="1"/>
        <v>199260</v>
      </c>
      <c r="G17" t="s">
        <v>1645</v>
      </c>
    </row>
    <row r="18" spans="1:7" ht="13.5" customHeight="1">
      <c r="A18" s="21"/>
      <c r="B18" s="1885"/>
      <c r="C18" s="1876"/>
      <c r="D18" s="1905"/>
      <c r="E18" s="1904"/>
      <c r="F18" s="1891">
        <f t="shared" si="1"/>
        <v>0</v>
      </c>
    </row>
    <row r="19" spans="1:7" ht="13.5" customHeight="1">
      <c r="A19" s="21"/>
      <c r="B19" s="1885"/>
      <c r="C19" s="1876"/>
      <c r="D19" s="2242"/>
      <c r="E19" s="2079"/>
      <c r="F19" s="1891">
        <f t="shared" si="1"/>
        <v>0</v>
      </c>
    </row>
    <row r="20" spans="1:7" ht="13.5" customHeight="1">
      <c r="A20" s="21"/>
      <c r="B20" s="1908">
        <f>SUM(B16:B19)</f>
        <v>2.2000000000000002</v>
      </c>
      <c r="C20" s="1952"/>
      <c r="D20" s="1954"/>
      <c r="E20" s="1955"/>
      <c r="F20" s="1957"/>
    </row>
    <row r="21" spans="1:7" ht="13.5" customHeight="1">
      <c r="A21" s="21"/>
      <c r="B21" s="1865"/>
      <c r="C21" s="1910" t="s">
        <v>47</v>
      </c>
      <c r="D21" s="1911">
        <v>0</v>
      </c>
      <c r="E21" s="1926">
        <v>0</v>
      </c>
      <c r="F21" s="1924">
        <f t="shared" si="1"/>
        <v>0</v>
      </c>
      <c r="G21" s="34" t="s">
        <v>7</v>
      </c>
    </row>
    <row r="22" spans="1:7" ht="13.5" customHeight="1">
      <c r="A22" s="21"/>
      <c r="B22" s="1865"/>
      <c r="C22" s="1876"/>
      <c r="D22" s="1907"/>
      <c r="E22" s="1906"/>
      <c r="F22" s="1879">
        <v>0</v>
      </c>
      <c r="G22" s="35"/>
    </row>
    <row r="23" spans="1:7" ht="13.5" customHeight="1">
      <c r="A23" s="21"/>
      <c r="B23" s="1865"/>
      <c r="C23" s="1876"/>
      <c r="D23" s="2053"/>
      <c r="E23" s="2054"/>
      <c r="F23" s="1891">
        <v>0</v>
      </c>
    </row>
    <row r="24" spans="1:7" ht="13.5" customHeight="1">
      <c r="A24" s="21"/>
      <c r="B24" s="1863"/>
      <c r="C24" s="1876"/>
      <c r="D24" s="2055"/>
      <c r="E24" s="2056"/>
      <c r="F24" s="1891">
        <v>0</v>
      </c>
    </row>
    <row r="25" spans="1:7" s="18" customFormat="1" ht="13.5" customHeight="1">
      <c r="A25" s="29"/>
      <c r="B25" s="1865"/>
      <c r="C25" s="1876"/>
      <c r="D25" s="2057"/>
      <c r="E25" s="2054"/>
      <c r="F25" s="1891">
        <v>0</v>
      </c>
    </row>
    <row r="26" spans="1:7" ht="13.5" customHeight="1">
      <c r="A26" s="21"/>
      <c r="B26" s="1863"/>
      <c r="C26" s="1877"/>
      <c r="D26" s="1892"/>
      <c r="E26" s="1884"/>
      <c r="F26" s="1892"/>
    </row>
    <row r="27" spans="1:7" s="18" customFormat="1" ht="13.5" customHeight="1">
      <c r="A27" s="29"/>
      <c r="B27" s="1865"/>
      <c r="C27" s="1910" t="s">
        <v>48</v>
      </c>
      <c r="D27" s="1911">
        <f>SUM(D29:D32)</f>
        <v>120326.8</v>
      </c>
      <c r="E27" s="1926">
        <f>SUM(E29:E32)</f>
        <v>125738.8</v>
      </c>
      <c r="F27" s="1924">
        <f>SUM(F29:F32)</f>
        <v>246065.6</v>
      </c>
    </row>
    <row r="28" spans="1:7" ht="13.5" customHeight="1">
      <c r="A28" s="21"/>
      <c r="B28" s="1865"/>
      <c r="C28" s="1909" t="s">
        <v>315</v>
      </c>
      <c r="D28" s="1912">
        <v>0.66700000000000004</v>
      </c>
      <c r="E28" s="1913">
        <v>0.68</v>
      </c>
      <c r="F28" s="1949"/>
    </row>
    <row r="29" spans="1:7" ht="13.5" customHeight="1">
      <c r="A29" s="21"/>
      <c r="B29" s="1865"/>
      <c r="C29" s="2197" t="s">
        <v>778</v>
      </c>
      <c r="D29" s="1971">
        <f>D15*D28</f>
        <v>120326.8</v>
      </c>
      <c r="E29" s="1972">
        <f>E15*E28</f>
        <v>125738.8</v>
      </c>
      <c r="F29" s="1891">
        <f>SUM(D29:E29)</f>
        <v>246065.6</v>
      </c>
    </row>
    <row r="30" spans="1:7" ht="13.5" customHeight="1">
      <c r="A30" s="21"/>
      <c r="B30" s="1865"/>
      <c r="C30" s="1876" t="s">
        <v>779</v>
      </c>
      <c r="D30" s="1973">
        <f>D21*D28</f>
        <v>0</v>
      </c>
      <c r="E30" s="1972">
        <f>E21*E28</f>
        <v>0</v>
      </c>
      <c r="F30" s="1891">
        <v>0</v>
      </c>
    </row>
    <row r="31" spans="1:7" ht="13.5" customHeight="1">
      <c r="A31" s="21"/>
      <c r="B31" s="1865"/>
      <c r="C31" s="1901"/>
      <c r="D31" s="1898"/>
      <c r="E31" s="1897"/>
      <c r="F31" s="1889"/>
    </row>
    <row r="32" spans="1:7" ht="13.5" customHeight="1">
      <c r="A32" s="21"/>
      <c r="B32" s="1865"/>
      <c r="C32" s="1901"/>
      <c r="D32" s="1896"/>
      <c r="E32" s="1899"/>
      <c r="F32" s="1890"/>
    </row>
    <row r="33" spans="1:7" ht="13.5" customHeight="1">
      <c r="A33" s="21"/>
      <c r="B33" s="1801"/>
      <c r="C33" s="1952"/>
      <c r="D33" s="1958"/>
      <c r="E33" s="1955"/>
      <c r="F33" s="1958"/>
    </row>
    <row r="34" spans="1:7">
      <c r="A34" s="1844" t="s">
        <v>341</v>
      </c>
      <c r="B34" s="1865"/>
      <c r="C34" s="1910" t="s">
        <v>49</v>
      </c>
      <c r="D34" s="1911">
        <v>0</v>
      </c>
      <c r="E34" s="1926">
        <v>0</v>
      </c>
      <c r="F34" s="1924">
        <f>SUM(D34:E34)</f>
        <v>0</v>
      </c>
      <c r="G34" s="38"/>
    </row>
    <row r="35" spans="1:7" ht="13.5" customHeight="1">
      <c r="A35" s="1976" t="s">
        <v>25</v>
      </c>
      <c r="B35" s="1863"/>
      <c r="C35" s="1876"/>
      <c r="D35" s="1971"/>
      <c r="E35" s="1988"/>
      <c r="F35" s="1891">
        <v>0</v>
      </c>
    </row>
    <row r="36" spans="1:7" s="18" customFormat="1" ht="13.5" customHeight="1">
      <c r="A36" s="1880">
        <v>18230466</v>
      </c>
      <c r="B36" s="1865"/>
      <c r="C36" s="1876"/>
      <c r="D36" s="1971"/>
      <c r="E36" s="1988"/>
      <c r="F36" s="1891">
        <v>0</v>
      </c>
    </row>
    <row r="37" spans="1:7" ht="13.5" customHeight="1">
      <c r="A37" s="1976" t="s">
        <v>5</v>
      </c>
      <c r="B37" s="1865"/>
      <c r="C37" s="1876"/>
      <c r="D37" s="1971"/>
      <c r="E37" s="1988"/>
      <c r="F37" s="1891">
        <v>0</v>
      </c>
    </row>
    <row r="38" spans="1:7" ht="13.5" customHeight="1">
      <c r="A38" s="21"/>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8700</v>
      </c>
      <c r="E40" s="1926">
        <f>SUM(E41:E44)</f>
        <v>8700</v>
      </c>
      <c r="F40" s="1924">
        <f>SUM(D40:E40)</f>
        <v>17400</v>
      </c>
    </row>
    <row r="41" spans="1:7" ht="13.5" customHeight="1">
      <c r="A41" s="21"/>
      <c r="B41" s="1865"/>
      <c r="C41" s="2197" t="s">
        <v>832</v>
      </c>
      <c r="D41" s="2202">
        <v>8700</v>
      </c>
      <c r="E41" s="2203">
        <v>8700</v>
      </c>
      <c r="F41" s="1891">
        <f>SUM(D41:E41)</f>
        <v>17400</v>
      </c>
    </row>
    <row r="42" spans="1:7" ht="13.5" customHeight="1">
      <c r="A42" s="21"/>
      <c r="B42" s="1865"/>
      <c r="C42" s="1876"/>
      <c r="D42" s="1971"/>
      <c r="E42" s="1988"/>
      <c r="F42" s="1891">
        <v>0</v>
      </c>
    </row>
    <row r="43" spans="1:7" ht="13.5" customHeight="1">
      <c r="A43" s="21"/>
      <c r="B43" s="1865"/>
      <c r="C43" s="1876"/>
      <c r="D43" s="1971"/>
      <c r="E43" s="1988"/>
      <c r="F43" s="1891">
        <v>0</v>
      </c>
    </row>
    <row r="44" spans="1:7" ht="13.5" customHeight="1">
      <c r="A44" s="21"/>
      <c r="B44" s="1865"/>
      <c r="C44" s="1876"/>
      <c r="D44" s="1971"/>
      <c r="E44" s="1988"/>
      <c r="F44" s="1891">
        <v>0</v>
      </c>
    </row>
    <row r="45" spans="1:7" ht="13.5" customHeight="1">
      <c r="A45" s="21"/>
      <c r="B45" s="1865"/>
      <c r="C45" s="1952"/>
      <c r="D45" s="1958"/>
      <c r="E45" s="1955"/>
      <c r="F45" s="1958"/>
    </row>
    <row r="46" spans="1:7" ht="13.5" customHeight="1">
      <c r="A46" s="21"/>
      <c r="B46" s="1865"/>
      <c r="C46" s="1910" t="s">
        <v>50</v>
      </c>
      <c r="D46" s="1911">
        <f>SUM(D47:D50)</f>
        <v>13920</v>
      </c>
      <c r="E46" s="1926">
        <f>SUM(E47:E50)</f>
        <v>13920</v>
      </c>
      <c r="F46" s="1924">
        <f>SUM(D46:E46)</f>
        <v>27840</v>
      </c>
    </row>
    <row r="47" spans="1:7" ht="13.5" customHeight="1">
      <c r="A47" s="21"/>
      <c r="B47" s="1865"/>
      <c r="C47" s="2197" t="s">
        <v>1568</v>
      </c>
      <c r="D47" s="2202">
        <v>13920</v>
      </c>
      <c r="E47" s="2203">
        <v>13920</v>
      </c>
      <c r="F47" s="1891">
        <f>SUM(D47:E47)</f>
        <v>27840</v>
      </c>
    </row>
    <row r="48" spans="1:7" ht="13.5" customHeight="1">
      <c r="A48" s="21"/>
      <c r="B48" s="1865"/>
      <c r="C48" s="2197"/>
      <c r="D48" s="2202"/>
      <c r="E48" s="2203"/>
      <c r="F48" s="1891">
        <f>SUM(D48:E48)</f>
        <v>0</v>
      </c>
    </row>
    <row r="49" spans="1:6" ht="13.5" customHeight="1">
      <c r="A49" s="21"/>
      <c r="B49" s="1865"/>
      <c r="C49" s="1876"/>
      <c r="D49" s="1971"/>
      <c r="E49" s="1988"/>
      <c r="F49" s="1891">
        <v>0</v>
      </c>
    </row>
    <row r="50" spans="1:6" ht="13.5" customHeight="1">
      <c r="A50" s="21"/>
      <c r="B50" s="1865"/>
      <c r="C50" s="1876"/>
      <c r="D50" s="1971"/>
      <c r="E50" s="1988"/>
      <c r="F50" s="189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SUM(D52:E52)</f>
        <v>0</v>
      </c>
    </row>
    <row r="53" spans="1:6" ht="13.5" customHeight="1">
      <c r="A53" s="21"/>
      <c r="B53" s="1865"/>
      <c r="C53" s="2154"/>
      <c r="D53" s="1971"/>
      <c r="E53" s="1972"/>
      <c r="F53" s="1891">
        <f>SUM(D53:E53)</f>
        <v>0</v>
      </c>
    </row>
    <row r="54" spans="1:6" ht="13.5" customHeight="1">
      <c r="A54" s="21"/>
      <c r="B54" s="1865"/>
      <c r="C54" s="2154"/>
      <c r="D54" s="1971"/>
      <c r="E54" s="1972"/>
      <c r="F54" s="1891">
        <f>SUM(D54:E54)</f>
        <v>0</v>
      </c>
    </row>
    <row r="55" spans="1:6" ht="13.5" customHeight="1">
      <c r="A55" s="21"/>
      <c r="B55" s="1865"/>
      <c r="C55" s="1876"/>
      <c r="D55" s="1971"/>
      <c r="E55" s="1972"/>
      <c r="F55" s="1891">
        <v>0</v>
      </c>
    </row>
    <row r="56" spans="1:6" ht="13.5" customHeight="1">
      <c r="A56" s="21"/>
      <c r="B56" s="1865"/>
      <c r="C56" s="1876"/>
      <c r="D56" s="1971"/>
      <c r="E56" s="1972"/>
      <c r="F56" s="1891">
        <v>0</v>
      </c>
    </row>
    <row r="57" spans="1:6" ht="13.5" customHeight="1">
      <c r="A57" s="21"/>
      <c r="B57" s="1865"/>
      <c r="C57" s="1952"/>
      <c r="D57" s="1958"/>
      <c r="E57" s="1955"/>
      <c r="F57" s="1958"/>
    </row>
    <row r="58" spans="1:6" ht="13.5" customHeight="1">
      <c r="A58" s="21"/>
      <c r="B58" s="1865"/>
      <c r="C58" s="1910" t="s">
        <v>52</v>
      </c>
      <c r="D58" s="1911">
        <f>SUM(D59:D62)</f>
        <v>0</v>
      </c>
      <c r="E58" s="1926">
        <f>SUM(E59:E62)</f>
        <v>0</v>
      </c>
      <c r="F58" s="1924">
        <f>SUM(D58:E58)</f>
        <v>0</v>
      </c>
    </row>
    <row r="59" spans="1:6" ht="13.5" customHeight="1">
      <c r="A59" s="21"/>
      <c r="B59" s="1865"/>
      <c r="C59" s="1876"/>
      <c r="D59" s="1971"/>
      <c r="E59" s="1988"/>
      <c r="F59" s="1891">
        <f>SUM(D59:E59)</f>
        <v>0</v>
      </c>
    </row>
    <row r="60" spans="1:6" ht="13.5" customHeight="1">
      <c r="A60" s="21"/>
      <c r="B60" s="1865"/>
      <c r="C60" s="1876"/>
      <c r="D60" s="1971"/>
      <c r="E60" s="1988"/>
      <c r="F60" s="1891">
        <v>0</v>
      </c>
    </row>
    <row r="61" spans="1:6" ht="13.5" customHeight="1">
      <c r="A61" s="21"/>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pane xSplit="1" ySplit="1" topLeftCell="B5" activePane="bottomRight" state="frozen"/>
      <selection pane="bottomRight" activeCell="H49" sqref="H49"/>
      <pageMargins left="0.4" right="0.21" top="0.35" bottom="0.34" header="0.3" footer="0.3"/>
      <pageSetup paperSize="17" scale="60" orientation="landscape" r:id="rId1"/>
    </customSheetView>
    <customSheetView guid="{D9EFFE19-D14B-4C6F-BDF4-FF696F73968D}" showGridLines="0">
      <pane xSplit="1" ySplit="1" topLeftCell="B5" activePane="bottomRight" state="frozen"/>
      <selection pane="bottomRight"/>
      <pageMargins left="0.4" right="0.21" top="0.35" bottom="0.34" header="0.3" footer="0.3"/>
      <pageSetup paperSize="17" scale="60" orientation="landscape" r:id="rId2"/>
    </customSheetView>
  </customSheetViews>
  <pageMargins left="0.4" right="0.21" top="0.35" bottom="0.34" header="0.3" footer="0.3"/>
  <pageSetup paperSize="17" scale="60" orientation="landscape"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activeCell="D7" sqref="D7"/>
    </sheetView>
  </sheetViews>
  <sheetFormatPr defaultRowHeight="12.75"/>
  <cols>
    <col min="1" max="1" width="18.140625" style="2007" customWidth="1"/>
    <col min="2" max="2" width="16" style="2007" customWidth="1"/>
    <col min="3" max="3" width="27.85546875" style="2007" customWidth="1"/>
    <col min="4" max="4" width="19.28515625" style="2006" customWidth="1"/>
    <col min="5" max="5" width="19.28515625" style="1790" customWidth="1"/>
    <col min="6" max="10" width="18.85546875" style="2007" customWidth="1"/>
    <col min="11" max="11" width="17.5703125" style="2007" customWidth="1"/>
    <col min="12" max="12" width="20.5703125" style="2007" customWidth="1"/>
    <col min="13" max="13" width="21.85546875" style="2007" customWidth="1"/>
    <col min="14" max="14" width="19.42578125" style="2007" customWidth="1"/>
    <col min="15" max="15" width="14.140625" style="2007" customWidth="1"/>
    <col min="16" max="16" width="22.5703125" style="2007" bestFit="1" customWidth="1"/>
    <col min="17" max="17" width="5.5703125" style="2007" customWidth="1"/>
    <col min="18" max="18" width="10.85546875" style="2007" bestFit="1" customWidth="1"/>
    <col min="19" max="16384" width="9.140625" style="2007"/>
  </cols>
  <sheetData>
    <row r="1" spans="1:19" ht="57" customHeight="1">
      <c r="D1" s="1844" t="s">
        <v>1636</v>
      </c>
      <c r="E1" s="1977" t="s">
        <v>25</v>
      </c>
      <c r="F1" s="1880">
        <v>18230411</v>
      </c>
      <c r="G1" s="1977" t="s">
        <v>5</v>
      </c>
      <c r="M1" s="1844" t="s">
        <v>1636</v>
      </c>
      <c r="N1" s="1977" t="s">
        <v>25</v>
      </c>
      <c r="O1" s="1880">
        <v>18230411</v>
      </c>
      <c r="P1" s="1977" t="s">
        <v>5</v>
      </c>
    </row>
    <row r="2" spans="1:19" ht="17.25" customHeight="1" thickBot="1">
      <c r="D2" s="1800"/>
      <c r="E2" s="1614"/>
      <c r="F2" s="1614"/>
      <c r="G2" s="1227"/>
      <c r="H2" s="1576" t="s">
        <v>674</v>
      </c>
      <c r="I2" s="1805"/>
      <c r="J2" s="1805"/>
      <c r="K2" s="1805"/>
      <c r="L2" s="1805"/>
      <c r="M2" s="1805"/>
      <c r="N2" s="1805"/>
      <c r="O2" s="1805"/>
      <c r="P2" s="1805"/>
      <c r="Q2" s="1805"/>
    </row>
    <row r="3" spans="1:19" ht="39" thickBot="1">
      <c r="A3" s="1844" t="s">
        <v>1636</v>
      </c>
      <c r="B3" s="2040"/>
      <c r="D3" s="1731"/>
      <c r="E3" s="1731"/>
      <c r="F3" s="1731"/>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25</v>
      </c>
      <c r="B4" s="2040"/>
      <c r="C4" s="1761"/>
      <c r="D4" s="1731"/>
      <c r="E4" s="1731"/>
      <c r="F4" s="1731"/>
      <c r="G4" s="1804" t="s">
        <v>668</v>
      </c>
      <c r="H4" s="2003"/>
      <c r="I4" s="2002"/>
      <c r="J4" s="2002"/>
      <c r="K4" s="2002"/>
      <c r="L4" s="2002"/>
      <c r="M4" s="2002">
        <v>67586</v>
      </c>
      <c r="N4" s="2002"/>
      <c r="O4" s="2002"/>
      <c r="P4" s="2002"/>
      <c r="Q4" s="2002"/>
      <c r="R4" s="2002">
        <v>67586</v>
      </c>
      <c r="S4" s="1998"/>
    </row>
    <row r="5" spans="1:19" ht="15.75">
      <c r="A5" s="1880">
        <v>18230411</v>
      </c>
      <c r="B5" s="2040"/>
      <c r="C5" s="1761"/>
      <c r="D5" s="1761"/>
      <c r="E5" s="1761"/>
      <c r="F5" s="1761"/>
      <c r="G5" s="1228">
        <v>2016</v>
      </c>
      <c r="H5" s="1582">
        <f>D15</f>
        <v>62425.46</v>
      </c>
      <c r="I5" s="1549">
        <f>D21</f>
        <v>1000</v>
      </c>
      <c r="J5" s="1549">
        <f>D27</f>
        <v>42304.781820000004</v>
      </c>
      <c r="K5" s="1549">
        <f>D34</f>
        <v>0</v>
      </c>
      <c r="L5" s="1549">
        <f>D40</f>
        <v>1500</v>
      </c>
      <c r="M5" s="1549">
        <f>D46</f>
        <v>17400</v>
      </c>
      <c r="N5" s="1549">
        <f>D52</f>
        <v>0</v>
      </c>
      <c r="O5" s="1549">
        <f>D58</f>
        <v>0</v>
      </c>
      <c r="P5" s="1549">
        <v>0</v>
      </c>
      <c r="Q5" s="1549"/>
      <c r="R5" s="1549">
        <f>SUM(H5:P5)</f>
        <v>124630.24182</v>
      </c>
      <c r="S5" s="1999"/>
    </row>
    <row r="6" spans="1:19" ht="16.5" thickBot="1">
      <c r="A6" s="1976" t="s">
        <v>5</v>
      </c>
      <c r="B6" s="1880"/>
      <c r="C6" s="1714"/>
      <c r="D6" s="1761"/>
      <c r="E6" s="1761"/>
      <c r="F6" s="1761"/>
      <c r="G6" s="1228">
        <v>2017</v>
      </c>
      <c r="H6" s="57">
        <f>E15</f>
        <v>63985.98</v>
      </c>
      <c r="I6" s="1990">
        <f>E21</f>
        <v>1000</v>
      </c>
      <c r="J6" s="1989">
        <f>E27</f>
        <v>44190.466400000005</v>
      </c>
      <c r="K6" s="58">
        <f>E34</f>
        <v>0</v>
      </c>
      <c r="L6" s="58">
        <f>E40</f>
        <v>1500</v>
      </c>
      <c r="M6" s="58">
        <f>E46</f>
        <v>17400</v>
      </c>
      <c r="N6" s="58">
        <f>E52</f>
        <v>0</v>
      </c>
      <c r="O6" s="58">
        <f>E58</f>
        <v>0</v>
      </c>
      <c r="P6" s="58">
        <v>0</v>
      </c>
      <c r="Q6" s="58"/>
      <c r="R6" s="58">
        <f>SUM(H6:P6)</f>
        <v>128076.44640000002</v>
      </c>
      <c r="S6" s="1996"/>
    </row>
    <row r="7" spans="1:19" s="1862" customFormat="1" ht="16.5" thickBot="1">
      <c r="B7" s="1819"/>
      <c r="C7" s="1760"/>
      <c r="D7" s="1760"/>
      <c r="E7" s="1760"/>
      <c r="F7" s="1760"/>
      <c r="G7" s="1751" t="s">
        <v>23</v>
      </c>
      <c r="H7" s="1564">
        <f>SUM(H5:H6)</f>
        <v>126411.44</v>
      </c>
      <c r="I7" s="1991">
        <f t="shared" ref="I7:P7" si="0">SUM(I5:I6)</f>
        <v>2000</v>
      </c>
      <c r="J7" s="1992">
        <f t="shared" si="0"/>
        <v>86495.248220000009</v>
      </c>
      <c r="K7" s="1993">
        <f t="shared" si="0"/>
        <v>0</v>
      </c>
      <c r="L7" s="1991">
        <f t="shared" si="0"/>
        <v>3000</v>
      </c>
      <c r="M7" s="1992">
        <f t="shared" si="0"/>
        <v>34800</v>
      </c>
      <c r="N7" s="1991">
        <f t="shared" si="0"/>
        <v>0</v>
      </c>
      <c r="O7" s="1992">
        <f t="shared" si="0"/>
        <v>0</v>
      </c>
      <c r="P7" s="1993">
        <f t="shared" si="0"/>
        <v>0</v>
      </c>
      <c r="Q7" s="1993"/>
      <c r="R7" s="1991">
        <f>SUM(R5:R6)</f>
        <v>252706.68822000001</v>
      </c>
      <c r="S7" s="1994"/>
    </row>
    <row r="8" spans="1:19" s="1862" customFormat="1">
      <c r="B8" s="2040"/>
      <c r="C8" s="1760"/>
      <c r="D8" s="1760"/>
      <c r="E8" s="1731"/>
      <c r="F8" s="1715"/>
      <c r="G8" s="2007"/>
      <c r="H8" s="2007"/>
      <c r="I8" s="2007"/>
      <c r="J8" s="2007"/>
      <c r="K8" s="2007"/>
      <c r="L8" s="2007"/>
      <c r="M8" s="2007"/>
      <c r="O8" s="2007"/>
      <c r="P8" s="1865" t="s">
        <v>20</v>
      </c>
    </row>
    <row r="9" spans="1:19" s="1862" customFormat="1">
      <c r="A9" s="1819"/>
      <c r="B9" s="1819"/>
      <c r="C9" s="1760"/>
      <c r="D9" s="1760"/>
      <c r="E9" s="1731"/>
      <c r="F9" s="1715"/>
      <c r="G9" s="2007"/>
      <c r="H9" s="2007"/>
      <c r="I9" s="2007"/>
      <c r="J9" s="2007"/>
      <c r="K9" s="2007"/>
      <c r="L9" s="2007"/>
      <c r="M9" s="2007"/>
      <c r="O9" s="2007"/>
      <c r="P9" s="1865" t="s">
        <v>21</v>
      </c>
    </row>
    <row r="10" spans="1:19" s="2008" customFormat="1">
      <c r="A10" s="1822"/>
      <c r="B10" s="1822"/>
      <c r="C10" s="1915" t="s">
        <v>329</v>
      </c>
      <c r="D10" s="1915"/>
      <c r="E10" s="1915"/>
      <c r="F10" s="1915"/>
    </row>
    <row r="11" spans="1:19" ht="18" customHeight="1">
      <c r="A11" s="1822"/>
      <c r="B11" s="1822"/>
      <c r="D11" s="2007"/>
      <c r="E11" s="2008"/>
    </row>
    <row r="12" spans="1:19">
      <c r="A12" s="1822"/>
      <c r="B12" s="1865"/>
      <c r="C12" s="1887" t="s">
        <v>314</v>
      </c>
      <c r="D12" s="1924">
        <f>D15+D21+D27+D34+D40+D46+D52+D58</f>
        <v>124630.24182</v>
      </c>
      <c r="E12" s="1948">
        <f>E15+E21+E27+E34+E40+E46+E52+E58</f>
        <v>128076.44640000002</v>
      </c>
      <c r="F12" s="1924">
        <f>D12+E12</f>
        <v>252706.68822000001</v>
      </c>
    </row>
    <row r="13" spans="1:19" ht="13.5" customHeight="1">
      <c r="A13" s="1865"/>
      <c r="B13" s="1863"/>
      <c r="C13" s="1947"/>
      <c r="D13" s="2007"/>
      <c r="E13" s="1787"/>
      <c r="G13" s="1802"/>
      <c r="H13" s="1802"/>
    </row>
    <row r="14" spans="1:19" s="1862" customFormat="1" ht="13.5" customHeight="1">
      <c r="A14" s="1863"/>
      <c r="B14" s="1863"/>
      <c r="C14" s="1888" t="s">
        <v>45</v>
      </c>
      <c r="D14" s="1969">
        <v>2016</v>
      </c>
      <c r="E14" s="1970">
        <v>2017</v>
      </c>
      <c r="F14" s="1950" t="s">
        <v>23</v>
      </c>
      <c r="G14" s="1796"/>
      <c r="H14" s="1796"/>
    </row>
    <row r="15" spans="1:19" s="1862" customFormat="1" ht="13.5" customHeight="1">
      <c r="A15" s="1863"/>
      <c r="B15" s="1886" t="s">
        <v>312</v>
      </c>
      <c r="C15" s="1910" t="s">
        <v>46</v>
      </c>
      <c r="D15" s="1911">
        <f>SUM(D16:D19)</f>
        <v>62425.46</v>
      </c>
      <c r="E15" s="1926">
        <f>SUM(E16:E19)</f>
        <v>63985.98</v>
      </c>
      <c r="F15" s="1924">
        <f t="shared" ref="F15:F21" si="1">SUM(D15:E15)</f>
        <v>126411.44</v>
      </c>
      <c r="G15" s="1796"/>
      <c r="H15" s="1796"/>
    </row>
    <row r="16" spans="1:19" ht="13.5" customHeight="1">
      <c r="A16" s="1865"/>
      <c r="B16" s="1885">
        <v>0.87</v>
      </c>
      <c r="C16" s="1876" t="s">
        <v>801</v>
      </c>
      <c r="D16" s="1907">
        <v>62425.46</v>
      </c>
      <c r="E16" s="1906">
        <v>63985.98</v>
      </c>
      <c r="F16" s="1879">
        <f t="shared" si="1"/>
        <v>126411.44</v>
      </c>
    </row>
    <row r="17" spans="1:7">
      <c r="A17" s="1865"/>
      <c r="B17" s="1885"/>
      <c r="C17" s="1876"/>
      <c r="D17" s="1905"/>
      <c r="E17" s="1904"/>
      <c r="F17" s="1891">
        <f t="shared" si="1"/>
        <v>0</v>
      </c>
    </row>
    <row r="18" spans="1:7">
      <c r="A18" s="1865"/>
      <c r="B18" s="1885"/>
      <c r="C18" s="1876"/>
      <c r="D18" s="1905"/>
      <c r="E18" s="1904"/>
      <c r="F18" s="1891">
        <f t="shared" si="1"/>
        <v>0</v>
      </c>
    </row>
    <row r="19" spans="1:7">
      <c r="A19" s="1865"/>
      <c r="B19" s="1885"/>
      <c r="C19" s="1876"/>
      <c r="D19" s="2242"/>
      <c r="E19" s="2079"/>
      <c r="F19" s="1891">
        <f t="shared" si="1"/>
        <v>0</v>
      </c>
    </row>
    <row r="20" spans="1:7">
      <c r="A20" s="1865"/>
      <c r="B20" s="1908">
        <f>SUM(B16:B19)</f>
        <v>0.87</v>
      </c>
      <c r="C20" s="1952"/>
      <c r="D20" s="1954"/>
      <c r="E20" s="1955"/>
      <c r="F20" s="1957"/>
    </row>
    <row r="21" spans="1:7">
      <c r="A21" s="1865"/>
      <c r="B21" s="1865"/>
      <c r="C21" s="1910" t="s">
        <v>47</v>
      </c>
      <c r="D21" s="2183">
        <f>SUM(D22:D25)</f>
        <v>1000</v>
      </c>
      <c r="E21" s="2184">
        <f>SUM(E22:E25)</f>
        <v>1000</v>
      </c>
      <c r="F21" s="1924">
        <f t="shared" si="1"/>
        <v>2000</v>
      </c>
      <c r="G21" s="1797" t="s">
        <v>7</v>
      </c>
    </row>
    <row r="22" spans="1:7">
      <c r="A22" s="1865"/>
      <c r="B22" s="1865"/>
      <c r="C22" s="1876"/>
      <c r="D22" s="1907">
        <v>1000</v>
      </c>
      <c r="E22" s="1906">
        <v>1000</v>
      </c>
      <c r="F22" s="1879">
        <v>0</v>
      </c>
      <c r="G22" s="1798"/>
    </row>
    <row r="23" spans="1:7">
      <c r="A23" s="1865"/>
      <c r="B23" s="1865"/>
      <c r="C23" s="1876"/>
      <c r="D23" s="2053"/>
      <c r="E23" s="2054"/>
      <c r="F23" s="1891">
        <v>0</v>
      </c>
    </row>
    <row r="24" spans="1:7">
      <c r="A24" s="1865"/>
      <c r="B24" s="1863"/>
      <c r="C24" s="1876"/>
      <c r="D24" s="2055"/>
      <c r="E24" s="2056"/>
      <c r="F24" s="1891">
        <v>0</v>
      </c>
    </row>
    <row r="25" spans="1:7" s="1862" customFormat="1">
      <c r="A25" s="1863"/>
      <c r="B25" s="1865"/>
      <c r="C25" s="1876"/>
      <c r="D25" s="2057"/>
      <c r="E25" s="2054"/>
      <c r="F25" s="1891">
        <v>0</v>
      </c>
    </row>
    <row r="26" spans="1:7">
      <c r="A26" s="1865"/>
      <c r="B26" s="1863"/>
      <c r="C26" s="1877"/>
      <c r="D26" s="1892"/>
      <c r="E26" s="1884"/>
      <c r="F26" s="1892"/>
    </row>
    <row r="27" spans="1:7" s="1862" customFormat="1">
      <c r="A27" s="1863"/>
      <c r="B27" s="1865"/>
      <c r="C27" s="1910" t="s">
        <v>48</v>
      </c>
      <c r="D27" s="1911">
        <f>SUM(D29:D32)</f>
        <v>42304.781820000004</v>
      </c>
      <c r="E27" s="1926">
        <f>SUM(E29:E32)</f>
        <v>44190.466400000005</v>
      </c>
      <c r="F27" s="1924">
        <f>SUM(F29:F32)</f>
        <v>85148.248220000009</v>
      </c>
    </row>
    <row r="28" spans="1:7">
      <c r="A28" s="1865"/>
      <c r="B28" s="1865"/>
      <c r="C28" s="1909" t="s">
        <v>315</v>
      </c>
      <c r="D28" s="1912">
        <v>0.66700000000000004</v>
      </c>
      <c r="E28" s="1913">
        <v>0.68</v>
      </c>
      <c r="F28" s="1949"/>
    </row>
    <row r="29" spans="1:7">
      <c r="A29" s="1865"/>
      <c r="B29" s="1865"/>
      <c r="C29" s="2197" t="s">
        <v>778</v>
      </c>
      <c r="D29" s="1971">
        <f>D15*D28</f>
        <v>41637.781820000004</v>
      </c>
      <c r="E29" s="1972">
        <f>E15*E28</f>
        <v>43510.466400000005</v>
      </c>
      <c r="F29" s="1891">
        <f>SUM(D29:E29)</f>
        <v>85148.248220000009</v>
      </c>
    </row>
    <row r="30" spans="1:7">
      <c r="A30" s="1865"/>
      <c r="B30" s="1865"/>
      <c r="C30" s="1876" t="s">
        <v>779</v>
      </c>
      <c r="D30" s="1973">
        <f>D21*D28</f>
        <v>667</v>
      </c>
      <c r="E30" s="1972">
        <f>E21*E28</f>
        <v>680</v>
      </c>
      <c r="F30" s="1891">
        <v>0</v>
      </c>
    </row>
    <row r="31" spans="1:7">
      <c r="A31" s="1865"/>
      <c r="B31" s="1865"/>
      <c r="C31" s="1901"/>
      <c r="D31" s="1898"/>
      <c r="E31" s="1897"/>
      <c r="F31" s="1889"/>
    </row>
    <row r="32" spans="1:7">
      <c r="A32" s="1865"/>
      <c r="B32" s="1865"/>
      <c r="C32" s="1901"/>
      <c r="D32" s="1896"/>
      <c r="E32" s="1899"/>
      <c r="F32" s="1890"/>
    </row>
    <row r="33" spans="1:7">
      <c r="A33" s="1865"/>
      <c r="B33" s="1801"/>
      <c r="C33" s="1952"/>
      <c r="D33" s="1958"/>
      <c r="E33" s="1955"/>
      <c r="F33" s="1958"/>
    </row>
    <row r="34" spans="1:7" ht="38.25">
      <c r="A34" s="1844" t="s">
        <v>1636</v>
      </c>
      <c r="B34" s="1865"/>
      <c r="C34" s="1910" t="s">
        <v>49</v>
      </c>
      <c r="D34" s="1911">
        <v>0</v>
      </c>
      <c r="E34" s="1926">
        <v>0</v>
      </c>
      <c r="F34" s="1924">
        <f>SUM(D34:E34)</f>
        <v>0</v>
      </c>
      <c r="G34" s="1799"/>
    </row>
    <row r="35" spans="1:7">
      <c r="A35" s="1976" t="s">
        <v>25</v>
      </c>
      <c r="B35" s="1863"/>
      <c r="C35" s="1876"/>
      <c r="D35" s="1971"/>
      <c r="E35" s="1988"/>
      <c r="F35" s="1891">
        <v>0</v>
      </c>
    </row>
    <row r="36" spans="1:7" s="1862" customFormat="1">
      <c r="A36" s="1880">
        <v>18230411</v>
      </c>
      <c r="B36" s="1865"/>
      <c r="C36" s="1876"/>
      <c r="D36" s="1971"/>
      <c r="E36" s="1988"/>
      <c r="F36" s="1891">
        <v>0</v>
      </c>
    </row>
    <row r="37" spans="1:7">
      <c r="A37" s="1976" t="s">
        <v>5</v>
      </c>
      <c r="B37" s="1865"/>
      <c r="C37" s="1876"/>
      <c r="D37" s="1971"/>
      <c r="E37" s="1988"/>
      <c r="F37" s="1891">
        <v>0</v>
      </c>
    </row>
    <row r="38" spans="1:7">
      <c r="A38" s="1865"/>
      <c r="B38" s="1865"/>
      <c r="C38" s="1876"/>
      <c r="D38" s="1971"/>
      <c r="E38" s="1988"/>
      <c r="F38" s="1891">
        <v>0</v>
      </c>
    </row>
    <row r="39" spans="1:7">
      <c r="A39" s="1865"/>
      <c r="B39" s="1865"/>
      <c r="C39" s="1952"/>
      <c r="D39" s="1958"/>
      <c r="E39" s="1955"/>
      <c r="F39" s="1958"/>
    </row>
    <row r="40" spans="1:7">
      <c r="A40" s="1865"/>
      <c r="B40" s="1865"/>
      <c r="C40" s="2106" t="s">
        <v>506</v>
      </c>
      <c r="D40" s="1911">
        <f>SUM(D41:D44)</f>
        <v>1500</v>
      </c>
      <c r="E40" s="1926">
        <f>SUM(E41:E44)</f>
        <v>1500</v>
      </c>
      <c r="F40" s="1924">
        <f>SUM(D40:E40)</f>
        <v>3000</v>
      </c>
    </row>
    <row r="41" spans="1:7">
      <c r="A41" s="1865"/>
      <c r="B41" s="1865"/>
      <c r="C41" s="2179"/>
      <c r="D41" s="1971">
        <v>1500</v>
      </c>
      <c r="E41" s="1988">
        <v>1500</v>
      </c>
      <c r="F41" s="1891">
        <f>SUM(D41:E41)</f>
        <v>3000</v>
      </c>
    </row>
    <row r="42" spans="1:7">
      <c r="A42" s="1865"/>
      <c r="B42" s="1865"/>
      <c r="C42" s="1876"/>
      <c r="D42" s="1971"/>
      <c r="E42" s="1988"/>
      <c r="F42" s="1891">
        <v>0</v>
      </c>
    </row>
    <row r="43" spans="1:7">
      <c r="A43" s="1865"/>
      <c r="B43" s="1865"/>
      <c r="C43" s="1876"/>
      <c r="D43" s="1971"/>
      <c r="E43" s="1988"/>
      <c r="F43" s="1891">
        <v>0</v>
      </c>
    </row>
    <row r="44" spans="1:7">
      <c r="A44" s="1865"/>
      <c r="B44" s="1865"/>
      <c r="C44" s="1876"/>
      <c r="D44" s="1971"/>
      <c r="E44" s="1988"/>
      <c r="F44" s="1891">
        <v>0</v>
      </c>
    </row>
    <row r="45" spans="1:7">
      <c r="A45" s="1865"/>
      <c r="B45" s="1865"/>
      <c r="C45" s="1952"/>
      <c r="D45" s="1958"/>
      <c r="E45" s="1955"/>
      <c r="F45" s="1958"/>
    </row>
    <row r="46" spans="1:7">
      <c r="A46" s="1865"/>
      <c r="B46" s="1865"/>
      <c r="C46" s="1910" t="s">
        <v>50</v>
      </c>
      <c r="D46" s="1911">
        <f>SUM(D47:D50)</f>
        <v>17400</v>
      </c>
      <c r="E46" s="1926">
        <f>SUM(E47:E50)</f>
        <v>17400</v>
      </c>
      <c r="F46" s="1924">
        <f>SUM(D46:E46)</f>
        <v>34800</v>
      </c>
    </row>
    <row r="47" spans="1:7">
      <c r="A47" s="1865"/>
      <c r="B47" s="1865"/>
      <c r="C47" s="2197" t="s">
        <v>1609</v>
      </c>
      <c r="D47" s="2202">
        <v>17400</v>
      </c>
      <c r="E47" s="2203">
        <v>17400</v>
      </c>
      <c r="F47" s="1891">
        <f>SUM(D47:E47)</f>
        <v>34800</v>
      </c>
    </row>
    <row r="48" spans="1:7">
      <c r="A48" s="1865"/>
      <c r="B48" s="1865"/>
      <c r="C48" s="2179"/>
      <c r="D48" s="1971"/>
      <c r="E48" s="1988"/>
      <c r="F48" s="1891">
        <f>SUM(D48:E48)</f>
        <v>0</v>
      </c>
    </row>
    <row r="49" spans="1:6">
      <c r="A49" s="1865"/>
      <c r="B49" s="1865"/>
      <c r="C49" s="1876"/>
      <c r="D49" s="1971"/>
      <c r="E49" s="1988"/>
      <c r="F49" s="1891">
        <v>0</v>
      </c>
    </row>
    <row r="50" spans="1:6">
      <c r="A50" s="1865"/>
      <c r="B50" s="1865"/>
      <c r="C50" s="1876"/>
      <c r="D50" s="1971"/>
      <c r="E50" s="1988"/>
      <c r="F50" s="1891">
        <v>0</v>
      </c>
    </row>
    <row r="51" spans="1:6">
      <c r="A51" s="1865"/>
      <c r="B51" s="1865"/>
      <c r="C51" s="1952"/>
      <c r="D51" s="1958"/>
      <c r="E51" s="1955"/>
      <c r="F51" s="1958"/>
    </row>
    <row r="52" spans="1:6">
      <c r="A52" s="1865"/>
      <c r="B52" s="1865"/>
      <c r="C52" s="1910" t="s">
        <v>51</v>
      </c>
      <c r="D52" s="1911">
        <f>SUM(D53:D56)</f>
        <v>0</v>
      </c>
      <c r="E52" s="1926">
        <f>SUM(E53:E56)</f>
        <v>0</v>
      </c>
      <c r="F52" s="1924">
        <f>SUM(D52:E52)</f>
        <v>0</v>
      </c>
    </row>
    <row r="53" spans="1:6">
      <c r="A53" s="1865"/>
      <c r="B53" s="1865"/>
      <c r="C53" s="2179"/>
      <c r="D53" s="1971"/>
      <c r="E53" s="1972"/>
      <c r="F53" s="1891">
        <f>SUM(D53:E53)</f>
        <v>0</v>
      </c>
    </row>
    <row r="54" spans="1:6">
      <c r="A54" s="1865"/>
      <c r="B54" s="1865"/>
      <c r="C54" s="2179"/>
      <c r="D54" s="1971"/>
      <c r="E54" s="1972"/>
      <c r="F54" s="1891">
        <f>SUM(D54:E54)</f>
        <v>0</v>
      </c>
    </row>
    <row r="55" spans="1:6">
      <c r="A55" s="1865"/>
      <c r="B55" s="1865"/>
      <c r="C55" s="1876"/>
      <c r="D55" s="1971"/>
      <c r="E55" s="1972"/>
      <c r="F55" s="1891">
        <v>0</v>
      </c>
    </row>
    <row r="56" spans="1:6">
      <c r="A56" s="1865"/>
      <c r="B56" s="1865"/>
      <c r="C56" s="1876"/>
      <c r="D56" s="1971"/>
      <c r="E56" s="1972"/>
      <c r="F56" s="1891">
        <v>0</v>
      </c>
    </row>
    <row r="57" spans="1:6">
      <c r="A57" s="1865"/>
      <c r="B57" s="1865"/>
      <c r="C57" s="1952"/>
      <c r="D57" s="1958"/>
      <c r="E57" s="1955"/>
      <c r="F57" s="1958"/>
    </row>
    <row r="58" spans="1:6">
      <c r="A58" s="1865"/>
      <c r="B58" s="1865"/>
      <c r="C58" s="1910" t="s">
        <v>52</v>
      </c>
      <c r="D58" s="1911">
        <f>SUM(D59:D62)</f>
        <v>0</v>
      </c>
      <c r="E58" s="1926">
        <f>SUM(E59:E62)</f>
        <v>0</v>
      </c>
      <c r="F58" s="1924">
        <f>SUM(D58:E58)</f>
        <v>0</v>
      </c>
    </row>
    <row r="59" spans="1:6">
      <c r="A59" s="1865"/>
      <c r="B59" s="1865"/>
      <c r="C59" s="1876"/>
      <c r="D59" s="1971"/>
      <c r="E59" s="1988"/>
      <c r="F59" s="1891">
        <f>SUM(D59:E59)</f>
        <v>0</v>
      </c>
    </row>
    <row r="60" spans="1:6">
      <c r="A60" s="1865"/>
      <c r="B60" s="1865"/>
      <c r="C60" s="1876"/>
      <c r="D60" s="1971"/>
      <c r="E60" s="1988"/>
      <c r="F60" s="1891">
        <v>0</v>
      </c>
    </row>
    <row r="61" spans="1:6">
      <c r="A61" s="1865"/>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pane xSplit="1" ySplit="1" topLeftCell="B2" activePane="bottomRight" state="frozen"/>
      <selection pane="bottomRight" activeCell="E17" sqref="E17"/>
      <pageMargins left="0.27" right="0.3" top="0.75" bottom="0.75" header="0.3" footer="0.3"/>
      <pageSetup paperSize="3" scale="60" orientation="landscape" r:id="rId1"/>
    </customSheetView>
    <customSheetView guid="{D9EFFE19-D14B-4C6F-BDF4-FF696F73968D}" showGridLines="0">
      <pane xSplit="1" ySplit="1" topLeftCell="B2" activePane="bottomRight" state="frozen"/>
      <selection pane="bottomRight"/>
      <pageMargins left="0.27" right="0.3" top="0.75" bottom="0.75" header="0.3" footer="0.3"/>
      <pageSetup paperSize="3" scale="60" orientation="landscape" r:id="rId2"/>
    </customSheetView>
  </customSheetViews>
  <pageMargins left="0.27" right="0.3" top="0.75" bottom="0.75" header="0.3" footer="0.3"/>
  <pageSetup paperSize="3" scale="60" orientation="landscape"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7"/>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15.140625" style="2177" customWidth="1"/>
    <col min="17" max="17" width="20.140625" style="2177" customWidth="1"/>
    <col min="18" max="18" width="10.85546875" style="2177" bestFit="1" customWidth="1"/>
    <col min="19" max="16384" width="9.140625" style="2177"/>
  </cols>
  <sheetData>
    <row r="1" spans="1:18" ht="56.25" customHeight="1">
      <c r="D1" s="1831" t="s">
        <v>635</v>
      </c>
      <c r="E1" s="1977" t="s">
        <v>25</v>
      </c>
      <c r="F1" s="1880">
        <v>18230507</v>
      </c>
      <c r="G1" s="1977" t="s">
        <v>5</v>
      </c>
      <c r="M1" s="1831" t="s">
        <v>635</v>
      </c>
      <c r="N1" s="1977" t="s">
        <v>25</v>
      </c>
      <c r="O1" s="1880">
        <v>18230507</v>
      </c>
      <c r="P1" s="1977" t="s">
        <v>5</v>
      </c>
    </row>
    <row r="2" spans="1:18" ht="17.25" customHeight="1" thickBot="1">
      <c r="D2" s="1800"/>
      <c r="E2" s="1614"/>
      <c r="F2" s="1614"/>
      <c r="G2" s="1227"/>
      <c r="H2" s="1576" t="s">
        <v>674</v>
      </c>
      <c r="I2" s="1805"/>
      <c r="J2" s="1805"/>
      <c r="K2" s="1805"/>
      <c r="L2" s="1805"/>
      <c r="M2" s="1805"/>
      <c r="N2" s="1805"/>
      <c r="O2" s="1805"/>
      <c r="P2" s="1805"/>
      <c r="Q2" s="1805"/>
    </row>
    <row r="3" spans="1:18" ht="26.25" thickBot="1">
      <c r="A3" s="1844" t="s">
        <v>635</v>
      </c>
      <c r="B3" s="2802"/>
      <c r="D3" s="1731"/>
      <c r="E3" s="1731"/>
      <c r="F3" s="1731"/>
      <c r="G3" s="1805"/>
      <c r="H3" s="1577" t="s">
        <v>8</v>
      </c>
      <c r="I3" s="1538" t="s">
        <v>9</v>
      </c>
      <c r="J3" s="1538" t="s">
        <v>10</v>
      </c>
      <c r="K3" s="1538" t="s">
        <v>11</v>
      </c>
      <c r="L3" s="2037" t="s">
        <v>504</v>
      </c>
      <c r="M3" s="1538" t="s">
        <v>12</v>
      </c>
      <c r="N3" s="1538" t="s">
        <v>13</v>
      </c>
      <c r="O3" s="1538" t="s">
        <v>14</v>
      </c>
      <c r="P3" s="2037" t="s">
        <v>15</v>
      </c>
      <c r="Q3" s="2037"/>
      <c r="R3" s="1538" t="s">
        <v>16</v>
      </c>
    </row>
    <row r="4" spans="1:18" ht="15.75">
      <c r="A4" s="1976" t="s">
        <v>25</v>
      </c>
      <c r="B4" s="2802"/>
      <c r="C4" s="1761"/>
      <c r="D4" s="1731"/>
      <c r="E4" s="1731"/>
      <c r="F4" s="1731"/>
      <c r="G4" s="1804" t="s">
        <v>668</v>
      </c>
      <c r="H4" s="2003">
        <v>414510</v>
      </c>
      <c r="I4" s="2002">
        <v>0</v>
      </c>
      <c r="J4" s="2002">
        <v>293058</v>
      </c>
      <c r="K4" s="2002">
        <v>0</v>
      </c>
      <c r="L4" s="2002">
        <v>12615</v>
      </c>
      <c r="M4" s="2002">
        <v>15660</v>
      </c>
      <c r="N4" s="2002">
        <v>4350</v>
      </c>
      <c r="O4" s="2002">
        <v>0</v>
      </c>
      <c r="P4" s="2002">
        <v>0</v>
      </c>
      <c r="Q4" s="2002"/>
      <c r="R4" s="2002">
        <v>740193</v>
      </c>
    </row>
    <row r="5" spans="1:18" ht="15.75">
      <c r="A5" s="1880">
        <v>18230507</v>
      </c>
      <c r="B5" s="2802"/>
      <c r="C5" s="1761"/>
      <c r="D5" s="1761"/>
      <c r="E5" s="1761"/>
      <c r="F5" s="1761"/>
      <c r="G5" s="1228">
        <v>2016</v>
      </c>
      <c r="H5" s="1582">
        <f>D15</f>
        <v>382473.576</v>
      </c>
      <c r="I5" s="1549">
        <f>D21</f>
        <v>0</v>
      </c>
      <c r="J5" s="1549">
        <f>D27</f>
        <v>255109.87519200001</v>
      </c>
      <c r="K5" s="1549">
        <f>D34</f>
        <v>0</v>
      </c>
      <c r="L5" s="1549">
        <f>D40</f>
        <v>18096</v>
      </c>
      <c r="M5" s="1549">
        <f>D46</f>
        <v>0</v>
      </c>
      <c r="N5" s="1549">
        <f>D52</f>
        <v>4350</v>
      </c>
      <c r="O5" s="1549">
        <f>D58</f>
        <v>0</v>
      </c>
      <c r="P5" s="1549">
        <v>0</v>
      </c>
      <c r="Q5" s="1549"/>
      <c r="R5" s="1549">
        <f>SUM(H5:P5)</f>
        <v>660029.45119199995</v>
      </c>
    </row>
    <row r="6" spans="1:18" ht="16.5" thickBot="1">
      <c r="A6" s="1976" t="s">
        <v>5</v>
      </c>
      <c r="B6" s="1880"/>
      <c r="C6" s="1714"/>
      <c r="D6" s="1761"/>
      <c r="E6" s="1761"/>
      <c r="F6" s="1761"/>
      <c r="G6" s="1228">
        <v>2017</v>
      </c>
      <c r="H6" s="57">
        <f>E15</f>
        <v>392034.00599999999</v>
      </c>
      <c r="I6" s="1990">
        <f>E21</f>
        <v>0</v>
      </c>
      <c r="J6" s="1989">
        <f>E27</f>
        <v>266583.12408000004</v>
      </c>
      <c r="K6" s="58">
        <f>E34</f>
        <v>0</v>
      </c>
      <c r="L6" s="58">
        <f>E40</f>
        <v>18096</v>
      </c>
      <c r="M6" s="58">
        <f>E46</f>
        <v>0</v>
      </c>
      <c r="N6" s="58">
        <f>E52</f>
        <v>4350</v>
      </c>
      <c r="O6" s="58">
        <f>E58</f>
        <v>0</v>
      </c>
      <c r="P6" s="58">
        <v>0</v>
      </c>
      <c r="Q6" s="58"/>
      <c r="R6" s="58">
        <f>SUM(H6:P6)</f>
        <v>681063.13008000003</v>
      </c>
    </row>
    <row r="7" spans="1:18" s="2194" customFormat="1" ht="16.5" thickBot="1">
      <c r="B7" s="1819"/>
      <c r="C7" s="2195"/>
      <c r="D7" s="2195"/>
      <c r="E7" s="2195"/>
      <c r="F7" s="2195"/>
      <c r="G7" s="1751" t="s">
        <v>23</v>
      </c>
      <c r="H7" s="1564">
        <f>SUM(H5:H6)</f>
        <v>774507.58199999994</v>
      </c>
      <c r="I7" s="1991">
        <f t="shared" ref="I7:P7" si="0">SUM(I5:I6)</f>
        <v>0</v>
      </c>
      <c r="J7" s="1992">
        <f t="shared" si="0"/>
        <v>521692.99927200004</v>
      </c>
      <c r="K7" s="1993">
        <f t="shared" si="0"/>
        <v>0</v>
      </c>
      <c r="L7" s="1991">
        <f t="shared" si="0"/>
        <v>36192</v>
      </c>
      <c r="M7" s="1992">
        <f t="shared" si="0"/>
        <v>0</v>
      </c>
      <c r="N7" s="1991">
        <f t="shared" si="0"/>
        <v>8700</v>
      </c>
      <c r="O7" s="1992">
        <f t="shared" si="0"/>
        <v>0</v>
      </c>
      <c r="P7" s="1993">
        <f t="shared" si="0"/>
        <v>0</v>
      </c>
      <c r="Q7" s="1993"/>
      <c r="R7" s="1991">
        <f>SUM(R5:R6)</f>
        <v>1341092.581272</v>
      </c>
    </row>
    <row r="8" spans="1:18" s="2194" customFormat="1" ht="25.5">
      <c r="B8" s="2802"/>
      <c r="C8" s="2195"/>
      <c r="D8" s="2195"/>
      <c r="E8" s="1731"/>
      <c r="F8" s="1715"/>
      <c r="G8" s="2177"/>
      <c r="H8" s="2177"/>
      <c r="I8" s="2177"/>
      <c r="J8" s="2177"/>
      <c r="K8" s="2177"/>
      <c r="L8" s="2177"/>
      <c r="M8" s="2177"/>
      <c r="O8" s="2177"/>
      <c r="P8" s="2178" t="s">
        <v>20</v>
      </c>
    </row>
    <row r="9" spans="1:18" s="2194" customFormat="1">
      <c r="A9" s="1819"/>
      <c r="B9" s="1819"/>
      <c r="C9" s="2195"/>
      <c r="D9" s="2195"/>
      <c r="E9" s="1731"/>
      <c r="F9" s="1715"/>
      <c r="G9" s="2177"/>
      <c r="H9" s="2177"/>
      <c r="I9" s="2177"/>
      <c r="J9" s="2177"/>
      <c r="K9" s="2177"/>
      <c r="L9" s="2177"/>
      <c r="M9" s="2177"/>
      <c r="O9" s="2177"/>
      <c r="P9" s="2178" t="s">
        <v>21</v>
      </c>
    </row>
    <row r="10" spans="1:18" s="2193" customFormat="1">
      <c r="A10" s="1822"/>
      <c r="B10" s="1822"/>
      <c r="C10" s="1915" t="s">
        <v>329</v>
      </c>
      <c r="D10" s="1915"/>
      <c r="E10" s="1915"/>
      <c r="F10" s="1915"/>
    </row>
    <row r="11" spans="1:18" ht="18" customHeight="1">
      <c r="A11" s="1822"/>
      <c r="B11" s="1822"/>
      <c r="D11" s="2177"/>
      <c r="E11" s="2193"/>
    </row>
    <row r="12" spans="1:18">
      <c r="A12" s="1822"/>
      <c r="B12" s="2178"/>
      <c r="C12" s="1887" t="s">
        <v>314</v>
      </c>
      <c r="D12" s="2157">
        <f>D15+D21+D27+D34+D40+D46+D52+D58</f>
        <v>660029.45119199995</v>
      </c>
      <c r="E12" s="1948">
        <f>E15+E21+E27+E34+E40+E46+E52+E58</f>
        <v>681063.13008000003</v>
      </c>
      <c r="F12" s="2157">
        <f>D12+E12</f>
        <v>1341092.581272</v>
      </c>
    </row>
    <row r="13" spans="1:18" ht="13.5" customHeight="1">
      <c r="A13" s="2178"/>
      <c r="B13" s="1863"/>
      <c r="C13" s="1947"/>
      <c r="D13" s="2177"/>
      <c r="E13" s="1787"/>
      <c r="G13" s="1802"/>
      <c r="H13" s="1802"/>
    </row>
    <row r="14" spans="1:18" s="2194" customFormat="1" ht="13.5" customHeight="1">
      <c r="A14" s="1863"/>
      <c r="B14" s="1863"/>
      <c r="C14" s="1888" t="s">
        <v>45</v>
      </c>
      <c r="D14" s="1969">
        <v>2016</v>
      </c>
      <c r="E14" s="1970">
        <v>2017</v>
      </c>
      <c r="F14" s="1950" t="s">
        <v>23</v>
      </c>
      <c r="G14" s="1796"/>
      <c r="H14" s="1796"/>
    </row>
    <row r="15" spans="1:18" s="2194" customFormat="1" ht="13.5" customHeight="1">
      <c r="A15" s="1863"/>
      <c r="B15" s="1886" t="s">
        <v>312</v>
      </c>
      <c r="C15" s="2106" t="s">
        <v>46</v>
      </c>
      <c r="D15" s="2158">
        <f>SUM(D16:D19)</f>
        <v>382473.576</v>
      </c>
      <c r="E15" s="1926">
        <f>SUM(E16:E19)</f>
        <v>392034.00599999999</v>
      </c>
      <c r="F15" s="2157">
        <f t="shared" ref="F15:F21" si="1">SUM(D15:E15)</f>
        <v>774507.58199999994</v>
      </c>
      <c r="G15" s="1796"/>
      <c r="H15" s="1796"/>
    </row>
    <row r="16" spans="1:18" ht="13.5" customHeight="1">
      <c r="A16" s="2178"/>
      <c r="B16" s="2610">
        <v>5.22</v>
      </c>
      <c r="C16" s="2197" t="s">
        <v>1565</v>
      </c>
      <c r="D16" s="2201">
        <f>73270.8*5.22</f>
        <v>382473.576</v>
      </c>
      <c r="E16" s="2200">
        <f>75102.3*5.22</f>
        <v>392034.00599999999</v>
      </c>
      <c r="F16" s="1879">
        <f t="shared" si="1"/>
        <v>774507.58199999994</v>
      </c>
    </row>
    <row r="17" spans="1:7">
      <c r="A17" s="2178"/>
      <c r="B17" s="2610"/>
      <c r="C17" s="2197"/>
      <c r="D17" s="2199"/>
      <c r="E17" s="2198"/>
      <c r="F17" s="2191">
        <f t="shared" si="1"/>
        <v>0</v>
      </c>
    </row>
    <row r="18" spans="1:7">
      <c r="A18" s="2178"/>
      <c r="B18" s="2610"/>
      <c r="C18" s="2197"/>
      <c r="D18" s="2199"/>
      <c r="E18" s="2198"/>
      <c r="F18" s="2191">
        <f t="shared" si="1"/>
        <v>0</v>
      </c>
    </row>
    <row r="19" spans="1:7">
      <c r="A19" s="2178"/>
      <c r="B19" s="2610"/>
      <c r="C19" s="2197"/>
      <c r="D19" s="2242"/>
      <c r="E19" s="2079"/>
      <c r="F19" s="2191">
        <f t="shared" si="1"/>
        <v>0</v>
      </c>
    </row>
    <row r="20" spans="1:7">
      <c r="A20" s="2178"/>
      <c r="B20" s="1908">
        <f>SUM(B16:B19)</f>
        <v>5.22</v>
      </c>
      <c r="C20" s="1952"/>
      <c r="D20" s="1954"/>
      <c r="E20" s="1955"/>
      <c r="F20" s="1957"/>
    </row>
    <row r="21" spans="1:7">
      <c r="A21" s="2178"/>
      <c r="B21" s="2178"/>
      <c r="C21" s="2106" t="s">
        <v>47</v>
      </c>
      <c r="D21" s="2158">
        <v>0</v>
      </c>
      <c r="E21" s="1926">
        <v>0</v>
      </c>
      <c r="F21" s="2157">
        <f t="shared" si="1"/>
        <v>0</v>
      </c>
      <c r="G21" s="1797" t="s">
        <v>7</v>
      </c>
    </row>
    <row r="22" spans="1:7">
      <c r="A22" s="2178"/>
      <c r="B22" s="2178"/>
      <c r="C22" s="2197"/>
      <c r="D22" s="2201"/>
      <c r="E22" s="2200"/>
      <c r="F22" s="1879">
        <v>0</v>
      </c>
      <c r="G22" s="1798"/>
    </row>
    <row r="23" spans="1:7">
      <c r="A23" s="2178"/>
      <c r="B23" s="2178"/>
      <c r="C23" s="2197"/>
      <c r="D23" s="2053"/>
      <c r="E23" s="2054"/>
      <c r="F23" s="2191">
        <v>0</v>
      </c>
    </row>
    <row r="24" spans="1:7">
      <c r="A24" s="2178"/>
      <c r="B24" s="1863"/>
      <c r="C24" s="2197"/>
      <c r="D24" s="2055"/>
      <c r="E24" s="2056"/>
      <c r="F24" s="2191">
        <v>0</v>
      </c>
    </row>
    <row r="25" spans="1:7" s="2194" customFormat="1">
      <c r="A25" s="1863"/>
      <c r="B25" s="2178"/>
      <c r="C25" s="2197"/>
      <c r="D25" s="2057"/>
      <c r="E25" s="2054"/>
      <c r="F25" s="2191">
        <v>0</v>
      </c>
    </row>
    <row r="26" spans="1:7">
      <c r="A26" s="2178"/>
      <c r="B26" s="1863"/>
      <c r="C26" s="1877"/>
      <c r="D26" s="1892"/>
      <c r="E26" s="1884"/>
      <c r="F26" s="1892"/>
    </row>
    <row r="27" spans="1:7" s="2194" customFormat="1">
      <c r="A27" s="1863"/>
      <c r="B27" s="2178"/>
      <c r="C27" s="2106" t="s">
        <v>48</v>
      </c>
      <c r="D27" s="2158">
        <f>SUM(D29:D32)</f>
        <v>255109.87519200001</v>
      </c>
      <c r="E27" s="1926">
        <f>SUM(E29:E32)</f>
        <v>266583.12408000004</v>
      </c>
      <c r="F27" s="2157">
        <f>SUM(F29:F32)</f>
        <v>521692.99927200004</v>
      </c>
    </row>
    <row r="28" spans="1:7">
      <c r="A28" s="2178"/>
      <c r="B28" s="2178"/>
      <c r="C28" s="1909" t="s">
        <v>315</v>
      </c>
      <c r="D28" s="1912">
        <v>0.66700000000000004</v>
      </c>
      <c r="E28" s="1913">
        <v>0.68</v>
      </c>
      <c r="F28" s="1949"/>
    </row>
    <row r="29" spans="1:7">
      <c r="A29" s="2178"/>
      <c r="B29" s="2178"/>
      <c r="C29" s="2197" t="s">
        <v>778</v>
      </c>
      <c r="D29" s="2202">
        <f>D15*D28</f>
        <v>255109.87519200001</v>
      </c>
      <c r="E29" s="2163">
        <f>E15*E28</f>
        <v>266583.12408000004</v>
      </c>
      <c r="F29" s="2191">
        <f>SUM(D29:E29)</f>
        <v>521692.99927200004</v>
      </c>
    </row>
    <row r="30" spans="1:7">
      <c r="A30" s="2178"/>
      <c r="B30" s="2178"/>
      <c r="C30" s="2197" t="s">
        <v>779</v>
      </c>
      <c r="D30" s="1973">
        <f>D21*D28</f>
        <v>0</v>
      </c>
      <c r="E30" s="2163">
        <f>E21*E28</f>
        <v>0</v>
      </c>
      <c r="F30" s="2191">
        <v>0</v>
      </c>
    </row>
    <row r="31" spans="1:7">
      <c r="A31" s="2178"/>
      <c r="B31" s="2178"/>
      <c r="C31" s="1901"/>
      <c r="D31" s="1898"/>
      <c r="E31" s="1897"/>
      <c r="F31" s="1889"/>
    </row>
    <row r="32" spans="1:7">
      <c r="A32" s="2178"/>
      <c r="B32" s="2178"/>
      <c r="C32" s="1901"/>
      <c r="D32" s="1896"/>
      <c r="E32" s="1899"/>
      <c r="F32" s="1890"/>
    </row>
    <row r="33" spans="1:7">
      <c r="A33" s="2178"/>
      <c r="B33" s="1801"/>
      <c r="C33" s="1952"/>
      <c r="D33" s="1958"/>
      <c r="E33" s="1955"/>
      <c r="F33" s="1958"/>
    </row>
    <row r="34" spans="1:7">
      <c r="A34" s="1844" t="s">
        <v>635</v>
      </c>
      <c r="B34" s="2178"/>
      <c r="C34" s="2106" t="s">
        <v>49</v>
      </c>
      <c r="D34" s="2158">
        <v>0</v>
      </c>
      <c r="E34" s="1926">
        <v>0</v>
      </c>
      <c r="F34" s="2157">
        <f>SUM(D34:E34)</f>
        <v>0</v>
      </c>
      <c r="G34" s="1799"/>
    </row>
    <row r="35" spans="1:7">
      <c r="A35" s="1976" t="s">
        <v>25</v>
      </c>
      <c r="B35" s="1863"/>
      <c r="C35" s="2197"/>
      <c r="D35" s="2202"/>
      <c r="E35" s="2203"/>
      <c r="F35" s="2191">
        <v>0</v>
      </c>
    </row>
    <row r="36" spans="1:7" s="2194" customFormat="1">
      <c r="A36" s="1880">
        <v>18230507</v>
      </c>
      <c r="B36" s="2178"/>
      <c r="C36" s="2197"/>
      <c r="D36" s="2202"/>
      <c r="E36" s="2203"/>
      <c r="F36" s="2191">
        <v>0</v>
      </c>
    </row>
    <row r="37" spans="1:7">
      <c r="A37" s="1976" t="s">
        <v>5</v>
      </c>
      <c r="B37" s="2178"/>
      <c r="C37" s="2197"/>
      <c r="D37" s="2202"/>
      <c r="E37" s="2203"/>
      <c r="F37" s="2191">
        <v>0</v>
      </c>
    </row>
    <row r="38" spans="1:7">
      <c r="A38" s="2178"/>
      <c r="B38" s="2178"/>
      <c r="C38" s="2197"/>
      <c r="D38" s="2202"/>
      <c r="E38" s="2203"/>
      <c r="F38" s="2191">
        <v>0</v>
      </c>
    </row>
    <row r="39" spans="1:7">
      <c r="A39" s="2178"/>
      <c r="B39" s="2178"/>
      <c r="C39" s="1952"/>
      <c r="D39" s="1958"/>
      <c r="E39" s="1955"/>
      <c r="F39" s="1958"/>
    </row>
    <row r="40" spans="1:7">
      <c r="A40" s="2178"/>
      <c r="B40" s="2178"/>
      <c r="C40" s="2106" t="s">
        <v>506</v>
      </c>
      <c r="D40" s="2158">
        <f>SUM(D41:D44)</f>
        <v>18096</v>
      </c>
      <c r="E40" s="1926">
        <f>SUM(E41:E44)</f>
        <v>18096</v>
      </c>
      <c r="F40" s="2157">
        <f>SUM(D40:E40)</f>
        <v>36192</v>
      </c>
    </row>
    <row r="41" spans="1:7">
      <c r="A41" s="2178"/>
      <c r="B41" s="2178"/>
      <c r="C41" s="2197" t="s">
        <v>1555</v>
      </c>
      <c r="D41" s="2202">
        <f>16000*0.87</f>
        <v>13920</v>
      </c>
      <c r="E41" s="2203">
        <f>16000*0.87</f>
        <v>13920</v>
      </c>
      <c r="F41" s="2191">
        <f>SUM(D41:E41)</f>
        <v>27840</v>
      </c>
    </row>
    <row r="42" spans="1:7">
      <c r="A42" s="2178"/>
      <c r="B42" s="2178"/>
      <c r="C42" s="2197" t="s">
        <v>1566</v>
      </c>
      <c r="D42" s="2202">
        <f>4800*0.87</f>
        <v>4176</v>
      </c>
      <c r="E42" s="2203">
        <f>4800*0.87</f>
        <v>4176</v>
      </c>
      <c r="F42" s="2191">
        <v>0</v>
      </c>
    </row>
    <row r="43" spans="1:7">
      <c r="A43" s="2178"/>
      <c r="B43" s="2178"/>
      <c r="C43" s="2197"/>
      <c r="D43" s="2202"/>
      <c r="E43" s="2203"/>
      <c r="F43" s="2191">
        <v>0</v>
      </c>
    </row>
    <row r="44" spans="1:7">
      <c r="A44" s="2178"/>
      <c r="B44" s="2178"/>
      <c r="C44" s="2197"/>
      <c r="D44" s="2202"/>
      <c r="E44" s="2203"/>
      <c r="F44" s="2191">
        <v>0</v>
      </c>
    </row>
    <row r="45" spans="1:7">
      <c r="A45" s="2178"/>
      <c r="B45" s="2178"/>
      <c r="C45" s="1952"/>
      <c r="D45" s="1958"/>
      <c r="E45" s="1955"/>
      <c r="F45" s="1958"/>
    </row>
    <row r="46" spans="1:7">
      <c r="A46" s="2178"/>
      <c r="B46" s="2178"/>
      <c r="C46" s="2106" t="s">
        <v>50</v>
      </c>
      <c r="D46" s="2158">
        <f>SUM(D47:D50)</f>
        <v>0</v>
      </c>
      <c r="E46" s="1926">
        <f>SUM(E47:E50)</f>
        <v>0</v>
      </c>
      <c r="F46" s="2157">
        <f>SUM(D46:E46)</f>
        <v>0</v>
      </c>
    </row>
    <row r="47" spans="1:7">
      <c r="A47" s="2178"/>
      <c r="B47" s="2178"/>
      <c r="C47" s="2197"/>
      <c r="D47" s="2202"/>
      <c r="E47" s="2203"/>
      <c r="F47" s="2191">
        <f>SUM(D47:E47)</f>
        <v>0</v>
      </c>
    </row>
    <row r="48" spans="1:7">
      <c r="A48" s="2178"/>
      <c r="B48" s="2178"/>
      <c r="C48" s="2197"/>
      <c r="D48" s="2202"/>
      <c r="E48" s="2203"/>
      <c r="F48" s="2191">
        <f>SUM(D48:E48)</f>
        <v>0</v>
      </c>
    </row>
    <row r="49" spans="1:6">
      <c r="A49" s="2178"/>
      <c r="B49" s="2178"/>
      <c r="C49" s="2197"/>
      <c r="D49" s="2202"/>
      <c r="E49" s="2203"/>
      <c r="F49" s="2191">
        <v>0</v>
      </c>
    </row>
    <row r="50" spans="1:6">
      <c r="A50" s="2178"/>
      <c r="B50" s="2178"/>
      <c r="C50" s="2197"/>
      <c r="D50" s="2202"/>
      <c r="E50" s="2203"/>
      <c r="F50" s="2191">
        <v>0</v>
      </c>
    </row>
    <row r="51" spans="1:6">
      <c r="A51" s="2178"/>
      <c r="B51" s="2178"/>
      <c r="C51" s="1952"/>
      <c r="D51" s="1958"/>
      <c r="E51" s="1955"/>
      <c r="F51" s="1958"/>
    </row>
    <row r="52" spans="1:6">
      <c r="A52" s="2178"/>
      <c r="B52" s="2178"/>
      <c r="C52" s="2106" t="s">
        <v>51</v>
      </c>
      <c r="D52" s="2158">
        <f>SUM(D53:D56)</f>
        <v>4350</v>
      </c>
      <c r="E52" s="1926">
        <f>SUM(E53:E56)</f>
        <v>4350</v>
      </c>
      <c r="F52" s="2157">
        <f>SUM(D52:E52)</f>
        <v>8700</v>
      </c>
    </row>
    <row r="53" spans="1:6">
      <c r="A53" s="2178"/>
      <c r="B53" s="2178"/>
      <c r="C53" s="2197" t="s">
        <v>883</v>
      </c>
      <c r="D53" s="2202">
        <f>5000*0.87</f>
        <v>4350</v>
      </c>
      <c r="E53" s="2163">
        <f>5000*0.87</f>
        <v>4350</v>
      </c>
      <c r="F53" s="2191">
        <f>SUM(D53:E53)</f>
        <v>8700</v>
      </c>
    </row>
    <row r="54" spans="1:6">
      <c r="A54" s="2178"/>
      <c r="B54" s="2178"/>
      <c r="C54" s="2197"/>
      <c r="D54" s="2202"/>
      <c r="E54" s="2163"/>
      <c r="F54" s="2191">
        <f>SUM(D54:E54)</f>
        <v>0</v>
      </c>
    </row>
    <row r="55" spans="1:6">
      <c r="A55" s="2178"/>
      <c r="B55" s="2178"/>
      <c r="C55" s="2197"/>
      <c r="D55" s="2202"/>
      <c r="E55" s="2163"/>
      <c r="F55" s="2191">
        <v>0</v>
      </c>
    </row>
    <row r="56" spans="1:6">
      <c r="A56" s="2178"/>
      <c r="B56" s="2178"/>
      <c r="C56" s="2197"/>
      <c r="D56" s="2202"/>
      <c r="E56" s="2163"/>
      <c r="F56" s="2191">
        <v>0</v>
      </c>
    </row>
    <row r="57" spans="1:6">
      <c r="A57" s="2178"/>
      <c r="B57" s="2178"/>
      <c r="C57" s="1952"/>
      <c r="D57" s="1958"/>
      <c r="E57" s="1955"/>
      <c r="F57" s="1958"/>
    </row>
    <row r="58" spans="1:6">
      <c r="A58" s="2178"/>
      <c r="B58" s="2178"/>
      <c r="C58" s="2106" t="s">
        <v>52</v>
      </c>
      <c r="D58" s="2158">
        <f>SUM(D59:D62)</f>
        <v>0</v>
      </c>
      <c r="E58" s="1926">
        <f>SUM(E59:E62)</f>
        <v>0</v>
      </c>
      <c r="F58" s="2157">
        <f>SUM(D58:E58)</f>
        <v>0</v>
      </c>
    </row>
    <row r="59" spans="1:6">
      <c r="A59" s="2178"/>
      <c r="B59" s="2178"/>
      <c r="C59" s="2197"/>
      <c r="D59" s="2202"/>
      <c r="E59" s="2203"/>
      <c r="F59" s="2191">
        <f>SUM(D59:E59)</f>
        <v>0</v>
      </c>
    </row>
    <row r="60" spans="1:6">
      <c r="A60" s="2178"/>
      <c r="B60" s="2178"/>
      <c r="C60" s="2197"/>
      <c r="D60" s="2202"/>
      <c r="E60" s="2203"/>
      <c r="F60" s="2191">
        <v>0</v>
      </c>
    </row>
    <row r="61" spans="1:6">
      <c r="A61" s="2178"/>
      <c r="C61" s="2197"/>
      <c r="D61" s="2202"/>
      <c r="E61" s="2203"/>
      <c r="F61" s="1890">
        <v>0</v>
      </c>
    </row>
    <row r="62" spans="1:6">
      <c r="C62" s="2197"/>
      <c r="D62" s="2202"/>
      <c r="E62" s="2203"/>
      <c r="F62" s="2191">
        <v>0</v>
      </c>
    </row>
    <row r="63" spans="1:6">
      <c r="C63" s="1952"/>
      <c r="D63" s="1958"/>
      <c r="E63" s="1955"/>
      <c r="F63" s="1958"/>
    </row>
    <row r="64" spans="1:6">
      <c r="C64" s="2106"/>
      <c r="D64" s="2158"/>
      <c r="E64" s="1926"/>
      <c r="F64" s="2157"/>
    </row>
    <row r="65" spans="3:6">
      <c r="C65" s="1967"/>
      <c r="D65" s="1961"/>
      <c r="E65" s="1962"/>
      <c r="F65" s="1966"/>
    </row>
    <row r="66" spans="3:6">
      <c r="C66" s="1968"/>
      <c r="D66" s="1963"/>
      <c r="E66" s="1964"/>
      <c r="F66" s="1965"/>
    </row>
    <row r="67" spans="3:6">
      <c r="C67" s="1959"/>
      <c r="D67" s="2202"/>
      <c r="E67" s="2202"/>
      <c r="F67" s="1956"/>
    </row>
  </sheetData>
  <customSheetViews>
    <customSheetView guid="{074EB09C-6289-46D7-9513-012B68BCA7BF}" showGridLines="0">
      <pane xSplit="1" ySplit="1" topLeftCell="B2" activePane="bottomRight" state="frozen"/>
      <selection pane="bottomRight" activeCell="E17" sqref="E17"/>
      <pageMargins left="0.7" right="0.7" top="0.75" bottom="0.75" header="0.3" footer="0.3"/>
    </customSheetView>
    <customSheetView guid="{D9EFFE19-D14B-4C6F-BDF4-FF696F73968D}" showGridLines="0">
      <pane xSplit="1" ySplit="1" topLeftCell="B2" activePane="bottomRight" state="frozen"/>
      <selection pane="bottomRight" activeCell="I26" sqref="I26"/>
      <pageMargins left="0.7" right="0.7" top="0.75" bottom="0.75" header="0.3" footer="0.3"/>
    </customSheetView>
  </customSheetView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1A0C7"/>
    <pageSetUpPr fitToPage="1"/>
  </sheetPr>
  <dimension ref="A1:S67"/>
  <sheetViews>
    <sheetView showGridLines="0"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RowHeight="12.75"/>
  <cols>
    <col min="1" max="1" width="18.5703125" style="650" customWidth="1"/>
    <col min="2" max="2" width="16.140625" style="1866" customWidth="1"/>
    <col min="3" max="3" width="30.7109375" style="650" customWidth="1"/>
    <col min="4" max="5" width="19.28515625" style="650" customWidth="1"/>
    <col min="6" max="6" width="23.7109375" style="650" customWidth="1"/>
    <col min="7" max="7" width="19.7109375" style="650" customWidth="1"/>
    <col min="8" max="11" width="23.7109375" style="650" customWidth="1"/>
    <col min="12" max="12" width="19.140625" style="650" customWidth="1"/>
    <col min="13" max="13" width="14.28515625" style="650" customWidth="1"/>
    <col min="14" max="14" width="18.85546875" style="650" customWidth="1"/>
    <col min="15" max="15" width="12.28515625" style="650" customWidth="1"/>
    <col min="16" max="16" width="18.28515625" style="650" customWidth="1"/>
    <col min="17" max="17" width="11.140625" style="650" customWidth="1"/>
    <col min="18" max="250" width="9.140625" style="650"/>
    <col min="251" max="251" width="36.7109375" style="650" customWidth="1"/>
    <col min="252" max="253" width="23.7109375" style="650" customWidth="1"/>
    <col min="254" max="254" width="34.140625" style="650" customWidth="1"/>
    <col min="255" max="260" width="23.7109375" style="650" customWidth="1"/>
    <col min="261" max="261" width="19.140625" style="650" customWidth="1"/>
    <col min="262" max="262" width="14.28515625" style="650" customWidth="1"/>
    <col min="263" max="263" width="23.7109375" style="650" customWidth="1"/>
    <col min="264" max="264" width="12.28515625" style="650" customWidth="1"/>
    <col min="265" max="265" width="18.28515625" style="650" customWidth="1"/>
    <col min="266" max="506" width="9.140625" style="650"/>
    <col min="507" max="507" width="36.7109375" style="650" customWidth="1"/>
    <col min="508" max="509" width="23.7109375" style="650" customWidth="1"/>
    <col min="510" max="510" width="34.140625" style="650" customWidth="1"/>
    <col min="511" max="516" width="23.7109375" style="650" customWidth="1"/>
    <col min="517" max="517" width="19.140625" style="650" customWidth="1"/>
    <col min="518" max="518" width="14.28515625" style="650" customWidth="1"/>
    <col min="519" max="519" width="23.7109375" style="650" customWidth="1"/>
    <col min="520" max="520" width="12.28515625" style="650" customWidth="1"/>
    <col min="521" max="521" width="18.28515625" style="650" customWidth="1"/>
    <col min="522" max="762" width="9.140625" style="650"/>
    <col min="763" max="763" width="36.7109375" style="650" customWidth="1"/>
    <col min="764" max="765" width="23.7109375" style="650" customWidth="1"/>
    <col min="766" max="766" width="34.140625" style="650" customWidth="1"/>
    <col min="767" max="772" width="23.7109375" style="650" customWidth="1"/>
    <col min="773" max="773" width="19.140625" style="650" customWidth="1"/>
    <col min="774" max="774" width="14.28515625" style="650" customWidth="1"/>
    <col min="775" max="775" width="23.7109375" style="650" customWidth="1"/>
    <col min="776" max="776" width="12.28515625" style="650" customWidth="1"/>
    <col min="777" max="777" width="18.28515625" style="650" customWidth="1"/>
    <col min="778" max="1018" width="9.140625" style="650"/>
    <col min="1019" max="1019" width="36.7109375" style="650" customWidth="1"/>
    <col min="1020" max="1021" width="23.7109375" style="650" customWidth="1"/>
    <col min="1022" max="1022" width="34.140625" style="650" customWidth="1"/>
    <col min="1023" max="1028" width="23.7109375" style="650" customWidth="1"/>
    <col min="1029" max="1029" width="19.140625" style="650" customWidth="1"/>
    <col min="1030" max="1030" width="14.28515625" style="650" customWidth="1"/>
    <col min="1031" max="1031" width="23.7109375" style="650" customWidth="1"/>
    <col min="1032" max="1032" width="12.28515625" style="650" customWidth="1"/>
    <col min="1033" max="1033" width="18.28515625" style="650" customWidth="1"/>
    <col min="1034" max="1274" width="9.140625" style="650"/>
    <col min="1275" max="1275" width="36.7109375" style="650" customWidth="1"/>
    <col min="1276" max="1277" width="23.7109375" style="650" customWidth="1"/>
    <col min="1278" max="1278" width="34.140625" style="650" customWidth="1"/>
    <col min="1279" max="1284" width="23.7109375" style="650" customWidth="1"/>
    <col min="1285" max="1285" width="19.140625" style="650" customWidth="1"/>
    <col min="1286" max="1286" width="14.28515625" style="650" customWidth="1"/>
    <col min="1287" max="1287" width="23.7109375" style="650" customWidth="1"/>
    <col min="1288" max="1288" width="12.28515625" style="650" customWidth="1"/>
    <col min="1289" max="1289" width="18.28515625" style="650" customWidth="1"/>
    <col min="1290" max="1530" width="9.140625" style="650"/>
    <col min="1531" max="1531" width="36.7109375" style="650" customWidth="1"/>
    <col min="1532" max="1533" width="23.7109375" style="650" customWidth="1"/>
    <col min="1534" max="1534" width="34.140625" style="650" customWidth="1"/>
    <col min="1535" max="1540" width="23.7109375" style="650" customWidth="1"/>
    <col min="1541" max="1541" width="19.140625" style="650" customWidth="1"/>
    <col min="1542" max="1542" width="14.28515625" style="650" customWidth="1"/>
    <col min="1543" max="1543" width="23.7109375" style="650" customWidth="1"/>
    <col min="1544" max="1544" width="12.28515625" style="650" customWidth="1"/>
    <col min="1545" max="1545" width="18.28515625" style="650" customWidth="1"/>
    <col min="1546" max="1786" width="9.140625" style="650"/>
    <col min="1787" max="1787" width="36.7109375" style="650" customWidth="1"/>
    <col min="1788" max="1789" width="23.7109375" style="650" customWidth="1"/>
    <col min="1790" max="1790" width="34.140625" style="650" customWidth="1"/>
    <col min="1791" max="1796" width="23.7109375" style="650" customWidth="1"/>
    <col min="1797" max="1797" width="19.140625" style="650" customWidth="1"/>
    <col min="1798" max="1798" width="14.28515625" style="650" customWidth="1"/>
    <col min="1799" max="1799" width="23.7109375" style="650" customWidth="1"/>
    <col min="1800" max="1800" width="12.28515625" style="650" customWidth="1"/>
    <col min="1801" max="1801" width="18.28515625" style="650" customWidth="1"/>
    <col min="1802" max="2042" width="9.140625" style="650"/>
    <col min="2043" max="2043" width="36.7109375" style="650" customWidth="1"/>
    <col min="2044" max="2045" width="23.7109375" style="650" customWidth="1"/>
    <col min="2046" max="2046" width="34.140625" style="650" customWidth="1"/>
    <col min="2047" max="2052" width="23.7109375" style="650" customWidth="1"/>
    <col min="2053" max="2053" width="19.140625" style="650" customWidth="1"/>
    <col min="2054" max="2054" width="14.28515625" style="650" customWidth="1"/>
    <col min="2055" max="2055" width="23.7109375" style="650" customWidth="1"/>
    <col min="2056" max="2056" width="12.28515625" style="650" customWidth="1"/>
    <col min="2057" max="2057" width="18.28515625" style="650" customWidth="1"/>
    <col min="2058" max="2298" width="9.140625" style="650"/>
    <col min="2299" max="2299" width="36.7109375" style="650" customWidth="1"/>
    <col min="2300" max="2301" width="23.7109375" style="650" customWidth="1"/>
    <col min="2302" max="2302" width="34.140625" style="650" customWidth="1"/>
    <col min="2303" max="2308" width="23.7109375" style="650" customWidth="1"/>
    <col min="2309" max="2309" width="19.140625" style="650" customWidth="1"/>
    <col min="2310" max="2310" width="14.28515625" style="650" customWidth="1"/>
    <col min="2311" max="2311" width="23.7109375" style="650" customWidth="1"/>
    <col min="2312" max="2312" width="12.28515625" style="650" customWidth="1"/>
    <col min="2313" max="2313" width="18.28515625" style="650" customWidth="1"/>
    <col min="2314" max="2554" width="9.140625" style="650"/>
    <col min="2555" max="2555" width="36.7109375" style="650" customWidth="1"/>
    <col min="2556" max="2557" width="23.7109375" style="650" customWidth="1"/>
    <col min="2558" max="2558" width="34.140625" style="650" customWidth="1"/>
    <col min="2559" max="2564" width="23.7109375" style="650" customWidth="1"/>
    <col min="2565" max="2565" width="19.140625" style="650" customWidth="1"/>
    <col min="2566" max="2566" width="14.28515625" style="650" customWidth="1"/>
    <col min="2567" max="2567" width="23.7109375" style="650" customWidth="1"/>
    <col min="2568" max="2568" width="12.28515625" style="650" customWidth="1"/>
    <col min="2569" max="2569" width="18.28515625" style="650" customWidth="1"/>
    <col min="2570" max="2810" width="9.140625" style="650"/>
    <col min="2811" max="2811" width="36.7109375" style="650" customWidth="1"/>
    <col min="2812" max="2813" width="23.7109375" style="650" customWidth="1"/>
    <col min="2814" max="2814" width="34.140625" style="650" customWidth="1"/>
    <col min="2815" max="2820" width="23.7109375" style="650" customWidth="1"/>
    <col min="2821" max="2821" width="19.140625" style="650" customWidth="1"/>
    <col min="2822" max="2822" width="14.28515625" style="650" customWidth="1"/>
    <col min="2823" max="2823" width="23.7109375" style="650" customWidth="1"/>
    <col min="2824" max="2824" width="12.28515625" style="650" customWidth="1"/>
    <col min="2825" max="2825" width="18.28515625" style="650" customWidth="1"/>
    <col min="2826" max="3066" width="9.140625" style="650"/>
    <col min="3067" max="3067" width="36.7109375" style="650" customWidth="1"/>
    <col min="3068" max="3069" width="23.7109375" style="650" customWidth="1"/>
    <col min="3070" max="3070" width="34.140625" style="650" customWidth="1"/>
    <col min="3071" max="3076" width="23.7109375" style="650" customWidth="1"/>
    <col min="3077" max="3077" width="19.140625" style="650" customWidth="1"/>
    <col min="3078" max="3078" width="14.28515625" style="650" customWidth="1"/>
    <col min="3079" max="3079" width="23.7109375" style="650" customWidth="1"/>
    <col min="3080" max="3080" width="12.28515625" style="650" customWidth="1"/>
    <col min="3081" max="3081" width="18.28515625" style="650" customWidth="1"/>
    <col min="3082" max="3322" width="9.140625" style="650"/>
    <col min="3323" max="3323" width="36.7109375" style="650" customWidth="1"/>
    <col min="3324" max="3325" width="23.7109375" style="650" customWidth="1"/>
    <col min="3326" max="3326" width="34.140625" style="650" customWidth="1"/>
    <col min="3327" max="3332" width="23.7109375" style="650" customWidth="1"/>
    <col min="3333" max="3333" width="19.140625" style="650" customWidth="1"/>
    <col min="3334" max="3334" width="14.28515625" style="650" customWidth="1"/>
    <col min="3335" max="3335" width="23.7109375" style="650" customWidth="1"/>
    <col min="3336" max="3336" width="12.28515625" style="650" customWidth="1"/>
    <col min="3337" max="3337" width="18.28515625" style="650" customWidth="1"/>
    <col min="3338" max="3578" width="9.140625" style="650"/>
    <col min="3579" max="3579" width="36.7109375" style="650" customWidth="1"/>
    <col min="3580" max="3581" width="23.7109375" style="650" customWidth="1"/>
    <col min="3582" max="3582" width="34.140625" style="650" customWidth="1"/>
    <col min="3583" max="3588" width="23.7109375" style="650" customWidth="1"/>
    <col min="3589" max="3589" width="19.140625" style="650" customWidth="1"/>
    <col min="3590" max="3590" width="14.28515625" style="650" customWidth="1"/>
    <col min="3591" max="3591" width="23.7109375" style="650" customWidth="1"/>
    <col min="3592" max="3592" width="12.28515625" style="650" customWidth="1"/>
    <col min="3593" max="3593" width="18.28515625" style="650" customWidth="1"/>
    <col min="3594" max="3834" width="9.140625" style="650"/>
    <col min="3835" max="3835" width="36.7109375" style="650" customWidth="1"/>
    <col min="3836" max="3837" width="23.7109375" style="650" customWidth="1"/>
    <col min="3838" max="3838" width="34.140625" style="650" customWidth="1"/>
    <col min="3839" max="3844" width="23.7109375" style="650" customWidth="1"/>
    <col min="3845" max="3845" width="19.140625" style="650" customWidth="1"/>
    <col min="3846" max="3846" width="14.28515625" style="650" customWidth="1"/>
    <col min="3847" max="3847" width="23.7109375" style="650" customWidth="1"/>
    <col min="3848" max="3848" width="12.28515625" style="650" customWidth="1"/>
    <col min="3849" max="3849" width="18.28515625" style="650" customWidth="1"/>
    <col min="3850" max="4090" width="9.140625" style="650"/>
    <col min="4091" max="4091" width="36.7109375" style="650" customWidth="1"/>
    <col min="4092" max="4093" width="23.7109375" style="650" customWidth="1"/>
    <col min="4094" max="4094" width="34.140625" style="650" customWidth="1"/>
    <col min="4095" max="4100" width="23.7109375" style="650" customWidth="1"/>
    <col min="4101" max="4101" width="19.140625" style="650" customWidth="1"/>
    <col min="4102" max="4102" width="14.28515625" style="650" customWidth="1"/>
    <col min="4103" max="4103" width="23.7109375" style="650" customWidth="1"/>
    <col min="4104" max="4104" width="12.28515625" style="650" customWidth="1"/>
    <col min="4105" max="4105" width="18.28515625" style="650" customWidth="1"/>
    <col min="4106" max="4346" width="9.140625" style="650"/>
    <col min="4347" max="4347" width="36.7109375" style="650" customWidth="1"/>
    <col min="4348" max="4349" width="23.7109375" style="650" customWidth="1"/>
    <col min="4350" max="4350" width="34.140625" style="650" customWidth="1"/>
    <col min="4351" max="4356" width="23.7109375" style="650" customWidth="1"/>
    <col min="4357" max="4357" width="19.140625" style="650" customWidth="1"/>
    <col min="4358" max="4358" width="14.28515625" style="650" customWidth="1"/>
    <col min="4359" max="4359" width="23.7109375" style="650" customWidth="1"/>
    <col min="4360" max="4360" width="12.28515625" style="650" customWidth="1"/>
    <col min="4361" max="4361" width="18.28515625" style="650" customWidth="1"/>
    <col min="4362" max="4602" width="9.140625" style="650"/>
    <col min="4603" max="4603" width="36.7109375" style="650" customWidth="1"/>
    <col min="4604" max="4605" width="23.7109375" style="650" customWidth="1"/>
    <col min="4606" max="4606" width="34.140625" style="650" customWidth="1"/>
    <col min="4607" max="4612" width="23.7109375" style="650" customWidth="1"/>
    <col min="4613" max="4613" width="19.140625" style="650" customWidth="1"/>
    <col min="4614" max="4614" width="14.28515625" style="650" customWidth="1"/>
    <col min="4615" max="4615" width="23.7109375" style="650" customWidth="1"/>
    <col min="4616" max="4616" width="12.28515625" style="650" customWidth="1"/>
    <col min="4617" max="4617" width="18.28515625" style="650" customWidth="1"/>
    <col min="4618" max="4858" width="9.140625" style="650"/>
    <col min="4859" max="4859" width="36.7109375" style="650" customWidth="1"/>
    <col min="4860" max="4861" width="23.7109375" style="650" customWidth="1"/>
    <col min="4862" max="4862" width="34.140625" style="650" customWidth="1"/>
    <col min="4863" max="4868" width="23.7109375" style="650" customWidth="1"/>
    <col min="4869" max="4869" width="19.140625" style="650" customWidth="1"/>
    <col min="4870" max="4870" width="14.28515625" style="650" customWidth="1"/>
    <col min="4871" max="4871" width="23.7109375" style="650" customWidth="1"/>
    <col min="4872" max="4872" width="12.28515625" style="650" customWidth="1"/>
    <col min="4873" max="4873" width="18.28515625" style="650" customWidth="1"/>
    <col min="4874" max="5114" width="9.140625" style="650"/>
    <col min="5115" max="5115" width="36.7109375" style="650" customWidth="1"/>
    <col min="5116" max="5117" width="23.7109375" style="650" customWidth="1"/>
    <col min="5118" max="5118" width="34.140625" style="650" customWidth="1"/>
    <col min="5119" max="5124" width="23.7109375" style="650" customWidth="1"/>
    <col min="5125" max="5125" width="19.140625" style="650" customWidth="1"/>
    <col min="5126" max="5126" width="14.28515625" style="650" customWidth="1"/>
    <col min="5127" max="5127" width="23.7109375" style="650" customWidth="1"/>
    <col min="5128" max="5128" width="12.28515625" style="650" customWidth="1"/>
    <col min="5129" max="5129" width="18.28515625" style="650" customWidth="1"/>
    <col min="5130" max="5370" width="9.140625" style="650"/>
    <col min="5371" max="5371" width="36.7109375" style="650" customWidth="1"/>
    <col min="5372" max="5373" width="23.7109375" style="650" customWidth="1"/>
    <col min="5374" max="5374" width="34.140625" style="650" customWidth="1"/>
    <col min="5375" max="5380" width="23.7109375" style="650" customWidth="1"/>
    <col min="5381" max="5381" width="19.140625" style="650" customWidth="1"/>
    <col min="5382" max="5382" width="14.28515625" style="650" customWidth="1"/>
    <col min="5383" max="5383" width="23.7109375" style="650" customWidth="1"/>
    <col min="5384" max="5384" width="12.28515625" style="650" customWidth="1"/>
    <col min="5385" max="5385" width="18.28515625" style="650" customWidth="1"/>
    <col min="5386" max="5626" width="9.140625" style="650"/>
    <col min="5627" max="5627" width="36.7109375" style="650" customWidth="1"/>
    <col min="5628" max="5629" width="23.7109375" style="650" customWidth="1"/>
    <col min="5630" max="5630" width="34.140625" style="650" customWidth="1"/>
    <col min="5631" max="5636" width="23.7109375" style="650" customWidth="1"/>
    <col min="5637" max="5637" width="19.140625" style="650" customWidth="1"/>
    <col min="5638" max="5638" width="14.28515625" style="650" customWidth="1"/>
    <col min="5639" max="5639" width="23.7109375" style="650" customWidth="1"/>
    <col min="5640" max="5640" width="12.28515625" style="650" customWidth="1"/>
    <col min="5641" max="5641" width="18.28515625" style="650" customWidth="1"/>
    <col min="5642" max="5882" width="9.140625" style="650"/>
    <col min="5883" max="5883" width="36.7109375" style="650" customWidth="1"/>
    <col min="5884" max="5885" width="23.7109375" style="650" customWidth="1"/>
    <col min="5886" max="5886" width="34.140625" style="650" customWidth="1"/>
    <col min="5887" max="5892" width="23.7109375" style="650" customWidth="1"/>
    <col min="5893" max="5893" width="19.140625" style="650" customWidth="1"/>
    <col min="5894" max="5894" width="14.28515625" style="650" customWidth="1"/>
    <col min="5895" max="5895" width="23.7109375" style="650" customWidth="1"/>
    <col min="5896" max="5896" width="12.28515625" style="650" customWidth="1"/>
    <col min="5897" max="5897" width="18.28515625" style="650" customWidth="1"/>
    <col min="5898" max="6138" width="9.140625" style="650"/>
    <col min="6139" max="6139" width="36.7109375" style="650" customWidth="1"/>
    <col min="6140" max="6141" width="23.7109375" style="650" customWidth="1"/>
    <col min="6142" max="6142" width="34.140625" style="650" customWidth="1"/>
    <col min="6143" max="6148" width="23.7109375" style="650" customWidth="1"/>
    <col min="6149" max="6149" width="19.140625" style="650" customWidth="1"/>
    <col min="6150" max="6150" width="14.28515625" style="650" customWidth="1"/>
    <col min="6151" max="6151" width="23.7109375" style="650" customWidth="1"/>
    <col min="6152" max="6152" width="12.28515625" style="650" customWidth="1"/>
    <col min="6153" max="6153" width="18.28515625" style="650" customWidth="1"/>
    <col min="6154" max="6394" width="9.140625" style="650"/>
    <col min="6395" max="6395" width="36.7109375" style="650" customWidth="1"/>
    <col min="6396" max="6397" width="23.7109375" style="650" customWidth="1"/>
    <col min="6398" max="6398" width="34.140625" style="650" customWidth="1"/>
    <col min="6399" max="6404" width="23.7109375" style="650" customWidth="1"/>
    <col min="6405" max="6405" width="19.140625" style="650" customWidth="1"/>
    <col min="6406" max="6406" width="14.28515625" style="650" customWidth="1"/>
    <col min="6407" max="6407" width="23.7109375" style="650" customWidth="1"/>
    <col min="6408" max="6408" width="12.28515625" style="650" customWidth="1"/>
    <col min="6409" max="6409" width="18.28515625" style="650" customWidth="1"/>
    <col min="6410" max="6650" width="9.140625" style="650"/>
    <col min="6651" max="6651" width="36.7109375" style="650" customWidth="1"/>
    <col min="6652" max="6653" width="23.7109375" style="650" customWidth="1"/>
    <col min="6654" max="6654" width="34.140625" style="650" customWidth="1"/>
    <col min="6655" max="6660" width="23.7109375" style="650" customWidth="1"/>
    <col min="6661" max="6661" width="19.140625" style="650" customWidth="1"/>
    <col min="6662" max="6662" width="14.28515625" style="650" customWidth="1"/>
    <col min="6663" max="6663" width="23.7109375" style="650" customWidth="1"/>
    <col min="6664" max="6664" width="12.28515625" style="650" customWidth="1"/>
    <col min="6665" max="6665" width="18.28515625" style="650" customWidth="1"/>
    <col min="6666" max="6906" width="9.140625" style="650"/>
    <col min="6907" max="6907" width="36.7109375" style="650" customWidth="1"/>
    <col min="6908" max="6909" width="23.7109375" style="650" customWidth="1"/>
    <col min="6910" max="6910" width="34.140625" style="650" customWidth="1"/>
    <col min="6911" max="6916" width="23.7109375" style="650" customWidth="1"/>
    <col min="6917" max="6917" width="19.140625" style="650" customWidth="1"/>
    <col min="6918" max="6918" width="14.28515625" style="650" customWidth="1"/>
    <col min="6919" max="6919" width="23.7109375" style="650" customWidth="1"/>
    <col min="6920" max="6920" width="12.28515625" style="650" customWidth="1"/>
    <col min="6921" max="6921" width="18.28515625" style="650" customWidth="1"/>
    <col min="6922" max="7162" width="9.140625" style="650"/>
    <col min="7163" max="7163" width="36.7109375" style="650" customWidth="1"/>
    <col min="7164" max="7165" width="23.7109375" style="650" customWidth="1"/>
    <col min="7166" max="7166" width="34.140625" style="650" customWidth="1"/>
    <col min="7167" max="7172" width="23.7109375" style="650" customWidth="1"/>
    <col min="7173" max="7173" width="19.140625" style="650" customWidth="1"/>
    <col min="7174" max="7174" width="14.28515625" style="650" customWidth="1"/>
    <col min="7175" max="7175" width="23.7109375" style="650" customWidth="1"/>
    <col min="7176" max="7176" width="12.28515625" style="650" customWidth="1"/>
    <col min="7177" max="7177" width="18.28515625" style="650" customWidth="1"/>
    <col min="7178" max="7418" width="9.140625" style="650"/>
    <col min="7419" max="7419" width="36.7109375" style="650" customWidth="1"/>
    <col min="7420" max="7421" width="23.7109375" style="650" customWidth="1"/>
    <col min="7422" max="7422" width="34.140625" style="650" customWidth="1"/>
    <col min="7423" max="7428" width="23.7109375" style="650" customWidth="1"/>
    <col min="7429" max="7429" width="19.140625" style="650" customWidth="1"/>
    <col min="7430" max="7430" width="14.28515625" style="650" customWidth="1"/>
    <col min="7431" max="7431" width="23.7109375" style="650" customWidth="1"/>
    <col min="7432" max="7432" width="12.28515625" style="650" customWidth="1"/>
    <col min="7433" max="7433" width="18.28515625" style="650" customWidth="1"/>
    <col min="7434" max="7674" width="9.140625" style="650"/>
    <col min="7675" max="7675" width="36.7109375" style="650" customWidth="1"/>
    <col min="7676" max="7677" width="23.7109375" style="650" customWidth="1"/>
    <col min="7678" max="7678" width="34.140625" style="650" customWidth="1"/>
    <col min="7679" max="7684" width="23.7109375" style="650" customWidth="1"/>
    <col min="7685" max="7685" width="19.140625" style="650" customWidth="1"/>
    <col min="7686" max="7686" width="14.28515625" style="650" customWidth="1"/>
    <col min="7687" max="7687" width="23.7109375" style="650" customWidth="1"/>
    <col min="7688" max="7688" width="12.28515625" style="650" customWidth="1"/>
    <col min="7689" max="7689" width="18.28515625" style="650" customWidth="1"/>
    <col min="7690" max="7930" width="9.140625" style="650"/>
    <col min="7931" max="7931" width="36.7109375" style="650" customWidth="1"/>
    <col min="7932" max="7933" width="23.7109375" style="650" customWidth="1"/>
    <col min="7934" max="7934" width="34.140625" style="650" customWidth="1"/>
    <col min="7935" max="7940" width="23.7109375" style="650" customWidth="1"/>
    <col min="7941" max="7941" width="19.140625" style="650" customWidth="1"/>
    <col min="7942" max="7942" width="14.28515625" style="650" customWidth="1"/>
    <col min="7943" max="7943" width="23.7109375" style="650" customWidth="1"/>
    <col min="7944" max="7944" width="12.28515625" style="650" customWidth="1"/>
    <col min="7945" max="7945" width="18.28515625" style="650" customWidth="1"/>
    <col min="7946" max="8186" width="9.140625" style="650"/>
    <col min="8187" max="8187" width="36.7109375" style="650" customWidth="1"/>
    <col min="8188" max="8189" width="23.7109375" style="650" customWidth="1"/>
    <col min="8190" max="8190" width="34.140625" style="650" customWidth="1"/>
    <col min="8191" max="8196" width="23.7109375" style="650" customWidth="1"/>
    <col min="8197" max="8197" width="19.140625" style="650" customWidth="1"/>
    <col min="8198" max="8198" width="14.28515625" style="650" customWidth="1"/>
    <col min="8199" max="8199" width="23.7109375" style="650" customWidth="1"/>
    <col min="8200" max="8200" width="12.28515625" style="650" customWidth="1"/>
    <col min="8201" max="8201" width="18.28515625" style="650" customWidth="1"/>
    <col min="8202" max="8442" width="9.140625" style="650"/>
    <col min="8443" max="8443" width="36.7109375" style="650" customWidth="1"/>
    <col min="8444" max="8445" width="23.7109375" style="650" customWidth="1"/>
    <col min="8446" max="8446" width="34.140625" style="650" customWidth="1"/>
    <col min="8447" max="8452" width="23.7109375" style="650" customWidth="1"/>
    <col min="8453" max="8453" width="19.140625" style="650" customWidth="1"/>
    <col min="8454" max="8454" width="14.28515625" style="650" customWidth="1"/>
    <col min="8455" max="8455" width="23.7109375" style="650" customWidth="1"/>
    <col min="8456" max="8456" width="12.28515625" style="650" customWidth="1"/>
    <col min="8457" max="8457" width="18.28515625" style="650" customWidth="1"/>
    <col min="8458" max="8698" width="9.140625" style="650"/>
    <col min="8699" max="8699" width="36.7109375" style="650" customWidth="1"/>
    <col min="8700" max="8701" width="23.7109375" style="650" customWidth="1"/>
    <col min="8702" max="8702" width="34.140625" style="650" customWidth="1"/>
    <col min="8703" max="8708" width="23.7109375" style="650" customWidth="1"/>
    <col min="8709" max="8709" width="19.140625" style="650" customWidth="1"/>
    <col min="8710" max="8710" width="14.28515625" style="650" customWidth="1"/>
    <col min="8711" max="8711" width="23.7109375" style="650" customWidth="1"/>
    <col min="8712" max="8712" width="12.28515625" style="650" customWidth="1"/>
    <col min="8713" max="8713" width="18.28515625" style="650" customWidth="1"/>
    <col min="8714" max="8954" width="9.140625" style="650"/>
    <col min="8955" max="8955" width="36.7109375" style="650" customWidth="1"/>
    <col min="8956" max="8957" width="23.7109375" style="650" customWidth="1"/>
    <col min="8958" max="8958" width="34.140625" style="650" customWidth="1"/>
    <col min="8959" max="8964" width="23.7109375" style="650" customWidth="1"/>
    <col min="8965" max="8965" width="19.140625" style="650" customWidth="1"/>
    <col min="8966" max="8966" width="14.28515625" style="650" customWidth="1"/>
    <col min="8967" max="8967" width="23.7109375" style="650" customWidth="1"/>
    <col min="8968" max="8968" width="12.28515625" style="650" customWidth="1"/>
    <col min="8969" max="8969" width="18.28515625" style="650" customWidth="1"/>
    <col min="8970" max="9210" width="9.140625" style="650"/>
    <col min="9211" max="9211" width="36.7109375" style="650" customWidth="1"/>
    <col min="9212" max="9213" width="23.7109375" style="650" customWidth="1"/>
    <col min="9214" max="9214" width="34.140625" style="650" customWidth="1"/>
    <col min="9215" max="9220" width="23.7109375" style="650" customWidth="1"/>
    <col min="9221" max="9221" width="19.140625" style="650" customWidth="1"/>
    <col min="9222" max="9222" width="14.28515625" style="650" customWidth="1"/>
    <col min="9223" max="9223" width="23.7109375" style="650" customWidth="1"/>
    <col min="9224" max="9224" width="12.28515625" style="650" customWidth="1"/>
    <col min="9225" max="9225" width="18.28515625" style="650" customWidth="1"/>
    <col min="9226" max="9466" width="9.140625" style="650"/>
    <col min="9467" max="9467" width="36.7109375" style="650" customWidth="1"/>
    <col min="9468" max="9469" width="23.7109375" style="650" customWidth="1"/>
    <col min="9470" max="9470" width="34.140625" style="650" customWidth="1"/>
    <col min="9471" max="9476" width="23.7109375" style="650" customWidth="1"/>
    <col min="9477" max="9477" width="19.140625" style="650" customWidth="1"/>
    <col min="9478" max="9478" width="14.28515625" style="650" customWidth="1"/>
    <col min="9479" max="9479" width="23.7109375" style="650" customWidth="1"/>
    <col min="9480" max="9480" width="12.28515625" style="650" customWidth="1"/>
    <col min="9481" max="9481" width="18.28515625" style="650" customWidth="1"/>
    <col min="9482" max="9722" width="9.140625" style="650"/>
    <col min="9723" max="9723" width="36.7109375" style="650" customWidth="1"/>
    <col min="9724" max="9725" width="23.7109375" style="650" customWidth="1"/>
    <col min="9726" max="9726" width="34.140625" style="650" customWidth="1"/>
    <col min="9727" max="9732" width="23.7109375" style="650" customWidth="1"/>
    <col min="9733" max="9733" width="19.140625" style="650" customWidth="1"/>
    <col min="9734" max="9734" width="14.28515625" style="650" customWidth="1"/>
    <col min="9735" max="9735" width="23.7109375" style="650" customWidth="1"/>
    <col min="9736" max="9736" width="12.28515625" style="650" customWidth="1"/>
    <col min="9737" max="9737" width="18.28515625" style="650" customWidth="1"/>
    <col min="9738" max="9978" width="9.140625" style="650"/>
    <col min="9979" max="9979" width="36.7109375" style="650" customWidth="1"/>
    <col min="9980" max="9981" width="23.7109375" style="650" customWidth="1"/>
    <col min="9982" max="9982" width="34.140625" style="650" customWidth="1"/>
    <col min="9983" max="9988" width="23.7109375" style="650" customWidth="1"/>
    <col min="9989" max="9989" width="19.140625" style="650" customWidth="1"/>
    <col min="9990" max="9990" width="14.28515625" style="650" customWidth="1"/>
    <col min="9991" max="9991" width="23.7109375" style="650" customWidth="1"/>
    <col min="9992" max="9992" width="12.28515625" style="650" customWidth="1"/>
    <col min="9993" max="9993" width="18.28515625" style="650" customWidth="1"/>
    <col min="9994" max="10234" width="9.140625" style="650"/>
    <col min="10235" max="10235" width="36.7109375" style="650" customWidth="1"/>
    <col min="10236" max="10237" width="23.7109375" style="650" customWidth="1"/>
    <col min="10238" max="10238" width="34.140625" style="650" customWidth="1"/>
    <col min="10239" max="10244" width="23.7109375" style="650" customWidth="1"/>
    <col min="10245" max="10245" width="19.140625" style="650" customWidth="1"/>
    <col min="10246" max="10246" width="14.28515625" style="650" customWidth="1"/>
    <col min="10247" max="10247" width="23.7109375" style="650" customWidth="1"/>
    <col min="10248" max="10248" width="12.28515625" style="650" customWidth="1"/>
    <col min="10249" max="10249" width="18.28515625" style="650" customWidth="1"/>
    <col min="10250" max="10490" width="9.140625" style="650"/>
    <col min="10491" max="10491" width="36.7109375" style="650" customWidth="1"/>
    <col min="10492" max="10493" width="23.7109375" style="650" customWidth="1"/>
    <col min="10494" max="10494" width="34.140625" style="650" customWidth="1"/>
    <col min="10495" max="10500" width="23.7109375" style="650" customWidth="1"/>
    <col min="10501" max="10501" width="19.140625" style="650" customWidth="1"/>
    <col min="10502" max="10502" width="14.28515625" style="650" customWidth="1"/>
    <col min="10503" max="10503" width="23.7109375" style="650" customWidth="1"/>
    <col min="10504" max="10504" width="12.28515625" style="650" customWidth="1"/>
    <col min="10505" max="10505" width="18.28515625" style="650" customWidth="1"/>
    <col min="10506" max="10746" width="9.140625" style="650"/>
    <col min="10747" max="10747" width="36.7109375" style="650" customWidth="1"/>
    <col min="10748" max="10749" width="23.7109375" style="650" customWidth="1"/>
    <col min="10750" max="10750" width="34.140625" style="650" customWidth="1"/>
    <col min="10751" max="10756" width="23.7109375" style="650" customWidth="1"/>
    <col min="10757" max="10757" width="19.140625" style="650" customWidth="1"/>
    <col min="10758" max="10758" width="14.28515625" style="650" customWidth="1"/>
    <col min="10759" max="10759" width="23.7109375" style="650" customWidth="1"/>
    <col min="10760" max="10760" width="12.28515625" style="650" customWidth="1"/>
    <col min="10761" max="10761" width="18.28515625" style="650" customWidth="1"/>
    <col min="10762" max="11002" width="9.140625" style="650"/>
    <col min="11003" max="11003" width="36.7109375" style="650" customWidth="1"/>
    <col min="11004" max="11005" width="23.7109375" style="650" customWidth="1"/>
    <col min="11006" max="11006" width="34.140625" style="650" customWidth="1"/>
    <col min="11007" max="11012" width="23.7109375" style="650" customWidth="1"/>
    <col min="11013" max="11013" width="19.140625" style="650" customWidth="1"/>
    <col min="11014" max="11014" width="14.28515625" style="650" customWidth="1"/>
    <col min="11015" max="11015" width="23.7109375" style="650" customWidth="1"/>
    <col min="11016" max="11016" width="12.28515625" style="650" customWidth="1"/>
    <col min="11017" max="11017" width="18.28515625" style="650" customWidth="1"/>
    <col min="11018" max="11258" width="9.140625" style="650"/>
    <col min="11259" max="11259" width="36.7109375" style="650" customWidth="1"/>
    <col min="11260" max="11261" width="23.7109375" style="650" customWidth="1"/>
    <col min="11262" max="11262" width="34.140625" style="650" customWidth="1"/>
    <col min="11263" max="11268" width="23.7109375" style="650" customWidth="1"/>
    <col min="11269" max="11269" width="19.140625" style="650" customWidth="1"/>
    <col min="11270" max="11270" width="14.28515625" style="650" customWidth="1"/>
    <col min="11271" max="11271" width="23.7109375" style="650" customWidth="1"/>
    <col min="11272" max="11272" width="12.28515625" style="650" customWidth="1"/>
    <col min="11273" max="11273" width="18.28515625" style="650" customWidth="1"/>
    <col min="11274" max="11514" width="9.140625" style="650"/>
    <col min="11515" max="11515" width="36.7109375" style="650" customWidth="1"/>
    <col min="11516" max="11517" width="23.7109375" style="650" customWidth="1"/>
    <col min="11518" max="11518" width="34.140625" style="650" customWidth="1"/>
    <col min="11519" max="11524" width="23.7109375" style="650" customWidth="1"/>
    <col min="11525" max="11525" width="19.140625" style="650" customWidth="1"/>
    <col min="11526" max="11526" width="14.28515625" style="650" customWidth="1"/>
    <col min="11527" max="11527" width="23.7109375" style="650" customWidth="1"/>
    <col min="11528" max="11528" width="12.28515625" style="650" customWidth="1"/>
    <col min="11529" max="11529" width="18.28515625" style="650" customWidth="1"/>
    <col min="11530" max="11770" width="9.140625" style="650"/>
    <col min="11771" max="11771" width="36.7109375" style="650" customWidth="1"/>
    <col min="11772" max="11773" width="23.7109375" style="650" customWidth="1"/>
    <col min="11774" max="11774" width="34.140625" style="650" customWidth="1"/>
    <col min="11775" max="11780" width="23.7109375" style="650" customWidth="1"/>
    <col min="11781" max="11781" width="19.140625" style="650" customWidth="1"/>
    <col min="11782" max="11782" width="14.28515625" style="650" customWidth="1"/>
    <col min="11783" max="11783" width="23.7109375" style="650" customWidth="1"/>
    <col min="11784" max="11784" width="12.28515625" style="650" customWidth="1"/>
    <col min="11785" max="11785" width="18.28515625" style="650" customWidth="1"/>
    <col min="11786" max="12026" width="9.140625" style="650"/>
    <col min="12027" max="12027" width="36.7109375" style="650" customWidth="1"/>
    <col min="12028" max="12029" width="23.7109375" style="650" customWidth="1"/>
    <col min="12030" max="12030" width="34.140625" style="650" customWidth="1"/>
    <col min="12031" max="12036" width="23.7109375" style="650" customWidth="1"/>
    <col min="12037" max="12037" width="19.140625" style="650" customWidth="1"/>
    <col min="12038" max="12038" width="14.28515625" style="650" customWidth="1"/>
    <col min="12039" max="12039" width="23.7109375" style="650" customWidth="1"/>
    <col min="12040" max="12040" width="12.28515625" style="650" customWidth="1"/>
    <col min="12041" max="12041" width="18.28515625" style="650" customWidth="1"/>
    <col min="12042" max="12282" width="9.140625" style="650"/>
    <col min="12283" max="12283" width="36.7109375" style="650" customWidth="1"/>
    <col min="12284" max="12285" width="23.7109375" style="650" customWidth="1"/>
    <col min="12286" max="12286" width="34.140625" style="650" customWidth="1"/>
    <col min="12287" max="12292" width="23.7109375" style="650" customWidth="1"/>
    <col min="12293" max="12293" width="19.140625" style="650" customWidth="1"/>
    <col min="12294" max="12294" width="14.28515625" style="650" customWidth="1"/>
    <col min="12295" max="12295" width="23.7109375" style="650" customWidth="1"/>
    <col min="12296" max="12296" width="12.28515625" style="650" customWidth="1"/>
    <col min="12297" max="12297" width="18.28515625" style="650" customWidth="1"/>
    <col min="12298" max="12538" width="9.140625" style="650"/>
    <col min="12539" max="12539" width="36.7109375" style="650" customWidth="1"/>
    <col min="12540" max="12541" width="23.7109375" style="650" customWidth="1"/>
    <col min="12542" max="12542" width="34.140625" style="650" customWidth="1"/>
    <col min="12543" max="12548" width="23.7109375" style="650" customWidth="1"/>
    <col min="12549" max="12549" width="19.140625" style="650" customWidth="1"/>
    <col min="12550" max="12550" width="14.28515625" style="650" customWidth="1"/>
    <col min="12551" max="12551" width="23.7109375" style="650" customWidth="1"/>
    <col min="12552" max="12552" width="12.28515625" style="650" customWidth="1"/>
    <col min="12553" max="12553" width="18.28515625" style="650" customWidth="1"/>
    <col min="12554" max="12794" width="9.140625" style="650"/>
    <col min="12795" max="12795" width="36.7109375" style="650" customWidth="1"/>
    <col min="12796" max="12797" width="23.7109375" style="650" customWidth="1"/>
    <col min="12798" max="12798" width="34.140625" style="650" customWidth="1"/>
    <col min="12799" max="12804" width="23.7109375" style="650" customWidth="1"/>
    <col min="12805" max="12805" width="19.140625" style="650" customWidth="1"/>
    <col min="12806" max="12806" width="14.28515625" style="650" customWidth="1"/>
    <col min="12807" max="12807" width="23.7109375" style="650" customWidth="1"/>
    <col min="12808" max="12808" width="12.28515625" style="650" customWidth="1"/>
    <col min="12809" max="12809" width="18.28515625" style="650" customWidth="1"/>
    <col min="12810" max="13050" width="9.140625" style="650"/>
    <col min="13051" max="13051" width="36.7109375" style="650" customWidth="1"/>
    <col min="13052" max="13053" width="23.7109375" style="650" customWidth="1"/>
    <col min="13054" max="13054" width="34.140625" style="650" customWidth="1"/>
    <col min="13055" max="13060" width="23.7109375" style="650" customWidth="1"/>
    <col min="13061" max="13061" width="19.140625" style="650" customWidth="1"/>
    <col min="13062" max="13062" width="14.28515625" style="650" customWidth="1"/>
    <col min="13063" max="13063" width="23.7109375" style="650" customWidth="1"/>
    <col min="13064" max="13064" width="12.28515625" style="650" customWidth="1"/>
    <col min="13065" max="13065" width="18.28515625" style="650" customWidth="1"/>
    <col min="13066" max="13306" width="9.140625" style="650"/>
    <col min="13307" max="13307" width="36.7109375" style="650" customWidth="1"/>
    <col min="13308" max="13309" width="23.7109375" style="650" customWidth="1"/>
    <col min="13310" max="13310" width="34.140625" style="650" customWidth="1"/>
    <col min="13311" max="13316" width="23.7109375" style="650" customWidth="1"/>
    <col min="13317" max="13317" width="19.140625" style="650" customWidth="1"/>
    <col min="13318" max="13318" width="14.28515625" style="650" customWidth="1"/>
    <col min="13319" max="13319" width="23.7109375" style="650" customWidth="1"/>
    <col min="13320" max="13320" width="12.28515625" style="650" customWidth="1"/>
    <col min="13321" max="13321" width="18.28515625" style="650" customWidth="1"/>
    <col min="13322" max="13562" width="9.140625" style="650"/>
    <col min="13563" max="13563" width="36.7109375" style="650" customWidth="1"/>
    <col min="13564" max="13565" width="23.7109375" style="650" customWidth="1"/>
    <col min="13566" max="13566" width="34.140625" style="650" customWidth="1"/>
    <col min="13567" max="13572" width="23.7109375" style="650" customWidth="1"/>
    <col min="13573" max="13573" width="19.140625" style="650" customWidth="1"/>
    <col min="13574" max="13574" width="14.28515625" style="650" customWidth="1"/>
    <col min="13575" max="13575" width="23.7109375" style="650" customWidth="1"/>
    <col min="13576" max="13576" width="12.28515625" style="650" customWidth="1"/>
    <col min="13577" max="13577" width="18.28515625" style="650" customWidth="1"/>
    <col min="13578" max="13818" width="9.140625" style="650"/>
    <col min="13819" max="13819" width="36.7109375" style="650" customWidth="1"/>
    <col min="13820" max="13821" width="23.7109375" style="650" customWidth="1"/>
    <col min="13822" max="13822" width="34.140625" style="650" customWidth="1"/>
    <col min="13823" max="13828" width="23.7109375" style="650" customWidth="1"/>
    <col min="13829" max="13829" width="19.140625" style="650" customWidth="1"/>
    <col min="13830" max="13830" width="14.28515625" style="650" customWidth="1"/>
    <col min="13831" max="13831" width="23.7109375" style="650" customWidth="1"/>
    <col min="13832" max="13832" width="12.28515625" style="650" customWidth="1"/>
    <col min="13833" max="13833" width="18.28515625" style="650" customWidth="1"/>
    <col min="13834" max="14074" width="9.140625" style="650"/>
    <col min="14075" max="14075" width="36.7109375" style="650" customWidth="1"/>
    <col min="14076" max="14077" width="23.7109375" style="650" customWidth="1"/>
    <col min="14078" max="14078" width="34.140625" style="650" customWidth="1"/>
    <col min="14079" max="14084" width="23.7109375" style="650" customWidth="1"/>
    <col min="14085" max="14085" width="19.140625" style="650" customWidth="1"/>
    <col min="14086" max="14086" width="14.28515625" style="650" customWidth="1"/>
    <col min="14087" max="14087" width="23.7109375" style="650" customWidth="1"/>
    <col min="14088" max="14088" width="12.28515625" style="650" customWidth="1"/>
    <col min="14089" max="14089" width="18.28515625" style="650" customWidth="1"/>
    <col min="14090" max="14330" width="9.140625" style="650"/>
    <col min="14331" max="14331" width="36.7109375" style="650" customWidth="1"/>
    <col min="14332" max="14333" width="23.7109375" style="650" customWidth="1"/>
    <col min="14334" max="14334" width="34.140625" style="650" customWidth="1"/>
    <col min="14335" max="14340" width="23.7109375" style="650" customWidth="1"/>
    <col min="14341" max="14341" width="19.140625" style="650" customWidth="1"/>
    <col min="14342" max="14342" width="14.28515625" style="650" customWidth="1"/>
    <col min="14343" max="14343" width="23.7109375" style="650" customWidth="1"/>
    <col min="14344" max="14344" width="12.28515625" style="650" customWidth="1"/>
    <col min="14345" max="14345" width="18.28515625" style="650" customWidth="1"/>
    <col min="14346" max="14586" width="9.140625" style="650"/>
    <col min="14587" max="14587" width="36.7109375" style="650" customWidth="1"/>
    <col min="14588" max="14589" width="23.7109375" style="650" customWidth="1"/>
    <col min="14590" max="14590" width="34.140625" style="650" customWidth="1"/>
    <col min="14591" max="14596" width="23.7109375" style="650" customWidth="1"/>
    <col min="14597" max="14597" width="19.140625" style="650" customWidth="1"/>
    <col min="14598" max="14598" width="14.28515625" style="650" customWidth="1"/>
    <col min="14599" max="14599" width="23.7109375" style="650" customWidth="1"/>
    <col min="14600" max="14600" width="12.28515625" style="650" customWidth="1"/>
    <col min="14601" max="14601" width="18.28515625" style="650" customWidth="1"/>
    <col min="14602" max="14842" width="9.140625" style="650"/>
    <col min="14843" max="14843" width="36.7109375" style="650" customWidth="1"/>
    <col min="14844" max="14845" width="23.7109375" style="650" customWidth="1"/>
    <col min="14846" max="14846" width="34.140625" style="650" customWidth="1"/>
    <col min="14847" max="14852" width="23.7109375" style="650" customWidth="1"/>
    <col min="14853" max="14853" width="19.140625" style="650" customWidth="1"/>
    <col min="14854" max="14854" width="14.28515625" style="650" customWidth="1"/>
    <col min="14855" max="14855" width="23.7109375" style="650" customWidth="1"/>
    <col min="14856" max="14856" width="12.28515625" style="650" customWidth="1"/>
    <col min="14857" max="14857" width="18.28515625" style="650" customWidth="1"/>
    <col min="14858" max="15098" width="9.140625" style="650"/>
    <col min="15099" max="15099" width="36.7109375" style="650" customWidth="1"/>
    <col min="15100" max="15101" width="23.7109375" style="650" customWidth="1"/>
    <col min="15102" max="15102" width="34.140625" style="650" customWidth="1"/>
    <col min="15103" max="15108" width="23.7109375" style="650" customWidth="1"/>
    <col min="15109" max="15109" width="19.140625" style="650" customWidth="1"/>
    <col min="15110" max="15110" width="14.28515625" style="650" customWidth="1"/>
    <col min="15111" max="15111" width="23.7109375" style="650" customWidth="1"/>
    <col min="15112" max="15112" width="12.28515625" style="650" customWidth="1"/>
    <col min="15113" max="15113" width="18.28515625" style="650" customWidth="1"/>
    <col min="15114" max="15354" width="9.140625" style="650"/>
    <col min="15355" max="15355" width="36.7109375" style="650" customWidth="1"/>
    <col min="15356" max="15357" width="23.7109375" style="650" customWidth="1"/>
    <col min="15358" max="15358" width="34.140625" style="650" customWidth="1"/>
    <col min="15359" max="15364" width="23.7109375" style="650" customWidth="1"/>
    <col min="15365" max="15365" width="19.140625" style="650" customWidth="1"/>
    <col min="15366" max="15366" width="14.28515625" style="650" customWidth="1"/>
    <col min="15367" max="15367" width="23.7109375" style="650" customWidth="1"/>
    <col min="15368" max="15368" width="12.28515625" style="650" customWidth="1"/>
    <col min="15369" max="15369" width="18.28515625" style="650" customWidth="1"/>
    <col min="15370" max="15610" width="9.140625" style="650"/>
    <col min="15611" max="15611" width="36.7109375" style="650" customWidth="1"/>
    <col min="15612" max="15613" width="23.7109375" style="650" customWidth="1"/>
    <col min="15614" max="15614" width="34.140625" style="650" customWidth="1"/>
    <col min="15615" max="15620" width="23.7109375" style="650" customWidth="1"/>
    <col min="15621" max="15621" width="19.140625" style="650" customWidth="1"/>
    <col min="15622" max="15622" width="14.28515625" style="650" customWidth="1"/>
    <col min="15623" max="15623" width="23.7109375" style="650" customWidth="1"/>
    <col min="15624" max="15624" width="12.28515625" style="650" customWidth="1"/>
    <col min="15625" max="15625" width="18.28515625" style="650" customWidth="1"/>
    <col min="15626" max="15866" width="9.140625" style="650"/>
    <col min="15867" max="15867" width="36.7109375" style="650" customWidth="1"/>
    <col min="15868" max="15869" width="23.7109375" style="650" customWidth="1"/>
    <col min="15870" max="15870" width="34.140625" style="650" customWidth="1"/>
    <col min="15871" max="15876" width="23.7109375" style="650" customWidth="1"/>
    <col min="15877" max="15877" width="19.140625" style="650" customWidth="1"/>
    <col min="15878" max="15878" width="14.28515625" style="650" customWidth="1"/>
    <col min="15879" max="15879" width="23.7109375" style="650" customWidth="1"/>
    <col min="15880" max="15880" width="12.28515625" style="650" customWidth="1"/>
    <col min="15881" max="15881" width="18.28515625" style="650" customWidth="1"/>
    <col min="15882" max="16122" width="9.140625" style="650"/>
    <col min="16123" max="16123" width="36.7109375" style="650" customWidth="1"/>
    <col min="16124" max="16125" width="23.7109375" style="650" customWidth="1"/>
    <col min="16126" max="16126" width="34.140625" style="650" customWidth="1"/>
    <col min="16127" max="16132" width="23.7109375" style="650" customWidth="1"/>
    <col min="16133" max="16133" width="19.140625" style="650" customWidth="1"/>
    <col min="16134" max="16134" width="14.28515625" style="650" customWidth="1"/>
    <col min="16135" max="16135" width="23.7109375" style="650" customWidth="1"/>
    <col min="16136" max="16136" width="12.28515625" style="650" customWidth="1"/>
    <col min="16137" max="16137" width="18.28515625" style="650" customWidth="1"/>
    <col min="16138" max="16384" width="9.140625" style="650"/>
  </cols>
  <sheetData>
    <row r="1" spans="1:19" ht="55.5" customHeight="1">
      <c r="D1" s="2196" t="s">
        <v>636</v>
      </c>
      <c r="E1" s="1811" t="s">
        <v>224</v>
      </c>
      <c r="F1" s="1882">
        <v>18230810</v>
      </c>
      <c r="G1" s="1812" t="s">
        <v>5</v>
      </c>
      <c r="M1" s="2196" t="s">
        <v>636</v>
      </c>
      <c r="N1" s="1811" t="s">
        <v>224</v>
      </c>
      <c r="O1" s="1882">
        <v>18230810</v>
      </c>
      <c r="P1" s="1812" t="s">
        <v>5</v>
      </c>
    </row>
    <row r="2" spans="1:19" ht="16.5" thickBot="1">
      <c r="D2" s="609"/>
      <c r="E2" s="1800"/>
      <c r="F2" s="1800"/>
      <c r="G2" s="1805"/>
      <c r="H2" s="1576" t="s">
        <v>674</v>
      </c>
      <c r="I2" s="1805"/>
      <c r="J2" s="1805"/>
      <c r="K2" s="1805"/>
      <c r="L2" s="1805"/>
      <c r="M2" s="1805"/>
      <c r="N2" s="1805"/>
      <c r="O2" s="1805"/>
      <c r="P2" s="1805"/>
      <c r="Q2" s="1805"/>
    </row>
    <row r="3" spans="1:19" ht="26.25" thickBot="1">
      <c r="A3" s="2193" t="s">
        <v>636</v>
      </c>
      <c r="B3" s="1748"/>
      <c r="D3" s="40"/>
      <c r="E3" s="1791"/>
      <c r="F3" s="1791"/>
      <c r="G3" s="1805"/>
      <c r="H3" s="1577" t="s">
        <v>8</v>
      </c>
      <c r="I3" s="1538" t="s">
        <v>9</v>
      </c>
      <c r="J3" s="1538" t="s">
        <v>10</v>
      </c>
      <c r="K3" s="1538" t="s">
        <v>11</v>
      </c>
      <c r="L3" s="2037" t="s">
        <v>504</v>
      </c>
      <c r="M3" s="1538" t="s">
        <v>12</v>
      </c>
      <c r="N3" s="1538" t="s">
        <v>13</v>
      </c>
      <c r="O3" s="1538" t="s">
        <v>14</v>
      </c>
      <c r="P3" s="2037" t="s">
        <v>15</v>
      </c>
      <c r="Q3" s="1538"/>
      <c r="R3" s="1538" t="s">
        <v>16</v>
      </c>
      <c r="S3" s="1995"/>
    </row>
    <row r="4" spans="1:19" ht="15.75">
      <c r="A4" s="1974" t="s">
        <v>224</v>
      </c>
      <c r="B4" s="1974"/>
      <c r="E4" s="1866"/>
      <c r="F4" s="1866"/>
      <c r="G4" s="1804" t="s">
        <v>266</v>
      </c>
      <c r="H4" s="2003">
        <v>187074</v>
      </c>
      <c r="I4" s="2002">
        <v>0</v>
      </c>
      <c r="J4" s="2002">
        <v>132262</v>
      </c>
      <c r="K4" s="2002">
        <v>0</v>
      </c>
      <c r="L4" s="2002">
        <v>19500</v>
      </c>
      <c r="M4" s="2002">
        <v>115000</v>
      </c>
      <c r="N4" s="2002">
        <v>0</v>
      </c>
      <c r="O4" s="2002">
        <v>0</v>
      </c>
      <c r="P4" s="2002">
        <v>0</v>
      </c>
      <c r="Q4" s="2002"/>
      <c r="R4" s="2002">
        <v>453836</v>
      </c>
      <c r="S4" s="1998"/>
    </row>
    <row r="5" spans="1:19" ht="15.75">
      <c r="A5" s="1882">
        <v>18230810</v>
      </c>
      <c r="B5" s="1974"/>
      <c r="E5" s="1866"/>
      <c r="F5" s="1866"/>
      <c r="G5" s="1228">
        <v>2016</v>
      </c>
      <c r="H5" s="1582">
        <f>D15</f>
        <v>179468.95</v>
      </c>
      <c r="I5" s="1549">
        <f>D21</f>
        <v>0</v>
      </c>
      <c r="J5" s="1549">
        <f>D27</f>
        <v>119705.78965000002</v>
      </c>
      <c r="K5" s="1549">
        <f>D34</f>
        <v>0</v>
      </c>
      <c r="L5" s="1549">
        <f>D40</f>
        <v>12000</v>
      </c>
      <c r="M5" s="1549">
        <f>D46</f>
        <v>0</v>
      </c>
      <c r="N5" s="1549">
        <f>D52</f>
        <v>0</v>
      </c>
      <c r="O5" s="1549">
        <f>D58</f>
        <v>0</v>
      </c>
      <c r="P5" s="1549">
        <v>0</v>
      </c>
      <c r="Q5" s="1549"/>
      <c r="R5" s="1549">
        <f>SUM(H5:P5)</f>
        <v>311174.73965</v>
      </c>
      <c r="S5" s="1999"/>
    </row>
    <row r="6" spans="1:19" ht="16.5" thickBot="1">
      <c r="A6" s="1976" t="s">
        <v>5</v>
      </c>
      <c r="B6" s="1882"/>
      <c r="C6" s="1301"/>
      <c r="E6" s="1866"/>
      <c r="F6" s="1866"/>
      <c r="G6" s="1228">
        <v>2017</v>
      </c>
      <c r="H6" s="57">
        <f>E15</f>
        <v>177508.21</v>
      </c>
      <c r="I6" s="1990">
        <f>E21</f>
        <v>0</v>
      </c>
      <c r="J6" s="1989">
        <f>E27</f>
        <v>120705.5828</v>
      </c>
      <c r="K6" s="58">
        <f>E34</f>
        <v>0</v>
      </c>
      <c r="L6" s="58">
        <f>E40</f>
        <v>12000</v>
      </c>
      <c r="M6" s="58">
        <f>E46</f>
        <v>0</v>
      </c>
      <c r="N6" s="58">
        <f>E52</f>
        <v>0</v>
      </c>
      <c r="O6" s="58">
        <f>E58</f>
        <v>0</v>
      </c>
      <c r="P6" s="58">
        <v>0</v>
      </c>
      <c r="Q6" s="58"/>
      <c r="R6" s="58">
        <f>SUM(H6:P6)</f>
        <v>310213.7928</v>
      </c>
      <c r="S6" s="1996"/>
    </row>
    <row r="7" spans="1:19" s="18" customFormat="1" ht="13.5" thickBot="1">
      <c r="B7" s="1978"/>
      <c r="E7" s="1862"/>
      <c r="F7" s="1862"/>
      <c r="G7" s="598" t="s">
        <v>19</v>
      </c>
      <c r="H7" s="1564">
        <f>SUM(H5:H6)</f>
        <v>356977.16000000003</v>
      </c>
      <c r="I7" s="1991">
        <f t="shared" ref="I7:P7" si="0">SUM(I5:I6)</f>
        <v>0</v>
      </c>
      <c r="J7" s="1992">
        <f t="shared" si="0"/>
        <v>240411.37245000002</v>
      </c>
      <c r="K7" s="1993">
        <f t="shared" si="0"/>
        <v>0</v>
      </c>
      <c r="L7" s="1991">
        <f t="shared" si="0"/>
        <v>24000</v>
      </c>
      <c r="M7" s="1992">
        <f t="shared" si="0"/>
        <v>0</v>
      </c>
      <c r="N7" s="1991">
        <f t="shared" si="0"/>
        <v>0</v>
      </c>
      <c r="O7" s="1992">
        <f t="shared" si="0"/>
        <v>0</v>
      </c>
      <c r="P7" s="1993">
        <f t="shared" si="0"/>
        <v>0</v>
      </c>
      <c r="Q7" s="1993"/>
      <c r="R7" s="1991">
        <f>SUM(R5:R6)</f>
        <v>621388.53245000006</v>
      </c>
      <c r="S7" s="1994"/>
    </row>
    <row r="8" spans="1:19" s="18" customFormat="1" ht="25.5">
      <c r="B8" s="1808"/>
      <c r="E8" s="1862"/>
      <c r="F8" s="1862"/>
      <c r="G8" s="651"/>
      <c r="H8" s="2"/>
      <c r="I8" s="650"/>
      <c r="J8" s="650"/>
      <c r="K8" s="650"/>
      <c r="L8" s="650"/>
      <c r="M8" s="650"/>
      <c r="N8" s="650"/>
      <c r="O8" s="650"/>
      <c r="P8" s="21" t="s">
        <v>20</v>
      </c>
      <c r="Q8" s="650"/>
    </row>
    <row r="9" spans="1:19" s="18" customFormat="1">
      <c r="A9" s="29"/>
      <c r="B9" s="1863"/>
      <c r="E9" s="1862"/>
      <c r="F9" s="1862"/>
      <c r="G9" s="651"/>
      <c r="H9" s="2"/>
      <c r="I9" s="650"/>
      <c r="J9" s="650"/>
      <c r="K9" s="650"/>
      <c r="L9" s="650"/>
      <c r="M9" s="650"/>
      <c r="N9" s="650"/>
      <c r="O9" s="650"/>
      <c r="P9" s="21" t="s">
        <v>21</v>
      </c>
      <c r="Q9" s="650"/>
    </row>
    <row r="10" spans="1:19" s="9" customFormat="1">
      <c r="A10" s="21"/>
      <c r="B10" s="1865"/>
      <c r="C10" s="1915" t="s">
        <v>329</v>
      </c>
      <c r="D10" s="1915"/>
      <c r="E10" s="1915"/>
      <c r="F10" s="1915"/>
    </row>
    <row r="11" spans="1:19" ht="18" customHeight="1">
      <c r="A11" s="21"/>
      <c r="B11" s="1865"/>
      <c r="C11" s="1866"/>
      <c r="D11" s="1866"/>
      <c r="E11" s="1867"/>
      <c r="F11" s="1866"/>
    </row>
    <row r="12" spans="1:19">
      <c r="A12" s="21"/>
      <c r="B12" s="1865"/>
      <c r="C12" s="1887" t="s">
        <v>314</v>
      </c>
      <c r="D12" s="1924">
        <f>D15+D21+D27+D34+D40+D46+D52+D58</f>
        <v>311174.73965</v>
      </c>
      <c r="E12" s="1948">
        <f>E15+E21+E27+E34+E40+E46+E52+E58</f>
        <v>310213.7928</v>
      </c>
      <c r="F12" s="1924">
        <f>D12+E12</f>
        <v>621388.53245000006</v>
      </c>
    </row>
    <row r="13" spans="1:19" ht="13.5" customHeight="1">
      <c r="A13" s="21"/>
      <c r="B13" s="1863"/>
      <c r="C13" s="1947"/>
      <c r="D13" s="1866"/>
      <c r="E13" s="1787"/>
      <c r="F13" s="1866"/>
      <c r="G13" s="1297"/>
      <c r="H13" s="1297"/>
    </row>
    <row r="14" spans="1:19" s="18" customFormat="1" ht="13.5" customHeight="1">
      <c r="A14" s="29"/>
      <c r="B14" s="1863"/>
      <c r="C14" s="1888" t="s">
        <v>45</v>
      </c>
      <c r="D14" s="1969">
        <v>2016</v>
      </c>
      <c r="E14" s="1970">
        <v>2016</v>
      </c>
      <c r="F14" s="1950" t="s">
        <v>23</v>
      </c>
      <c r="G14" s="30"/>
      <c r="H14" s="30"/>
    </row>
    <row r="15" spans="1:19" s="18" customFormat="1" ht="13.5" customHeight="1">
      <c r="A15" s="29"/>
      <c r="B15" s="1886" t="s">
        <v>312</v>
      </c>
      <c r="C15" s="1910" t="s">
        <v>46</v>
      </c>
      <c r="D15" s="1911">
        <f>SUM(D16:D19)</f>
        <v>179468.95</v>
      </c>
      <c r="E15" s="1926">
        <f>SUM(E16:E19)</f>
        <v>177508.21</v>
      </c>
      <c r="F15" s="1924">
        <f>SUM(F16:F19)</f>
        <v>356977.16000000003</v>
      </c>
      <c r="G15" s="30"/>
      <c r="H15" s="30"/>
    </row>
    <row r="16" spans="1:19" ht="13.5" customHeight="1">
      <c r="A16" s="21"/>
      <c r="B16" s="2089">
        <v>1.74</v>
      </c>
      <c r="C16" s="2088" t="s">
        <v>764</v>
      </c>
      <c r="D16" s="2093">
        <v>179468.95</v>
      </c>
      <c r="E16" s="2092">
        <v>177508.21</v>
      </c>
      <c r="F16" s="1879">
        <f>SUM(D16:E16)</f>
        <v>356977.16000000003</v>
      </c>
    </row>
    <row r="17" spans="1:7" ht="13.5" customHeight="1">
      <c r="A17" s="21"/>
      <c r="B17" s="2089"/>
      <c r="C17" s="2088"/>
      <c r="D17" s="2093"/>
      <c r="E17" s="2092"/>
      <c r="F17" s="1891">
        <f>SUM(D17:E17)</f>
        <v>0</v>
      </c>
    </row>
    <row r="18" spans="1:7" ht="13.5" customHeight="1">
      <c r="A18" s="21"/>
      <c r="B18" s="2089"/>
      <c r="C18" s="2088"/>
      <c r="D18" s="2091"/>
      <c r="E18" s="2090"/>
      <c r="F18" s="1891">
        <f>SUM(D18:E18)</f>
        <v>0</v>
      </c>
    </row>
    <row r="19" spans="1:7" ht="13.5" customHeight="1">
      <c r="A19" s="21"/>
      <c r="B19" s="2089"/>
      <c r="C19" s="2088"/>
      <c r="D19" s="2093"/>
      <c r="E19" s="2092"/>
      <c r="F19" s="1891">
        <f>SUM(D19:E19)</f>
        <v>0</v>
      </c>
    </row>
    <row r="20" spans="1:7" ht="13.5" customHeight="1">
      <c r="A20" s="21"/>
      <c r="B20" s="1908">
        <f>SUM(B16:B19)</f>
        <v>1.74</v>
      </c>
      <c r="C20" s="1952"/>
      <c r="D20" s="1954"/>
      <c r="E20" s="1955"/>
      <c r="F20" s="1957"/>
    </row>
    <row r="21" spans="1:7" ht="13.5" customHeight="1">
      <c r="A21" s="21"/>
      <c r="B21" s="1865"/>
      <c r="C21" s="1910" t="s">
        <v>47</v>
      </c>
      <c r="D21" s="1911">
        <f>SUM(D22:D25)</f>
        <v>0</v>
      </c>
      <c r="E21" s="1926">
        <f>SUM(E22:E25)</f>
        <v>0</v>
      </c>
      <c r="F21" s="1924">
        <f>SUM(F22:F25)</f>
        <v>0</v>
      </c>
      <c r="G21" s="34" t="s">
        <v>7</v>
      </c>
    </row>
    <row r="22" spans="1:7" ht="13.5" customHeight="1">
      <c r="A22" s="21"/>
      <c r="B22" s="1865"/>
      <c r="C22" s="1876"/>
      <c r="D22" s="1907"/>
      <c r="E22" s="1906"/>
      <c r="F22" s="1879">
        <f>SUM(D22:E22)</f>
        <v>0</v>
      </c>
      <c r="G22" s="35"/>
    </row>
    <row r="23" spans="1:7" ht="13.5" customHeight="1">
      <c r="A23" s="21"/>
      <c r="B23" s="1865"/>
      <c r="C23" s="1876"/>
      <c r="D23" s="1900"/>
      <c r="E23" s="1899"/>
      <c r="F23" s="1891">
        <f>SUM(D23:E23)</f>
        <v>0</v>
      </c>
    </row>
    <row r="24" spans="1:7" ht="13.5" customHeight="1">
      <c r="A24" s="21"/>
      <c r="B24" s="1863"/>
      <c r="C24" s="1876"/>
      <c r="D24" s="1898"/>
      <c r="E24" s="1897"/>
      <c r="F24" s="1891">
        <f>SUM(D24:E24)</f>
        <v>0</v>
      </c>
    </row>
    <row r="25" spans="1:7" s="18" customFormat="1" ht="13.5" customHeight="1">
      <c r="A25" s="29"/>
      <c r="B25" s="1865"/>
      <c r="C25" s="1876"/>
      <c r="D25" s="1896"/>
      <c r="E25" s="1899"/>
      <c r="F25" s="1891">
        <f>SUM(D25:E25)</f>
        <v>0</v>
      </c>
    </row>
    <row r="26" spans="1:7" ht="13.5" customHeight="1">
      <c r="A26" s="21"/>
      <c r="B26" s="1863"/>
      <c r="C26" s="1877"/>
      <c r="D26" s="1892"/>
      <c r="E26" s="1884"/>
      <c r="F26" s="1892"/>
    </row>
    <row r="27" spans="1:7" s="18" customFormat="1" ht="13.5" customHeight="1">
      <c r="A27" s="29"/>
      <c r="B27" s="1865"/>
      <c r="C27" s="1910" t="s">
        <v>48</v>
      </c>
      <c r="D27" s="1911">
        <f>SUM(D29:D32)</f>
        <v>119705.78965000002</v>
      </c>
      <c r="E27" s="1926">
        <f>SUM(E29:E32)</f>
        <v>120705.5828</v>
      </c>
      <c r="F27" s="1924">
        <f>SUM(F29:F32)</f>
        <v>240411.37245000002</v>
      </c>
    </row>
    <row r="28" spans="1:7" ht="13.5" customHeight="1">
      <c r="A28" s="21"/>
      <c r="B28" s="1865"/>
      <c r="C28" s="1909" t="s">
        <v>315</v>
      </c>
      <c r="D28" s="1912">
        <v>0.66700000000000004</v>
      </c>
      <c r="E28" s="1913">
        <v>0.68</v>
      </c>
      <c r="F28" s="1949"/>
    </row>
    <row r="29" spans="1:7" ht="13.5" customHeight="1">
      <c r="A29" s="21"/>
      <c r="B29" s="1865"/>
      <c r="C29" s="2088"/>
      <c r="D29" s="1971">
        <f>D15*D28</f>
        <v>119705.78965000002</v>
      </c>
      <c r="E29" s="1972">
        <f>E15*E28</f>
        <v>120705.5828</v>
      </c>
      <c r="F29" s="1891">
        <f>SUM(D29:E29)</f>
        <v>240411.37245000002</v>
      </c>
    </row>
    <row r="30" spans="1:7" ht="13.5" customHeight="1">
      <c r="A30" s="21"/>
      <c r="B30" s="1865"/>
      <c r="C30" s="2088"/>
      <c r="D30" s="1973">
        <f>D21*D28</f>
        <v>0</v>
      </c>
      <c r="E30" s="1972">
        <f>E21*E28</f>
        <v>0</v>
      </c>
      <c r="F30" s="1891">
        <f>SUM(D30:E30)</f>
        <v>0</v>
      </c>
    </row>
    <row r="31" spans="1:7" ht="13.5" customHeight="1">
      <c r="A31" s="21"/>
      <c r="B31" s="1865"/>
      <c r="C31" s="1901"/>
      <c r="D31" s="1898"/>
      <c r="E31" s="1897"/>
      <c r="F31" s="1889">
        <f>SUM(D31:E31)</f>
        <v>0</v>
      </c>
    </row>
    <row r="32" spans="1:7" ht="13.5" customHeight="1">
      <c r="A32" s="21"/>
      <c r="B32" s="1865"/>
      <c r="C32" s="1901"/>
      <c r="D32" s="1896"/>
      <c r="E32" s="1899"/>
      <c r="F32" s="1890">
        <f>SUM(D32:E32)</f>
        <v>0</v>
      </c>
    </row>
    <row r="33" spans="1:7" ht="13.5" customHeight="1">
      <c r="A33" s="21"/>
      <c r="B33" s="1801"/>
      <c r="C33" s="1952"/>
      <c r="D33" s="1958"/>
      <c r="E33" s="1955"/>
      <c r="F33" s="1958"/>
    </row>
    <row r="34" spans="1:7" ht="13.5" customHeight="1">
      <c r="A34" s="547"/>
      <c r="B34" s="1865"/>
      <c r="C34" s="1910" t="s">
        <v>49</v>
      </c>
      <c r="D34" s="1911">
        <v>0</v>
      </c>
      <c r="E34" s="1926">
        <v>0</v>
      </c>
      <c r="F34" s="1924">
        <v>0</v>
      </c>
      <c r="G34" s="38"/>
    </row>
    <row r="35" spans="1:7" ht="13.5" customHeight="1">
      <c r="A35" s="2193" t="s">
        <v>636</v>
      </c>
      <c r="B35" s="1863"/>
      <c r="C35" s="1876"/>
      <c r="D35" s="1971"/>
      <c r="E35" s="1988"/>
      <c r="F35" s="1891">
        <v>0</v>
      </c>
    </row>
    <row r="36" spans="1:7" s="18" customFormat="1" ht="13.5" customHeight="1">
      <c r="A36" s="1974" t="s">
        <v>224</v>
      </c>
      <c r="B36" s="1865"/>
      <c r="C36" s="1876"/>
      <c r="D36" s="1971"/>
      <c r="E36" s="1988"/>
      <c r="F36" s="1891">
        <v>0</v>
      </c>
    </row>
    <row r="37" spans="1:7" ht="13.5" customHeight="1">
      <c r="A37" s="1882">
        <v>18230810</v>
      </c>
      <c r="B37" s="1865"/>
      <c r="C37" s="1876"/>
      <c r="D37" s="1971"/>
      <c r="E37" s="1988"/>
      <c r="F37" s="1891">
        <v>0</v>
      </c>
    </row>
    <row r="38" spans="1:7" ht="13.5" customHeight="1">
      <c r="A38" s="1976" t="s">
        <v>5</v>
      </c>
      <c r="B38" s="1865"/>
      <c r="C38" s="1876"/>
      <c r="D38" s="1971"/>
      <c r="E38" s="1988"/>
      <c r="F38" s="1891">
        <v>0</v>
      </c>
    </row>
    <row r="39" spans="1:7" ht="13.5" customHeight="1">
      <c r="A39" s="21"/>
      <c r="B39" s="1865"/>
      <c r="C39" s="1952"/>
      <c r="D39" s="1958"/>
      <c r="E39" s="1955"/>
      <c r="F39" s="1958"/>
    </row>
    <row r="40" spans="1:7" ht="13.5" customHeight="1">
      <c r="A40" s="21"/>
      <c r="B40" s="1865"/>
      <c r="C40" s="2106" t="s">
        <v>506</v>
      </c>
      <c r="D40" s="1911">
        <f>SUM(D41:D44)</f>
        <v>12000</v>
      </c>
      <c r="E40" s="1926">
        <f>SUM(E41:E44)</f>
        <v>12000</v>
      </c>
      <c r="F40" s="1924">
        <f t="shared" ref="F40:F56" si="1">SUM(D40:E40)</f>
        <v>24000</v>
      </c>
    </row>
    <row r="41" spans="1:7" ht="13.5" customHeight="1">
      <c r="A41" s="21"/>
      <c r="B41" s="1865"/>
      <c r="C41" s="2197" t="s">
        <v>766</v>
      </c>
      <c r="D41" s="2202">
        <v>6000</v>
      </c>
      <c r="E41" s="2203">
        <v>6000</v>
      </c>
      <c r="F41" s="1891">
        <f t="shared" si="1"/>
        <v>12000</v>
      </c>
    </row>
    <row r="42" spans="1:7" ht="13.5" customHeight="1">
      <c r="A42" s="21"/>
      <c r="B42" s="1865"/>
      <c r="C42" s="2197" t="s">
        <v>767</v>
      </c>
      <c r="D42" s="2202">
        <v>6000</v>
      </c>
      <c r="E42" s="2203">
        <v>6000</v>
      </c>
      <c r="F42" s="1891">
        <f t="shared" si="1"/>
        <v>12000</v>
      </c>
    </row>
    <row r="43" spans="1:7" s="2177" customFormat="1" ht="13.5" customHeight="1">
      <c r="A43" s="2178"/>
      <c r="B43" s="2178"/>
      <c r="C43" s="2197"/>
      <c r="D43" s="2202"/>
      <c r="E43" s="2163"/>
      <c r="F43" s="2191">
        <f t="shared" si="1"/>
        <v>0</v>
      </c>
    </row>
    <row r="44" spans="1:7" ht="13.5" customHeight="1">
      <c r="A44" s="21"/>
      <c r="B44" s="1865"/>
      <c r="C44" s="2094"/>
      <c r="D44" s="2095"/>
      <c r="E44" s="2096"/>
      <c r="F44" s="1891">
        <f t="shared" si="1"/>
        <v>0</v>
      </c>
    </row>
    <row r="45" spans="1:7" ht="13.5" customHeight="1">
      <c r="A45" s="21"/>
      <c r="B45" s="1865"/>
      <c r="C45" s="1952"/>
      <c r="D45" s="1958"/>
      <c r="E45" s="1955"/>
      <c r="F45" s="1958"/>
    </row>
    <row r="46" spans="1:7" ht="13.5" customHeight="1">
      <c r="A46" s="21"/>
      <c r="B46" s="1865"/>
      <c r="C46" s="1910" t="s">
        <v>50</v>
      </c>
      <c r="D46" s="1911">
        <f>SUM(D47:D50)</f>
        <v>0</v>
      </c>
      <c r="E46" s="1926">
        <f>SUM(E47:E50)</f>
        <v>0</v>
      </c>
      <c r="F46" s="1924">
        <f t="shared" si="1"/>
        <v>0</v>
      </c>
    </row>
    <row r="47" spans="1:7" ht="13.5" customHeight="1">
      <c r="A47" s="21"/>
      <c r="B47" s="1865"/>
      <c r="C47" s="2197"/>
      <c r="D47" s="1971"/>
      <c r="E47" s="1988"/>
      <c r="F47" s="1891">
        <f t="shared" si="1"/>
        <v>0</v>
      </c>
    </row>
    <row r="48" spans="1:7" ht="13.5" customHeight="1">
      <c r="A48" s="21"/>
      <c r="B48" s="1865"/>
      <c r="C48" s="2197"/>
      <c r="D48" s="1971"/>
      <c r="E48" s="1988"/>
      <c r="F48" s="1891">
        <f t="shared" si="1"/>
        <v>0</v>
      </c>
    </row>
    <row r="49" spans="1:6" ht="13.5" customHeight="1">
      <c r="A49" s="21"/>
      <c r="B49" s="1865"/>
      <c r="C49" s="1876"/>
      <c r="D49" s="1971"/>
      <c r="E49" s="1988"/>
      <c r="F49" s="1891">
        <f t="shared" si="1"/>
        <v>0</v>
      </c>
    </row>
    <row r="50" spans="1:6" ht="13.5" customHeight="1">
      <c r="A50" s="21"/>
      <c r="B50" s="1865"/>
      <c r="C50" s="1876"/>
      <c r="D50" s="1971"/>
      <c r="E50" s="1988"/>
      <c r="F50" s="1891">
        <f t="shared" si="1"/>
        <v>0</v>
      </c>
    </row>
    <row r="51" spans="1:6" ht="13.5" customHeight="1">
      <c r="A51" s="21"/>
      <c r="B51" s="1865"/>
      <c r="C51" s="1952"/>
      <c r="D51" s="1958"/>
      <c r="E51" s="1955"/>
      <c r="F51" s="1958"/>
    </row>
    <row r="52" spans="1:6" ht="13.5" customHeight="1">
      <c r="A52" s="21"/>
      <c r="B52" s="1865"/>
      <c r="C52" s="1910" t="s">
        <v>51</v>
      </c>
      <c r="D52" s="1911">
        <f>SUM(D53:D56)</f>
        <v>0</v>
      </c>
      <c r="E52" s="1926">
        <f>SUM(E53:E56)</f>
        <v>0</v>
      </c>
      <c r="F52" s="1924">
        <f t="shared" si="1"/>
        <v>0</v>
      </c>
    </row>
    <row r="53" spans="1:6" ht="13.5" customHeight="1">
      <c r="A53" s="21"/>
      <c r="B53" s="1865"/>
      <c r="C53" s="2088"/>
      <c r="D53" s="1971"/>
      <c r="E53" s="1972"/>
      <c r="F53" s="1891">
        <f t="shared" si="1"/>
        <v>0</v>
      </c>
    </row>
    <row r="54" spans="1:6" ht="13.5" customHeight="1">
      <c r="A54" s="21"/>
      <c r="B54" s="1865"/>
      <c r="C54" s="1876"/>
      <c r="D54" s="1971"/>
      <c r="E54" s="1972"/>
      <c r="F54" s="1891">
        <f t="shared" si="1"/>
        <v>0</v>
      </c>
    </row>
    <row r="55" spans="1:6" ht="13.5" customHeight="1">
      <c r="A55" s="21"/>
      <c r="B55" s="1865"/>
      <c r="C55" s="1876"/>
      <c r="D55" s="1971"/>
      <c r="E55" s="1972"/>
      <c r="F55" s="1891">
        <f t="shared" si="1"/>
        <v>0</v>
      </c>
    </row>
    <row r="56" spans="1:6" ht="13.5" customHeight="1">
      <c r="A56" s="21"/>
      <c r="B56" s="1865"/>
      <c r="C56" s="1876"/>
      <c r="D56" s="1971"/>
      <c r="E56" s="1972"/>
      <c r="F56" s="1891">
        <f t="shared" si="1"/>
        <v>0</v>
      </c>
    </row>
    <row r="57" spans="1:6" ht="13.5" customHeight="1">
      <c r="A57" s="21"/>
      <c r="B57" s="1865"/>
      <c r="C57" s="1952"/>
      <c r="D57" s="1958"/>
      <c r="E57" s="1955"/>
      <c r="F57" s="1958"/>
    </row>
    <row r="58" spans="1:6" ht="13.5" customHeight="1">
      <c r="A58" s="21"/>
      <c r="B58" s="1865"/>
      <c r="C58" s="1910" t="s">
        <v>52</v>
      </c>
      <c r="D58" s="1911">
        <f>SUM(D59:D60)</f>
        <v>0</v>
      </c>
      <c r="E58" s="1926">
        <f>SUM(E59:E60)</f>
        <v>0</v>
      </c>
      <c r="F58" s="1924">
        <f>SUM(F59:F60)</f>
        <v>0</v>
      </c>
    </row>
    <row r="59" spans="1:6" ht="13.5" customHeight="1">
      <c r="A59" s="21"/>
      <c r="B59" s="1865"/>
      <c r="C59" s="1876"/>
      <c r="D59" s="1971"/>
      <c r="E59" s="1988"/>
      <c r="F59" s="1891">
        <f>SUM(D59:E59)</f>
        <v>0</v>
      </c>
    </row>
    <row r="60" spans="1:6" ht="13.5" customHeight="1">
      <c r="A60" s="21"/>
      <c r="B60" s="1865"/>
      <c r="C60" s="1876"/>
      <c r="D60" s="1971"/>
      <c r="E60" s="1988"/>
      <c r="F60" s="1891">
        <f>SUM(D60:E60)</f>
        <v>0</v>
      </c>
    </row>
    <row r="61" spans="1:6" ht="13.5" customHeight="1">
      <c r="A61" s="21"/>
      <c r="C61" s="1876"/>
      <c r="D61" s="1971"/>
      <c r="E61" s="1988"/>
      <c r="F61" s="1890">
        <v>0</v>
      </c>
    </row>
    <row r="62" spans="1:6">
      <c r="C62" s="1876"/>
      <c r="D62" s="1971"/>
      <c r="E62" s="1988"/>
      <c r="F62" s="1891">
        <v>0</v>
      </c>
    </row>
    <row r="63" spans="1:6">
      <c r="C63" s="1952"/>
      <c r="D63" s="1958"/>
      <c r="E63" s="1955"/>
      <c r="F63" s="1958"/>
    </row>
    <row r="64" spans="1:6">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pageMargins left="0.18" right="0.24" top="0.34" bottom="0.42" header="0.3" footer="0.3"/>
      <pageSetup paperSize="17" scale="62" orientation="landscape" r:id="rId1"/>
    </customSheetView>
    <customSheetView guid="{D9EFFE19-D14B-4C6F-BDF4-FF696F73968D}" showGridLines="0" fitToPage="1">
      <pane xSplit="1" ySplit="1" topLeftCell="B2" activePane="bottomRight" state="frozen"/>
      <selection pane="bottomRight" activeCell="C47" sqref="C47:C48"/>
      <pageMargins left="0.18" right="0.24" top="0.34" bottom="0.42" header="0.3" footer="0.3"/>
      <pageSetup paperSize="17" scale="62" orientation="landscape" r:id="rId2"/>
    </customSheetView>
  </customSheetViews>
  <pageMargins left="0.18" right="0.24" top="0.34" bottom="0.42" header="0.3" footer="0.3"/>
  <pageSetup paperSize="17" scale="62" orientation="landscape" r:id="rId3"/>
  <drawing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9"/>
  <sheetViews>
    <sheetView showGridLines="0" workbookViewId="0">
      <pane xSplit="1" ySplit="1" topLeftCell="B8" activePane="bottomRight" state="frozen"/>
      <selection pane="topRight" activeCell="B1" sqref="B1"/>
      <selection pane="bottomLeft" activeCell="A2" sqref="A2"/>
      <selection pane="bottomRight" activeCell="B12" sqref="B12"/>
    </sheetView>
  </sheetViews>
  <sheetFormatPr defaultRowHeight="12.75"/>
  <cols>
    <col min="1" max="1" width="18.140625" style="2177" customWidth="1"/>
    <col min="2" max="2" width="16" style="2177" customWidth="1"/>
    <col min="3" max="3" width="27.85546875" style="2177" customWidth="1"/>
    <col min="4" max="4" width="19.28515625" style="2192" customWidth="1"/>
    <col min="5" max="5" width="19.28515625" style="1790" customWidth="1"/>
    <col min="6" max="10" width="18.85546875" style="2177" customWidth="1"/>
    <col min="11" max="11" width="17.5703125" style="2177" customWidth="1"/>
    <col min="12" max="12" width="20.5703125" style="2177" customWidth="1"/>
    <col min="13" max="13" width="24.42578125" style="2177" customWidth="1"/>
    <col min="14" max="14" width="19.42578125" style="2177" customWidth="1"/>
    <col min="15" max="15" width="14.140625" style="2177" customWidth="1"/>
    <col min="16" max="16" width="15.140625" style="2177" customWidth="1"/>
    <col min="17" max="17" width="20.140625" style="2177" customWidth="1"/>
    <col min="18" max="16384" width="9.140625" style="2177"/>
  </cols>
  <sheetData>
    <row r="1" spans="1:18" ht="56.25" customHeight="1">
      <c r="D1" s="1831" t="s">
        <v>637</v>
      </c>
      <c r="E1" s="1977" t="s">
        <v>25</v>
      </c>
      <c r="F1" s="1880">
        <v>18230745</v>
      </c>
      <c r="G1" s="1977" t="s">
        <v>5</v>
      </c>
      <c r="M1" s="1831" t="s">
        <v>637</v>
      </c>
      <c r="N1" s="1977" t="s">
        <v>25</v>
      </c>
      <c r="O1" s="1880">
        <v>18230745</v>
      </c>
      <c r="P1" s="1977" t="s">
        <v>5</v>
      </c>
    </row>
    <row r="2" spans="1:18" ht="16.5" thickBot="1">
      <c r="D2" s="1800"/>
      <c r="E2" s="1614"/>
      <c r="F2" s="1614"/>
      <c r="G2" s="1227"/>
      <c r="H2" s="1576" t="s">
        <v>674</v>
      </c>
      <c r="I2" s="1805"/>
      <c r="J2" s="1805"/>
      <c r="K2" s="1805"/>
      <c r="L2" s="1805"/>
      <c r="M2" s="1805"/>
      <c r="N2" s="1805"/>
      <c r="O2" s="1805"/>
      <c r="P2" s="1805"/>
      <c r="Q2" s="1805"/>
    </row>
    <row r="3" spans="1:18" ht="26.25" thickBot="1">
      <c r="A3" s="1831" t="s">
        <v>637</v>
      </c>
      <c r="B3" s="2802"/>
      <c r="D3" s="1731"/>
      <c r="E3" s="1731"/>
      <c r="F3" s="1731"/>
      <c r="G3" s="1805"/>
      <c r="H3" s="1577" t="s">
        <v>8</v>
      </c>
      <c r="I3" s="1538" t="s">
        <v>9</v>
      </c>
      <c r="J3" s="1538" t="s">
        <v>10</v>
      </c>
      <c r="K3" s="1538" t="s">
        <v>11</v>
      </c>
      <c r="L3" s="2037" t="s">
        <v>504</v>
      </c>
      <c r="M3" s="1538" t="s">
        <v>12</v>
      </c>
      <c r="N3" s="1538" t="s">
        <v>13</v>
      </c>
      <c r="O3" s="1538" t="s">
        <v>14</v>
      </c>
      <c r="P3" s="2037" t="s">
        <v>15</v>
      </c>
      <c r="Q3" s="1538" t="s">
        <v>16</v>
      </c>
      <c r="R3" s="2037"/>
    </row>
    <row r="4" spans="1:18" ht="15.75">
      <c r="A4" s="1976" t="s">
        <v>25</v>
      </c>
      <c r="B4" s="2802"/>
      <c r="C4" s="1761"/>
      <c r="D4" s="1731"/>
      <c r="E4" s="1731"/>
      <c r="F4" s="1731"/>
      <c r="G4" s="1804" t="s">
        <v>668</v>
      </c>
      <c r="H4" s="2911">
        <v>467685.89999999997</v>
      </c>
      <c r="I4" s="2912">
        <v>0</v>
      </c>
      <c r="J4" s="2912">
        <v>330653.93129999994</v>
      </c>
      <c r="K4" s="2912">
        <f>D36</f>
        <v>0</v>
      </c>
      <c r="L4" s="2912">
        <v>12500</v>
      </c>
      <c r="M4" s="2912">
        <v>15000</v>
      </c>
      <c r="N4" s="2912">
        <v>0</v>
      </c>
      <c r="O4" s="2912">
        <v>0</v>
      </c>
      <c r="P4" s="2912">
        <v>0</v>
      </c>
      <c r="Q4" s="2913">
        <v>825839.83129999996</v>
      </c>
      <c r="R4" s="2002"/>
    </row>
    <row r="5" spans="1:18" ht="15.75">
      <c r="A5" s="1880">
        <v>18230745</v>
      </c>
      <c r="B5" s="2802"/>
      <c r="C5" s="1761"/>
      <c r="D5" s="1761"/>
      <c r="E5" s="1761"/>
      <c r="F5" s="1761"/>
      <c r="G5" s="1228">
        <v>2016</v>
      </c>
      <c r="H5" s="1582">
        <f>D15</f>
        <v>433672.39999999997</v>
      </c>
      <c r="I5" s="1549">
        <f>D23</f>
        <v>0</v>
      </c>
      <c r="J5" s="1549">
        <f>D29</f>
        <v>289259.49079999997</v>
      </c>
      <c r="K5" s="1549">
        <f>D36</f>
        <v>0</v>
      </c>
      <c r="L5" s="1549">
        <f>D42</f>
        <v>12000</v>
      </c>
      <c r="M5" s="1549">
        <f>D48</f>
        <v>461100</v>
      </c>
      <c r="N5" s="1549">
        <f>D54</f>
        <v>0</v>
      </c>
      <c r="O5" s="1549">
        <f>D60</f>
        <v>0</v>
      </c>
      <c r="P5" s="1549">
        <f>D66</f>
        <v>0</v>
      </c>
      <c r="Q5" s="1549">
        <f>SUM(H5:P5)</f>
        <v>1196031.8907999999</v>
      </c>
      <c r="R5" s="1549"/>
    </row>
    <row r="6" spans="1:18" ht="16.5" thickBot="1">
      <c r="A6" s="1976" t="s">
        <v>5</v>
      </c>
      <c r="B6" s="1880"/>
      <c r="C6" s="1714"/>
      <c r="D6" s="1761"/>
      <c r="E6" s="1761"/>
      <c r="F6" s="1761"/>
      <c r="G6" s="1228">
        <v>2017</v>
      </c>
      <c r="H6" s="57">
        <f>E15</f>
        <v>444513</v>
      </c>
      <c r="I6" s="1990">
        <f>E23</f>
        <v>0</v>
      </c>
      <c r="J6" s="1989">
        <f>E29</f>
        <v>321399.41940000001</v>
      </c>
      <c r="K6" s="58">
        <f>E36</f>
        <v>0</v>
      </c>
      <c r="L6" s="58">
        <f>E42</f>
        <v>12000</v>
      </c>
      <c r="M6" s="58">
        <f>E48</f>
        <v>113100</v>
      </c>
      <c r="N6" s="58">
        <f>E54</f>
        <v>0</v>
      </c>
      <c r="O6" s="58">
        <f>E60</f>
        <v>0</v>
      </c>
      <c r="P6" s="58">
        <f>E66</f>
        <v>0</v>
      </c>
      <c r="Q6" s="58">
        <f>SUM(H6:P6)</f>
        <v>891012.41940000001</v>
      </c>
      <c r="R6" s="58"/>
    </row>
    <row r="7" spans="1:18" s="2194" customFormat="1" ht="16.5" thickBot="1">
      <c r="B7" s="1819"/>
      <c r="C7" s="2195"/>
      <c r="D7" s="2195"/>
      <c r="E7" s="2195"/>
      <c r="F7" s="2195"/>
      <c r="G7" s="1751" t="s">
        <v>23</v>
      </c>
      <c r="H7" s="1564">
        <f>SUM(H5:H6)</f>
        <v>878185.39999999991</v>
      </c>
      <c r="I7" s="1991">
        <f>SUM(I5:I6)</f>
        <v>0</v>
      </c>
      <c r="J7" s="1991">
        <f t="shared" ref="J7:Q7" si="0">SUM(J5:J6)</f>
        <v>610658.91020000004</v>
      </c>
      <c r="K7" s="1991">
        <f t="shared" si="0"/>
        <v>0</v>
      </c>
      <c r="L7" s="1991">
        <f t="shared" si="0"/>
        <v>24000</v>
      </c>
      <c r="M7" s="1991">
        <f t="shared" si="0"/>
        <v>574200</v>
      </c>
      <c r="N7" s="1991">
        <f t="shared" si="0"/>
        <v>0</v>
      </c>
      <c r="O7" s="1991">
        <f t="shared" si="0"/>
        <v>0</v>
      </c>
      <c r="P7" s="1991">
        <f t="shared" si="0"/>
        <v>0</v>
      </c>
      <c r="Q7" s="1991">
        <f t="shared" si="0"/>
        <v>2087044.3101999999</v>
      </c>
      <c r="R7" s="1991"/>
    </row>
    <row r="8" spans="1:18" s="2194" customFormat="1" ht="25.5">
      <c r="B8" s="2802"/>
      <c r="C8" s="2195"/>
      <c r="D8" s="2195"/>
      <c r="E8" s="1731"/>
      <c r="F8" s="1715"/>
      <c r="G8" s="2177"/>
      <c r="H8" s="2177"/>
      <c r="I8" s="2177"/>
      <c r="J8" s="2177"/>
      <c r="K8" s="2177"/>
      <c r="L8" s="2177"/>
      <c r="M8" s="2177"/>
      <c r="O8" s="2177"/>
      <c r="P8" s="2178" t="s">
        <v>20</v>
      </c>
    </row>
    <row r="9" spans="1:18" s="2194" customFormat="1">
      <c r="A9" s="1819"/>
      <c r="B9" s="1819"/>
      <c r="C9" s="2195"/>
      <c r="D9" s="2195"/>
      <c r="E9" s="1731"/>
      <c r="F9" s="1715"/>
      <c r="G9" s="2177"/>
      <c r="H9" s="2177"/>
      <c r="I9" s="2177"/>
      <c r="J9" s="2177"/>
      <c r="K9" s="2177"/>
      <c r="L9" s="2177"/>
      <c r="M9" s="2177"/>
      <c r="O9" s="2177"/>
      <c r="P9" s="2178" t="s">
        <v>21</v>
      </c>
    </row>
    <row r="10" spans="1:18" s="2193" customFormat="1">
      <c r="A10" s="1822"/>
      <c r="B10" s="1822"/>
      <c r="C10" s="1915" t="s">
        <v>329</v>
      </c>
      <c r="D10" s="1915"/>
      <c r="E10" s="1915"/>
      <c r="F10" s="1915"/>
    </row>
    <row r="11" spans="1:18">
      <c r="A11" s="1822"/>
      <c r="B11" s="1822"/>
      <c r="D11" s="2177"/>
      <c r="E11" s="2193"/>
    </row>
    <row r="12" spans="1:18">
      <c r="A12" s="1822"/>
      <c r="B12" s="2178"/>
      <c r="C12" s="1887" t="s">
        <v>314</v>
      </c>
      <c r="D12" s="2157">
        <f>D15+D23+D29+D36+D42+D48+D54+D60</f>
        <v>1196031.8907999999</v>
      </c>
      <c r="E12" s="1948">
        <f>E15+E23+E29+E36+E42+E48+E54+E60</f>
        <v>891012.41940000001</v>
      </c>
      <c r="F12" s="2157">
        <f>D12+E12</f>
        <v>2087044.3101999999</v>
      </c>
    </row>
    <row r="13" spans="1:18" ht="15.75">
      <c r="A13" s="2178"/>
      <c r="B13" s="1863"/>
      <c r="C13" s="1947"/>
      <c r="D13" s="2177"/>
      <c r="E13" s="1787"/>
      <c r="G13" s="1802"/>
      <c r="H13" s="1802"/>
    </row>
    <row r="14" spans="1:18" s="2194" customFormat="1" ht="15.75">
      <c r="A14" s="1863"/>
      <c r="B14" s="1863"/>
      <c r="C14" s="1888" t="s">
        <v>45</v>
      </c>
      <c r="D14" s="1969">
        <v>2016</v>
      </c>
      <c r="E14" s="1970">
        <v>2017</v>
      </c>
      <c r="F14" s="1950" t="s">
        <v>23</v>
      </c>
      <c r="G14" s="1796"/>
      <c r="H14" s="1796"/>
    </row>
    <row r="15" spans="1:18" s="2194" customFormat="1">
      <c r="A15" s="1863"/>
      <c r="B15" s="1886" t="s">
        <v>312</v>
      </c>
      <c r="C15" s="2106" t="s">
        <v>46</v>
      </c>
      <c r="D15" s="2183">
        <f>SUM(D16:D21)</f>
        <v>433672.39999999997</v>
      </c>
      <c r="E15" s="1926">
        <f>SUM(E16:E21)</f>
        <v>444513</v>
      </c>
      <c r="F15" s="2157">
        <f t="shared" ref="F15:F23" si="1">SUM(D15:E15)</f>
        <v>878185.39999999991</v>
      </c>
      <c r="G15" s="3637" t="s">
        <v>928</v>
      </c>
      <c r="H15" s="3638"/>
    </row>
    <row r="16" spans="1:18">
      <c r="A16" s="2178"/>
      <c r="B16" s="2610">
        <v>0.87</v>
      </c>
      <c r="C16" s="2197" t="s">
        <v>768</v>
      </c>
      <c r="D16" s="2201">
        <v>86734.48</v>
      </c>
      <c r="E16" s="2200">
        <v>88902.6</v>
      </c>
      <c r="F16" s="1879">
        <f t="shared" si="1"/>
        <v>175637.08000000002</v>
      </c>
      <c r="G16" s="3639" t="s">
        <v>929</v>
      </c>
      <c r="H16" s="3640"/>
    </row>
    <row r="17" spans="1:9">
      <c r="A17" s="2178"/>
      <c r="B17" s="2610">
        <v>0.87</v>
      </c>
      <c r="C17" s="2197" t="s">
        <v>769</v>
      </c>
      <c r="D17" s="2201">
        <v>86734.48</v>
      </c>
      <c r="E17" s="2200">
        <v>88902.6</v>
      </c>
      <c r="F17" s="2191">
        <f t="shared" si="1"/>
        <v>175637.08000000002</v>
      </c>
      <c r="H17" s="2177" t="s">
        <v>930</v>
      </c>
      <c r="I17" s="2928">
        <v>110772</v>
      </c>
    </row>
    <row r="18" spans="1:9">
      <c r="A18" s="2178"/>
      <c r="B18" s="2610">
        <v>0.87</v>
      </c>
      <c r="C18" s="2197" t="s">
        <v>770</v>
      </c>
      <c r="D18" s="2201">
        <v>86734.48</v>
      </c>
      <c r="E18" s="2200">
        <v>88902.6</v>
      </c>
      <c r="F18" s="2191">
        <f t="shared" si="1"/>
        <v>175637.08000000002</v>
      </c>
      <c r="I18" s="2177" t="s">
        <v>931</v>
      </c>
    </row>
    <row r="19" spans="1:9">
      <c r="A19" s="2178"/>
      <c r="B19" s="2610">
        <v>0.87</v>
      </c>
      <c r="C19" s="2197" t="s">
        <v>771</v>
      </c>
      <c r="D19" s="2201">
        <v>86734.48</v>
      </c>
      <c r="E19" s="2200">
        <v>88902.6</v>
      </c>
      <c r="F19" s="2191">
        <f t="shared" si="1"/>
        <v>175637.08000000002</v>
      </c>
    </row>
    <row r="20" spans="1:9">
      <c r="A20" s="2178"/>
      <c r="B20" s="2610">
        <v>0.87</v>
      </c>
      <c r="C20" s="2197" t="s">
        <v>772</v>
      </c>
      <c r="D20" s="2201">
        <v>86734.48</v>
      </c>
      <c r="E20" s="2200">
        <v>88902.6</v>
      </c>
      <c r="F20" s="2191">
        <f t="shared" si="1"/>
        <v>175637.08000000002</v>
      </c>
    </row>
    <row r="21" spans="1:9">
      <c r="A21" s="2178"/>
      <c r="B21" s="2610"/>
      <c r="C21" s="2197"/>
      <c r="D21" s="2242"/>
      <c r="E21" s="2079"/>
      <c r="F21" s="2191">
        <f t="shared" si="1"/>
        <v>0</v>
      </c>
      <c r="H21" s="2177" t="s">
        <v>932</v>
      </c>
      <c r="I21" s="2928">
        <v>113541</v>
      </c>
    </row>
    <row r="22" spans="1:9">
      <c r="A22" s="2178"/>
      <c r="B22" s="1908">
        <f>SUM(B16:B21)</f>
        <v>4.3499999999999996</v>
      </c>
      <c r="C22" s="1952"/>
      <c r="D22" s="1954"/>
      <c r="E22" s="1955"/>
      <c r="F22" s="1957"/>
      <c r="I22" s="2177" t="s">
        <v>931</v>
      </c>
    </row>
    <row r="23" spans="1:9">
      <c r="A23" s="2178"/>
      <c r="B23" s="2178"/>
      <c r="C23" s="2106" t="s">
        <v>47</v>
      </c>
      <c r="D23" s="2158">
        <v>0</v>
      </c>
      <c r="E23" s="1926">
        <v>0</v>
      </c>
      <c r="F23" s="2157">
        <f t="shared" si="1"/>
        <v>0</v>
      </c>
      <c r="G23" s="1797" t="s">
        <v>7</v>
      </c>
    </row>
    <row r="24" spans="1:9">
      <c r="A24" s="2178"/>
      <c r="B24" s="2178"/>
      <c r="C24" s="2197"/>
      <c r="D24" s="2201"/>
      <c r="E24" s="2200"/>
      <c r="F24" s="1879">
        <v>0</v>
      </c>
      <c r="G24" s="1798"/>
    </row>
    <row r="25" spans="1:9">
      <c r="A25" s="2178"/>
      <c r="B25" s="2178"/>
      <c r="C25" s="2197"/>
      <c r="D25" s="2053"/>
      <c r="E25" s="2054"/>
      <c r="F25" s="2191">
        <v>0</v>
      </c>
    </row>
    <row r="26" spans="1:9">
      <c r="A26" s="2178"/>
      <c r="B26" s="1863"/>
      <c r="C26" s="2197"/>
      <c r="D26" s="2055"/>
      <c r="E26" s="2056"/>
      <c r="F26" s="2191">
        <v>0</v>
      </c>
    </row>
    <row r="27" spans="1:9" s="2194" customFormat="1">
      <c r="A27" s="1863"/>
      <c r="B27" s="2178"/>
      <c r="C27" s="2197"/>
      <c r="D27" s="2057"/>
      <c r="E27" s="2054"/>
      <c r="F27" s="2191">
        <v>0</v>
      </c>
    </row>
    <row r="28" spans="1:9">
      <c r="A28" s="2178"/>
      <c r="B28" s="1863"/>
      <c r="C28" s="1877"/>
      <c r="D28" s="1892"/>
      <c r="E28" s="1884"/>
      <c r="F28" s="1892"/>
    </row>
    <row r="29" spans="1:9" s="2194" customFormat="1">
      <c r="A29" s="1863"/>
      <c r="B29" s="2178"/>
      <c r="C29" s="2106" t="s">
        <v>778</v>
      </c>
      <c r="D29" s="2158">
        <f>D15*D30</f>
        <v>289259.49079999997</v>
      </c>
      <c r="E29" s="1926">
        <v>321399.41940000001</v>
      </c>
      <c r="F29" s="2157">
        <f>SUM(F31:F34)</f>
        <v>591528.3308</v>
      </c>
    </row>
    <row r="30" spans="1:9">
      <c r="A30" s="2178"/>
      <c r="B30" s="2178"/>
      <c r="C30" s="1909" t="s">
        <v>315</v>
      </c>
      <c r="D30" s="1912">
        <v>0.66700000000000004</v>
      </c>
      <c r="E30" s="1913">
        <v>0.68</v>
      </c>
      <c r="F30" s="1949"/>
    </row>
    <row r="31" spans="1:9">
      <c r="A31" s="2178"/>
      <c r="B31" s="2178"/>
      <c r="C31" s="2197" t="s">
        <v>773</v>
      </c>
      <c r="D31" s="2202">
        <f>D15*D30</f>
        <v>289259.49079999997</v>
      </c>
      <c r="E31" s="2202">
        <f>E15*E30</f>
        <v>302268.84000000003</v>
      </c>
      <c r="F31" s="2191">
        <f>SUM(D31:E31)</f>
        <v>591528.3308</v>
      </c>
    </row>
    <row r="32" spans="1:9">
      <c r="A32" s="2178"/>
      <c r="B32" s="2178"/>
      <c r="C32" s="2197"/>
      <c r="D32" s="1973"/>
      <c r="E32" s="2163"/>
      <c r="F32" s="2191">
        <v>0</v>
      </c>
    </row>
    <row r="33" spans="1:7">
      <c r="A33" s="2178"/>
      <c r="B33" s="2178"/>
      <c r="C33" s="1901"/>
      <c r="D33" s="1898"/>
      <c r="E33" s="1897"/>
      <c r="F33" s="1889"/>
    </row>
    <row r="34" spans="1:7">
      <c r="A34" s="2178"/>
      <c r="B34" s="2178"/>
      <c r="C34" s="1901"/>
      <c r="D34" s="1896"/>
      <c r="E34" s="1899"/>
      <c r="F34" s="1890"/>
    </row>
    <row r="35" spans="1:7">
      <c r="A35" s="2178"/>
      <c r="B35" s="1801"/>
      <c r="C35" s="1952"/>
      <c r="D35" s="1958"/>
      <c r="E35" s="1955"/>
      <c r="F35" s="1958"/>
    </row>
    <row r="36" spans="1:7" ht="25.5">
      <c r="A36" s="1831" t="s">
        <v>637</v>
      </c>
      <c r="B36" s="2178"/>
      <c r="C36" s="2106" t="s">
        <v>49</v>
      </c>
      <c r="D36" s="2158">
        <v>0</v>
      </c>
      <c r="E36" s="1926">
        <v>0</v>
      </c>
      <c r="F36" s="2157">
        <f>SUM(D36:E36)</f>
        <v>0</v>
      </c>
      <c r="G36" s="1799"/>
    </row>
    <row r="37" spans="1:7">
      <c r="A37" s="1976" t="s">
        <v>25</v>
      </c>
      <c r="B37" s="1863"/>
      <c r="C37" s="2197"/>
      <c r="D37" s="2202"/>
      <c r="E37" s="2203"/>
      <c r="F37" s="2191">
        <v>0</v>
      </c>
    </row>
    <row r="38" spans="1:7" s="2194" customFormat="1">
      <c r="A38" s="1880">
        <v>18230745</v>
      </c>
      <c r="B38" s="2178"/>
      <c r="C38" s="2197"/>
      <c r="D38" s="2202"/>
      <c r="E38" s="2203"/>
      <c r="F38" s="2191">
        <v>0</v>
      </c>
    </row>
    <row r="39" spans="1:7">
      <c r="A39" s="1976" t="s">
        <v>5</v>
      </c>
      <c r="B39" s="2178"/>
      <c r="C39" s="2197"/>
      <c r="D39" s="2202"/>
      <c r="E39" s="2203"/>
      <c r="F39" s="2191">
        <v>0</v>
      </c>
    </row>
    <row r="40" spans="1:7">
      <c r="A40" s="2178"/>
      <c r="B40" s="2178"/>
      <c r="C40" s="2197"/>
      <c r="D40" s="2202"/>
      <c r="E40" s="2203"/>
      <c r="F40" s="2191">
        <v>0</v>
      </c>
    </row>
    <row r="41" spans="1:7">
      <c r="A41" s="2178"/>
      <c r="B41" s="2178"/>
      <c r="C41" s="1952"/>
      <c r="D41" s="1958"/>
      <c r="E41" s="1955"/>
      <c r="F41" s="1958"/>
    </row>
    <row r="42" spans="1:7">
      <c r="A42" s="2178"/>
      <c r="B42" s="2178"/>
      <c r="C42" s="2106" t="s">
        <v>506</v>
      </c>
      <c r="D42" s="2158">
        <f>SUM(D43:D46)</f>
        <v>12000</v>
      </c>
      <c r="E42" s="1926">
        <f>SUM(E43:E46)</f>
        <v>12000</v>
      </c>
      <c r="F42" s="2157">
        <f>SUM(D42:E42)</f>
        <v>24000</v>
      </c>
    </row>
    <row r="43" spans="1:7">
      <c r="A43" s="2178"/>
      <c r="B43" s="2178"/>
      <c r="C43" s="2197" t="s">
        <v>774</v>
      </c>
      <c r="D43" s="2202">
        <v>12000</v>
      </c>
      <c r="E43" s="2203">
        <v>12000</v>
      </c>
      <c r="F43" s="2191">
        <f>SUM(D43:E43)</f>
        <v>24000</v>
      </c>
    </row>
    <row r="44" spans="1:7">
      <c r="A44" s="2178"/>
      <c r="B44" s="2178"/>
      <c r="C44" s="2197"/>
      <c r="D44" s="2202"/>
      <c r="E44" s="2203"/>
      <c r="F44" s="2191">
        <v>0</v>
      </c>
    </row>
    <row r="45" spans="1:7">
      <c r="A45" s="2178"/>
      <c r="B45" s="2178"/>
      <c r="C45" s="2197"/>
      <c r="D45" s="2202"/>
      <c r="E45" s="2203"/>
      <c r="F45" s="2191">
        <v>0</v>
      </c>
    </row>
    <row r="46" spans="1:7">
      <c r="A46" s="2178"/>
      <c r="B46" s="2178"/>
      <c r="C46" s="2197"/>
      <c r="D46" s="2202"/>
      <c r="E46" s="2203"/>
      <c r="F46" s="2191">
        <v>0</v>
      </c>
    </row>
    <row r="47" spans="1:7">
      <c r="A47" s="2178"/>
      <c r="B47" s="2178"/>
      <c r="C47" s="1952"/>
      <c r="D47" s="1958"/>
      <c r="E47" s="1955"/>
      <c r="F47" s="1958"/>
    </row>
    <row r="48" spans="1:7">
      <c r="A48" s="2178"/>
      <c r="B48" s="2178"/>
      <c r="C48" s="2106" t="s">
        <v>50</v>
      </c>
      <c r="D48" s="2158">
        <f>SUM(D49:D52)</f>
        <v>461100</v>
      </c>
      <c r="E48" s="1926">
        <f>SUM(E49:E52)</f>
        <v>113100</v>
      </c>
      <c r="F48" s="2157">
        <f>SUM(D48:E48)</f>
        <v>574200</v>
      </c>
    </row>
    <row r="49" spans="1:7">
      <c r="A49" s="2178"/>
      <c r="B49" s="2178"/>
      <c r="C49" s="2197" t="s">
        <v>1634</v>
      </c>
      <c r="D49" s="2202">
        <v>348000</v>
      </c>
      <c r="E49" s="2203">
        <v>0</v>
      </c>
      <c r="F49" s="2191">
        <f>SUM(D49:E49)</f>
        <v>348000</v>
      </c>
    </row>
    <row r="50" spans="1:7">
      <c r="A50" s="2178"/>
      <c r="B50" s="2178"/>
      <c r="C50" s="2197" t="s">
        <v>1635</v>
      </c>
      <c r="D50" s="2202">
        <v>113100</v>
      </c>
      <c r="E50" s="2203">
        <v>113100</v>
      </c>
      <c r="F50" s="2191">
        <f>SUM(D50:E50)</f>
        <v>226200</v>
      </c>
      <c r="G50" s="2177" t="s">
        <v>927</v>
      </c>
    </row>
    <row r="51" spans="1:7">
      <c r="A51" s="2178"/>
      <c r="B51" s="2178"/>
      <c r="C51" s="2197"/>
      <c r="D51" s="2202"/>
      <c r="E51" s="2203"/>
      <c r="F51" s="2191">
        <v>0</v>
      </c>
    </row>
    <row r="52" spans="1:7">
      <c r="A52" s="2178"/>
      <c r="B52" s="2178"/>
      <c r="C52" s="2197"/>
      <c r="D52" s="2202"/>
      <c r="E52" s="2203"/>
      <c r="F52" s="2191">
        <v>0</v>
      </c>
    </row>
    <row r="53" spans="1:7">
      <c r="A53" s="2178"/>
      <c r="B53" s="2178"/>
      <c r="C53" s="1952"/>
      <c r="D53" s="1958"/>
      <c r="E53" s="1955"/>
      <c r="F53" s="1958"/>
    </row>
    <row r="54" spans="1:7">
      <c r="A54" s="2178"/>
      <c r="B54" s="2178"/>
      <c r="C54" s="2106" t="s">
        <v>51</v>
      </c>
      <c r="D54" s="2158">
        <f>SUM(D55:D58)</f>
        <v>0</v>
      </c>
      <c r="E54" s="1926">
        <f>SUM(E55:E58)</f>
        <v>0</v>
      </c>
      <c r="F54" s="2157">
        <f>SUM(D54:E54)</f>
        <v>0</v>
      </c>
    </row>
    <row r="55" spans="1:7">
      <c r="A55" s="2178"/>
      <c r="B55" s="2178"/>
      <c r="C55" s="2197"/>
      <c r="D55" s="2202"/>
      <c r="E55" s="2163"/>
      <c r="F55" s="2191">
        <f>SUM(D55:E55)</f>
        <v>0</v>
      </c>
    </row>
    <row r="56" spans="1:7">
      <c r="A56" s="2178"/>
      <c r="B56" s="2178"/>
      <c r="C56" s="2197"/>
      <c r="D56" s="2202"/>
      <c r="E56" s="2163"/>
      <c r="F56" s="2191">
        <f>SUM(D56:E56)</f>
        <v>0</v>
      </c>
    </row>
    <row r="57" spans="1:7">
      <c r="A57" s="2178"/>
      <c r="B57" s="2178"/>
      <c r="C57" s="2197"/>
      <c r="D57" s="2202"/>
      <c r="E57" s="2163"/>
      <c r="F57" s="2191">
        <v>0</v>
      </c>
    </row>
    <row r="58" spans="1:7">
      <c r="A58" s="2178"/>
      <c r="B58" s="2178"/>
      <c r="C58" s="2197"/>
      <c r="D58" s="2202"/>
      <c r="E58" s="2163"/>
      <c r="F58" s="2191">
        <v>0</v>
      </c>
    </row>
    <row r="59" spans="1:7">
      <c r="A59" s="2178"/>
      <c r="B59" s="2178"/>
      <c r="C59" s="1952"/>
      <c r="D59" s="1958"/>
      <c r="E59" s="1955"/>
      <c r="F59" s="1958"/>
    </row>
    <row r="60" spans="1:7">
      <c r="A60" s="2178"/>
      <c r="B60" s="2178"/>
      <c r="C60" s="2106" t="s">
        <v>52</v>
      </c>
      <c r="D60" s="2183">
        <f>SUM(D61:D64)</f>
        <v>0</v>
      </c>
      <c r="E60" s="2184">
        <f>SUM(E61:E64)</f>
        <v>0</v>
      </c>
      <c r="F60" s="2157">
        <f>SUM(D60:E60)</f>
        <v>0</v>
      </c>
    </row>
    <row r="61" spans="1:7">
      <c r="A61" s="2178"/>
      <c r="B61" s="2178"/>
      <c r="C61" s="2197"/>
      <c r="D61" s="2202"/>
      <c r="E61" s="2203"/>
      <c r="F61" s="2191">
        <f>SUM(D61:E61)</f>
        <v>0</v>
      </c>
    </row>
    <row r="62" spans="1:7">
      <c r="A62" s="2178"/>
      <c r="B62" s="2178"/>
      <c r="C62" s="2197"/>
      <c r="D62" s="2202"/>
      <c r="E62" s="2203"/>
      <c r="F62" s="2191">
        <v>0</v>
      </c>
    </row>
    <row r="63" spans="1:7">
      <c r="A63" s="2178"/>
      <c r="C63" s="2197"/>
      <c r="D63" s="2202"/>
      <c r="E63" s="2203"/>
      <c r="F63" s="1890">
        <v>0</v>
      </c>
    </row>
    <row r="64" spans="1:7">
      <c r="C64" s="2197"/>
      <c r="D64" s="2202"/>
      <c r="E64" s="2203"/>
      <c r="F64" s="2191">
        <v>0</v>
      </c>
    </row>
    <row r="65" spans="3:6">
      <c r="C65" s="1952"/>
      <c r="D65" s="1958"/>
      <c r="E65" s="1955"/>
      <c r="F65" s="1958"/>
    </row>
    <row r="66" spans="3:6">
      <c r="C66" s="2106"/>
      <c r="D66" s="2158"/>
      <c r="E66" s="1926"/>
      <c r="F66" s="2157"/>
    </row>
    <row r="67" spans="3:6">
      <c r="C67" s="1967"/>
      <c r="D67" s="1961"/>
      <c r="E67" s="1962"/>
      <c r="F67" s="1966"/>
    </row>
    <row r="68" spans="3:6">
      <c r="C68" s="1968"/>
      <c r="D68" s="1963"/>
      <c r="E68" s="1964"/>
      <c r="F68" s="1965"/>
    </row>
    <row r="69" spans="3:6">
      <c r="C69" s="1959"/>
      <c r="D69" s="2202"/>
      <c r="E69" s="2202"/>
      <c r="F69" s="1956"/>
    </row>
  </sheetData>
  <customSheetViews>
    <customSheetView guid="{074EB09C-6289-46D7-9513-012B68BCA7BF}" showGridLines="0">
      <pane xSplit="1" ySplit="1" topLeftCell="B8" activePane="bottomRight" state="frozen"/>
      <selection pane="bottomRight" activeCell="E21" sqref="E21"/>
      <pageMargins left="0.7" right="0.7" top="0.75" bottom="0.75" header="0.3" footer="0.3"/>
    </customSheetView>
    <customSheetView guid="{D9EFFE19-D14B-4C6F-BDF4-FF696F73968D}" showGridLines="0">
      <pane xSplit="1" ySplit="1" topLeftCell="B8" activePane="bottomRight" state="frozen"/>
      <selection pane="bottomRight" activeCell="F29" sqref="F29"/>
      <pageMargins left="0.7" right="0.7" top="0.75" bottom="0.75" header="0.3" footer="0.3"/>
    </customSheetView>
  </customSheetViews>
  <mergeCells count="2">
    <mergeCell ref="G15:H15"/>
    <mergeCell ref="G16:H16"/>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B1A0C7"/>
    <pageSetUpPr fitToPage="1"/>
  </sheetPr>
  <dimension ref="A1:S69"/>
  <sheetViews>
    <sheetView showGridLines="0" zoomScaleNormal="100" workbookViewId="0">
      <pane xSplit="1" ySplit="1" topLeftCell="B2" activePane="bottomRight" state="frozen"/>
      <selection pane="topRight" activeCell="B1" sqref="B1"/>
      <selection pane="bottomLeft" activeCell="A2" sqref="A2"/>
      <selection pane="bottomRight" activeCell="G56" sqref="G56"/>
    </sheetView>
  </sheetViews>
  <sheetFormatPr defaultRowHeight="12.75"/>
  <cols>
    <col min="1" max="1" width="17.85546875" style="21" customWidth="1"/>
    <col min="2" max="2" width="15.7109375" style="1865" customWidth="1"/>
    <col min="3" max="3" width="41.85546875" style="28" customWidth="1"/>
    <col min="4" max="4" width="19.28515625" style="28" customWidth="1"/>
    <col min="5" max="5" width="19.28515625" style="1" customWidth="1"/>
    <col min="6" max="6" width="18.85546875" style="2" customWidth="1"/>
    <col min="7" max="11" width="18.85546875" customWidth="1"/>
    <col min="12" max="12" width="17.5703125" customWidth="1"/>
    <col min="13" max="13" width="24.42578125" customWidth="1"/>
    <col min="14" max="14" width="19.42578125" customWidth="1"/>
    <col min="15" max="15" width="17.85546875" customWidth="1"/>
    <col min="16" max="16" width="22.5703125" bestFit="1" customWidth="1"/>
    <col min="17" max="17" width="16" customWidth="1"/>
    <col min="18" max="18" width="10.85546875" bestFit="1" customWidth="1"/>
  </cols>
  <sheetData>
    <row r="1" spans="1:19" ht="51.75" customHeight="1">
      <c r="D1" s="1830" t="s">
        <v>26</v>
      </c>
      <c r="E1" s="1977" t="s">
        <v>6</v>
      </c>
      <c r="F1" s="1880">
        <v>18230811</v>
      </c>
      <c r="G1" s="1986" t="s">
        <v>5</v>
      </c>
      <c r="M1" s="1830" t="s">
        <v>26</v>
      </c>
      <c r="N1" s="1977" t="s">
        <v>6</v>
      </c>
      <c r="O1" s="1880">
        <v>18230811</v>
      </c>
      <c r="P1" s="1986" t="s">
        <v>5</v>
      </c>
    </row>
    <row r="2" spans="1:19" ht="16.5" thickBot="1">
      <c r="D2" s="26"/>
      <c r="E2" s="26"/>
      <c r="F2" s="26"/>
      <c r="G2" s="1805"/>
      <c r="H2" s="1576" t="s">
        <v>674</v>
      </c>
      <c r="I2" s="1805"/>
      <c r="J2" s="1805"/>
      <c r="K2" s="1805"/>
      <c r="L2" s="1805"/>
      <c r="M2" s="1805"/>
      <c r="N2" s="1805"/>
      <c r="O2" s="1805"/>
      <c r="P2" s="1805"/>
      <c r="Q2" s="1805"/>
    </row>
    <row r="3" spans="1:19" ht="26.25" thickBot="1">
      <c r="A3" s="1829" t="s">
        <v>26</v>
      </c>
      <c r="B3" s="1829"/>
      <c r="D3" s="1747"/>
      <c r="E3" s="1747"/>
      <c r="F3" s="1747"/>
      <c r="G3" s="1805"/>
      <c r="H3" s="1577" t="s">
        <v>8</v>
      </c>
      <c r="I3" s="1538" t="s">
        <v>9</v>
      </c>
      <c r="J3" s="1538" t="s">
        <v>10</v>
      </c>
      <c r="K3" s="1538" t="s">
        <v>11</v>
      </c>
      <c r="L3" s="2037" t="s">
        <v>504</v>
      </c>
      <c r="M3" s="1538" t="s">
        <v>12</v>
      </c>
      <c r="N3" s="1538" t="s">
        <v>13</v>
      </c>
      <c r="O3" s="1538" t="s">
        <v>14</v>
      </c>
      <c r="P3" s="1538" t="s">
        <v>15</v>
      </c>
      <c r="Q3" s="1538"/>
      <c r="R3" s="1538" t="s">
        <v>16</v>
      </c>
      <c r="S3" s="1995"/>
    </row>
    <row r="4" spans="1:19" ht="15.75">
      <c r="A4" s="1976" t="s">
        <v>6</v>
      </c>
      <c r="B4" s="1822"/>
      <c r="C4" s="1747"/>
      <c r="D4" s="1747"/>
      <c r="E4" s="1747"/>
      <c r="F4" s="1747"/>
      <c r="G4" s="1804" t="s">
        <v>668</v>
      </c>
      <c r="H4" s="2003">
        <v>252393</v>
      </c>
      <c r="I4" s="2002">
        <v>0</v>
      </c>
      <c r="J4" s="2002">
        <v>178442</v>
      </c>
      <c r="K4" s="2002">
        <v>40890</v>
      </c>
      <c r="L4" s="2002">
        <v>65000</v>
      </c>
      <c r="M4" s="2002">
        <v>214850</v>
      </c>
      <c r="N4" s="2002">
        <v>60941</v>
      </c>
      <c r="O4" s="2002">
        <v>2000</v>
      </c>
      <c r="P4" s="2002">
        <v>0</v>
      </c>
      <c r="Q4" s="2002"/>
      <c r="R4" s="2002">
        <v>814516</v>
      </c>
      <c r="S4" s="1998"/>
    </row>
    <row r="5" spans="1:19" ht="15.75">
      <c r="A5" s="1880">
        <v>18230811</v>
      </c>
      <c r="B5" s="1808"/>
      <c r="C5" s="1720"/>
      <c r="D5" s="1720"/>
      <c r="E5" s="1720"/>
      <c r="F5" s="1720"/>
      <c r="G5" s="1228">
        <v>2016</v>
      </c>
      <c r="H5" s="1582">
        <f>D15</f>
        <v>402285.54000000004</v>
      </c>
      <c r="I5" s="1549">
        <f>D22</f>
        <v>6586.1</v>
      </c>
      <c r="J5" s="1549">
        <f>D28</f>
        <v>272717.38388000004</v>
      </c>
      <c r="K5" s="1549">
        <f>D35</f>
        <v>93305</v>
      </c>
      <c r="L5" s="1549">
        <f>D41</f>
        <v>73515</v>
      </c>
      <c r="M5" s="1549">
        <f>D47</f>
        <v>28275</v>
      </c>
      <c r="N5" s="1549">
        <f>D53</f>
        <v>22615</v>
      </c>
      <c r="O5" s="1549">
        <f>D59</f>
        <v>0</v>
      </c>
      <c r="P5" s="1549">
        <v>0</v>
      </c>
      <c r="Q5" s="1549"/>
      <c r="R5" s="1549">
        <f>SUM(H5:P5)</f>
        <v>899299.02387999999</v>
      </c>
      <c r="S5" s="1999"/>
    </row>
    <row r="6" spans="1:19" ht="16.5" thickBot="1">
      <c r="A6" s="1987" t="s">
        <v>5</v>
      </c>
      <c r="B6" s="1880"/>
      <c r="C6" s="1714"/>
      <c r="D6" s="1720"/>
      <c r="E6" s="1720"/>
      <c r="F6" s="1720"/>
      <c r="G6" s="1228">
        <v>2017</v>
      </c>
      <c r="H6" s="57">
        <f>E15</f>
        <v>412342.67849999998</v>
      </c>
      <c r="I6" s="1990">
        <f>E22</f>
        <v>9830</v>
      </c>
      <c r="J6" s="1989">
        <f>E28</f>
        <v>287077.42138000001</v>
      </c>
      <c r="K6" s="58">
        <f>E35</f>
        <v>92830</v>
      </c>
      <c r="L6" s="58">
        <f>E41</f>
        <v>73515</v>
      </c>
      <c r="M6" s="58">
        <f>E47</f>
        <v>28275</v>
      </c>
      <c r="N6" s="58">
        <f>E53</f>
        <v>22615</v>
      </c>
      <c r="O6" s="58">
        <f>E59</f>
        <v>0</v>
      </c>
      <c r="P6" s="58">
        <v>0</v>
      </c>
      <c r="Q6" s="58"/>
      <c r="R6" s="58">
        <f>SUM(H6:P6)</f>
        <v>926485.09987999999</v>
      </c>
      <c r="S6" s="1996"/>
    </row>
    <row r="7" spans="1:19" s="18" customFormat="1" ht="16.5" thickBot="1">
      <c r="B7" s="1819"/>
      <c r="C7" s="1757"/>
      <c r="D7" s="1757"/>
      <c r="E7" s="1757"/>
      <c r="F7" s="1757"/>
      <c r="G7" s="1751" t="s">
        <v>23</v>
      </c>
      <c r="H7" s="1564">
        <f>SUM(H5:H6)</f>
        <v>814628.21849999996</v>
      </c>
      <c r="I7" s="1991">
        <f t="shared" ref="I7:P7" si="0">SUM(I5:I6)</f>
        <v>16416.099999999999</v>
      </c>
      <c r="J7" s="1992">
        <f t="shared" si="0"/>
        <v>559794.80526000005</v>
      </c>
      <c r="K7" s="1993">
        <f t="shared" si="0"/>
        <v>186135</v>
      </c>
      <c r="L7" s="1991">
        <f t="shared" si="0"/>
        <v>147030</v>
      </c>
      <c r="M7" s="1992">
        <f t="shared" si="0"/>
        <v>56550</v>
      </c>
      <c r="N7" s="1991">
        <f t="shared" si="0"/>
        <v>45230</v>
      </c>
      <c r="O7" s="1992">
        <f t="shared" si="0"/>
        <v>0</v>
      </c>
      <c r="P7" s="1993">
        <f t="shared" si="0"/>
        <v>0</v>
      </c>
      <c r="Q7" s="1993"/>
      <c r="R7" s="1991">
        <f>SUM(R5:R6)</f>
        <v>1825784.1237599999</v>
      </c>
      <c r="S7" s="1994"/>
    </row>
    <row r="8" spans="1:19" s="18" customFormat="1">
      <c r="B8" s="1829"/>
      <c r="C8" s="1757"/>
      <c r="D8" s="1757"/>
      <c r="E8" s="1717"/>
      <c r="F8" s="1719"/>
      <c r="G8" s="1758"/>
      <c r="H8"/>
      <c r="I8"/>
      <c r="J8"/>
      <c r="K8"/>
      <c r="L8"/>
      <c r="M8"/>
      <c r="O8"/>
      <c r="P8" s="21" t="s">
        <v>20</v>
      </c>
    </row>
    <row r="9" spans="1:19" s="18" customFormat="1">
      <c r="A9" s="1819"/>
      <c r="B9" s="1819"/>
      <c r="C9" s="1757"/>
      <c r="D9" s="1757"/>
      <c r="E9" s="1717"/>
      <c r="F9" s="1719"/>
      <c r="G9" s="1758"/>
      <c r="H9"/>
      <c r="I9"/>
      <c r="J9"/>
      <c r="K9"/>
      <c r="L9"/>
      <c r="M9"/>
      <c r="O9"/>
      <c r="P9" s="21" t="s">
        <v>21</v>
      </c>
    </row>
    <row r="10" spans="1:19" s="9" customFormat="1">
      <c r="A10" s="1822"/>
      <c r="B10" s="1822"/>
      <c r="C10" s="1915" t="s">
        <v>329</v>
      </c>
      <c r="D10" s="1915"/>
      <c r="E10" s="1915"/>
      <c r="F10" s="1915"/>
    </row>
    <row r="11" spans="1:19" ht="18" customHeight="1">
      <c r="A11" s="1822"/>
      <c r="B11" s="1822"/>
      <c r="C11" s="1866"/>
      <c r="D11" s="1866"/>
      <c r="E11" s="1867"/>
      <c r="F11" s="1866"/>
    </row>
    <row r="12" spans="1:19">
      <c r="A12" s="1822"/>
      <c r="C12" s="1887" t="s">
        <v>314</v>
      </c>
      <c r="D12" s="1924">
        <f>D15+D22+D28+D35+D41+D47+D53+D59</f>
        <v>899299.02387999999</v>
      </c>
      <c r="E12" s="1948">
        <f>E15+E22+E28+E35+E41+E47+E53+E59</f>
        <v>926485.09987999999</v>
      </c>
      <c r="F12" s="1924">
        <f>D12+E12</f>
        <v>1825784.1237599999</v>
      </c>
    </row>
    <row r="13" spans="1:19" ht="13.5" customHeight="1">
      <c r="B13" s="1863"/>
      <c r="C13" s="1947"/>
      <c r="D13" s="1866"/>
      <c r="E13" s="1787"/>
      <c r="F13" s="1866"/>
      <c r="G13" s="1718"/>
      <c r="H13" s="1297"/>
    </row>
    <row r="14" spans="1:19" s="18" customFormat="1" ht="13.5" customHeight="1">
      <c r="A14" s="29"/>
      <c r="B14" s="1863"/>
      <c r="C14" s="1888" t="s">
        <v>45</v>
      </c>
      <c r="D14" s="1969">
        <v>2016</v>
      </c>
      <c r="E14" s="1970">
        <v>2017</v>
      </c>
      <c r="F14" s="1950" t="s">
        <v>23</v>
      </c>
      <c r="G14" s="30"/>
      <c r="H14" s="30"/>
    </row>
    <row r="15" spans="1:19" s="18" customFormat="1" ht="13.5" customHeight="1">
      <c r="A15" s="29"/>
      <c r="B15" s="1886" t="s">
        <v>312</v>
      </c>
      <c r="C15" s="1910" t="s">
        <v>46</v>
      </c>
      <c r="D15" s="1911">
        <f>SUM(D16:D20)</f>
        <v>402285.54000000004</v>
      </c>
      <c r="E15" s="1926">
        <f>SUM(E16:E20)</f>
        <v>412342.67849999998</v>
      </c>
      <c r="F15" s="1924">
        <f t="shared" ref="F15:F22" si="1">SUM(D15:E15)</f>
        <v>814628.21849999996</v>
      </c>
      <c r="G15" s="30"/>
      <c r="H15" s="30"/>
    </row>
    <row r="16" spans="1:19" ht="13.5" customHeight="1">
      <c r="B16" s="2610">
        <v>0.45</v>
      </c>
      <c r="C16" s="2197" t="s">
        <v>344</v>
      </c>
      <c r="D16" s="2201">
        <v>33278</v>
      </c>
      <c r="E16" s="2200">
        <f>D16*1.025</f>
        <v>34109.949999999997</v>
      </c>
      <c r="F16" s="1879">
        <f t="shared" si="1"/>
        <v>67387.95</v>
      </c>
    </row>
    <row r="17" spans="1:11" s="2177" customFormat="1" ht="13.5" customHeight="1">
      <c r="A17" s="2178"/>
      <c r="B17" s="2610">
        <v>0.3</v>
      </c>
      <c r="C17" s="2197" t="s">
        <v>840</v>
      </c>
      <c r="D17" s="2201">
        <v>25882.29</v>
      </c>
      <c r="E17" s="2200">
        <f>D17*1.025</f>
        <v>26529.347249999999</v>
      </c>
      <c r="F17" s="2191"/>
    </row>
    <row r="18" spans="1:11" ht="13.5" customHeight="1">
      <c r="B18" s="2610">
        <v>0.8</v>
      </c>
      <c r="C18" s="2197" t="s">
        <v>791</v>
      </c>
      <c r="D18" s="2199">
        <v>75428.38</v>
      </c>
      <c r="E18" s="2198">
        <f>D18*1.025</f>
        <v>77314.089500000002</v>
      </c>
      <c r="F18" s="1891">
        <f t="shared" si="1"/>
        <v>152742.46950000001</v>
      </c>
    </row>
    <row r="19" spans="1:11" ht="13.5" customHeight="1">
      <c r="B19" s="2610">
        <v>0.85</v>
      </c>
      <c r="C19" s="2197" t="s">
        <v>841</v>
      </c>
      <c r="D19" s="2199">
        <v>62856.99</v>
      </c>
      <c r="E19" s="2198">
        <f>D19*1.025</f>
        <v>64428.414749999989</v>
      </c>
      <c r="F19" s="1891">
        <f t="shared" si="1"/>
        <v>127285.40474999999</v>
      </c>
      <c r="I19" s="31"/>
      <c r="J19" s="31"/>
      <c r="K19" s="31"/>
    </row>
    <row r="20" spans="1:11" s="18" customFormat="1" ht="13.5" customHeight="1">
      <c r="A20" s="32"/>
      <c r="B20" s="2610">
        <v>2.5499999999999998</v>
      </c>
      <c r="C20" s="2197" t="s">
        <v>842</v>
      </c>
      <c r="D20" s="1903">
        <v>204839.88</v>
      </c>
      <c r="E20" s="1902">
        <f>D20*1.025</f>
        <v>209960.87699999998</v>
      </c>
      <c r="F20" s="1891">
        <f t="shared" si="1"/>
        <v>414800.75699999998</v>
      </c>
      <c r="I20" s="31"/>
      <c r="J20" s="31"/>
      <c r="K20" s="31"/>
    </row>
    <row r="21" spans="1:11" ht="13.5" customHeight="1">
      <c r="B21" s="1908">
        <f>SUM(B16:B20)</f>
        <v>4.9499999999999993</v>
      </c>
      <c r="C21" s="1952"/>
      <c r="D21" s="1954"/>
      <c r="E21" s="1955"/>
      <c r="F21" s="1957"/>
      <c r="I21" s="33"/>
      <c r="J21" s="31"/>
      <c r="K21" s="31"/>
    </row>
    <row r="22" spans="1:11" ht="13.5" customHeight="1">
      <c r="C22" s="1910" t="s">
        <v>47</v>
      </c>
      <c r="D22" s="2183">
        <f>SUM(D23:D26)</f>
        <v>6586.1</v>
      </c>
      <c r="E22" s="2184">
        <f>SUM(E23:E26)</f>
        <v>9830</v>
      </c>
      <c r="F22" s="1924">
        <f t="shared" si="1"/>
        <v>16416.099999999999</v>
      </c>
      <c r="I22" s="33"/>
      <c r="J22" s="31"/>
      <c r="K22" s="31"/>
    </row>
    <row r="23" spans="1:11" ht="13.5" customHeight="1">
      <c r="C23" s="2197" t="s">
        <v>843</v>
      </c>
      <c r="D23" s="2201">
        <v>2914.5</v>
      </c>
      <c r="E23" s="2200">
        <v>4350</v>
      </c>
      <c r="F23" s="1879">
        <v>0</v>
      </c>
      <c r="G23" s="34" t="s">
        <v>7</v>
      </c>
      <c r="I23" s="33"/>
      <c r="J23" s="31"/>
      <c r="K23" s="31"/>
    </row>
    <row r="24" spans="1:11" ht="13.5" customHeight="1">
      <c r="C24" s="2197" t="s">
        <v>867</v>
      </c>
      <c r="D24" s="2201">
        <v>2331.6</v>
      </c>
      <c r="E24" s="2200">
        <v>3480</v>
      </c>
      <c r="F24" s="1891">
        <v>0</v>
      </c>
      <c r="G24" s="35"/>
      <c r="I24" s="33"/>
      <c r="J24" s="31"/>
      <c r="K24" s="31"/>
    </row>
    <row r="25" spans="1:11" ht="13.5" customHeight="1">
      <c r="C25" s="2197" t="s">
        <v>868</v>
      </c>
      <c r="D25" s="1900">
        <v>1340</v>
      </c>
      <c r="E25" s="1899">
        <v>2000</v>
      </c>
      <c r="F25" s="1891">
        <v>0</v>
      </c>
      <c r="I25" s="36"/>
      <c r="J25" s="31"/>
      <c r="K25" s="31"/>
    </row>
    <row r="26" spans="1:11" ht="13.5" customHeight="1">
      <c r="B26" s="1863"/>
      <c r="C26" s="1876"/>
      <c r="D26" s="1896"/>
      <c r="E26" s="1899"/>
      <c r="F26" s="1891">
        <v>0</v>
      </c>
      <c r="I26" s="33"/>
      <c r="J26" s="31"/>
      <c r="K26" s="31"/>
    </row>
    <row r="27" spans="1:11" s="18" customFormat="1" ht="13.5" customHeight="1">
      <c r="A27" s="29"/>
      <c r="B27" s="1865"/>
      <c r="C27" s="1877"/>
      <c r="D27" s="1892"/>
      <c r="E27" s="1884"/>
      <c r="F27" s="1892"/>
    </row>
    <row r="28" spans="1:11" ht="13.5" customHeight="1">
      <c r="B28" s="1863"/>
      <c r="C28" s="1910" t="s">
        <v>48</v>
      </c>
      <c r="D28" s="1911">
        <f>SUM(D30:D33)</f>
        <v>272717.38388000004</v>
      </c>
      <c r="E28" s="1926">
        <f>SUM(E30:E33)</f>
        <v>287077.42138000001</v>
      </c>
      <c r="F28" s="1924">
        <f>SUM(F30:F33)</f>
        <v>559794.80526000005</v>
      </c>
    </row>
    <row r="29" spans="1:11" s="18" customFormat="1" ht="13.5" customHeight="1">
      <c r="A29" s="29"/>
      <c r="B29" s="1865"/>
      <c r="C29" s="1909" t="s">
        <v>315</v>
      </c>
      <c r="D29" s="1912">
        <v>0.66700000000000004</v>
      </c>
      <c r="E29" s="1913">
        <v>0.68</v>
      </c>
      <c r="F29" s="1949"/>
    </row>
    <row r="30" spans="1:11" ht="13.5" customHeight="1">
      <c r="C30" s="2161" t="s">
        <v>1651</v>
      </c>
      <c r="D30" s="2202">
        <f>D15*D29</f>
        <v>268324.45518000005</v>
      </c>
      <c r="E30" s="2202">
        <f>E15*E29</f>
        <v>280393.02137999999</v>
      </c>
      <c r="F30" s="1891">
        <f>SUM(D30:E30)</f>
        <v>548717.4765600001</v>
      </c>
    </row>
    <row r="31" spans="1:11" ht="13.5" customHeight="1">
      <c r="C31" s="2161" t="s">
        <v>1652</v>
      </c>
      <c r="D31" s="1973">
        <f>D22*D29</f>
        <v>4392.9287000000004</v>
      </c>
      <c r="E31" s="1973">
        <f>E22*E29</f>
        <v>6684.4000000000005</v>
      </c>
      <c r="F31" s="2191">
        <f>SUM(D31:E31)</f>
        <v>11077.328700000002</v>
      </c>
    </row>
    <row r="32" spans="1:11" ht="13.5" customHeight="1">
      <c r="B32" s="37"/>
      <c r="C32" s="1901"/>
      <c r="D32" s="1898"/>
      <c r="E32" s="1897"/>
      <c r="F32" s="2191">
        <f>SUM(D32:E32)</f>
        <v>0</v>
      </c>
    </row>
    <row r="33" spans="1:7" ht="13.5" customHeight="1">
      <c r="A33" s="37"/>
      <c r="C33" s="1901"/>
      <c r="D33" s="1896"/>
      <c r="E33" s="1899"/>
      <c r="F33" s="2191">
        <f>SUM(D33:E33)</f>
        <v>0</v>
      </c>
      <c r="G33" s="37"/>
    </row>
    <row r="34" spans="1:7" ht="13.5" customHeight="1">
      <c r="A34" s="2313" t="s">
        <v>509</v>
      </c>
      <c r="C34" s="1952"/>
      <c r="D34" s="1958"/>
      <c r="E34" s="1955"/>
      <c r="F34" s="1958"/>
    </row>
    <row r="35" spans="1:7" ht="13.5" customHeight="1">
      <c r="A35" s="2313" t="s">
        <v>508</v>
      </c>
      <c r="C35" s="2106" t="s">
        <v>49</v>
      </c>
      <c r="D35" s="2167">
        <f>SUM(D36:D39)</f>
        <v>93305</v>
      </c>
      <c r="E35" s="2168">
        <f>SUM(E36:E39)</f>
        <v>92830</v>
      </c>
      <c r="F35" s="1924">
        <f>SUM(D35:E35)</f>
        <v>186135</v>
      </c>
      <c r="G35" s="38"/>
    </row>
    <row r="36" spans="1:7" ht="13.5" customHeight="1">
      <c r="A36" s="1976" t="s">
        <v>6</v>
      </c>
      <c r="B36" s="1863"/>
      <c r="C36" s="2197" t="s">
        <v>844</v>
      </c>
      <c r="D36" s="2924">
        <v>66555</v>
      </c>
      <c r="E36" s="2925">
        <v>66555</v>
      </c>
      <c r="F36" s="1891">
        <f>D36+E36</f>
        <v>133110</v>
      </c>
    </row>
    <row r="37" spans="1:7" s="18" customFormat="1" ht="13.5" customHeight="1">
      <c r="A37" s="1880">
        <v>18230811</v>
      </c>
      <c r="B37" s="1865"/>
      <c r="C37" s="2197" t="s">
        <v>845</v>
      </c>
      <c r="D37" s="2924">
        <v>21750</v>
      </c>
      <c r="E37" s="2925">
        <v>21275</v>
      </c>
      <c r="F37" s="2166">
        <f>D37+E37</f>
        <v>43025</v>
      </c>
    </row>
    <row r="38" spans="1:7" ht="13.5" customHeight="1">
      <c r="A38" s="1987" t="s">
        <v>5</v>
      </c>
      <c r="C38" s="2197" t="s">
        <v>868</v>
      </c>
      <c r="D38" s="2202">
        <v>5000</v>
      </c>
      <c r="E38" s="2203">
        <v>5000</v>
      </c>
      <c r="F38" s="2166">
        <f>D38+E38</f>
        <v>10000</v>
      </c>
    </row>
    <row r="39" spans="1:7" ht="13.5" customHeight="1">
      <c r="C39" s="2197"/>
      <c r="D39" s="2170"/>
      <c r="E39" s="2169"/>
      <c r="F39" s="2166">
        <f>D39+E39</f>
        <v>0</v>
      </c>
    </row>
    <row r="40" spans="1:7" ht="13.5" customHeight="1">
      <c r="C40" s="1952"/>
      <c r="D40" s="1958"/>
      <c r="E40" s="1955"/>
      <c r="F40" s="1958"/>
    </row>
    <row r="41" spans="1:7" ht="13.5" customHeight="1">
      <c r="C41" s="2106" t="s">
        <v>506</v>
      </c>
      <c r="D41" s="1911">
        <f>SUM(D42:D45)</f>
        <v>73515</v>
      </c>
      <c r="E41" s="1926">
        <f>SUM(E42:E45)</f>
        <v>73515</v>
      </c>
      <c r="F41" s="1924">
        <f>SUM(D41:E41)</f>
        <v>147030</v>
      </c>
    </row>
    <row r="42" spans="1:7" ht="13.5" customHeight="1">
      <c r="C42" s="2197" t="s">
        <v>846</v>
      </c>
      <c r="D42" s="2202">
        <v>14790</v>
      </c>
      <c r="E42" s="2189">
        <v>14790</v>
      </c>
      <c r="F42" s="1891">
        <f>SUM(D42:E42)</f>
        <v>29580</v>
      </c>
    </row>
    <row r="43" spans="1:7" s="2164" customFormat="1" ht="13.5" customHeight="1">
      <c r="A43" s="2165"/>
      <c r="B43" s="2165"/>
      <c r="C43" s="2197" t="s">
        <v>847</v>
      </c>
      <c r="D43" s="2202">
        <v>23925</v>
      </c>
      <c r="E43" s="2163">
        <v>23925</v>
      </c>
      <c r="F43" s="2171">
        <f>SUM(D43:E43)</f>
        <v>47850</v>
      </c>
    </row>
    <row r="44" spans="1:7" ht="13.5" customHeight="1">
      <c r="C44" s="2197" t="s">
        <v>848</v>
      </c>
      <c r="D44" s="2202">
        <v>34800</v>
      </c>
      <c r="E44" s="2202">
        <v>34800</v>
      </c>
      <c r="F44" s="2171">
        <f>SUM(D44:E44)</f>
        <v>69600</v>
      </c>
    </row>
    <row r="45" spans="1:7" ht="13.5" customHeight="1">
      <c r="C45" s="2197"/>
      <c r="D45" s="2172"/>
      <c r="E45" s="2163"/>
      <c r="F45" s="2171">
        <f>SUM(D45:E45)</f>
        <v>0</v>
      </c>
    </row>
    <row r="46" spans="1:7" ht="13.5" customHeight="1">
      <c r="C46" s="1952"/>
      <c r="D46" s="2185"/>
      <c r="E46" s="1955"/>
      <c r="F46" s="1958"/>
    </row>
    <row r="47" spans="1:7" ht="13.5" customHeight="1">
      <c r="C47" s="2106" t="s">
        <v>50</v>
      </c>
      <c r="D47" s="2186">
        <f>SUM(D48:D51)</f>
        <v>28275</v>
      </c>
      <c r="E47" s="1926">
        <f>SUM(E48:E51)</f>
        <v>28275</v>
      </c>
      <c r="F47" s="1924">
        <f>SUM(D47:E47)</f>
        <v>56550</v>
      </c>
    </row>
    <row r="48" spans="1:7" ht="13.5" customHeight="1">
      <c r="C48" s="2197" t="s">
        <v>849</v>
      </c>
      <c r="D48" s="2202">
        <v>28275</v>
      </c>
      <c r="E48" s="2202">
        <v>28275</v>
      </c>
      <c r="F48" s="1891">
        <f>SUM(D48:E48)</f>
        <v>56550</v>
      </c>
    </row>
    <row r="49" spans="1:6" ht="13.5" customHeight="1">
      <c r="C49" s="2197"/>
      <c r="D49" s="1971"/>
      <c r="E49" s="1988"/>
      <c r="F49" s="1891">
        <f>SUM(D49:E49)</f>
        <v>0</v>
      </c>
    </row>
    <row r="50" spans="1:6" ht="13.5" customHeight="1">
      <c r="C50" s="2197"/>
      <c r="D50" s="1971"/>
      <c r="E50" s="1988"/>
      <c r="F50" s="1891">
        <v>0</v>
      </c>
    </row>
    <row r="51" spans="1:6" ht="13.5" customHeight="1">
      <c r="C51" s="2197"/>
      <c r="D51" s="1971"/>
      <c r="E51" s="1988"/>
      <c r="F51" s="1891">
        <v>0</v>
      </c>
    </row>
    <row r="52" spans="1:6" ht="13.5" customHeight="1">
      <c r="C52" s="1952"/>
      <c r="D52" s="2185"/>
      <c r="E52" s="1955"/>
      <c r="F52" s="1958"/>
    </row>
    <row r="53" spans="1:6" ht="13.5" customHeight="1">
      <c r="C53" s="2106" t="s">
        <v>51</v>
      </c>
      <c r="D53" s="2186">
        <f>SUM(D54:D57)</f>
        <v>22615</v>
      </c>
      <c r="E53" s="2176">
        <f>SUM(E54:E57)</f>
        <v>22615</v>
      </c>
      <c r="F53" s="1924">
        <f t="shared" ref="F53:F57" si="2">SUM(D53:E53)</f>
        <v>45230</v>
      </c>
    </row>
    <row r="54" spans="1:6" ht="13.5" customHeight="1">
      <c r="C54" s="2197" t="s">
        <v>850</v>
      </c>
      <c r="D54" s="2202">
        <v>6960</v>
      </c>
      <c r="E54" s="2202">
        <v>6960</v>
      </c>
      <c r="F54" s="1891">
        <f t="shared" si="2"/>
        <v>13920</v>
      </c>
    </row>
    <row r="55" spans="1:6" ht="13.5" customHeight="1">
      <c r="C55" s="2197" t="s">
        <v>851</v>
      </c>
      <c r="D55" s="2202">
        <v>10000</v>
      </c>
      <c r="E55" s="2203">
        <v>10000</v>
      </c>
      <c r="F55" s="2175">
        <f t="shared" si="2"/>
        <v>20000</v>
      </c>
    </row>
    <row r="56" spans="1:6" s="2177" customFormat="1" ht="13.5" customHeight="1">
      <c r="A56" s="2178"/>
      <c r="B56" s="2178"/>
      <c r="C56" s="2197" t="s">
        <v>852</v>
      </c>
      <c r="D56" s="2202">
        <v>3480</v>
      </c>
      <c r="E56" s="2203">
        <v>3480</v>
      </c>
      <c r="F56" s="2191">
        <f t="shared" si="2"/>
        <v>6960</v>
      </c>
    </row>
    <row r="57" spans="1:6" ht="13.5" customHeight="1">
      <c r="C57" s="2197" t="s">
        <v>870</v>
      </c>
      <c r="D57" s="2202">
        <v>2175</v>
      </c>
      <c r="E57" s="2163">
        <v>2175</v>
      </c>
      <c r="F57" s="2175">
        <f t="shared" si="2"/>
        <v>4350</v>
      </c>
    </row>
    <row r="58" spans="1:6" ht="13.5" customHeight="1">
      <c r="C58" s="1952"/>
      <c r="D58" s="2185"/>
      <c r="E58" s="2188"/>
      <c r="F58" s="1958"/>
    </row>
    <row r="59" spans="1:6" ht="13.5" customHeight="1">
      <c r="C59" s="2106" t="s">
        <v>52</v>
      </c>
      <c r="D59" s="2186">
        <f>SUM(D60:D64)</f>
        <v>0</v>
      </c>
      <c r="E59" s="1926">
        <f>SUM(E60:E64)</f>
        <v>0</v>
      </c>
      <c r="F59" s="1924">
        <f t="shared" ref="F59:F64" si="3">SUM(D59:E59)</f>
        <v>0</v>
      </c>
    </row>
    <row r="60" spans="1:6" ht="13.5" customHeight="1">
      <c r="C60" s="2197"/>
      <c r="D60" s="2181"/>
      <c r="E60" s="2182"/>
      <c r="F60" s="1891">
        <f t="shared" si="3"/>
        <v>0</v>
      </c>
    </row>
    <row r="61" spans="1:6" s="2173" customFormat="1" ht="13.5" customHeight="1">
      <c r="A61" s="2174"/>
      <c r="B61" s="2174"/>
      <c r="C61" s="2197"/>
      <c r="D61" s="2181"/>
      <c r="E61" s="2182"/>
      <c r="F61" s="2180">
        <f t="shared" si="3"/>
        <v>0</v>
      </c>
    </row>
    <row r="62" spans="1:6" ht="13.5" customHeight="1">
      <c r="C62" s="2197"/>
      <c r="D62" s="2181"/>
      <c r="E62" s="2182"/>
      <c r="F62" s="2180">
        <f t="shared" si="3"/>
        <v>0</v>
      </c>
    </row>
    <row r="63" spans="1:6" ht="13.5" customHeight="1">
      <c r="C63" s="2197"/>
      <c r="D63" s="2181"/>
      <c r="E63" s="2182"/>
      <c r="F63" s="2180">
        <f t="shared" si="3"/>
        <v>0</v>
      </c>
    </row>
    <row r="64" spans="1:6">
      <c r="C64" s="2179"/>
      <c r="D64" s="2181"/>
      <c r="E64" s="2182"/>
      <c r="F64" s="2180">
        <f t="shared" si="3"/>
        <v>0</v>
      </c>
    </row>
    <row r="65" spans="3:6">
      <c r="C65" s="1952"/>
      <c r="D65" s="1958"/>
      <c r="E65" s="2188"/>
      <c r="F65" s="1958"/>
    </row>
    <row r="66" spans="3:6">
      <c r="C66" s="1910"/>
      <c r="D66" s="1911"/>
      <c r="E66" s="1926"/>
      <c r="F66" s="1924"/>
    </row>
    <row r="67" spans="3:6">
      <c r="C67" s="1967"/>
      <c r="D67" s="1961"/>
      <c r="E67" s="1962"/>
      <c r="F67" s="1966"/>
    </row>
    <row r="68" spans="3:6">
      <c r="C68" s="1968"/>
      <c r="D68" s="1963"/>
      <c r="E68" s="1964"/>
      <c r="F68" s="1965"/>
    </row>
    <row r="69" spans="3:6">
      <c r="C69" s="1959"/>
      <c r="D69" s="1971"/>
      <c r="E69" s="1971"/>
      <c r="F69" s="1956"/>
    </row>
  </sheetData>
  <customSheetViews>
    <customSheetView guid="{074EB09C-6289-46D7-9513-012B68BCA7BF}" showGridLines="0" fitToPage="1">
      <pane xSplit="1" ySplit="1" topLeftCell="B29" activePane="bottomRight" state="frozen"/>
      <selection pane="bottomRight" activeCell="I37" sqref="I37"/>
      <pageMargins left="0.7" right="0.22" top="0.4" bottom="0.47" header="0.3" footer="0.3"/>
      <pageSetup paperSize="17" scale="58" orientation="landscape" r:id="rId1"/>
    </customSheetView>
    <customSheetView guid="{D9EFFE19-D14B-4C6F-BDF4-FF696F73968D}" showGridLines="0" fitToPage="1">
      <pane xSplit="1" ySplit="1" topLeftCell="B2" activePane="bottomRight" state="frozen"/>
      <selection pane="bottomRight" activeCell="C54" sqref="C54:E56"/>
      <pageMargins left="0.7" right="0.22" top="0.4" bottom="0.47" header="0.3" footer="0.3"/>
      <pageSetup paperSize="17" scale="58" orientation="landscape" r:id="rId2"/>
    </customSheetView>
  </customSheetViews>
  <pageMargins left="0.7" right="0.22" top="0.4" bottom="0.47" header="0.3" footer="0.3"/>
  <pageSetup paperSize="17" scale="58" orientation="landscape"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B1A0C7"/>
    <pageSetUpPr fitToPage="1"/>
  </sheetPr>
  <dimension ref="A1:R68"/>
  <sheetViews>
    <sheetView showGridLines="0" zoomScaleNormal="100" workbookViewId="0">
      <pane xSplit="1" ySplit="1" topLeftCell="B2" activePane="bottomRight" state="frozen"/>
      <selection pane="topRight" activeCell="B1" sqref="B1"/>
      <selection pane="bottomLeft" activeCell="A2" sqref="A2"/>
      <selection pane="bottomRight" activeCell="B5" sqref="B5"/>
    </sheetView>
  </sheetViews>
  <sheetFormatPr defaultColWidth="34.85546875" defaultRowHeight="12.75"/>
  <cols>
    <col min="1" max="1" width="18.7109375" customWidth="1"/>
    <col min="2" max="2" width="16" style="1866" customWidth="1"/>
    <col min="3" max="3" width="30.28515625" customWidth="1"/>
    <col min="4" max="5" width="20" customWidth="1"/>
    <col min="6" max="6" width="24.42578125" customWidth="1"/>
    <col min="7" max="9" width="20.7109375" customWidth="1"/>
    <col min="10" max="11" width="18.85546875" customWidth="1"/>
    <col min="12" max="13" width="16.42578125" customWidth="1"/>
    <col min="14" max="14" width="17.140625" customWidth="1"/>
    <col min="15" max="15" width="20.140625" customWidth="1"/>
    <col min="16" max="16" width="18.85546875" customWidth="1"/>
    <col min="17" max="17" width="21.28515625" customWidth="1"/>
  </cols>
  <sheetData>
    <row r="1" spans="1:18" ht="58.5" customHeight="1">
      <c r="D1" s="1817" t="s">
        <v>164</v>
      </c>
      <c r="E1" s="1817" t="s">
        <v>25</v>
      </c>
      <c r="F1" s="1881">
        <v>18230730</v>
      </c>
      <c r="G1" s="1817" t="s">
        <v>5</v>
      </c>
      <c r="M1" s="1817" t="s">
        <v>164</v>
      </c>
      <c r="N1" s="1817" t="s">
        <v>25</v>
      </c>
      <c r="O1" s="1881">
        <v>18230730</v>
      </c>
      <c r="P1" s="1881"/>
      <c r="Q1" s="1817" t="s">
        <v>5</v>
      </c>
    </row>
    <row r="2" spans="1:18" ht="16.5" thickBot="1">
      <c r="A2" s="523"/>
      <c r="B2" s="535"/>
      <c r="D2" s="524"/>
      <c r="E2" s="536"/>
      <c r="F2" s="536"/>
      <c r="G2" s="1805"/>
      <c r="H2" s="1576" t="s">
        <v>713</v>
      </c>
      <c r="I2" s="1805"/>
      <c r="J2" s="1805"/>
      <c r="K2" s="1805"/>
      <c r="L2" s="1805"/>
      <c r="M2" s="1805"/>
      <c r="N2" s="1805"/>
      <c r="O2" s="1805"/>
      <c r="P2" s="1805"/>
      <c r="Q2" s="2816"/>
      <c r="R2" s="1805"/>
    </row>
    <row r="3" spans="1:18" ht="26.25" thickBot="1">
      <c r="A3" s="1815" t="s">
        <v>164</v>
      </c>
      <c r="B3" s="1815"/>
      <c r="D3" s="529"/>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1808"/>
      <c r="C4" s="1332"/>
      <c r="E4" s="1866"/>
      <c r="F4" s="1866"/>
      <c r="G4" s="1804" t="s">
        <v>668</v>
      </c>
      <c r="H4" s="2003">
        <v>0</v>
      </c>
      <c r="I4" s="2002">
        <v>0</v>
      </c>
      <c r="J4" s="2002">
        <v>0</v>
      </c>
      <c r="K4" s="2002">
        <v>0</v>
      </c>
      <c r="L4" s="2002">
        <v>0</v>
      </c>
      <c r="M4" s="2002">
        <v>0</v>
      </c>
      <c r="N4" s="2002">
        <v>0</v>
      </c>
      <c r="O4" s="2002">
        <v>235922</v>
      </c>
      <c r="P4" s="2002">
        <v>0</v>
      </c>
      <c r="Q4" s="2002">
        <v>-175589</v>
      </c>
      <c r="R4" s="2002">
        <v>60333</v>
      </c>
    </row>
    <row r="5" spans="1:18" ht="15.75">
      <c r="A5" s="1881">
        <v>18230730</v>
      </c>
      <c r="B5" s="1815"/>
      <c r="C5" s="523"/>
      <c r="D5" s="523"/>
      <c r="E5" s="535"/>
      <c r="F5" s="535"/>
      <c r="G5" s="1228">
        <v>2016</v>
      </c>
      <c r="H5" s="1582">
        <f>D15</f>
        <v>0</v>
      </c>
      <c r="I5" s="1549">
        <f>D21</f>
        <v>0</v>
      </c>
      <c r="J5" s="1549">
        <f>D27</f>
        <v>0</v>
      </c>
      <c r="K5" s="1549">
        <f>D34</f>
        <v>0</v>
      </c>
      <c r="L5" s="1549">
        <f>D40</f>
        <v>0</v>
      </c>
      <c r="M5" s="1549">
        <f>D46</f>
        <v>56550</v>
      </c>
      <c r="N5" s="1549">
        <f>D52</f>
        <v>0</v>
      </c>
      <c r="O5" s="1549">
        <f>D58</f>
        <v>61111</v>
      </c>
      <c r="P5" s="1549">
        <v>0</v>
      </c>
      <c r="Q5" s="1549">
        <v>0</v>
      </c>
      <c r="R5" s="1549">
        <f>SUM(H5:P5)</f>
        <v>117661</v>
      </c>
    </row>
    <row r="6" spans="1:18" ht="16.5" thickBot="1">
      <c r="A6" s="1983" t="s">
        <v>5</v>
      </c>
      <c r="B6" s="1881"/>
      <c r="C6" s="1302"/>
      <c r="D6" s="523"/>
      <c r="E6" s="535"/>
      <c r="F6" s="535"/>
      <c r="G6" s="1228">
        <v>2017</v>
      </c>
      <c r="H6" s="57">
        <f>E15</f>
        <v>0</v>
      </c>
      <c r="I6" s="1990">
        <f>E21</f>
        <v>0</v>
      </c>
      <c r="J6" s="1989">
        <f>E27</f>
        <v>0</v>
      </c>
      <c r="K6" s="58">
        <f>E34</f>
        <v>0</v>
      </c>
      <c r="L6" s="58">
        <f>E40</f>
        <v>0</v>
      </c>
      <c r="M6" s="58">
        <f>E46</f>
        <v>56550</v>
      </c>
      <c r="N6" s="58">
        <f>E52</f>
        <v>0</v>
      </c>
      <c r="O6" s="58">
        <f>E58</f>
        <v>61111</v>
      </c>
      <c r="P6" s="58">
        <v>0</v>
      </c>
      <c r="Q6" s="58">
        <v>0</v>
      </c>
      <c r="R6" s="58">
        <f>SUM(H6:P6)</f>
        <v>117661</v>
      </c>
    </row>
    <row r="7" spans="1:18" ht="16.5" thickBot="1">
      <c r="B7" s="1814"/>
      <c r="C7" s="528"/>
      <c r="D7" s="528"/>
      <c r="E7" s="540"/>
      <c r="F7" s="540"/>
      <c r="G7" s="1751" t="s">
        <v>23</v>
      </c>
      <c r="H7" s="1564">
        <v>0</v>
      </c>
      <c r="I7" s="1991">
        <v>0</v>
      </c>
      <c r="J7" s="1992">
        <v>0</v>
      </c>
      <c r="K7" s="1993">
        <v>0</v>
      </c>
      <c r="L7" s="1991">
        <v>0</v>
      </c>
      <c r="M7" s="1992">
        <v>0</v>
      </c>
      <c r="N7" s="1991">
        <v>0</v>
      </c>
      <c r="O7" s="1992">
        <f>SUM(O5:O6)</f>
        <v>122222</v>
      </c>
      <c r="P7" s="1993">
        <v>0</v>
      </c>
      <c r="Q7" s="1993">
        <v>0</v>
      </c>
      <c r="R7" s="1991">
        <f>SUM(Q5:Q6)</f>
        <v>0</v>
      </c>
    </row>
    <row r="8" spans="1:18" ht="25.5">
      <c r="B8" s="1815"/>
      <c r="C8" s="528"/>
      <c r="D8" s="528"/>
      <c r="E8" s="525"/>
      <c r="F8" s="526"/>
      <c r="G8" s="523"/>
      <c r="H8" s="523"/>
      <c r="I8" s="523"/>
      <c r="J8" s="523"/>
      <c r="K8" s="523"/>
      <c r="L8" s="523"/>
      <c r="M8" s="523"/>
      <c r="O8" s="523"/>
      <c r="P8" s="532" t="s">
        <v>20</v>
      </c>
      <c r="Q8" s="532" t="s">
        <v>20</v>
      </c>
    </row>
    <row r="9" spans="1:18">
      <c r="A9" s="1814"/>
      <c r="B9" s="1814"/>
      <c r="C9" s="528"/>
      <c r="D9" s="528"/>
      <c r="E9" s="525"/>
      <c r="F9" s="526"/>
      <c r="G9" s="523"/>
      <c r="H9" s="523"/>
      <c r="I9" s="523"/>
      <c r="J9" s="523"/>
      <c r="K9" s="523"/>
      <c r="L9" s="523"/>
      <c r="M9" s="523"/>
      <c r="O9" s="523"/>
      <c r="P9" s="532" t="s">
        <v>21</v>
      </c>
      <c r="Q9" s="532" t="s">
        <v>21</v>
      </c>
    </row>
    <row r="10" spans="1:18">
      <c r="A10" s="1821"/>
      <c r="B10" s="1821"/>
      <c r="C10" s="1915" t="s">
        <v>329</v>
      </c>
      <c r="D10" s="1915"/>
      <c r="E10" s="1915"/>
      <c r="F10" s="1915"/>
    </row>
    <row r="11" spans="1:18">
      <c r="A11" s="1821"/>
      <c r="B11" s="1821"/>
      <c r="C11" s="1866"/>
      <c r="D11" s="1866"/>
      <c r="E11" s="1867"/>
      <c r="F11" s="1866"/>
    </row>
    <row r="12" spans="1:18">
      <c r="A12" s="1821"/>
      <c r="B12" s="544"/>
      <c r="C12" s="1887" t="s">
        <v>314</v>
      </c>
      <c r="D12" s="1924">
        <f>D15+D21+D27+D34+D40+D46+D52+D58</f>
        <v>117661</v>
      </c>
      <c r="E12" s="1948">
        <f>E15+E21+E27+E34+E40+E46+E52+E58</f>
        <v>117661</v>
      </c>
      <c r="F12" s="1924">
        <f>D12+E12</f>
        <v>235322</v>
      </c>
    </row>
    <row r="13" spans="1:18" ht="13.5" customHeight="1">
      <c r="A13" s="532"/>
      <c r="B13" s="545"/>
      <c r="C13" s="1947"/>
      <c r="D13" s="1866"/>
      <c r="E13" s="1787"/>
      <c r="F13" s="1866"/>
      <c r="G13" s="1457"/>
      <c r="H13" s="1457"/>
      <c r="I13" s="523"/>
      <c r="J13" s="523"/>
      <c r="K13" s="523"/>
      <c r="L13" s="523"/>
      <c r="M13" s="523"/>
      <c r="N13" s="523"/>
      <c r="O13" s="523"/>
      <c r="P13" s="523"/>
      <c r="Q13" s="523"/>
    </row>
    <row r="14" spans="1:18" ht="13.5" customHeight="1">
      <c r="A14" s="533"/>
      <c r="B14" s="545"/>
      <c r="C14" s="1888" t="s">
        <v>45</v>
      </c>
      <c r="D14" s="1969">
        <v>2016</v>
      </c>
      <c r="E14" s="1970">
        <v>2017</v>
      </c>
      <c r="F14" s="1950" t="s">
        <v>23</v>
      </c>
      <c r="G14" s="534"/>
      <c r="H14" s="534"/>
      <c r="I14" s="528"/>
      <c r="J14" s="528"/>
      <c r="K14" s="528"/>
      <c r="L14" s="528"/>
      <c r="M14" s="528"/>
      <c r="N14" s="528"/>
      <c r="O14" s="528"/>
      <c r="P14" s="528"/>
      <c r="Q14" s="528"/>
    </row>
    <row r="15" spans="1:18" ht="13.5" customHeight="1">
      <c r="A15" s="533"/>
      <c r="B15" s="1886" t="s">
        <v>312</v>
      </c>
      <c r="C15" s="1910" t="s">
        <v>46</v>
      </c>
      <c r="D15" s="1911">
        <f>SUM(D16:D19)</f>
        <v>0</v>
      </c>
      <c r="E15" s="1926">
        <f>SUM(E16:E19)</f>
        <v>0</v>
      </c>
      <c r="F15" s="1924">
        <f t="shared" ref="F15:F21" si="0">SUM(D15:E15)</f>
        <v>0</v>
      </c>
      <c r="G15" s="534"/>
      <c r="H15" s="534"/>
      <c r="I15" s="528"/>
      <c r="J15" s="528"/>
      <c r="K15" s="528"/>
      <c r="L15" s="528"/>
      <c r="M15" s="528"/>
      <c r="N15" s="528"/>
      <c r="O15" s="528"/>
      <c r="P15" s="528"/>
      <c r="Q15" s="528"/>
    </row>
    <row r="16" spans="1:18" ht="13.5" customHeight="1">
      <c r="A16" s="532"/>
      <c r="B16" s="1885"/>
      <c r="C16" s="1876"/>
      <c r="D16" s="1907"/>
      <c r="E16" s="1906"/>
      <c r="F16" s="1879">
        <f t="shared" si="0"/>
        <v>0</v>
      </c>
      <c r="G16" s="523"/>
      <c r="H16" s="523"/>
    </row>
    <row r="17" spans="1:8" ht="13.5" customHeight="1">
      <c r="A17" s="532"/>
      <c r="B17" s="1885"/>
      <c r="C17" s="1876"/>
      <c r="D17" s="1905"/>
      <c r="E17" s="1904"/>
      <c r="F17" s="1891">
        <f t="shared" si="0"/>
        <v>0</v>
      </c>
      <c r="G17" s="523"/>
      <c r="H17" s="523"/>
    </row>
    <row r="18" spans="1:8" ht="13.5" customHeight="1">
      <c r="A18" s="532"/>
      <c r="B18" s="1885"/>
      <c r="C18" s="1876"/>
      <c r="D18" s="1905"/>
      <c r="E18" s="1904"/>
      <c r="F18" s="1891">
        <f t="shared" si="0"/>
        <v>0</v>
      </c>
      <c r="G18" s="523"/>
      <c r="H18" s="523"/>
    </row>
    <row r="19" spans="1:8" ht="13.5" customHeight="1">
      <c r="A19" s="532"/>
      <c r="B19" s="1885"/>
      <c r="C19" s="1876"/>
      <c r="D19" s="1903"/>
      <c r="E19" s="1902"/>
      <c r="F19" s="1891">
        <f t="shared" si="0"/>
        <v>0</v>
      </c>
      <c r="G19" s="523"/>
      <c r="H19" s="523"/>
    </row>
    <row r="20" spans="1:8" ht="13.5" customHeight="1">
      <c r="A20" s="532"/>
      <c r="B20" s="1908">
        <f>SUM(B16:B19)</f>
        <v>0</v>
      </c>
      <c r="C20" s="1952"/>
      <c r="D20" s="1954"/>
      <c r="E20" s="1955"/>
      <c r="F20" s="1957"/>
      <c r="G20" s="523"/>
      <c r="H20" s="523"/>
    </row>
    <row r="21" spans="1:8" ht="13.5" customHeight="1">
      <c r="A21" s="532"/>
      <c r="B21" s="544"/>
      <c r="C21" s="1910" t="s">
        <v>47</v>
      </c>
      <c r="D21" s="1911">
        <v>0</v>
      </c>
      <c r="E21" s="1926">
        <v>0</v>
      </c>
      <c r="F21" s="1924">
        <f t="shared" si="0"/>
        <v>0</v>
      </c>
      <c r="G21" s="530" t="s">
        <v>7</v>
      </c>
      <c r="H21" s="523"/>
    </row>
    <row r="22" spans="1:8" ht="13.5" customHeight="1">
      <c r="A22" s="532"/>
      <c r="B22" s="544"/>
      <c r="C22" s="1876"/>
      <c r="D22" s="1907"/>
      <c r="E22" s="1906"/>
      <c r="F22" s="1879">
        <v>0</v>
      </c>
      <c r="G22" s="531"/>
      <c r="H22" s="523"/>
    </row>
    <row r="23" spans="1:8" ht="13.5" customHeight="1">
      <c r="A23" s="532"/>
      <c r="B23" s="544"/>
      <c r="C23" s="1876"/>
      <c r="D23" s="1900"/>
      <c r="E23" s="1899"/>
      <c r="F23" s="1891">
        <v>0</v>
      </c>
      <c r="G23" s="523"/>
      <c r="H23" s="523"/>
    </row>
    <row r="24" spans="1:8" ht="13.5" customHeight="1">
      <c r="A24" s="532"/>
      <c r="B24" s="545"/>
      <c r="C24" s="1876"/>
      <c r="D24" s="1898"/>
      <c r="E24" s="1897"/>
      <c r="F24" s="1891">
        <v>0</v>
      </c>
      <c r="G24" s="523"/>
      <c r="H24" s="523"/>
    </row>
    <row r="25" spans="1:8" ht="13.5" customHeight="1">
      <c r="A25" s="533"/>
      <c r="B25" s="544"/>
      <c r="C25" s="1876"/>
      <c r="D25" s="1896"/>
      <c r="E25" s="1899"/>
      <c r="F25" s="1891">
        <v>0</v>
      </c>
      <c r="G25" s="528"/>
      <c r="H25" s="528"/>
    </row>
    <row r="26" spans="1:8" ht="13.5" customHeight="1">
      <c r="A26" s="532"/>
      <c r="B26" s="545"/>
      <c r="C26" s="1877"/>
      <c r="D26" s="1892"/>
      <c r="E26" s="1884"/>
      <c r="F26" s="1892"/>
      <c r="G26" s="523"/>
      <c r="H26" s="523"/>
    </row>
    <row r="27" spans="1:8" ht="13.5" customHeight="1">
      <c r="A27" s="533"/>
      <c r="B27" s="544"/>
      <c r="C27" s="1910" t="s">
        <v>48</v>
      </c>
      <c r="D27" s="1911">
        <f>SUM(D29:D32)</f>
        <v>0</v>
      </c>
      <c r="E27" s="1926">
        <f>SUM(E29:E32)</f>
        <v>0</v>
      </c>
      <c r="F27" s="1924">
        <f>SUM(F29:F32)</f>
        <v>0</v>
      </c>
      <c r="G27" s="528"/>
      <c r="H27" s="528"/>
    </row>
    <row r="28" spans="1:8" ht="13.5" customHeight="1">
      <c r="A28" s="532"/>
      <c r="B28" s="544"/>
      <c r="C28" s="1909" t="s">
        <v>315</v>
      </c>
      <c r="D28" s="1912">
        <v>0.66700000000000004</v>
      </c>
      <c r="E28" s="1913">
        <v>0.68</v>
      </c>
      <c r="F28" s="1949"/>
      <c r="G28" s="523"/>
      <c r="H28" s="523"/>
    </row>
    <row r="29" spans="1:8" ht="13.5" customHeight="1">
      <c r="A29" s="532"/>
      <c r="B29" s="544"/>
      <c r="C29" s="1876" t="s">
        <v>778</v>
      </c>
      <c r="D29" s="1971">
        <f>D15*D28</f>
        <v>0</v>
      </c>
      <c r="E29" s="1972">
        <f>E15*E28</f>
        <v>0</v>
      </c>
      <c r="F29" s="1891">
        <f>SUM(D29:E29)</f>
        <v>0</v>
      </c>
      <c r="G29" s="523"/>
      <c r="H29" s="523"/>
    </row>
    <row r="30" spans="1:8" ht="13.5" customHeight="1">
      <c r="A30" s="532"/>
      <c r="B30" s="544"/>
      <c r="C30" s="1876" t="s">
        <v>779</v>
      </c>
      <c r="D30" s="1973">
        <f>D21*D28</f>
        <v>0</v>
      </c>
      <c r="E30" s="1972">
        <f>E21*E28</f>
        <v>0</v>
      </c>
      <c r="F30" s="2191">
        <f>SUM(D30:E30)</f>
        <v>0</v>
      </c>
      <c r="G30" s="523"/>
      <c r="H30" s="523"/>
    </row>
    <row r="31" spans="1:8" ht="13.5" customHeight="1">
      <c r="A31" s="532"/>
      <c r="B31" s="544"/>
      <c r="C31" s="1901"/>
      <c r="D31" s="1898"/>
      <c r="E31" s="1897"/>
      <c r="F31" s="2191">
        <f>SUM(D31:E31)</f>
        <v>0</v>
      </c>
      <c r="G31" s="523"/>
      <c r="H31" s="523"/>
    </row>
    <row r="32" spans="1:8" ht="13.5" customHeight="1">
      <c r="A32" s="532"/>
      <c r="B32" s="544"/>
      <c r="C32" s="1901"/>
      <c r="D32" s="1896"/>
      <c r="E32" s="1899"/>
      <c r="F32" s="2191">
        <f>SUM(D32:E32)</f>
        <v>0</v>
      </c>
      <c r="G32" s="523"/>
    </row>
    <row r="33" spans="1:7" ht="13.5" customHeight="1">
      <c r="A33" s="532"/>
      <c r="B33" s="1801"/>
      <c r="C33" s="1952"/>
      <c r="D33" s="1958"/>
      <c r="E33" s="1955"/>
      <c r="F33" s="1958"/>
      <c r="G33" s="523"/>
    </row>
    <row r="34" spans="1:7" ht="13.5" customHeight="1">
      <c r="A34" s="1815" t="s">
        <v>164</v>
      </c>
      <c r="B34" s="544"/>
      <c r="C34" s="1910" t="s">
        <v>49</v>
      </c>
      <c r="D34" s="1911">
        <v>0</v>
      </c>
      <c r="E34" s="1926">
        <v>0</v>
      </c>
      <c r="F34" s="1924">
        <f>SUM(D34:E34)</f>
        <v>0</v>
      </c>
      <c r="G34" s="527"/>
    </row>
    <row r="35" spans="1:7" ht="13.5" customHeight="1">
      <c r="A35" s="1983" t="s">
        <v>25</v>
      </c>
      <c r="B35" s="545"/>
      <c r="C35" s="1876"/>
      <c r="D35" s="1971"/>
      <c r="E35" s="1988"/>
      <c r="F35" s="1891">
        <v>0</v>
      </c>
      <c r="G35" s="523"/>
    </row>
    <row r="36" spans="1:7" ht="13.5" customHeight="1">
      <c r="A36" s="1881">
        <v>18230730</v>
      </c>
      <c r="B36" s="544"/>
      <c r="C36" s="1876"/>
      <c r="D36" s="1971"/>
      <c r="E36" s="1988"/>
      <c r="F36" s="1891">
        <v>0</v>
      </c>
      <c r="G36" s="528"/>
    </row>
    <row r="37" spans="1:7" ht="13.5" customHeight="1">
      <c r="A37" s="1983" t="s">
        <v>5</v>
      </c>
      <c r="B37" s="544"/>
      <c r="C37" s="1876"/>
      <c r="D37" s="1971"/>
      <c r="E37" s="1988"/>
      <c r="F37" s="1891">
        <v>0</v>
      </c>
      <c r="G37" s="523"/>
    </row>
    <row r="38" spans="1:7" ht="13.5" customHeight="1">
      <c r="A38" s="532"/>
      <c r="B38" s="544"/>
      <c r="C38" s="1876"/>
      <c r="D38" s="1971"/>
      <c r="E38" s="1988"/>
      <c r="F38" s="1891">
        <v>0</v>
      </c>
      <c r="G38" s="523"/>
    </row>
    <row r="39" spans="1:7" ht="13.5" customHeight="1">
      <c r="A39" s="532"/>
      <c r="B39" s="544"/>
      <c r="C39" s="1952"/>
      <c r="D39" s="1958"/>
      <c r="E39" s="1955"/>
      <c r="F39" s="1958"/>
      <c r="G39" s="523"/>
    </row>
    <row r="40" spans="1:7" ht="13.5" customHeight="1">
      <c r="A40" s="532"/>
      <c r="B40" s="544"/>
      <c r="C40" s="2106" t="s">
        <v>506</v>
      </c>
      <c r="D40" s="1911">
        <f>SUM(D41:D44)</f>
        <v>0</v>
      </c>
      <c r="E40" s="1926">
        <f>SUM(E41:E44)</f>
        <v>0</v>
      </c>
      <c r="F40" s="1924">
        <f>SUM(D40:E40)</f>
        <v>0</v>
      </c>
      <c r="G40" s="523"/>
    </row>
    <row r="41" spans="1:7" ht="13.5" customHeight="1">
      <c r="A41" s="532"/>
      <c r="B41" s="544"/>
      <c r="C41" s="2120"/>
      <c r="D41" s="1971"/>
      <c r="E41" s="1988"/>
      <c r="F41" s="1891">
        <f>SUM(D41:E41)</f>
        <v>0</v>
      </c>
      <c r="G41" s="523"/>
    </row>
    <row r="42" spans="1:7" ht="13.5" customHeight="1">
      <c r="A42" s="532"/>
      <c r="B42" s="544"/>
      <c r="C42" s="1876"/>
      <c r="D42" s="1971"/>
      <c r="E42" s="1988"/>
      <c r="F42" s="1891">
        <v>0</v>
      </c>
      <c r="G42" s="523"/>
    </row>
    <row r="43" spans="1:7" ht="13.5" customHeight="1">
      <c r="A43" s="532"/>
      <c r="B43" s="544"/>
      <c r="C43" s="1876"/>
      <c r="D43" s="1971"/>
      <c r="E43" s="1988"/>
      <c r="F43" s="1891">
        <v>0</v>
      </c>
      <c r="G43" s="523"/>
    </row>
    <row r="44" spans="1:7" ht="13.5" customHeight="1">
      <c r="A44" s="532"/>
      <c r="B44" s="544"/>
      <c r="C44" s="1876"/>
      <c r="D44" s="1971"/>
      <c r="E44" s="1988"/>
      <c r="F44" s="1891">
        <v>0</v>
      </c>
      <c r="G44" s="523"/>
    </row>
    <row r="45" spans="1:7" ht="13.5" customHeight="1">
      <c r="A45" s="532"/>
      <c r="B45" s="544"/>
      <c r="C45" s="1952"/>
      <c r="D45" s="1958"/>
      <c r="E45" s="1955"/>
      <c r="F45" s="1958"/>
      <c r="G45" s="523"/>
    </row>
    <row r="46" spans="1:7" ht="13.5" customHeight="1">
      <c r="A46" s="532"/>
      <c r="B46" s="544"/>
      <c r="C46" s="1910" t="s">
        <v>50</v>
      </c>
      <c r="D46" s="1911">
        <f>SUM(D47:D50)</f>
        <v>56550</v>
      </c>
      <c r="E46" s="1926">
        <f>SUM(E47:E50)</f>
        <v>56550</v>
      </c>
      <c r="F46" s="1924">
        <f>SUM(D46:E46)</f>
        <v>113100</v>
      </c>
      <c r="G46" s="523"/>
    </row>
    <row r="47" spans="1:7" ht="13.5" customHeight="1">
      <c r="A47" s="532"/>
      <c r="B47" s="544"/>
      <c r="C47" s="2197" t="s">
        <v>775</v>
      </c>
      <c r="D47" s="2202">
        <v>56550</v>
      </c>
      <c r="E47" s="2203">
        <v>56550</v>
      </c>
      <c r="F47" s="1891">
        <f>SUM(D47:E47)</f>
        <v>113100</v>
      </c>
      <c r="G47" s="523"/>
    </row>
    <row r="48" spans="1:7" ht="13.5" customHeight="1">
      <c r="A48" s="532"/>
      <c r="B48" s="544"/>
      <c r="C48" s="2120"/>
      <c r="D48" s="1971"/>
      <c r="E48" s="1988"/>
      <c r="F48" s="1891">
        <f>SUM(D48:E48)</f>
        <v>0</v>
      </c>
    </row>
    <row r="49" spans="1:6" ht="13.5" customHeight="1">
      <c r="A49" s="532"/>
      <c r="B49" s="544"/>
      <c r="C49" s="1876"/>
      <c r="D49" s="1971"/>
      <c r="E49" s="1988"/>
      <c r="F49" s="1891">
        <v>0</v>
      </c>
    </row>
    <row r="50" spans="1:6" ht="13.5" customHeight="1">
      <c r="A50" s="532"/>
      <c r="B50" s="544"/>
      <c r="C50" s="1876"/>
      <c r="D50" s="1971"/>
      <c r="E50" s="1988"/>
      <c r="F50" s="1891">
        <v>0</v>
      </c>
    </row>
    <row r="51" spans="1:6" ht="13.5" customHeight="1">
      <c r="A51" s="532"/>
      <c r="B51" s="544"/>
      <c r="C51" s="1952"/>
      <c r="D51" s="1958"/>
      <c r="E51" s="1955"/>
      <c r="F51" s="1958"/>
    </row>
    <row r="52" spans="1:6" ht="13.5" customHeight="1">
      <c r="A52" s="532"/>
      <c r="B52" s="544"/>
      <c r="C52" s="1910" t="s">
        <v>51</v>
      </c>
      <c r="D52" s="1911">
        <f>SUM(D53:D56)</f>
        <v>0</v>
      </c>
      <c r="E52" s="1926">
        <f>SUM(E53:E56)</f>
        <v>0</v>
      </c>
      <c r="F52" s="1924">
        <f>SUM(D52:E52)</f>
        <v>0</v>
      </c>
    </row>
    <row r="53" spans="1:6" ht="13.5" customHeight="1">
      <c r="A53" s="532"/>
      <c r="B53" s="544"/>
      <c r="C53" s="2120"/>
      <c r="D53" s="1971"/>
      <c r="E53" s="1972"/>
      <c r="F53" s="1891">
        <f>SUM(D53:E53)</f>
        <v>0</v>
      </c>
    </row>
    <row r="54" spans="1:6" ht="13.5" customHeight="1">
      <c r="A54" s="532"/>
      <c r="B54" s="544"/>
      <c r="C54" s="2120"/>
      <c r="D54" s="1971"/>
      <c r="E54" s="1972"/>
      <c r="F54" s="1891">
        <f>SUM(D54:E54)</f>
        <v>0</v>
      </c>
    </row>
    <row r="55" spans="1:6" ht="13.5" customHeight="1">
      <c r="A55" s="532"/>
      <c r="B55" s="544"/>
      <c r="C55" s="1876"/>
      <c r="D55" s="1971"/>
      <c r="E55" s="1972"/>
      <c r="F55" s="1891">
        <v>0</v>
      </c>
    </row>
    <row r="56" spans="1:6" ht="13.5" customHeight="1">
      <c r="A56" s="532"/>
      <c r="B56" s="544"/>
      <c r="C56" s="1876"/>
      <c r="D56" s="1971"/>
      <c r="E56" s="1972"/>
      <c r="F56" s="1891">
        <v>0</v>
      </c>
    </row>
    <row r="57" spans="1:6" ht="13.5" customHeight="1">
      <c r="A57" s="532"/>
      <c r="B57" s="544"/>
      <c r="C57" s="1952"/>
      <c r="D57" s="1958"/>
      <c r="E57" s="1955"/>
      <c r="F57" s="1958"/>
    </row>
    <row r="58" spans="1:6" ht="13.5" customHeight="1">
      <c r="A58" s="532"/>
      <c r="B58" s="544"/>
      <c r="C58" s="1910" t="s">
        <v>52</v>
      </c>
      <c r="D58" s="1911">
        <f>SUM(D59:D63)</f>
        <v>61111</v>
      </c>
      <c r="E58" s="1926">
        <f>SUM(E59:E63)</f>
        <v>61111</v>
      </c>
      <c r="F58" s="1924">
        <f t="shared" ref="F58:F62" si="1">SUM(D58:E58)</f>
        <v>122222</v>
      </c>
    </row>
    <row r="59" spans="1:6" ht="13.5" customHeight="1">
      <c r="A59" s="532"/>
      <c r="B59" s="544"/>
      <c r="C59" s="3641" t="s">
        <v>776</v>
      </c>
      <c r="D59" s="2202">
        <v>61111</v>
      </c>
      <c r="E59" s="2203">
        <v>61111</v>
      </c>
      <c r="F59" s="1891">
        <f t="shared" si="1"/>
        <v>122222</v>
      </c>
    </row>
    <row r="60" spans="1:6" s="2117" customFormat="1" ht="13.5" customHeight="1">
      <c r="A60" s="2118"/>
      <c r="B60" s="2118"/>
      <c r="C60" s="3642"/>
      <c r="D60" s="2202"/>
      <c r="E60" s="2203"/>
      <c r="F60" s="2122">
        <f t="shared" si="1"/>
        <v>0</v>
      </c>
    </row>
    <row r="61" spans="1:6" ht="13.5" customHeight="1">
      <c r="A61" s="532"/>
      <c r="B61" s="544"/>
      <c r="C61" s="3643"/>
      <c r="D61" s="2202"/>
      <c r="E61" s="2203"/>
      <c r="F61" s="2191">
        <f t="shared" si="1"/>
        <v>0</v>
      </c>
    </row>
    <row r="62" spans="1:6" ht="13.5" customHeight="1">
      <c r="A62" s="532"/>
      <c r="C62" s="2116"/>
      <c r="D62" s="1971"/>
      <c r="E62" s="1988"/>
      <c r="F62" s="2191">
        <f t="shared" si="1"/>
        <v>0</v>
      </c>
    </row>
    <row r="63" spans="1:6">
      <c r="C63" s="1876"/>
      <c r="D63" s="1971"/>
      <c r="E63" s="1988"/>
      <c r="F63" s="1891">
        <v>0</v>
      </c>
    </row>
    <row r="64" spans="1:6">
      <c r="B64"/>
      <c r="C64" s="1952"/>
      <c r="D64" s="1958"/>
      <c r="E64" s="1955"/>
      <c r="F64" s="1958"/>
    </row>
    <row r="65" spans="2:6">
      <c r="B65"/>
      <c r="C65" s="1910"/>
      <c r="D65" s="1911"/>
      <c r="E65" s="1926"/>
      <c r="F65" s="1924"/>
    </row>
    <row r="66" spans="2:6">
      <c r="B66"/>
      <c r="C66" s="1967"/>
      <c r="D66" s="1961"/>
      <c r="E66" s="1962"/>
      <c r="F66" s="1966"/>
    </row>
    <row r="67" spans="2:6">
      <c r="B67"/>
      <c r="C67" s="1968"/>
      <c r="D67" s="1963"/>
      <c r="E67" s="1964"/>
      <c r="F67" s="1965"/>
    </row>
    <row r="68" spans="2:6">
      <c r="B68"/>
      <c r="C68" s="1959"/>
      <c r="D68" s="1971"/>
      <c r="E68" s="1971"/>
      <c r="F68" s="1956"/>
    </row>
  </sheetData>
  <customSheetViews>
    <customSheetView guid="{074EB09C-6289-46D7-9513-012B68BCA7BF}" showGridLines="0" fitToPage="1">
      <pane xSplit="1" ySplit="1" topLeftCell="B2" activePane="bottomRight" state="frozen"/>
      <selection pane="bottomRight"/>
      <pageMargins left="0.21" right="0.32" top="0.38" bottom="0.39" header="0.3" footer="0.3"/>
      <pageSetup paperSize="17" scale="63" orientation="landscape" r:id="rId1"/>
    </customSheetView>
    <customSheetView guid="{D9EFFE19-D14B-4C6F-BDF4-FF696F73968D}" showGridLines="0" fitToPage="1">
      <pane xSplit="1" ySplit="1" topLeftCell="I2" activePane="bottomRight" state="frozen"/>
      <selection pane="bottomRight" activeCell="E31" sqref="E31"/>
      <pageMargins left="0.21" right="0.32" top="0.38" bottom="0.39" header="0.3" footer="0.3"/>
      <pageSetup paperSize="17" scale="63" orientation="landscape" r:id="rId2"/>
    </customSheetView>
  </customSheetViews>
  <mergeCells count="1">
    <mergeCell ref="C59:C61"/>
  </mergeCells>
  <pageMargins left="0.21" right="0.32" top="0.38" bottom="0.39" header="0.3" footer="0.3"/>
  <pageSetup paperSize="17" scale="63" orientation="landscape"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67"/>
  <sheetViews>
    <sheetView showGridLines="0" workbookViewId="0">
      <pane xSplit="1" ySplit="1" topLeftCell="B5" activePane="bottomRight" state="frozen"/>
      <selection pane="topRight" activeCell="B1" sqref="B1"/>
      <selection pane="bottomLeft" activeCell="A2" sqref="A2"/>
      <selection pane="bottomRight"/>
    </sheetView>
  </sheetViews>
  <sheetFormatPr defaultColWidth="34.85546875" defaultRowHeight="12.75"/>
  <cols>
    <col min="1" max="1" width="18.140625" style="2177" customWidth="1"/>
    <col min="2" max="2" width="16" style="2177" customWidth="1"/>
    <col min="3" max="3" width="30.28515625" style="2177" customWidth="1"/>
    <col min="4" max="5" width="20" style="2177" customWidth="1"/>
    <col min="6" max="6" width="24.42578125" style="2177" customWidth="1"/>
    <col min="7" max="9" width="20.7109375" style="2177" customWidth="1"/>
    <col min="10" max="11" width="18.85546875" style="2177" customWidth="1"/>
    <col min="12" max="13" width="16.42578125" style="2177" customWidth="1"/>
    <col min="14" max="14" width="17.140625" style="2177" customWidth="1"/>
    <col min="15" max="15" width="20.140625" style="2177" customWidth="1"/>
    <col min="16" max="16" width="18.85546875" style="2177" customWidth="1"/>
    <col min="17" max="17" width="21.28515625" style="2177" customWidth="1"/>
    <col min="18" max="16384" width="34.85546875" style="2177"/>
  </cols>
  <sheetData>
    <row r="1" spans="1:18" ht="58.5" customHeight="1">
      <c r="D1" s="2817" t="s">
        <v>717</v>
      </c>
      <c r="E1" s="1817" t="s">
        <v>25</v>
      </c>
      <c r="F1" s="1881">
        <v>18230746</v>
      </c>
      <c r="G1" s="1817" t="s">
        <v>5</v>
      </c>
      <c r="M1" s="2817" t="s">
        <v>717</v>
      </c>
      <c r="N1" s="1817" t="s">
        <v>25</v>
      </c>
      <c r="O1" s="1881">
        <v>18230746</v>
      </c>
      <c r="P1" s="1881"/>
      <c r="Q1" s="1817" t="s">
        <v>5</v>
      </c>
    </row>
    <row r="2" spans="1:18" ht="16.5" thickBot="1">
      <c r="A2" s="2080"/>
      <c r="B2" s="2080"/>
      <c r="D2" s="536"/>
      <c r="E2" s="536"/>
      <c r="F2" s="536"/>
      <c r="G2" s="1805"/>
      <c r="H2" s="1576" t="s">
        <v>713</v>
      </c>
      <c r="I2" s="1805"/>
      <c r="J2" s="1805"/>
      <c r="K2" s="1805"/>
      <c r="L2" s="1805"/>
      <c r="M2" s="1805"/>
      <c r="N2" s="1805"/>
      <c r="O2" s="1805"/>
      <c r="P2" s="1805"/>
      <c r="Q2" s="2816"/>
      <c r="R2" s="1805"/>
    </row>
    <row r="3" spans="1:18" ht="26.25" thickBot="1">
      <c r="A3" s="2818" t="s">
        <v>717</v>
      </c>
      <c r="B3" s="1815"/>
      <c r="D3" s="541"/>
      <c r="E3" s="541"/>
      <c r="F3" s="541"/>
      <c r="G3" s="1805"/>
      <c r="H3" s="1577" t="s">
        <v>8</v>
      </c>
      <c r="I3" s="1538" t="s">
        <v>9</v>
      </c>
      <c r="J3" s="1538" t="s">
        <v>10</v>
      </c>
      <c r="K3" s="1538" t="s">
        <v>11</v>
      </c>
      <c r="L3" s="2037" t="s">
        <v>504</v>
      </c>
      <c r="M3" s="1538" t="s">
        <v>12</v>
      </c>
      <c r="N3" s="1538" t="s">
        <v>13</v>
      </c>
      <c r="O3" s="1538" t="s">
        <v>14</v>
      </c>
      <c r="P3" s="1538" t="s">
        <v>15</v>
      </c>
      <c r="Q3" s="2815" t="s">
        <v>39</v>
      </c>
      <c r="R3" s="1538" t="s">
        <v>16</v>
      </c>
    </row>
    <row r="4" spans="1:18" ht="15.75">
      <c r="A4" s="1983" t="s">
        <v>25</v>
      </c>
      <c r="B4" s="2810"/>
      <c r="G4" s="1804" t="s">
        <v>668</v>
      </c>
      <c r="H4" s="2003">
        <v>0</v>
      </c>
      <c r="I4" s="2002">
        <v>0</v>
      </c>
      <c r="J4" s="2002">
        <v>0</v>
      </c>
      <c r="K4" s="2002">
        <v>0</v>
      </c>
      <c r="L4" s="2002">
        <v>0</v>
      </c>
      <c r="M4" s="2002">
        <v>0</v>
      </c>
      <c r="N4" s="2002">
        <v>0</v>
      </c>
      <c r="O4" s="2002">
        <v>235922</v>
      </c>
      <c r="P4" s="2002">
        <v>0</v>
      </c>
      <c r="Q4" s="2002">
        <v>-175589</v>
      </c>
      <c r="R4" s="2002">
        <v>60333</v>
      </c>
    </row>
    <row r="5" spans="1:18" ht="15.75">
      <c r="A5" s="1881">
        <v>18230746</v>
      </c>
      <c r="B5" s="1815"/>
      <c r="C5" s="2080"/>
      <c r="D5" s="2080"/>
      <c r="E5" s="2080"/>
      <c r="F5" s="2080"/>
      <c r="G5" s="1228">
        <v>2016</v>
      </c>
      <c r="H5" s="1582">
        <f>D15</f>
        <v>150270.88</v>
      </c>
      <c r="I5" s="1549">
        <f>D21</f>
        <v>4000</v>
      </c>
      <c r="J5" s="1549">
        <f>D27</f>
        <v>102898.67696000001</v>
      </c>
      <c r="K5" s="1549">
        <f>D34</f>
        <v>14000</v>
      </c>
      <c r="L5" s="1549">
        <f>D40</f>
        <v>5000</v>
      </c>
      <c r="M5" s="1549">
        <f>D46</f>
        <v>16000</v>
      </c>
      <c r="N5" s="1549">
        <f>D52</f>
        <v>1500</v>
      </c>
      <c r="O5" s="1549">
        <f>D58</f>
        <v>0</v>
      </c>
      <c r="P5" s="1549">
        <v>0</v>
      </c>
      <c r="Q5" s="1549">
        <f>D67</f>
        <v>-311785.46000000002</v>
      </c>
      <c r="R5" s="1549">
        <f>SUM(H5:Q5)</f>
        <v>-18115.903040000005</v>
      </c>
    </row>
    <row r="6" spans="1:18" ht="16.5" thickBot="1">
      <c r="A6" s="1983" t="s">
        <v>5</v>
      </c>
      <c r="B6" s="1881"/>
      <c r="C6" s="1803"/>
      <c r="D6" s="2080"/>
      <c r="E6" s="2080"/>
      <c r="F6" s="2080"/>
      <c r="G6" s="1228">
        <v>2017</v>
      </c>
      <c r="H6" s="57">
        <f>E15</f>
        <v>154055.5</v>
      </c>
      <c r="I6" s="1990">
        <f>E21</f>
        <v>4100</v>
      </c>
      <c r="J6" s="1989">
        <f>E27</f>
        <v>107545.74</v>
      </c>
      <c r="K6" s="58">
        <f>E34</f>
        <v>14000</v>
      </c>
      <c r="L6" s="58">
        <f>E40</f>
        <v>5000</v>
      </c>
      <c r="M6" s="58">
        <f>E46</f>
        <v>16000</v>
      </c>
      <c r="N6" s="58">
        <f>E52</f>
        <v>1500</v>
      </c>
      <c r="O6" s="58">
        <f>E58</f>
        <v>0</v>
      </c>
      <c r="P6" s="58">
        <v>0</v>
      </c>
      <c r="Q6" s="58">
        <f>E67</f>
        <v>-311785.46000000002</v>
      </c>
      <c r="R6" s="58">
        <f>SUM(H6:Q6)</f>
        <v>-9584.2200000000303</v>
      </c>
    </row>
    <row r="7" spans="1:18" ht="16.5" thickBot="1">
      <c r="B7" s="1814"/>
      <c r="C7" s="540"/>
      <c r="D7" s="540"/>
      <c r="E7" s="540"/>
      <c r="F7" s="540"/>
      <c r="G7" s="1751" t="s">
        <v>23</v>
      </c>
      <c r="H7" s="1564">
        <v>0</v>
      </c>
      <c r="I7" s="1991">
        <v>0</v>
      </c>
      <c r="J7" s="1992">
        <v>0</v>
      </c>
      <c r="K7" s="1993">
        <v>0</v>
      </c>
      <c r="L7" s="1991">
        <v>0</v>
      </c>
      <c r="M7" s="1992">
        <v>0</v>
      </c>
      <c r="N7" s="1991">
        <v>0</v>
      </c>
      <c r="O7" s="1992">
        <f>SUM(O5:O6)</f>
        <v>0</v>
      </c>
      <c r="P7" s="1993">
        <v>0</v>
      </c>
      <c r="Q7" s="1993">
        <v>0</v>
      </c>
      <c r="R7" s="1991">
        <f>SUM(Q5:Q6)</f>
        <v>-623570.92000000004</v>
      </c>
    </row>
    <row r="8" spans="1:18" ht="25.5">
      <c r="B8" s="1815"/>
      <c r="C8" s="540"/>
      <c r="D8" s="540"/>
      <c r="E8" s="537"/>
      <c r="F8" s="1786"/>
      <c r="G8" s="2080"/>
      <c r="H8" s="2080"/>
      <c r="I8" s="2080"/>
      <c r="J8" s="2080"/>
      <c r="K8" s="2080"/>
      <c r="L8" s="2080"/>
      <c r="M8" s="2080"/>
      <c r="O8" s="2080"/>
      <c r="P8" s="2118" t="s">
        <v>20</v>
      </c>
      <c r="Q8" s="2118" t="s">
        <v>20</v>
      </c>
    </row>
    <row r="9" spans="1:18">
      <c r="A9" s="1814"/>
      <c r="B9" s="1814"/>
      <c r="C9" s="540"/>
      <c r="D9" s="540"/>
      <c r="E9" s="537"/>
      <c r="F9" s="1786"/>
      <c r="G9" s="2080"/>
      <c r="H9" s="2080"/>
      <c r="I9" s="2080"/>
      <c r="J9" s="2080"/>
      <c r="K9" s="2080"/>
      <c r="L9" s="2080"/>
      <c r="M9" s="2080"/>
      <c r="O9" s="2080"/>
      <c r="P9" s="2118" t="s">
        <v>21</v>
      </c>
      <c r="Q9" s="2118" t="s">
        <v>21</v>
      </c>
    </row>
    <row r="10" spans="1:18">
      <c r="A10" s="1821"/>
      <c r="B10" s="1821"/>
      <c r="C10" s="1915" t="s">
        <v>329</v>
      </c>
      <c r="D10" s="1915"/>
      <c r="E10" s="1915"/>
      <c r="F10" s="1915"/>
    </row>
    <row r="11" spans="1:18">
      <c r="A11" s="1821"/>
      <c r="B11" s="1821"/>
      <c r="E11" s="2193"/>
    </row>
    <row r="12" spans="1:18">
      <c r="A12" s="1821"/>
      <c r="B12" s="2118"/>
      <c r="C12" s="1887" t="s">
        <v>314</v>
      </c>
      <c r="D12" s="2157">
        <f>D15+D21+D27+D34+D40+D46+D52+D58+D64+D67</f>
        <v>-18115.903040000005</v>
      </c>
      <c r="E12" s="1948">
        <f>E15+E21+E27+E34+E40+E46+E52+E58+E64+E67</f>
        <v>-9584.2200000000303</v>
      </c>
      <c r="F12" s="2157">
        <f>D12+E12</f>
        <v>-27700.123040000035</v>
      </c>
    </row>
    <row r="13" spans="1:18" ht="13.5" customHeight="1">
      <c r="A13" s="2118"/>
      <c r="B13" s="545"/>
      <c r="C13" s="1947"/>
      <c r="E13" s="1787"/>
      <c r="G13" s="1457"/>
      <c r="H13" s="1457"/>
      <c r="I13" s="2080"/>
      <c r="J13" s="2080"/>
      <c r="K13" s="2080"/>
      <c r="L13" s="2080"/>
      <c r="M13" s="2080"/>
      <c r="N13" s="2080"/>
      <c r="O13" s="2080"/>
      <c r="P13" s="2080"/>
      <c r="Q13" s="2080"/>
    </row>
    <row r="14" spans="1:18" ht="13.5" customHeight="1">
      <c r="A14" s="545"/>
      <c r="B14" s="545"/>
      <c r="C14" s="1888" t="s">
        <v>45</v>
      </c>
      <c r="D14" s="1969">
        <v>2016</v>
      </c>
      <c r="E14" s="1970">
        <v>2017</v>
      </c>
      <c r="F14" s="1950" t="s">
        <v>23</v>
      </c>
      <c r="G14" s="546"/>
      <c r="H14" s="546"/>
      <c r="I14" s="540"/>
      <c r="J14" s="540"/>
      <c r="K14" s="540"/>
      <c r="L14" s="540"/>
      <c r="M14" s="540"/>
      <c r="N14" s="540"/>
      <c r="O14" s="540"/>
      <c r="P14" s="540"/>
      <c r="Q14" s="540"/>
    </row>
    <row r="15" spans="1:18" ht="13.5" customHeight="1">
      <c r="A15" s="545"/>
      <c r="B15" s="1886" t="s">
        <v>312</v>
      </c>
      <c r="C15" s="2106" t="s">
        <v>46</v>
      </c>
      <c r="D15" s="2158">
        <f>SUM(D16:D19)</f>
        <v>150270.88</v>
      </c>
      <c r="E15" s="1926">
        <f>SUM(E16:E19)</f>
        <v>154055.5</v>
      </c>
      <c r="F15" s="2157">
        <f t="shared" ref="F15:F21" si="0">SUM(D15:E15)</f>
        <v>304326.38</v>
      </c>
      <c r="G15" s="546"/>
      <c r="H15" s="546"/>
      <c r="I15" s="540"/>
      <c r="J15" s="540"/>
      <c r="K15" s="540"/>
      <c r="L15" s="540"/>
      <c r="M15" s="540"/>
      <c r="N15" s="540"/>
      <c r="O15" s="540"/>
      <c r="P15" s="540"/>
      <c r="Q15" s="540"/>
    </row>
    <row r="16" spans="1:18" ht="13.5" customHeight="1">
      <c r="A16" s="2118"/>
      <c r="B16" s="2610">
        <v>0.5</v>
      </c>
      <c r="C16" s="2197" t="s">
        <v>792</v>
      </c>
      <c r="D16" s="2201">
        <v>45316.5</v>
      </c>
      <c r="E16" s="2200">
        <v>46449.5</v>
      </c>
      <c r="F16" s="1879">
        <f t="shared" si="0"/>
        <v>91766</v>
      </c>
      <c r="G16" s="2080"/>
      <c r="H16" s="2080"/>
    </row>
    <row r="17" spans="1:8" ht="13.5" customHeight="1">
      <c r="A17" s="2118"/>
      <c r="B17" s="2610">
        <v>0.5</v>
      </c>
      <c r="C17" s="2197" t="s">
        <v>793</v>
      </c>
      <c r="D17" s="2199">
        <v>45316.5</v>
      </c>
      <c r="E17" s="2198">
        <v>46449.5</v>
      </c>
      <c r="F17" s="2191">
        <f t="shared" si="0"/>
        <v>91766</v>
      </c>
      <c r="G17" s="2080"/>
      <c r="H17" s="2080"/>
    </row>
    <row r="18" spans="1:8" ht="13.5" customHeight="1">
      <c r="A18" s="2118"/>
      <c r="B18" s="2610">
        <v>0.02</v>
      </c>
      <c r="C18" s="2197" t="s">
        <v>791</v>
      </c>
      <c r="D18" s="2199">
        <v>1812.66</v>
      </c>
      <c r="E18" s="2198">
        <v>1857.98</v>
      </c>
      <c r="F18" s="2191">
        <f t="shared" si="0"/>
        <v>3670.6400000000003</v>
      </c>
      <c r="G18" s="2080"/>
      <c r="H18" s="2080"/>
    </row>
    <row r="19" spans="1:8" ht="13.5" customHeight="1">
      <c r="A19" s="2118"/>
      <c r="B19" s="2610">
        <v>1</v>
      </c>
      <c r="C19" s="2197" t="s">
        <v>1695</v>
      </c>
      <c r="D19" s="2199">
        <v>57825.22</v>
      </c>
      <c r="E19" s="2198">
        <v>59298.52</v>
      </c>
      <c r="F19" s="2191">
        <f t="shared" si="0"/>
        <v>117123.73999999999</v>
      </c>
      <c r="G19" s="2080"/>
      <c r="H19" s="2080"/>
    </row>
    <row r="20" spans="1:8" ht="13.5" customHeight="1">
      <c r="A20" s="2118"/>
      <c r="B20" s="1908">
        <f>SUM(B16:B19)</f>
        <v>2.02</v>
      </c>
      <c r="C20" s="1952"/>
      <c r="D20" s="1954"/>
      <c r="E20" s="1955"/>
      <c r="F20" s="1957"/>
      <c r="G20" s="2080"/>
      <c r="H20" s="2080"/>
    </row>
    <row r="21" spans="1:8" ht="13.5" customHeight="1">
      <c r="A21" s="2118"/>
      <c r="B21" s="2118"/>
      <c r="C21" s="2106" t="s">
        <v>47</v>
      </c>
      <c r="D21" s="2158">
        <f>SUM(D22:D25)</f>
        <v>4000</v>
      </c>
      <c r="E21" s="1926">
        <f>SUM(E22:E25)</f>
        <v>4100</v>
      </c>
      <c r="F21" s="2157">
        <f t="shared" si="0"/>
        <v>8100</v>
      </c>
      <c r="G21" s="542" t="s">
        <v>7</v>
      </c>
      <c r="H21" s="2080"/>
    </row>
    <row r="22" spans="1:8" ht="13.5" customHeight="1">
      <c r="A22" s="2118"/>
      <c r="B22" s="2118"/>
      <c r="C22" s="2197" t="s">
        <v>1524</v>
      </c>
      <c r="D22" s="2990">
        <v>4000</v>
      </c>
      <c r="E22" s="2990">
        <v>4100</v>
      </c>
      <c r="F22" s="1879">
        <v>0</v>
      </c>
      <c r="G22" s="543"/>
      <c r="H22" s="2080"/>
    </row>
    <row r="23" spans="1:8" ht="13.5" customHeight="1">
      <c r="A23" s="2118"/>
      <c r="B23" s="2118"/>
      <c r="C23" s="2197"/>
      <c r="D23" s="1900"/>
      <c r="E23" s="1899"/>
      <c r="F23" s="2191">
        <v>0</v>
      </c>
      <c r="G23" s="2080"/>
      <c r="H23" s="2080"/>
    </row>
    <row r="24" spans="1:8" ht="13.5" customHeight="1">
      <c r="A24" s="2118"/>
      <c r="B24" s="545"/>
      <c r="C24" s="2197"/>
      <c r="D24" s="1898"/>
      <c r="E24" s="1897"/>
      <c r="F24" s="2191">
        <v>0</v>
      </c>
      <c r="G24" s="2080"/>
      <c r="H24" s="2080"/>
    </row>
    <row r="25" spans="1:8" ht="13.5" customHeight="1">
      <c r="A25" s="545"/>
      <c r="B25" s="2118"/>
      <c r="C25" s="2197"/>
      <c r="D25" s="1896"/>
      <c r="E25" s="1899"/>
      <c r="F25" s="2191">
        <v>0</v>
      </c>
      <c r="G25" s="540"/>
      <c r="H25" s="540"/>
    </row>
    <row r="26" spans="1:8" ht="13.5" customHeight="1">
      <c r="A26" s="2118"/>
      <c r="B26" s="545"/>
      <c r="C26" s="1877"/>
      <c r="D26" s="1892"/>
      <c r="E26" s="1884"/>
      <c r="F26" s="1892"/>
      <c r="G26" s="2080"/>
      <c r="H26" s="2080"/>
    </row>
    <row r="27" spans="1:8" ht="13.5" customHeight="1">
      <c r="A27" s="545"/>
      <c r="B27" s="2118"/>
      <c r="C27" s="2106" t="s">
        <v>48</v>
      </c>
      <c r="D27" s="2183">
        <f>SUM(D29:D32)</f>
        <v>102898.67696000001</v>
      </c>
      <c r="E27" s="1926">
        <f>SUM(E29:E32)</f>
        <v>107545.74</v>
      </c>
      <c r="F27" s="2157">
        <f>SUM(F29:F32)</f>
        <v>210444.41696</v>
      </c>
      <c r="G27" s="540"/>
      <c r="H27" s="540"/>
    </row>
    <row r="28" spans="1:8" ht="13.5" customHeight="1">
      <c r="A28" s="2118"/>
      <c r="B28" s="2118"/>
      <c r="C28" s="1909" t="s">
        <v>315</v>
      </c>
      <c r="D28" s="1912">
        <v>0.66700000000000004</v>
      </c>
      <c r="E28" s="1913">
        <v>0.68</v>
      </c>
      <c r="F28" s="1949"/>
      <c r="G28" s="2080"/>
      <c r="H28" s="2080"/>
    </row>
    <row r="29" spans="1:8" ht="13.5" customHeight="1">
      <c r="A29" s="2118"/>
      <c r="B29" s="2118"/>
      <c r="C29" s="2197" t="s">
        <v>778</v>
      </c>
      <c r="D29" s="2202">
        <f>D15*D28</f>
        <v>100230.67696000001</v>
      </c>
      <c r="E29" s="2163">
        <f>E15*E28</f>
        <v>104757.74</v>
      </c>
      <c r="F29" s="2191">
        <f>SUM(D29:E29)</f>
        <v>204988.41696</v>
      </c>
      <c r="G29" s="2080"/>
      <c r="H29" s="2080"/>
    </row>
    <row r="30" spans="1:8" ht="13.5" customHeight="1">
      <c r="A30" s="2118"/>
      <c r="B30" s="2118"/>
      <c r="C30" s="2197" t="s">
        <v>779</v>
      </c>
      <c r="D30" s="1973">
        <f>D21*D28</f>
        <v>2668</v>
      </c>
      <c r="E30" s="2163">
        <f>E21*E28</f>
        <v>2788</v>
      </c>
      <c r="F30" s="2191">
        <f>SUM(D30:E30)</f>
        <v>5456</v>
      </c>
      <c r="G30" s="2080"/>
      <c r="H30" s="2080"/>
    </row>
    <row r="31" spans="1:8" ht="13.5" customHeight="1">
      <c r="A31" s="2118"/>
      <c r="B31" s="2118"/>
      <c r="C31" s="1901"/>
      <c r="D31" s="1898"/>
      <c r="E31" s="1897"/>
      <c r="F31" s="1889"/>
      <c r="G31" s="2080"/>
      <c r="H31" s="2080"/>
    </row>
    <row r="32" spans="1:8" ht="13.5" customHeight="1">
      <c r="A32" s="2118"/>
      <c r="B32" s="2118"/>
      <c r="C32" s="1901"/>
      <c r="D32" s="1896"/>
      <c r="E32" s="1899"/>
      <c r="F32" s="1890"/>
      <c r="G32" s="2080"/>
    </row>
    <row r="33" spans="1:7" ht="13.5" customHeight="1">
      <c r="A33" s="2118"/>
      <c r="B33" s="1801"/>
      <c r="C33" s="1952"/>
      <c r="D33" s="1958"/>
      <c r="E33" s="1955"/>
      <c r="F33" s="1958"/>
      <c r="G33" s="2080"/>
    </row>
    <row r="34" spans="1:7" ht="27" customHeight="1">
      <c r="A34" s="2818" t="s">
        <v>717</v>
      </c>
      <c r="B34" s="2118"/>
      <c r="C34" s="2106" t="s">
        <v>49</v>
      </c>
      <c r="D34" s="2183">
        <f>SUM(D35:D38)</f>
        <v>14000</v>
      </c>
      <c r="E34" s="2184">
        <f>SUM(E35:E38)</f>
        <v>14000</v>
      </c>
      <c r="F34" s="2157">
        <f>SUM(D34:E34)</f>
        <v>28000</v>
      </c>
      <c r="G34" s="539"/>
    </row>
    <row r="35" spans="1:7" ht="13.5" customHeight="1">
      <c r="A35" s="1983" t="s">
        <v>25</v>
      </c>
      <c r="B35" s="545"/>
      <c r="C35" s="2197"/>
      <c r="D35" s="2202">
        <v>14000</v>
      </c>
      <c r="E35" s="2203">
        <v>14000</v>
      </c>
      <c r="F35" s="2191">
        <v>0</v>
      </c>
      <c r="G35" s="2080"/>
    </row>
    <row r="36" spans="1:7" ht="13.5" customHeight="1">
      <c r="A36" s="1881">
        <v>18230746</v>
      </c>
      <c r="B36" s="2118"/>
      <c r="C36" s="2197"/>
      <c r="D36" s="2202"/>
      <c r="E36" s="2203"/>
      <c r="F36" s="2191">
        <v>0</v>
      </c>
      <c r="G36" s="540"/>
    </row>
    <row r="37" spans="1:7" ht="13.5" customHeight="1">
      <c r="A37" s="1983" t="s">
        <v>5</v>
      </c>
      <c r="B37" s="2118"/>
      <c r="C37" s="2197"/>
      <c r="D37" s="2202"/>
      <c r="E37" s="2203"/>
      <c r="F37" s="2191">
        <v>0</v>
      </c>
      <c r="G37" s="2080"/>
    </row>
    <row r="38" spans="1:7" ht="13.5" customHeight="1">
      <c r="A38" s="2118"/>
      <c r="B38" s="2118"/>
      <c r="C38" s="2197"/>
      <c r="D38" s="2202"/>
      <c r="E38" s="2203"/>
      <c r="F38" s="2191">
        <v>0</v>
      </c>
      <c r="G38" s="2080"/>
    </row>
    <row r="39" spans="1:7" ht="13.5" customHeight="1">
      <c r="A39" s="2118"/>
      <c r="B39" s="2118"/>
      <c r="C39" s="1952"/>
      <c r="D39" s="1958"/>
      <c r="E39" s="1955"/>
      <c r="F39" s="1958"/>
      <c r="G39" s="2080"/>
    </row>
    <row r="40" spans="1:7" ht="13.5" customHeight="1">
      <c r="A40" s="2118"/>
      <c r="B40" s="2118"/>
      <c r="C40" s="2106" t="s">
        <v>506</v>
      </c>
      <c r="D40" s="2158">
        <f>SUM(D41:D44)</f>
        <v>5000</v>
      </c>
      <c r="E40" s="1926">
        <f>SUM(E41:E44)</f>
        <v>5000</v>
      </c>
      <c r="F40" s="2157">
        <f>SUM(D40:E40)</f>
        <v>10000</v>
      </c>
      <c r="G40" s="2080"/>
    </row>
    <row r="41" spans="1:7" ht="13.5" customHeight="1">
      <c r="A41" s="2118"/>
      <c r="B41" s="2118"/>
      <c r="C41" s="2197"/>
      <c r="D41" s="2202">
        <v>5000</v>
      </c>
      <c r="E41" s="2203">
        <v>5000</v>
      </c>
      <c r="F41" s="2191">
        <f>SUM(D41:E41)</f>
        <v>10000</v>
      </c>
      <c r="G41" s="2080"/>
    </row>
    <row r="42" spans="1:7" ht="13.5" customHeight="1">
      <c r="A42" s="2118"/>
      <c r="B42" s="2118"/>
      <c r="C42" s="2197"/>
      <c r="D42" s="2202"/>
      <c r="E42" s="2203"/>
      <c r="F42" s="2191">
        <v>0</v>
      </c>
      <c r="G42" s="2080"/>
    </row>
    <row r="43" spans="1:7" ht="13.5" customHeight="1">
      <c r="A43" s="2118"/>
      <c r="B43" s="2118"/>
      <c r="C43" s="2197"/>
      <c r="D43" s="2202"/>
      <c r="E43" s="2203"/>
      <c r="F43" s="2191">
        <v>0</v>
      </c>
      <c r="G43" s="2080"/>
    </row>
    <row r="44" spans="1:7" ht="13.5" customHeight="1">
      <c r="A44" s="2118"/>
      <c r="B44" s="2118"/>
      <c r="C44" s="2197"/>
      <c r="D44" s="2202"/>
      <c r="E44" s="2203"/>
      <c r="F44" s="2191">
        <v>0</v>
      </c>
      <c r="G44" s="2080"/>
    </row>
    <row r="45" spans="1:7" ht="13.5" customHeight="1">
      <c r="A45" s="2118"/>
      <c r="B45" s="2118"/>
      <c r="C45" s="1952"/>
      <c r="D45" s="1958"/>
      <c r="E45" s="1955"/>
      <c r="F45" s="1958"/>
      <c r="G45" s="2080"/>
    </row>
    <row r="46" spans="1:7" ht="13.5" customHeight="1">
      <c r="A46" s="2118"/>
      <c r="B46" s="2118"/>
      <c r="C46" s="2106" t="s">
        <v>50</v>
      </c>
      <c r="D46" s="2158">
        <f>SUM(D47:D50)</f>
        <v>16000</v>
      </c>
      <c r="E46" s="1926">
        <f>SUM(E47:E50)</f>
        <v>16000</v>
      </c>
      <c r="F46" s="2157">
        <f>SUM(D46:E46)</f>
        <v>32000</v>
      </c>
      <c r="G46" s="2080"/>
    </row>
    <row r="47" spans="1:7" ht="13.5" customHeight="1">
      <c r="A47" s="2118"/>
      <c r="B47" s="2118"/>
      <c r="C47" s="2197"/>
      <c r="D47" s="2202">
        <v>16000</v>
      </c>
      <c r="E47" s="2203">
        <v>16000</v>
      </c>
      <c r="F47" s="2191">
        <f>SUM(D47:E47)</f>
        <v>32000</v>
      </c>
      <c r="G47" s="2080"/>
    </row>
    <row r="48" spans="1:7" ht="13.5" customHeight="1">
      <c r="A48" s="2118"/>
      <c r="B48" s="2118"/>
      <c r="C48" s="2197"/>
      <c r="D48" s="2202"/>
      <c r="E48" s="2203"/>
      <c r="F48" s="2191">
        <f>SUM(D48:E48)</f>
        <v>0</v>
      </c>
    </row>
    <row r="49" spans="1:6" ht="13.5" customHeight="1">
      <c r="A49" s="2118"/>
      <c r="B49" s="2118"/>
      <c r="C49" s="2197"/>
      <c r="D49" s="2202"/>
      <c r="E49" s="2203"/>
      <c r="F49" s="2191">
        <v>0</v>
      </c>
    </row>
    <row r="50" spans="1:6" ht="13.5" customHeight="1">
      <c r="A50" s="2118"/>
      <c r="B50" s="2118"/>
      <c r="C50" s="2197"/>
      <c r="D50" s="2202"/>
      <c r="E50" s="2203"/>
      <c r="F50" s="2191">
        <v>0</v>
      </c>
    </row>
    <row r="51" spans="1:6" ht="13.5" customHeight="1">
      <c r="A51" s="2118"/>
      <c r="B51" s="2118"/>
      <c r="C51" s="1952"/>
      <c r="D51" s="1958"/>
      <c r="E51" s="1955"/>
      <c r="F51" s="1958"/>
    </row>
    <row r="52" spans="1:6" ht="13.5" customHeight="1">
      <c r="A52" s="2118"/>
      <c r="B52" s="2118"/>
      <c r="C52" s="2106" t="s">
        <v>51</v>
      </c>
      <c r="D52" s="2158">
        <f>SUM(D53:D56)</f>
        <v>1500</v>
      </c>
      <c r="E52" s="1926">
        <f>SUM(E53:E56)</f>
        <v>1500</v>
      </c>
      <c r="F52" s="2157">
        <f>SUM(D52:E52)</f>
        <v>3000</v>
      </c>
    </row>
    <row r="53" spans="1:6" ht="13.5" customHeight="1">
      <c r="A53" s="2118"/>
      <c r="B53" s="2118"/>
      <c r="C53" s="2197"/>
      <c r="D53" s="2202">
        <v>1500</v>
      </c>
      <c r="E53" s="2163">
        <v>1500</v>
      </c>
      <c r="F53" s="2191">
        <f>SUM(D53:E53)</f>
        <v>3000</v>
      </c>
    </row>
    <row r="54" spans="1:6" ht="13.5" customHeight="1">
      <c r="A54" s="2118"/>
      <c r="B54" s="2118"/>
      <c r="C54" s="2197"/>
      <c r="D54" s="2202"/>
      <c r="E54" s="2163"/>
      <c r="F54" s="2191">
        <f>SUM(D54:E54)</f>
        <v>0</v>
      </c>
    </row>
    <row r="55" spans="1:6" ht="13.5" customHeight="1">
      <c r="A55" s="2118"/>
      <c r="B55" s="2118"/>
      <c r="C55" s="2197"/>
      <c r="D55" s="2202"/>
      <c r="E55" s="2163"/>
      <c r="F55" s="2191">
        <v>0</v>
      </c>
    </row>
    <row r="56" spans="1:6" ht="13.5" customHeight="1">
      <c r="A56" s="2118"/>
      <c r="B56" s="2118"/>
      <c r="C56" s="2197"/>
      <c r="D56" s="2202"/>
      <c r="E56" s="2163"/>
      <c r="F56" s="2191">
        <v>0</v>
      </c>
    </row>
    <row r="57" spans="1:6" ht="13.5" customHeight="1">
      <c r="A57" s="2118"/>
      <c r="B57" s="2118"/>
      <c r="C57" s="1952"/>
      <c r="D57" s="1958"/>
      <c r="E57" s="1955"/>
      <c r="F57" s="1958"/>
    </row>
    <row r="58" spans="1:6" ht="13.5" customHeight="1">
      <c r="A58" s="2118"/>
      <c r="B58" s="2118"/>
      <c r="C58" s="2106" t="s">
        <v>52</v>
      </c>
      <c r="D58" s="2158">
        <f>SUM(D59:D62)</f>
        <v>0</v>
      </c>
      <c r="E58" s="1926">
        <f>SUM(E59:E62)</f>
        <v>0</v>
      </c>
      <c r="F58" s="2157">
        <f t="shared" ref="F58" si="1">SUM(D58:E58)</f>
        <v>0</v>
      </c>
    </row>
    <row r="59" spans="1:6" ht="13.5" customHeight="1">
      <c r="A59" s="2118"/>
      <c r="B59" s="2118"/>
      <c r="C59" s="2197"/>
      <c r="D59" s="2202"/>
      <c r="E59" s="2203"/>
      <c r="F59" s="2191"/>
    </row>
    <row r="60" spans="1:6" ht="13.5" customHeight="1">
      <c r="A60" s="2118"/>
      <c r="B60" s="2118"/>
      <c r="C60" s="2197"/>
      <c r="D60" s="2202"/>
      <c r="E60" s="2203"/>
      <c r="F60" s="2191"/>
    </row>
    <row r="61" spans="1:6" ht="13.5" customHeight="1">
      <c r="A61" s="2118"/>
      <c r="C61" s="2197"/>
      <c r="D61" s="2202"/>
      <c r="E61" s="2203"/>
      <c r="F61" s="2191"/>
    </row>
    <row r="62" spans="1:6">
      <c r="C62" s="2197"/>
      <c r="D62" s="2202"/>
      <c r="E62" s="2203"/>
      <c r="F62" s="2191"/>
    </row>
    <row r="63" spans="1:6">
      <c r="C63" s="1952"/>
      <c r="D63" s="1958"/>
      <c r="E63" s="1955"/>
      <c r="F63" s="1958"/>
    </row>
    <row r="64" spans="1:6">
      <c r="C64" s="2106" t="s">
        <v>15</v>
      </c>
      <c r="D64" s="2158"/>
      <c r="E64" s="1926"/>
      <c r="F64" s="2157"/>
    </row>
    <row r="65" spans="3:6">
      <c r="C65" s="1967"/>
      <c r="D65" s="1961"/>
      <c r="E65" s="1962"/>
      <c r="F65" s="1966"/>
    </row>
    <row r="66" spans="3:6">
      <c r="C66" s="1968"/>
      <c r="D66" s="1963"/>
      <c r="E66" s="1964"/>
      <c r="F66" s="1965"/>
    </row>
    <row r="67" spans="3:6">
      <c r="C67" s="2992" t="s">
        <v>1447</v>
      </c>
      <c r="D67" s="2991">
        <v>-311785.46000000002</v>
      </c>
      <c r="E67" s="2991">
        <v>-311785.46000000002</v>
      </c>
      <c r="F67" s="1956">
        <f>D67+E67</f>
        <v>-623570.92000000004</v>
      </c>
    </row>
  </sheetData>
  <customSheetViews>
    <customSheetView guid="{074EB09C-6289-46D7-9513-012B68BCA7BF}" showGridLines="0">
      <pane xSplit="1" ySplit="1" topLeftCell="B2" activePane="bottomRight" state="frozen"/>
      <selection pane="bottomRight" activeCell="E19" sqref="E19"/>
      <pageMargins left="0.7" right="0.7" top="0.75" bottom="0.75" header="0.3" footer="0.3"/>
    </customSheetView>
    <customSheetView guid="{D9EFFE19-D14B-4C6F-BDF4-FF696F73968D}" showGridLines="0">
      <pane xSplit="1" ySplit="1" topLeftCell="B2" activePane="bottomRight" state="frozen"/>
      <selection pane="bottomRight" activeCell="D7" sqref="D7"/>
      <pageMargins left="0.7" right="0.7" top="0.75" bottom="0.75" header="0.3" footer="0.3"/>
    </customSheetView>
  </customSheetView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C6"/>
  <sheetViews>
    <sheetView showGridLines="0" workbookViewId="0">
      <selection activeCell="H29" sqref="H29"/>
    </sheetView>
  </sheetViews>
  <sheetFormatPr defaultRowHeight="12.75"/>
  <sheetData>
    <row r="1" spans="1:3">
      <c r="A1" t="s">
        <v>1</v>
      </c>
    </row>
    <row r="3" spans="1:3">
      <c r="B3" s="2177" t="s">
        <v>364</v>
      </c>
      <c r="C3" s="2177"/>
    </row>
    <row r="4" spans="1:3">
      <c r="B4" s="2177" t="s">
        <v>358</v>
      </c>
      <c r="C4" s="2177" t="s">
        <v>359</v>
      </c>
    </row>
    <row r="5" spans="1:3">
      <c r="B5" s="2177" t="s">
        <v>360</v>
      </c>
      <c r="C5" s="2177" t="s">
        <v>361</v>
      </c>
    </row>
    <row r="6" spans="1:3">
      <c r="B6" s="2177" t="s">
        <v>362</v>
      </c>
      <c r="C6" s="2177" t="s">
        <v>363</v>
      </c>
    </row>
  </sheetData>
  <customSheetViews>
    <customSheetView guid="{074EB09C-6289-46D7-9513-012B68BCA7BF}" showGridLines="0">
      <pageMargins left="0.7" right="0.7" top="0.75" bottom="0.75" header="0.3" footer="0.3"/>
      <pageSetup paperSize="3" orientation="landscape" r:id="rId1"/>
    </customSheetView>
    <customSheetView guid="{D9EFFE19-D14B-4C6F-BDF4-FF696F73968D}" showGridLines="0">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T67"/>
  <sheetViews>
    <sheetView showGridLines="0" workbookViewId="0">
      <pane xSplit="1" ySplit="1" topLeftCell="B2" activePane="bottomRight" state="frozen"/>
      <selection pane="topRight" activeCell="B1" sqref="B1"/>
      <selection pane="bottomLeft" activeCell="A2" sqref="A2"/>
      <selection pane="bottomRight" activeCell="E17" sqref="E17"/>
    </sheetView>
  </sheetViews>
  <sheetFormatPr defaultRowHeight="12.75"/>
  <cols>
    <col min="1" max="1" width="17.85546875" style="1164" customWidth="1"/>
    <col min="2" max="2" width="15.5703125" style="1866" customWidth="1"/>
    <col min="3" max="3" width="30" customWidth="1"/>
    <col min="4" max="4" width="21.7109375" customWidth="1"/>
    <col min="5" max="7" width="21.140625" customWidth="1"/>
    <col min="8" max="8" width="15.42578125" customWidth="1"/>
    <col min="9" max="13" width="18.28515625" customWidth="1"/>
    <col min="14" max="18" width="15.85546875" customWidth="1"/>
  </cols>
  <sheetData>
    <row r="1" spans="1:19" ht="56.25" customHeight="1">
      <c r="C1" s="1301"/>
      <c r="D1" s="1812" t="s">
        <v>203</v>
      </c>
      <c r="E1" s="1984" t="s">
        <v>6</v>
      </c>
      <c r="F1" s="1984">
        <v>18230704</v>
      </c>
      <c r="G1" s="1977" t="s">
        <v>31</v>
      </c>
      <c r="J1" s="568"/>
      <c r="K1" s="566"/>
      <c r="L1" s="566"/>
      <c r="M1" s="1812" t="s">
        <v>203</v>
      </c>
      <c r="N1" s="1984" t="s">
        <v>6</v>
      </c>
      <c r="O1" s="1984">
        <v>18230704</v>
      </c>
      <c r="P1" s="1977" t="s">
        <v>31</v>
      </c>
      <c r="Q1" s="566"/>
      <c r="R1" s="566"/>
    </row>
    <row r="2" spans="1:19" ht="16.5" customHeight="1" thickBot="1">
      <c r="C2" s="568"/>
      <c r="D2" s="1456"/>
      <c r="E2" s="1494"/>
      <c r="F2" s="1227"/>
      <c r="G2" s="1227"/>
      <c r="H2" s="1576" t="s">
        <v>713</v>
      </c>
      <c r="I2" s="566"/>
      <c r="J2" s="566"/>
      <c r="K2" s="566"/>
      <c r="L2" s="566"/>
      <c r="M2" s="566"/>
      <c r="N2" s="566"/>
      <c r="O2" s="566"/>
      <c r="P2" s="566"/>
      <c r="Q2" s="566"/>
      <c r="R2" s="1869"/>
    </row>
    <row r="3" spans="1:19" ht="27" thickBot="1">
      <c r="A3" s="1808" t="s">
        <v>203</v>
      </c>
      <c r="B3" s="1808"/>
      <c r="E3" s="1494"/>
      <c r="F3" s="566"/>
      <c r="G3" s="566"/>
      <c r="H3" s="1577" t="s">
        <v>8</v>
      </c>
      <c r="I3" s="1538" t="s">
        <v>9</v>
      </c>
      <c r="J3" s="1538" t="s">
        <v>10</v>
      </c>
      <c r="K3" s="1538" t="s">
        <v>11</v>
      </c>
      <c r="L3" s="2037" t="s">
        <v>504</v>
      </c>
      <c r="M3" s="1538" t="s">
        <v>12</v>
      </c>
      <c r="N3" s="1538" t="s">
        <v>13</v>
      </c>
      <c r="O3" s="1538" t="s">
        <v>14</v>
      </c>
      <c r="P3" s="1538" t="s">
        <v>38</v>
      </c>
      <c r="Q3" s="1538" t="s">
        <v>39</v>
      </c>
      <c r="R3" s="1578" t="s">
        <v>16</v>
      </c>
      <c r="S3" s="1995"/>
    </row>
    <row r="4" spans="1:19" ht="15.75">
      <c r="A4" s="1985" t="s">
        <v>6</v>
      </c>
      <c r="B4" s="1976"/>
      <c r="C4" s="570"/>
      <c r="D4" s="570"/>
      <c r="E4" s="566"/>
      <c r="F4" s="566"/>
      <c r="G4" s="1704" t="s">
        <v>668</v>
      </c>
      <c r="H4" s="2003">
        <v>88948</v>
      </c>
      <c r="I4" s="2002">
        <v>0</v>
      </c>
      <c r="J4" s="2002">
        <v>62886</v>
      </c>
      <c r="K4" s="2002">
        <v>0</v>
      </c>
      <c r="L4" s="2002">
        <v>5867</v>
      </c>
      <c r="M4" s="2002">
        <v>200</v>
      </c>
      <c r="N4" s="2002">
        <v>453</v>
      </c>
      <c r="O4" s="2002">
        <v>202</v>
      </c>
      <c r="P4" s="2002">
        <v>0</v>
      </c>
      <c r="Q4" s="2002">
        <v>0</v>
      </c>
      <c r="R4" s="2000">
        <v>158556</v>
      </c>
      <c r="S4" s="1998"/>
    </row>
    <row r="5" spans="1:19" ht="15.75">
      <c r="A5" s="1985">
        <v>18230704</v>
      </c>
      <c r="B5" s="1985"/>
      <c r="C5" s="568"/>
      <c r="D5" s="566"/>
      <c r="E5" s="566"/>
      <c r="F5" s="566"/>
      <c r="G5" s="568">
        <v>2016</v>
      </c>
      <c r="H5" s="1582">
        <f>D15</f>
        <v>45141</v>
      </c>
      <c r="I5" s="1549">
        <f>D21</f>
        <v>0</v>
      </c>
      <c r="J5" s="1549">
        <f>D27</f>
        <v>30109.047000000002</v>
      </c>
      <c r="K5" s="1549">
        <f>D34</f>
        <v>0</v>
      </c>
      <c r="L5" s="1549">
        <f>D40</f>
        <v>7832</v>
      </c>
      <c r="M5" s="1549">
        <f>D46</f>
        <v>200</v>
      </c>
      <c r="N5" s="1549">
        <f>D52</f>
        <v>453</v>
      </c>
      <c r="O5" s="1549">
        <f>D58</f>
        <v>202</v>
      </c>
      <c r="P5" s="1549">
        <v>0</v>
      </c>
      <c r="Q5" s="1549">
        <v>0</v>
      </c>
      <c r="R5" s="2001">
        <f>SUM(H5:Q5)</f>
        <v>83937.047000000006</v>
      </c>
      <c r="S5" s="1999"/>
    </row>
    <row r="6" spans="1:19" ht="16.5" thickBot="1">
      <c r="A6" s="1976" t="s">
        <v>31</v>
      </c>
      <c r="B6" s="1985"/>
      <c r="C6" s="566"/>
      <c r="D6" s="568"/>
      <c r="E6" s="566"/>
      <c r="F6" s="566"/>
      <c r="G6" s="568">
        <v>2017</v>
      </c>
      <c r="H6" s="57">
        <f>E15</f>
        <v>46269.52</v>
      </c>
      <c r="I6" s="1990">
        <f>E21</f>
        <v>0</v>
      </c>
      <c r="J6" s="1989">
        <f>E27</f>
        <v>31463.2736</v>
      </c>
      <c r="K6" s="58">
        <f>E34</f>
        <v>0</v>
      </c>
      <c r="L6" s="58">
        <f>E40</f>
        <v>7832</v>
      </c>
      <c r="M6" s="58">
        <f>E46</f>
        <v>200</v>
      </c>
      <c r="N6" s="58">
        <f>E52</f>
        <v>453</v>
      </c>
      <c r="O6" s="58">
        <f>E58</f>
        <v>202</v>
      </c>
      <c r="P6" s="58">
        <v>0</v>
      </c>
      <c r="Q6" s="58">
        <v>0</v>
      </c>
      <c r="R6" s="1997">
        <f>SUM(H6:Q6)</f>
        <v>86419.793600000005</v>
      </c>
      <c r="S6" s="1996"/>
    </row>
    <row r="7" spans="1:19" ht="16.5" thickBot="1">
      <c r="A7" s="1607"/>
      <c r="B7" s="1976"/>
      <c r="C7" s="566"/>
      <c r="D7" s="572"/>
      <c r="E7" s="566"/>
      <c r="F7" s="566"/>
      <c r="G7" s="571" t="s">
        <v>55</v>
      </c>
      <c r="H7" s="1564">
        <f>SUM(H5:H6)</f>
        <v>91410.51999999999</v>
      </c>
      <c r="I7" s="1991">
        <f t="shared" ref="I7:Q7" si="0">SUM(I5:I6)</f>
        <v>0</v>
      </c>
      <c r="J7" s="1992">
        <f t="shared" si="0"/>
        <v>61572.320600000006</v>
      </c>
      <c r="K7" s="1993">
        <f t="shared" si="0"/>
        <v>0</v>
      </c>
      <c r="L7" s="1991">
        <f t="shared" si="0"/>
        <v>15664</v>
      </c>
      <c r="M7" s="1992">
        <f t="shared" si="0"/>
        <v>400</v>
      </c>
      <c r="N7" s="1991">
        <f t="shared" si="0"/>
        <v>906</v>
      </c>
      <c r="O7" s="1992">
        <f t="shared" si="0"/>
        <v>404</v>
      </c>
      <c r="P7" s="1993">
        <f t="shared" si="0"/>
        <v>0</v>
      </c>
      <c r="Q7" s="1991">
        <f t="shared" si="0"/>
        <v>0</v>
      </c>
      <c r="R7" s="1993">
        <f>SUM(R5:R6)</f>
        <v>170356.8406</v>
      </c>
      <c r="S7" s="1994"/>
    </row>
    <row r="8" spans="1:19" ht="15.75">
      <c r="B8" s="1808"/>
      <c r="C8" s="1805"/>
      <c r="D8" s="1735"/>
      <c r="E8" s="1805"/>
      <c r="F8" s="1805"/>
      <c r="Q8" s="655"/>
      <c r="R8" s="25"/>
    </row>
    <row r="9" spans="1:19" s="650" customFormat="1" ht="15.75">
      <c r="A9" s="1808"/>
      <c r="B9" s="1808"/>
      <c r="C9" s="1805"/>
      <c r="D9" s="1735"/>
      <c r="E9" s="1805"/>
      <c r="F9" s="1805"/>
      <c r="Q9" s="655"/>
      <c r="R9" s="25"/>
    </row>
    <row r="10" spans="1:19">
      <c r="A10" s="1808"/>
      <c r="B10" s="1808"/>
      <c r="C10" s="1915" t="s">
        <v>329</v>
      </c>
      <c r="D10" s="1915"/>
      <c r="E10" s="1915"/>
      <c r="F10" s="1915"/>
      <c r="H10" s="566"/>
      <c r="I10" s="1764"/>
      <c r="J10" s="3635"/>
      <c r="K10" s="3635"/>
      <c r="L10" s="3635"/>
      <c r="M10" s="3635"/>
      <c r="N10" s="3636"/>
      <c r="O10" s="3636"/>
      <c r="P10" s="1764"/>
      <c r="Q10" s="1764"/>
      <c r="R10" s="1764"/>
    </row>
    <row r="11" spans="1:19" ht="15.75">
      <c r="A11" s="1808"/>
      <c r="B11" s="1808"/>
      <c r="C11" s="1866"/>
      <c r="D11" s="1866"/>
      <c r="E11" s="1867"/>
      <c r="F11" s="1866"/>
      <c r="H11" s="566"/>
      <c r="I11" s="1764"/>
      <c r="J11" s="3634"/>
      <c r="K11" s="3634"/>
      <c r="L11" s="3634"/>
      <c r="M11" s="3634"/>
      <c r="N11" s="3634"/>
      <c r="O11" s="3634"/>
      <c r="P11" s="3634"/>
      <c r="Q11" s="3634"/>
      <c r="R11" s="3634"/>
    </row>
    <row r="12" spans="1:19" ht="15.75">
      <c r="A12" s="1808"/>
      <c r="B12" s="1808"/>
      <c r="C12" s="1887" t="s">
        <v>314</v>
      </c>
      <c r="D12" s="1924">
        <f>D15+D21+D27+D34+D40+D46+D52+D58</f>
        <v>83937.047000000006</v>
      </c>
      <c r="E12" s="1948">
        <f>E15+E21+E27+E34+E40+E46+E52+E58</f>
        <v>86419.793600000005</v>
      </c>
      <c r="F12" s="1924">
        <f>D12+E12</f>
        <v>170356.8406</v>
      </c>
      <c r="H12" s="566"/>
      <c r="I12" s="1763"/>
      <c r="J12" s="3634"/>
      <c r="K12" s="3634"/>
      <c r="L12" s="3634"/>
      <c r="M12" s="1767"/>
      <c r="N12" s="1768"/>
      <c r="O12" s="1768"/>
      <c r="P12" s="1768"/>
      <c r="Q12" s="1768"/>
      <c r="R12" s="1768"/>
    </row>
    <row r="13" spans="1:19">
      <c r="B13" s="1808"/>
      <c r="C13" s="1947"/>
      <c r="D13" s="1866"/>
      <c r="E13" s="1787"/>
      <c r="F13" s="1866"/>
      <c r="H13" s="566"/>
      <c r="I13" s="1764"/>
      <c r="J13" s="1764"/>
      <c r="K13" s="1764"/>
      <c r="L13" s="1764"/>
      <c r="M13" s="1730"/>
      <c r="N13" s="1764"/>
      <c r="O13" s="1764"/>
      <c r="P13" s="1763"/>
      <c r="Q13" s="1709"/>
      <c r="R13" s="1709"/>
    </row>
    <row r="14" spans="1:19" ht="15.75">
      <c r="B14" s="1808"/>
      <c r="C14" s="1888" t="s">
        <v>45</v>
      </c>
      <c r="D14" s="1969">
        <v>2016</v>
      </c>
      <c r="E14" s="1970">
        <v>2017</v>
      </c>
      <c r="F14" s="1950" t="s">
        <v>23</v>
      </c>
      <c r="H14" s="566"/>
      <c r="I14" s="1764"/>
      <c r="J14" s="1764"/>
      <c r="K14" s="1764"/>
      <c r="L14" s="1764"/>
      <c r="M14" s="1730"/>
      <c r="N14" s="1764"/>
      <c r="O14" s="1764"/>
      <c r="P14" s="1763"/>
      <c r="Q14" s="1709"/>
      <c r="R14" s="1709"/>
    </row>
    <row r="15" spans="1:19">
      <c r="B15" s="1886" t="s">
        <v>312</v>
      </c>
      <c r="C15" s="1910" t="s">
        <v>46</v>
      </c>
      <c r="D15" s="1911">
        <f>SUM(D16:D20)</f>
        <v>45141</v>
      </c>
      <c r="E15" s="1926">
        <f>SUM(E16:E20)</f>
        <v>46269.52</v>
      </c>
      <c r="F15" s="1924">
        <f>SUM(F16:F20)</f>
        <v>91410.51999999999</v>
      </c>
      <c r="H15" s="566"/>
      <c r="I15" s="1764"/>
      <c r="J15" s="1764"/>
      <c r="K15" s="1764"/>
      <c r="L15" s="1764"/>
      <c r="M15" s="1730"/>
      <c r="N15" s="1764"/>
      <c r="O15" s="1764"/>
      <c r="P15" s="1763"/>
      <c r="Q15" s="1709"/>
      <c r="R15" s="1709"/>
    </row>
    <row r="16" spans="1:19">
      <c r="B16" s="2610">
        <v>0.82</v>
      </c>
      <c r="C16" s="3113" t="s">
        <v>801</v>
      </c>
      <c r="D16" s="2201">
        <v>45141</v>
      </c>
      <c r="E16" s="2200">
        <v>46269.52</v>
      </c>
      <c r="F16" s="1879">
        <f>SUM(D16:E16)</f>
        <v>91410.51999999999</v>
      </c>
      <c r="H16" s="566"/>
      <c r="I16" s="1764"/>
      <c r="J16" s="1764"/>
      <c r="K16" s="1764"/>
      <c r="L16" s="1764"/>
      <c r="M16" s="1730"/>
      <c r="N16" s="1764"/>
      <c r="O16" s="1764"/>
      <c r="P16" s="1763"/>
      <c r="Q16" s="1709"/>
      <c r="R16" s="1709"/>
    </row>
    <row r="17" spans="2:18">
      <c r="B17" s="1885"/>
      <c r="C17" s="1876"/>
      <c r="D17" s="1905"/>
      <c r="E17" s="1904"/>
      <c r="F17" s="1891">
        <f t="shared" ref="F17:F62" si="1">SUM(D17:E17)</f>
        <v>0</v>
      </c>
      <c r="H17" s="566"/>
      <c r="I17" s="1764"/>
      <c r="J17" s="1764"/>
      <c r="K17" s="1764"/>
      <c r="L17" s="1764"/>
      <c r="M17" s="1730"/>
      <c r="N17" s="1764"/>
      <c r="O17" s="1764"/>
      <c r="P17" s="1763"/>
      <c r="Q17" s="1709"/>
      <c r="R17" s="1709"/>
    </row>
    <row r="18" spans="2:18">
      <c r="B18" s="1885"/>
      <c r="C18" s="1876"/>
      <c r="D18" s="1905"/>
      <c r="E18" s="1904"/>
      <c r="F18" s="1891">
        <f t="shared" si="1"/>
        <v>0</v>
      </c>
      <c r="H18" s="593"/>
      <c r="I18" s="1764"/>
      <c r="J18" s="1764"/>
      <c r="K18" s="1764"/>
      <c r="L18" s="1764"/>
      <c r="M18" s="1730"/>
      <c r="N18" s="1764"/>
      <c r="O18" s="1764"/>
      <c r="P18" s="1763"/>
      <c r="Q18" s="1709"/>
      <c r="R18" s="1709"/>
    </row>
    <row r="19" spans="2:18">
      <c r="B19" s="1885"/>
      <c r="C19" s="1876"/>
      <c r="D19" s="1903"/>
      <c r="E19" s="1902"/>
      <c r="F19" s="1891">
        <f t="shared" si="1"/>
        <v>0</v>
      </c>
      <c r="H19" s="566"/>
      <c r="I19" s="1764"/>
      <c r="J19" s="1764"/>
      <c r="K19" s="1764"/>
      <c r="L19" s="1764"/>
      <c r="M19" s="1730"/>
      <c r="N19" s="1764"/>
      <c r="O19" s="1764"/>
      <c r="P19" s="1763"/>
      <c r="Q19" s="1709"/>
      <c r="R19" s="1709"/>
    </row>
    <row r="20" spans="2:18">
      <c r="B20" s="1908">
        <f>SUM(B16:B19)</f>
        <v>0.82</v>
      </c>
      <c r="C20" s="1952"/>
      <c r="D20" s="1954"/>
      <c r="E20" s="1955"/>
      <c r="F20" s="1957">
        <f t="shared" si="1"/>
        <v>0</v>
      </c>
      <c r="H20" s="566"/>
      <c r="I20" s="1764"/>
      <c r="J20" s="1764"/>
      <c r="K20" s="1764"/>
      <c r="L20" s="1764"/>
      <c r="M20" s="1730"/>
      <c r="N20" s="1764"/>
      <c r="O20" s="1764"/>
      <c r="P20" s="1763"/>
      <c r="Q20" s="1709"/>
      <c r="R20" s="1709"/>
    </row>
    <row r="21" spans="2:18">
      <c r="C21" s="1910" t="s">
        <v>47</v>
      </c>
      <c r="D21" s="1911">
        <f>SUM(D22:D25)</f>
        <v>0</v>
      </c>
      <c r="E21" s="1926">
        <f>SUM(E22:E25)</f>
        <v>0</v>
      </c>
      <c r="F21" s="1924">
        <f>SUM(F22:F25)</f>
        <v>0</v>
      </c>
      <c r="H21" s="566"/>
      <c r="I21" s="1764"/>
      <c r="J21" s="1764"/>
      <c r="K21" s="1764"/>
      <c r="L21" s="1764"/>
      <c r="M21" s="1730"/>
      <c r="N21" s="1764"/>
      <c r="O21" s="1764"/>
      <c r="P21" s="1763"/>
      <c r="Q21" s="1709"/>
      <c r="R21" s="1709"/>
    </row>
    <row r="22" spans="2:18">
      <c r="C22" s="1876"/>
      <c r="D22" s="1907"/>
      <c r="E22" s="1906"/>
      <c r="F22" s="1879">
        <f t="shared" si="1"/>
        <v>0</v>
      </c>
      <c r="H22" s="566"/>
      <c r="I22" s="1764"/>
      <c r="J22" s="1764"/>
      <c r="K22" s="1764"/>
      <c r="L22" s="1764"/>
      <c r="M22" s="1730"/>
      <c r="N22" s="1764"/>
      <c r="O22" s="1764"/>
      <c r="P22" s="1763"/>
      <c r="Q22" s="1709"/>
      <c r="R22" s="1709"/>
    </row>
    <row r="23" spans="2:18">
      <c r="C23" s="1876"/>
      <c r="D23" s="1900"/>
      <c r="E23" s="1899"/>
      <c r="F23" s="1891">
        <f t="shared" si="1"/>
        <v>0</v>
      </c>
      <c r="H23" s="566"/>
      <c r="I23" s="1764"/>
      <c r="J23" s="1764"/>
      <c r="K23" s="1764"/>
      <c r="L23" s="1764"/>
      <c r="M23" s="1730"/>
      <c r="N23" s="1764"/>
      <c r="O23" s="1764"/>
      <c r="P23" s="1763"/>
      <c r="Q23" s="1709"/>
      <c r="R23" s="1709"/>
    </row>
    <row r="24" spans="2:18">
      <c r="C24" s="1876"/>
      <c r="D24" s="1898"/>
      <c r="E24" s="1897"/>
      <c r="F24" s="1891">
        <f t="shared" si="1"/>
        <v>0</v>
      </c>
      <c r="H24" s="567"/>
      <c r="I24" s="1764"/>
      <c r="J24" s="1764"/>
      <c r="K24" s="1764"/>
      <c r="L24" s="1764"/>
      <c r="M24" s="1730"/>
      <c r="N24" s="1764"/>
      <c r="O24" s="1764"/>
      <c r="P24" s="1763"/>
      <c r="Q24" s="1709"/>
      <c r="R24" s="1709"/>
    </row>
    <row r="25" spans="2:18">
      <c r="C25" s="1876"/>
      <c r="D25" s="1896"/>
      <c r="E25" s="1899"/>
      <c r="F25" s="1891">
        <f t="shared" si="1"/>
        <v>0</v>
      </c>
      <c r="H25" s="566"/>
      <c r="I25" s="1764"/>
      <c r="J25" s="1764"/>
      <c r="K25" s="1764"/>
      <c r="L25" s="1764"/>
      <c r="M25" s="1730"/>
      <c r="N25" s="1764"/>
      <c r="O25" s="1764"/>
      <c r="P25" s="1763"/>
      <c r="Q25" s="1709"/>
      <c r="R25" s="1709"/>
    </row>
    <row r="26" spans="2:18">
      <c r="C26" s="1877"/>
      <c r="D26" s="1892"/>
      <c r="E26" s="1884"/>
      <c r="F26" s="1892"/>
      <c r="H26" s="566"/>
      <c r="I26" s="1764"/>
      <c r="J26" s="1764"/>
      <c r="K26" s="1764"/>
      <c r="L26" s="1764"/>
      <c r="M26" s="1730"/>
      <c r="N26" s="1764"/>
      <c r="O26" s="1764"/>
      <c r="P26" s="1763"/>
      <c r="Q26" s="1709"/>
      <c r="R26" s="1709"/>
    </row>
    <row r="27" spans="2:18">
      <c r="C27" s="1910" t="s">
        <v>48</v>
      </c>
      <c r="D27" s="1911">
        <f>SUM(D29:D32)</f>
        <v>30109.047000000002</v>
      </c>
      <c r="E27" s="1926">
        <f>SUM(E29:E32)</f>
        <v>31463.2736</v>
      </c>
      <c r="F27" s="1924">
        <f>SUM(F29:F32)</f>
        <v>61572.320600000006</v>
      </c>
      <c r="H27" s="566"/>
      <c r="I27" s="1764"/>
      <c r="J27" s="1764"/>
      <c r="K27" s="1764"/>
      <c r="L27" s="1764"/>
      <c r="M27" s="1730"/>
      <c r="N27" s="1764"/>
      <c r="O27" s="1764"/>
      <c r="P27" s="1763"/>
      <c r="Q27" s="1709"/>
      <c r="R27" s="1709"/>
    </row>
    <row r="28" spans="2:18">
      <c r="C28" s="1909" t="s">
        <v>315</v>
      </c>
      <c r="D28" s="1912">
        <v>0.66700000000000004</v>
      </c>
      <c r="E28" s="1913">
        <v>0.68</v>
      </c>
      <c r="F28" s="1949"/>
      <c r="H28" s="566"/>
      <c r="I28" s="1764"/>
      <c r="J28" s="1764"/>
      <c r="K28" s="1764"/>
      <c r="L28" s="1764"/>
      <c r="M28" s="1730"/>
      <c r="N28" s="1764"/>
      <c r="O28" s="1764"/>
      <c r="P28" s="1763"/>
      <c r="Q28" s="1709"/>
      <c r="R28" s="1709"/>
    </row>
    <row r="29" spans="2:18">
      <c r="C29" s="1876" t="s">
        <v>778</v>
      </c>
      <c r="D29" s="1971">
        <f>D15*D28</f>
        <v>30109.047000000002</v>
      </c>
      <c r="E29" s="1972">
        <f>E15*E28</f>
        <v>31463.2736</v>
      </c>
      <c r="F29" s="1891">
        <f t="shared" si="1"/>
        <v>61572.320600000006</v>
      </c>
      <c r="H29" s="566"/>
      <c r="I29" s="1764"/>
      <c r="J29" s="1764"/>
      <c r="K29" s="1764"/>
      <c r="L29" s="1764"/>
      <c r="M29" s="1730"/>
      <c r="N29" s="1764"/>
      <c r="O29" s="1764"/>
      <c r="P29" s="1763"/>
      <c r="Q29" s="1709"/>
      <c r="R29" s="1709"/>
    </row>
    <row r="30" spans="2:18">
      <c r="C30" s="1876" t="s">
        <v>779</v>
      </c>
      <c r="D30" s="1973">
        <f>D21*D28</f>
        <v>0</v>
      </c>
      <c r="E30" s="1972">
        <f>E21*E28</f>
        <v>0</v>
      </c>
      <c r="F30" s="2191">
        <f t="shared" si="1"/>
        <v>0</v>
      </c>
      <c r="H30" s="566"/>
      <c r="I30" s="1764"/>
      <c r="J30" s="1764"/>
      <c r="K30" s="1764"/>
      <c r="L30" s="1764"/>
      <c r="M30" s="1730"/>
      <c r="N30" s="1764"/>
      <c r="O30" s="1764"/>
      <c r="P30" s="1763"/>
      <c r="Q30" s="1709"/>
      <c r="R30" s="1709"/>
    </row>
    <row r="31" spans="2:18">
      <c r="C31" s="1901"/>
      <c r="D31" s="1898"/>
      <c r="E31" s="1897"/>
      <c r="F31" s="2191">
        <f t="shared" si="1"/>
        <v>0</v>
      </c>
      <c r="H31" s="566"/>
      <c r="I31" s="1764"/>
      <c r="J31" s="1764"/>
      <c r="K31" s="1764"/>
      <c r="L31" s="1764"/>
      <c r="M31" s="1730"/>
      <c r="N31" s="1764"/>
      <c r="O31" s="1764"/>
      <c r="P31" s="1763"/>
      <c r="Q31" s="1709"/>
      <c r="R31" s="1709"/>
    </row>
    <row r="32" spans="2:18">
      <c r="C32" s="1901"/>
      <c r="D32" s="1896"/>
      <c r="E32" s="1899"/>
      <c r="F32" s="2191">
        <f t="shared" si="1"/>
        <v>0</v>
      </c>
      <c r="H32" s="566"/>
      <c r="I32" s="1764"/>
      <c r="J32" s="1764"/>
      <c r="K32" s="1764"/>
      <c r="L32" s="1764"/>
      <c r="M32" s="1730"/>
      <c r="N32" s="1764"/>
      <c r="O32" s="1764"/>
      <c r="P32" s="1763"/>
      <c r="Q32" s="1709"/>
      <c r="R32" s="1709"/>
    </row>
    <row r="33" spans="1:18">
      <c r="C33" s="1952"/>
      <c r="D33" s="1958"/>
      <c r="E33" s="1955"/>
      <c r="F33" s="1958"/>
      <c r="H33" s="566"/>
      <c r="I33" s="1764"/>
      <c r="J33" s="1764"/>
      <c r="K33" s="1764"/>
      <c r="L33" s="1764"/>
      <c r="M33" s="1730"/>
      <c r="N33" s="1764"/>
      <c r="O33" s="1764"/>
      <c r="P33" s="1763"/>
      <c r="Q33" s="1709"/>
      <c r="R33" s="1709"/>
    </row>
    <row r="34" spans="1:18">
      <c r="C34" s="1910" t="s">
        <v>49</v>
      </c>
      <c r="D34" s="1911">
        <f>SUM(D35:D38)</f>
        <v>0</v>
      </c>
      <c r="E34" s="1926">
        <f>SUM(E35:E38)</f>
        <v>0</v>
      </c>
      <c r="F34" s="1924">
        <f>SUM(F35:F38)</f>
        <v>0</v>
      </c>
      <c r="H34" s="566"/>
      <c r="I34" s="1764"/>
      <c r="J34" s="1764"/>
      <c r="K34" s="1764"/>
      <c r="L34" s="1764"/>
      <c r="M34" s="1730"/>
      <c r="N34" s="1764"/>
      <c r="O34" s="1764"/>
      <c r="P34" s="1763"/>
      <c r="Q34" s="1709"/>
      <c r="R34" s="1709"/>
    </row>
    <row r="35" spans="1:18">
      <c r="A35" s="1808" t="s">
        <v>203</v>
      </c>
      <c r="C35" s="2155"/>
      <c r="D35" s="1971"/>
      <c r="E35" s="1988"/>
      <c r="F35" s="1891">
        <f t="shared" si="1"/>
        <v>0</v>
      </c>
      <c r="H35" s="566"/>
      <c r="I35" s="1764"/>
      <c r="J35" s="1764"/>
      <c r="K35" s="1764"/>
      <c r="L35" s="1764"/>
      <c r="M35" s="1730"/>
      <c r="N35" s="1764"/>
      <c r="O35" s="1764"/>
      <c r="P35" s="1763"/>
      <c r="Q35" s="1709"/>
      <c r="R35" s="1709"/>
    </row>
    <row r="36" spans="1:18">
      <c r="A36" s="1985" t="s">
        <v>6</v>
      </c>
      <c r="C36" s="1876"/>
      <c r="D36" s="1971"/>
      <c r="E36" s="1988"/>
      <c r="F36" s="1891">
        <f t="shared" si="1"/>
        <v>0</v>
      </c>
      <c r="H36" s="566"/>
      <c r="I36" s="1764"/>
      <c r="J36" s="1764"/>
      <c r="K36" s="1764"/>
      <c r="L36" s="1764"/>
      <c r="M36" s="1730"/>
      <c r="N36" s="1764"/>
      <c r="O36" s="1764"/>
      <c r="P36" s="1763"/>
      <c r="Q36" s="1709"/>
      <c r="R36" s="1709"/>
    </row>
    <row r="37" spans="1:18">
      <c r="A37" s="1985">
        <v>18230704</v>
      </c>
      <c r="C37" s="1876"/>
      <c r="D37" s="1971"/>
      <c r="E37" s="1988"/>
      <c r="F37" s="1891">
        <f t="shared" si="1"/>
        <v>0</v>
      </c>
      <c r="H37" s="566"/>
      <c r="I37" s="1764"/>
      <c r="J37" s="1764"/>
      <c r="K37" s="1764"/>
      <c r="L37" s="1764"/>
      <c r="M37" s="1730"/>
      <c r="N37" s="1764"/>
      <c r="O37" s="1764"/>
      <c r="P37" s="1763"/>
      <c r="Q37" s="1709"/>
      <c r="R37" s="1709"/>
    </row>
    <row r="38" spans="1:18">
      <c r="A38" s="1976" t="s">
        <v>31</v>
      </c>
      <c r="C38" s="1876"/>
      <c r="D38" s="1971"/>
      <c r="E38" s="1988"/>
      <c r="F38" s="1891">
        <f t="shared" si="1"/>
        <v>0</v>
      </c>
      <c r="H38" s="566"/>
      <c r="I38" s="1764"/>
      <c r="J38" s="1764"/>
      <c r="K38" s="1764"/>
      <c r="L38" s="1764"/>
      <c r="M38" s="1730"/>
      <c r="N38" s="1764"/>
      <c r="O38" s="1764"/>
      <c r="P38" s="1763"/>
      <c r="Q38" s="1709"/>
      <c r="R38" s="1709"/>
    </row>
    <row r="39" spans="1:18">
      <c r="C39" s="1952"/>
      <c r="D39" s="1958"/>
      <c r="E39" s="1955"/>
      <c r="F39" s="1958"/>
      <c r="H39" s="566"/>
      <c r="I39" s="1764"/>
      <c r="J39" s="1764"/>
      <c r="K39" s="1764"/>
      <c r="L39" s="1764"/>
      <c r="M39" s="1730"/>
      <c r="N39" s="1764"/>
      <c r="O39" s="1764"/>
      <c r="P39" s="1763"/>
      <c r="Q39" s="1709"/>
      <c r="R39" s="1709"/>
    </row>
    <row r="40" spans="1:18">
      <c r="C40" s="2106" t="s">
        <v>506</v>
      </c>
      <c r="D40" s="2183">
        <f>SUM(D41:D44)</f>
        <v>7832</v>
      </c>
      <c r="E40" s="1926">
        <f>SUM(E41:E44)</f>
        <v>7832</v>
      </c>
      <c r="F40" s="1924">
        <f>SUM(F41:F44)</f>
        <v>15664</v>
      </c>
      <c r="H40" s="566"/>
      <c r="I40" s="1764"/>
      <c r="J40" s="1764"/>
      <c r="K40" s="1764"/>
      <c r="L40" s="1764"/>
      <c r="M40" s="1730"/>
      <c r="N40" s="1764"/>
      <c r="O40" s="1764"/>
      <c r="P40" s="1763"/>
      <c r="Q40" s="1709"/>
      <c r="R40" s="1709"/>
    </row>
    <row r="41" spans="1:18">
      <c r="C41" s="2197" t="s">
        <v>817</v>
      </c>
      <c r="D41" s="2202">
        <v>2495</v>
      </c>
      <c r="E41" s="2203">
        <v>2495</v>
      </c>
      <c r="F41" s="1891">
        <f t="shared" si="1"/>
        <v>4990</v>
      </c>
      <c r="H41" s="566"/>
      <c r="I41" s="1764"/>
      <c r="J41" s="1764"/>
      <c r="K41" s="1764"/>
      <c r="L41" s="1764"/>
      <c r="M41" s="1730"/>
      <c r="N41" s="1764"/>
      <c r="O41" s="1764"/>
      <c r="P41" s="1763"/>
      <c r="Q41" s="1709"/>
      <c r="R41" s="1709"/>
    </row>
    <row r="42" spans="1:18">
      <c r="C42" s="2197" t="s">
        <v>826</v>
      </c>
      <c r="D42" s="2202">
        <v>4000</v>
      </c>
      <c r="E42" s="2203">
        <v>4000</v>
      </c>
      <c r="F42" s="1891">
        <f t="shared" si="1"/>
        <v>8000</v>
      </c>
      <c r="H42" s="566"/>
      <c r="I42" s="1764"/>
      <c r="J42" s="1764"/>
      <c r="K42" s="1764"/>
      <c r="L42" s="1764"/>
      <c r="M42" s="1730"/>
      <c r="N42" s="1764"/>
      <c r="O42" s="1764"/>
      <c r="P42" s="1763"/>
      <c r="Q42" s="1709"/>
      <c r="R42" s="1709"/>
    </row>
    <row r="43" spans="1:18">
      <c r="C43" s="2197" t="s">
        <v>827</v>
      </c>
      <c r="D43" s="2202">
        <v>589</v>
      </c>
      <c r="E43" s="2163">
        <v>589</v>
      </c>
      <c r="F43" s="1891">
        <f t="shared" si="1"/>
        <v>1178</v>
      </c>
      <c r="H43" s="566"/>
      <c r="I43" s="1764"/>
      <c r="J43" s="1764"/>
      <c r="K43" s="1764"/>
      <c r="L43" s="1764"/>
      <c r="M43" s="1730"/>
      <c r="N43" s="1764"/>
      <c r="O43" s="1764"/>
      <c r="P43" s="1763"/>
      <c r="Q43" s="1709"/>
      <c r="R43" s="1709"/>
    </row>
    <row r="44" spans="1:18">
      <c r="C44" s="2197" t="s">
        <v>819</v>
      </c>
      <c r="D44" s="2202">
        <v>748</v>
      </c>
      <c r="E44" s="2163">
        <v>748</v>
      </c>
      <c r="F44" s="1891">
        <f t="shared" si="1"/>
        <v>1496</v>
      </c>
      <c r="H44" s="566"/>
      <c r="I44" s="1764"/>
      <c r="J44" s="1764"/>
      <c r="K44" s="1764"/>
      <c r="L44" s="1764"/>
      <c r="M44" s="1730"/>
      <c r="N44" s="1764"/>
      <c r="O44" s="1764"/>
      <c r="P44" s="1763"/>
      <c r="Q44" s="1709"/>
      <c r="R44" s="1709"/>
    </row>
    <row r="45" spans="1:18">
      <c r="C45" s="1952"/>
      <c r="D45" s="1958"/>
      <c r="E45" s="1955"/>
      <c r="F45" s="1958"/>
      <c r="H45" s="566"/>
      <c r="I45" s="1764"/>
      <c r="J45" s="1764"/>
      <c r="K45" s="1764"/>
      <c r="L45" s="1764"/>
      <c r="M45" s="1730"/>
      <c r="N45" s="1764"/>
      <c r="O45" s="1764"/>
      <c r="P45" s="1763"/>
      <c r="Q45" s="1709"/>
      <c r="R45" s="1709"/>
    </row>
    <row r="46" spans="1:18">
      <c r="C46" s="1910" t="s">
        <v>50</v>
      </c>
      <c r="D46" s="1911">
        <f>SUM(D47:D50)</f>
        <v>200</v>
      </c>
      <c r="E46" s="1926">
        <f>SUM(E47:E50)</f>
        <v>200</v>
      </c>
      <c r="F46" s="1924">
        <f>SUM(F47:F50)</f>
        <v>400</v>
      </c>
      <c r="H46" s="566"/>
      <c r="I46" s="1764"/>
      <c r="J46" s="1764"/>
      <c r="K46" s="1764"/>
      <c r="L46" s="1764"/>
      <c r="M46" s="1730"/>
      <c r="N46" s="1764"/>
      <c r="O46" s="1764"/>
      <c r="P46" s="1763"/>
      <c r="Q46" s="1709"/>
      <c r="R46" s="1709"/>
    </row>
    <row r="47" spans="1:18">
      <c r="C47" s="1876"/>
      <c r="D47" s="1971">
        <v>200</v>
      </c>
      <c r="E47" s="1988">
        <v>200</v>
      </c>
      <c r="F47" s="1891">
        <f t="shared" si="1"/>
        <v>400</v>
      </c>
      <c r="H47" s="566"/>
      <c r="I47" s="1764"/>
      <c r="J47" s="1764"/>
      <c r="K47" s="1764"/>
      <c r="L47" s="1764"/>
      <c r="M47" s="1730"/>
      <c r="N47" s="1764"/>
      <c r="O47" s="1764"/>
      <c r="P47" s="1763"/>
      <c r="Q47" s="1709"/>
      <c r="R47" s="1709"/>
    </row>
    <row r="48" spans="1:18">
      <c r="C48" s="1876"/>
      <c r="D48" s="1971"/>
      <c r="E48" s="1988"/>
      <c r="F48" s="1891">
        <f t="shared" si="1"/>
        <v>0</v>
      </c>
      <c r="H48" s="566"/>
      <c r="I48" s="1764"/>
      <c r="J48" s="1764"/>
      <c r="K48" s="1764"/>
      <c r="L48" s="1764"/>
      <c r="M48" s="1730"/>
      <c r="N48" s="1764"/>
      <c r="O48" s="1764"/>
      <c r="P48" s="1763"/>
      <c r="Q48" s="1709"/>
      <c r="R48" s="1709"/>
    </row>
    <row r="49" spans="3:20">
      <c r="C49" s="1876"/>
      <c r="D49" s="1971"/>
      <c r="E49" s="1988"/>
      <c r="F49" s="1891">
        <f t="shared" si="1"/>
        <v>0</v>
      </c>
      <c r="H49" s="566"/>
      <c r="I49" s="1764"/>
      <c r="J49" s="1764"/>
      <c r="K49" s="1764"/>
      <c r="L49" s="1764"/>
      <c r="M49" s="1730"/>
      <c r="N49" s="1764"/>
      <c r="O49" s="1764"/>
      <c r="P49" s="1763"/>
      <c r="Q49" s="1709"/>
      <c r="R49" s="1709"/>
    </row>
    <row r="50" spans="3:20">
      <c r="C50" s="1876"/>
      <c r="D50" s="1971"/>
      <c r="E50" s="1988"/>
      <c r="F50" s="1891">
        <f t="shared" si="1"/>
        <v>0</v>
      </c>
      <c r="H50" s="566"/>
      <c r="I50" s="1764"/>
      <c r="J50" s="1764"/>
      <c r="K50" s="1764"/>
      <c r="L50" s="1764"/>
      <c r="M50" s="1730"/>
      <c r="N50" s="1764"/>
      <c r="O50" s="1764"/>
      <c r="P50" s="1763"/>
      <c r="Q50" s="1709"/>
      <c r="R50" s="1709"/>
      <c r="S50" s="566"/>
      <c r="T50" s="566"/>
    </row>
    <row r="51" spans="3:20">
      <c r="C51" s="1952"/>
      <c r="D51" s="1958"/>
      <c r="E51" s="1955"/>
      <c r="F51" s="1958"/>
      <c r="H51" s="566"/>
      <c r="I51" s="1764"/>
      <c r="J51" s="1764"/>
      <c r="K51" s="1764"/>
      <c r="L51" s="1764"/>
      <c r="M51" s="1730"/>
      <c r="N51" s="1764"/>
      <c r="O51" s="1764"/>
      <c r="P51" s="1763"/>
      <c r="Q51" s="1709"/>
      <c r="R51" s="1709"/>
      <c r="S51" s="566"/>
      <c r="T51" s="566"/>
    </row>
    <row r="52" spans="3:20">
      <c r="C52" s="1910" t="s">
        <v>51</v>
      </c>
      <c r="D52" s="1911">
        <f>SUM(D53:D56)</f>
        <v>453</v>
      </c>
      <c r="E52" s="1926">
        <f>SUM(E53:E56)</f>
        <v>453</v>
      </c>
      <c r="F52" s="1924">
        <f>SUM(F53:F56)</f>
        <v>906</v>
      </c>
      <c r="H52" s="566"/>
      <c r="I52" s="1764"/>
      <c r="J52" s="1764"/>
      <c r="K52" s="1764"/>
      <c r="L52" s="1764"/>
      <c r="M52" s="1730"/>
      <c r="N52" s="1764"/>
      <c r="O52" s="1764"/>
      <c r="P52" s="1763"/>
      <c r="Q52" s="1709"/>
      <c r="R52" s="1709"/>
      <c r="S52" s="566"/>
      <c r="T52" s="566"/>
    </row>
    <row r="53" spans="3:20">
      <c r="C53" s="2197" t="s">
        <v>825</v>
      </c>
      <c r="D53" s="2202">
        <v>453</v>
      </c>
      <c r="E53" s="2163">
        <v>453</v>
      </c>
      <c r="F53" s="1891">
        <f t="shared" si="1"/>
        <v>906</v>
      </c>
      <c r="H53" s="566"/>
      <c r="I53" s="1764"/>
      <c r="J53" s="1764"/>
      <c r="K53" s="1764"/>
      <c r="L53" s="1764"/>
      <c r="M53" s="1730"/>
      <c r="N53" s="1764"/>
      <c r="O53" s="1764"/>
      <c r="P53" s="1763"/>
      <c r="Q53" s="1709"/>
      <c r="R53" s="1709"/>
      <c r="S53" s="566"/>
      <c r="T53" s="566"/>
    </row>
    <row r="54" spans="3:20">
      <c r="C54" s="2161"/>
      <c r="D54" s="2162"/>
      <c r="E54" s="2163"/>
      <c r="F54" s="1891">
        <f t="shared" si="1"/>
        <v>0</v>
      </c>
      <c r="H54" s="569"/>
      <c r="I54" s="1764"/>
      <c r="J54" s="1764"/>
      <c r="K54" s="1764"/>
      <c r="L54" s="1764"/>
      <c r="M54" s="1730"/>
      <c r="N54" s="1764"/>
      <c r="O54" s="1764"/>
      <c r="P54" s="1763"/>
      <c r="Q54" s="1709"/>
      <c r="R54" s="1709"/>
      <c r="S54" s="566"/>
      <c r="T54" s="566"/>
    </row>
    <row r="55" spans="3:20">
      <c r="C55" s="2161"/>
      <c r="D55" s="2162"/>
      <c r="E55" s="2163"/>
      <c r="F55" s="1891">
        <f t="shared" si="1"/>
        <v>0</v>
      </c>
      <c r="H55" s="566"/>
      <c r="I55" s="1764"/>
      <c r="J55" s="1764"/>
      <c r="K55" s="1764"/>
      <c r="L55" s="1764"/>
      <c r="M55" s="1764"/>
      <c r="N55" s="1764"/>
      <c r="O55" s="1764"/>
      <c r="P55" s="1764"/>
      <c r="Q55" s="1769"/>
      <c r="R55" s="1769"/>
      <c r="S55" s="566"/>
      <c r="T55" s="566"/>
    </row>
    <row r="56" spans="3:20">
      <c r="C56" s="2161"/>
      <c r="D56" s="2162"/>
      <c r="E56" s="2163"/>
      <c r="F56" s="1891">
        <f t="shared" si="1"/>
        <v>0</v>
      </c>
      <c r="H56" s="566"/>
      <c r="I56" s="1764"/>
      <c r="J56" s="1764"/>
      <c r="K56" s="1764"/>
      <c r="L56" s="1764"/>
      <c r="M56" s="1764"/>
      <c r="N56" s="1764"/>
      <c r="O56" s="1764"/>
      <c r="P56" s="1764"/>
      <c r="Q56" s="1764"/>
      <c r="R56" s="1764"/>
      <c r="S56" s="566"/>
      <c r="T56" s="566"/>
    </row>
    <row r="57" spans="3:20">
      <c r="C57" s="1952"/>
      <c r="D57" s="1958"/>
      <c r="E57" s="1955"/>
      <c r="F57" s="1958"/>
      <c r="H57" s="566"/>
      <c r="I57" s="1764"/>
      <c r="J57" s="1764"/>
      <c r="K57" s="1764"/>
      <c r="L57" s="1764"/>
      <c r="M57" s="1764"/>
      <c r="N57" s="1764"/>
      <c r="O57" s="1764"/>
      <c r="P57" s="1764"/>
      <c r="Q57" s="1764"/>
      <c r="R57" s="1764"/>
      <c r="S57" s="566"/>
      <c r="T57" s="566"/>
    </row>
    <row r="58" spans="3:20">
      <c r="C58" s="1910" t="s">
        <v>52</v>
      </c>
      <c r="D58" s="1911">
        <f>SUM(D59:D62)</f>
        <v>202</v>
      </c>
      <c r="E58" s="1926">
        <f>SUM(E59:E62)</f>
        <v>202</v>
      </c>
      <c r="F58" s="1924">
        <f>SUM(F59:F62)</f>
        <v>404</v>
      </c>
      <c r="H58" s="566"/>
      <c r="I58" s="1329"/>
      <c r="J58" s="1329"/>
      <c r="K58" s="1329"/>
      <c r="L58" s="1329"/>
      <c r="M58" s="1329"/>
      <c r="N58" s="1329"/>
      <c r="O58" s="1329"/>
      <c r="P58" s="1329"/>
      <c r="Q58" s="1329"/>
      <c r="R58" s="1329"/>
      <c r="S58" s="1329"/>
      <c r="T58" s="1329"/>
    </row>
    <row r="59" spans="3:20">
      <c r="C59" s="2197" t="s">
        <v>14</v>
      </c>
      <c r="D59" s="2202">
        <v>202</v>
      </c>
      <c r="E59" s="2203">
        <v>202</v>
      </c>
      <c r="F59" s="1891">
        <f t="shared" si="1"/>
        <v>404</v>
      </c>
      <c r="H59" s="1706"/>
      <c r="I59" s="1763"/>
      <c r="J59" s="566"/>
      <c r="K59" s="566"/>
      <c r="L59" s="566"/>
      <c r="M59" s="566"/>
      <c r="N59" s="566"/>
      <c r="O59" s="566"/>
      <c r="P59" s="566"/>
      <c r="Q59" s="566"/>
      <c r="R59" s="566"/>
      <c r="S59" s="566"/>
      <c r="T59" s="566"/>
    </row>
    <row r="60" spans="3:20">
      <c r="C60" s="1876"/>
      <c r="D60" s="1971"/>
      <c r="E60" s="1988"/>
      <c r="F60" s="1891">
        <f t="shared" si="1"/>
        <v>0</v>
      </c>
    </row>
    <row r="61" spans="3:20">
      <c r="C61" s="1876"/>
      <c r="D61" s="1971"/>
      <c r="E61" s="1988"/>
      <c r="F61" s="1890">
        <f t="shared" si="1"/>
        <v>0</v>
      </c>
    </row>
    <row r="62" spans="3:20">
      <c r="C62" s="1876"/>
      <c r="D62" s="1971"/>
      <c r="E62" s="1988"/>
      <c r="F62" s="1891">
        <f t="shared" si="1"/>
        <v>0</v>
      </c>
    </row>
    <row r="63" spans="3:20">
      <c r="C63" s="1952"/>
      <c r="D63" s="1958"/>
      <c r="E63" s="1955"/>
      <c r="F63" s="1958"/>
    </row>
    <row r="64" spans="3:20">
      <c r="C64" s="1910"/>
      <c r="D64" s="1911"/>
      <c r="E64" s="1926"/>
      <c r="F64" s="1924"/>
    </row>
    <row r="65" spans="3:6">
      <c r="C65" s="1967"/>
      <c r="D65" s="1961"/>
      <c r="E65" s="1962"/>
      <c r="F65" s="1966"/>
    </row>
    <row r="66" spans="3:6">
      <c r="C66" s="1968"/>
      <c r="D66" s="1963"/>
      <c r="E66" s="1964"/>
      <c r="F66" s="1965"/>
    </row>
    <row r="67" spans="3:6">
      <c r="C67" s="1959"/>
      <c r="D67" s="1971"/>
      <c r="E67" s="1971"/>
      <c r="F67" s="1956"/>
    </row>
  </sheetData>
  <customSheetViews>
    <customSheetView guid="{074EB09C-6289-46D7-9513-012B68BCA7BF}" showGridLines="0" fitToPage="1">
      <pane xSplit="1" ySplit="1" topLeftCell="B2" activePane="bottomRight" state="frozen"/>
      <selection pane="bottomRight" activeCell="I58" sqref="I58"/>
      <pageMargins left="0.18" right="0.24" top="0.31" bottom="0.27" header="0.3" footer="0.3"/>
      <pageSetup paperSize="17" scale="63" orientation="landscape" r:id="rId1"/>
    </customSheetView>
    <customSheetView guid="{D9EFFE19-D14B-4C6F-BDF4-FF696F73968D}" showGridLines="0" fitToPage="1">
      <pane xSplit="1" ySplit="1" topLeftCell="B2" activePane="bottomRight" state="frozen"/>
      <selection pane="bottomRight" activeCell="I58" sqref="I58"/>
      <pageMargins left="0.18" right="0.24" top="0.31" bottom="0.27" header="0.3" footer="0.3"/>
      <pageSetup paperSize="17" scale="63" orientation="landscape" r:id="rId2"/>
    </customSheetView>
  </customSheetViews>
  <mergeCells count="6">
    <mergeCell ref="J11:M11"/>
    <mergeCell ref="N11:P11"/>
    <mergeCell ref="Q11:R11"/>
    <mergeCell ref="J12:L12"/>
    <mergeCell ref="J10:M10"/>
    <mergeCell ref="N10:O10"/>
  </mergeCells>
  <pageMargins left="0.18" right="0.24" top="0.31" bottom="0.27" header="0.3" footer="0.3"/>
  <pageSetup paperSize="17" scale="63"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6A4A60542A124AB98CDF8163BEAA44" ma:contentTypeVersion="119" ma:contentTypeDescription="" ma:contentTypeScope="" ma:versionID="180ea560e64b53d3f14dc26120ae1cd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2015-10-29T07:00:00+00:00</OpenedDate>
    <Date1 xmlns="dc463f71-b30c-4ab2-9473-d307f9d35888">2015-10-29T07:00:00+00:00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152058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772D75-4AB9-421E-9C60-990C9C6E2A51}"/>
</file>

<file path=customXml/itemProps2.xml><?xml version="1.0" encoding="utf-8"?>
<ds:datastoreItem xmlns:ds="http://schemas.openxmlformats.org/officeDocument/2006/customXml" ds:itemID="{6B079342-A8EC-4A09-8E29-D94EC1C0AC1C}"/>
</file>

<file path=customXml/itemProps3.xml><?xml version="1.0" encoding="utf-8"?>
<ds:datastoreItem xmlns:ds="http://schemas.openxmlformats.org/officeDocument/2006/customXml" ds:itemID="{97B0B95C-ECBB-49D5-99E3-E55127323F6C}"/>
</file>

<file path=customXml/itemProps4.xml><?xml version="1.0" encoding="utf-8"?>
<ds:datastoreItem xmlns:ds="http://schemas.openxmlformats.org/officeDocument/2006/customXml" ds:itemID="{C591DC57-D73C-4479-822E-42A1E07A90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16</vt:i4>
      </vt:variant>
    </vt:vector>
  </HeadingPairs>
  <TitlesOfParts>
    <vt:vector size="141" baseType="lpstr">
      <vt:lpstr>Readme First</vt:lpstr>
      <vt:lpstr>Budget Category Descriptions</vt:lpstr>
      <vt:lpstr>BCP Overview Tables</vt:lpstr>
      <vt:lpstr>Building the elec. target</vt:lpstr>
      <vt:lpstr>Building the gas target</vt:lpstr>
      <vt:lpstr>2016-2017 Portfolio View</vt:lpstr>
      <vt:lpstr>Portfolio--2016 only</vt:lpstr>
      <vt:lpstr>Portfolio--2017 only</vt:lpstr>
      <vt:lpstr>2-yr Sector View Electric</vt:lpstr>
      <vt:lpstr>2016 Sector View Elect</vt:lpstr>
      <vt:lpstr>2017 Sector View Elect</vt:lpstr>
      <vt:lpstr>2-yr Sector View Gas</vt:lpstr>
      <vt:lpstr>2016 Sector View Gas</vt:lpstr>
      <vt:lpstr>2017 Sector View Gas</vt:lpstr>
      <vt:lpstr> LowIncWx Detail_REM E201_Elec</vt:lpstr>
      <vt:lpstr>REM E214 Title Tab </vt:lpstr>
      <vt:lpstr>HmEnrgAsmt Detail_REM_E214 Elec</vt:lpstr>
      <vt:lpstr>WaterHea_Detail_REM_E214 Elec</vt:lpstr>
      <vt:lpstr>Wx_Detail_REM E214 Elec</vt:lpstr>
      <vt:lpstr>SpcHeat Detail_REM_E214 Elec</vt:lpstr>
      <vt:lpstr>HmAppplc_Detail_REM_E214 Elec</vt:lpstr>
      <vt:lpstr>ShwrHead_Detail_REM_E214  Elec</vt:lpstr>
      <vt:lpstr>Web Tstat Detail_REM E214 Elec</vt:lpstr>
      <vt:lpstr>Lighting Detail_REM_E214 Elec</vt:lpstr>
      <vt:lpstr>MHDS Detail_REM_E214 Elec.</vt:lpstr>
      <vt:lpstr>ARRAWx Detail_REM_E214 Elec</vt:lpstr>
      <vt:lpstr>HER Detail_REM_E214 elec.</vt:lpstr>
      <vt:lpstr>SFNC Detail_REM E215 Elec</vt:lpstr>
      <vt:lpstr>NCMfgHome Detail_REM E215 Elec</vt:lpstr>
      <vt:lpstr>FuelConv Detail_REM E216 Elec</vt:lpstr>
      <vt:lpstr>MF Retr Detail_REM E217 Elec</vt:lpstr>
      <vt:lpstr>MFNC Detail_REM E218 Elec</vt:lpstr>
      <vt:lpstr>LowIncWx Detail_REM G201 Gas</vt:lpstr>
      <vt:lpstr>REM Gas Sch 214 Title</vt:lpstr>
      <vt:lpstr>HmEnrgyAsmt Detail_REM G214 Gas</vt:lpstr>
      <vt:lpstr>WtrHeat Detail_REM G214 Gas</vt:lpstr>
      <vt:lpstr>Wx Detail_REM G214 Gas</vt:lpstr>
      <vt:lpstr>SpHeat Detail_REM G214 Gas</vt:lpstr>
      <vt:lpstr>ShwrHead Detail_REM G214 Gas</vt:lpstr>
      <vt:lpstr>HmApplSvgs Detail_REM G214 Gas</vt:lpstr>
      <vt:lpstr>MHDS Detail_REM G214 Gas</vt:lpstr>
      <vt:lpstr>WebTstat Detail_REM G214 Gas</vt:lpstr>
      <vt:lpstr>HER Detail_REM G214 gas</vt:lpstr>
      <vt:lpstr>SFNC Detail_REM G215 Gas</vt:lpstr>
      <vt:lpstr>NCMfgHomes Detail_REM G215 Gas</vt:lpstr>
      <vt:lpstr>MF Retr Detail_REM G217 Gas</vt:lpstr>
      <vt:lpstr>MFNC Detail_REM G218 Gas</vt:lpstr>
      <vt:lpstr>CI Retr Detail_BEM E250 Elec</vt:lpstr>
      <vt:lpstr>BusLgtGrants_BEM E250 Elect</vt:lpstr>
      <vt:lpstr>CI NC Detail_BEM E251 Elec</vt:lpstr>
      <vt:lpstr>RCM Detail_BEM E253 Elec</vt:lpstr>
      <vt:lpstr>RCM B-U-S Detail_E253 Elec</vt:lpstr>
      <vt:lpstr>ResAcctSW Detail_PSWE_Elec</vt:lpstr>
      <vt:lpstr>LPSD_Detail_Non-449 Elec</vt:lpstr>
      <vt:lpstr>LPSD_Detail_449_Elec</vt:lpstr>
      <vt:lpstr>TechEval Detail_BEM E261 Elec</vt:lpstr>
      <vt:lpstr>Comm Lgt Mkdn_E262 Elect</vt:lpstr>
      <vt:lpstr>Comm Kit-Laund_E262 Elect</vt:lpstr>
      <vt:lpstr>Comm DI_E262 Elect</vt:lpstr>
      <vt:lpstr>Comm HVAC_E262 Elect</vt:lpstr>
      <vt:lpstr>Comm ExpLgt_E262 Elect</vt:lpstr>
      <vt:lpstr>Sm Agr DI_E262 Elect</vt:lpstr>
      <vt:lpstr>Lodging DI_E262 Elec</vt:lpstr>
      <vt:lpstr>Sm Bus DI_E262 Elect</vt:lpstr>
      <vt:lpstr>CI Retr Detail_BEM G250 Gas</vt:lpstr>
      <vt:lpstr>CI NC Detail_BEM G251 Gas</vt:lpstr>
      <vt:lpstr>RCM Detail_BEM 253 Gas</vt:lpstr>
      <vt:lpstr>ResAcctSW Detail_PSWE_Gas</vt:lpstr>
      <vt:lpstr>TechEval Detail_BEM G261 Gas</vt:lpstr>
      <vt:lpstr>Sm Agr DI_G262 Gas</vt:lpstr>
      <vt:lpstr>Lodging DI_G262_Gas</vt:lpstr>
      <vt:lpstr>Sm Bus DI_G262 Gas</vt:lpstr>
      <vt:lpstr>Comm Kit-Laund_G262 Gas</vt:lpstr>
      <vt:lpstr>Comm DI_G262 Gas</vt:lpstr>
      <vt:lpstr>Comm HVAC_G262 Gas</vt:lpstr>
      <vt:lpstr>REM Pilots E249 Elec</vt:lpstr>
      <vt:lpstr>BEM Pilots E249 Elec</vt:lpstr>
      <vt:lpstr>REM Pilots Detail G249 Gas</vt:lpstr>
      <vt:lpstr>BEM Pilots Detail G249 Gas</vt:lpstr>
      <vt:lpstr>NEEA Detail_E254 elec</vt:lpstr>
      <vt:lpstr>T&amp;D Detail_Reg E292 elec</vt:lpstr>
      <vt:lpstr>NEEA Gas MT_no Sched Gas</vt:lpstr>
      <vt:lpstr>Portf Suppt Cust Eng Elec Title</vt:lpstr>
      <vt:lpstr>Engy Adv Detail_PSCE  Elec</vt:lpstr>
      <vt:lpstr>Events Detail_PSCE Elec</vt:lpstr>
      <vt:lpstr>Brochures Detail_PSCE Elec</vt:lpstr>
      <vt:lpstr>Educatn Detail_PSCE E202 Elec</vt:lpstr>
      <vt:lpstr>Port Suppt_Web Exp Elec Title</vt:lpstr>
      <vt:lpstr>CustOnline Detail_PSWE_Elec</vt:lpstr>
      <vt:lpstr>Mkt Intgn Detail_PSWE_Elec</vt:lpstr>
      <vt:lpstr>ABS Detail_PSWE_Elec</vt:lpstr>
      <vt:lpstr>Rebt Procg Detail_Elect</vt:lpstr>
      <vt:lpstr>Progs Supp Detail_PS_ Elec</vt:lpstr>
      <vt:lpstr>Data &amp; Systm Svcs_Elect</vt:lpstr>
      <vt:lpstr>EEC Detail_PS_Elec</vt:lpstr>
      <vt:lpstr>TradeAlly Detail_PS_ Elec</vt:lpstr>
      <vt:lpstr>CAN_Elect</vt:lpstr>
      <vt:lpstr>Port Supp Cust Engage Gas Title</vt:lpstr>
      <vt:lpstr>Engy Adv Detail_PSCE_Gas</vt:lpstr>
      <vt:lpstr>Events Detail_PSCE_Gas</vt:lpstr>
      <vt:lpstr>Brochure Detail_PSCE_Gas</vt:lpstr>
      <vt:lpstr>Eductn Detail_PSCE_G207 Gas</vt:lpstr>
      <vt:lpstr>Port Supp_Web Exp Gas Title</vt:lpstr>
      <vt:lpstr>CustOnline Detail_PSWE_Gas</vt:lpstr>
      <vt:lpstr>Mkt Intg Detail_PSWE_Gas</vt:lpstr>
      <vt:lpstr>ABS Detail_PSWE_Gas</vt:lpstr>
      <vt:lpstr>Rebt Procg_Detail Gas</vt:lpstr>
      <vt:lpstr>Progs Supp Detail_PS_Gas</vt:lpstr>
      <vt:lpstr>Data &amp; Systm Svcs Detail Gas</vt:lpstr>
      <vt:lpstr>EEC Detail_PS_Gas</vt:lpstr>
      <vt:lpstr>TradeAlly Detail_PS_gas</vt:lpstr>
      <vt:lpstr>CAN_PS_Detail Gas</vt:lpstr>
      <vt:lpstr>SuppCrv Detail_R&amp;C_Elec</vt:lpstr>
      <vt:lpstr>Strat Plan Detail_R&amp;C_Elec</vt:lpstr>
      <vt:lpstr>Mktg Resch Detail_PS_ Elec</vt:lpstr>
      <vt:lpstr>Eval Detail_R&amp;C_Elec</vt:lpstr>
      <vt:lpstr>BECAR Detail_R&amp;C Elec</vt:lpstr>
      <vt:lpstr>Verifctn Team Detail Elec</vt:lpstr>
      <vt:lpstr>Supp Crv Detail_R&amp;C_gas</vt:lpstr>
      <vt:lpstr>Strat Pln Detail_R&amp;C_Gas</vt:lpstr>
      <vt:lpstr>Mktg Rsch Detail_PS_gas</vt:lpstr>
      <vt:lpstr>Eval Detail_R&amp;C_Gas</vt:lpstr>
      <vt:lpstr>Verifctn team Detail Gas</vt:lpstr>
      <vt:lpstr>Net Mtr Details_Oth Elec E150</vt:lpstr>
      <vt:lpstr>ElecVehcl Chg Inctv_E195 Elect</vt:lpstr>
      <vt:lpstr>BEM_2yGas_Budget</vt:lpstr>
      <vt:lpstr>BEM_2yrElectric_Budget</vt:lpstr>
      <vt:lpstr>OthElectric_2yrElectirc_Budget</vt:lpstr>
      <vt:lpstr>Pilots_2yrElectric_Budget</vt:lpstr>
      <vt:lpstr>Pilots_2yrGas_Budgets</vt:lpstr>
      <vt:lpstr>PortSupp_2yrElectric_Budget</vt:lpstr>
      <vt:lpstr>PortSupp_2yrGas_Budgets</vt:lpstr>
      <vt:lpstr>'2016-2017 Portfolio View'!Print_Area</vt:lpstr>
      <vt:lpstr>'Building the elec. target'!Print_Area</vt:lpstr>
      <vt:lpstr>'Building the gas target'!Print_Area</vt:lpstr>
      <vt:lpstr>Regional_2yrElectric_Budget</vt:lpstr>
      <vt:lpstr>Regional_2yrGas_Budgets</vt:lpstr>
      <vt:lpstr>REM_2yrElectric_Budget</vt:lpstr>
      <vt:lpstr>REM_2yrGas_Budget</vt:lpstr>
      <vt:lpstr>Res_and_Compl_2yrElectric_Budget</vt:lpstr>
      <vt:lpstr>Res_Compl_2yrGas_Budget</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2015-10-05T18:03:14Z</cp:lastPrinted>
  <dcterms:created xsi:type="dcterms:W3CDTF">2011-07-20T22:26:18Z</dcterms:created>
  <dcterms:modified xsi:type="dcterms:W3CDTF">2015-11-02T17:50:07Z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0x0101006E56B4D1795A2E4DB2F0B01679ED314A002E6A4A60542A124AB98CDF8163BEAA44</vt:lpwstr>
  </property>
  <property fmtid="{D5CDD505-2E9C-101B-9397-08002B2CF9AE}" pid="3" name="_docset_NoMedatataSyncRequired">
    <vt:lpwstr>False</vt:lpwstr>
  </property>
</Properties>
</file>